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codeName="ThisWorkbook" defaultThemeVersion="166925"/>
  <xr:revisionPtr revIDLastSave="0" documentId="13_ncr:1_{0496A760-151E-44CC-A5A3-3873A7BB804A}" xr6:coauthVersionLast="47" xr6:coauthVersionMax="47" xr10:uidLastSave="{00000000-0000-0000-0000-000000000000}"/>
  <bookViews>
    <workbookView xWindow="-120" yWindow="-120" windowWidth="29040" windowHeight="15840" xr2:uid="{99F201B8-D305-49BE-A724-50517CFADF7F}"/>
  </bookViews>
  <sheets>
    <sheet name="Attach 1" sheetId="4" r:id="rId1"/>
    <sheet name="Attach 2" sheetId="5" r:id="rId2"/>
    <sheet name="Attach 3" sheetId="6" r:id="rId3"/>
    <sheet name="Attach 4" sheetId="27" r:id="rId4"/>
    <sheet name="Attach 5 p.1" sheetId="8" r:id="rId5"/>
    <sheet name="Attach 5 p.2" sheetId="9" r:id="rId6"/>
    <sheet name="Attach 6" sheetId="13" r:id="rId7"/>
    <sheet name="Attach 7" sheetId="15" r:id="rId8"/>
    <sheet name="Attach 8" sheetId="11" r:id="rId9"/>
    <sheet name="Attach 9" sheetId="16" r:id="rId10"/>
    <sheet name="Attach 10 p.1-4" sheetId="37" r:id="rId11"/>
    <sheet name="Attach 10 p.5-6" sheetId="38" r:id="rId12"/>
    <sheet name="Attach 10 p.7-9" sheetId="39" r:id="rId13"/>
    <sheet name="Attach 11" sheetId="29" r:id="rId14"/>
    <sheet name="Attach 12 p.1-2" sheetId="30" r:id="rId15"/>
    <sheet name="Attach 12 p.3" sheetId="31" r:id="rId16"/>
    <sheet name="Attach 13" sheetId="32" r:id="rId17"/>
    <sheet name="Attach 14" sheetId="33" r:id="rId18"/>
    <sheet name="Attach 15" sheetId="34" r:id="rId19"/>
    <sheet name="Attach 16" sheetId="35" r:id="rId20"/>
    <sheet name="Attach 17" sheetId="36" r:id="rId21"/>
  </sheets>
  <externalReferences>
    <externalReference r:id="rId22"/>
    <externalReference r:id="rId23"/>
  </externalReferences>
  <definedNames>
    <definedName name="CurrentYear">[1]Input!$B$6</definedName>
    <definedName name="Demand_Dawn_to_Parkway">'[2]Detail Model'!$U$26</definedName>
    <definedName name="Demand_FromDawn_Ojibway">'[2]Detail Model'!$U$85</definedName>
    <definedName name="Demand_Rate_M12_Dawn_to_Kirkwall">'[2]Detail Model'!$U$23</definedName>
    <definedName name="EV__EVCOM_OPTIONS__" hidden="1">8</definedName>
    <definedName name="EV__EXPOPTIONS__" hidden="1">0</definedName>
    <definedName name="EV__LASTREFTIME__" hidden="1">41247.4113888889</definedName>
    <definedName name="EV__MAXEXPCOLS__" hidden="1">100</definedName>
    <definedName name="EV__MAXEXPROWS__" hidden="1">200000</definedName>
    <definedName name="EV__MEMORYCVW__" hidden="1">0</definedName>
    <definedName name="EV__USERCHANGEOPTIONS__" hidden="1">1</definedName>
    <definedName name="EV__WBEVMODE__" hidden="1">0</definedName>
    <definedName name="EV__WBREFOPTIONS__" hidden="1">134217728</definedName>
    <definedName name="EV__WBVERSION__" hidden="1">0</definedName>
    <definedName name="Fuel_UFG_West_to_Dawn_M16" localSheetId="3">#REF!</definedName>
    <definedName name="Fuel_UFG_West_to_Dawn_M16">'Attach 2'!#REF!</definedName>
    <definedName name="fuel_UFG_West_to_Pool_M16" localSheetId="3">#REF!</definedName>
    <definedName name="fuel_UFG_West_to_Pool_M16">'Attach 2'!#REF!</definedName>
    <definedName name="GSAdminChg" localSheetId="3">#REF!</definedName>
    <definedName name="GSAdminChg">'Attach 6'!#REF!</definedName>
    <definedName name="Monthly_Fixed_Charge_M13_Large">'[2]Detail Model'!$U$181</definedName>
    <definedName name="Monthly_Fixed_Charge_M13_Typical">'[2]Detail Model'!$U$180</definedName>
    <definedName name="paolo" localSheetId="3" hidden="1">{#N/A,#N/A,FALSE,"H3 Tab 1"}</definedName>
    <definedName name="paolo" hidden="1">{#N/A,#N/A,FALSE,"H3 Tab 1"}</definedName>
    <definedName name="_xlnm.Print_Area" localSheetId="0">'Attach 1'!$B$1:$Q$205</definedName>
    <definedName name="_xlnm.Print_Area" localSheetId="11">'Attach 10 p.5-6'!$A$1:$M$130</definedName>
    <definedName name="_xlnm.Print_Area" localSheetId="12">'Attach 10 p.7-9'!$A$1:$M$227</definedName>
    <definedName name="_xlnm.Print_Area" localSheetId="13">'Attach 11'!$A$1:$I$36</definedName>
    <definedName name="_xlnm.Print_Area" localSheetId="14">'Attach 12 p.1-2'!$A$1:$P$115</definedName>
    <definedName name="_xlnm.Print_Area" localSheetId="15">'Attach 12 p.3'!$A$1:$E$25</definedName>
    <definedName name="_xlnm.Print_Area" localSheetId="16">'Attach 13'!$A$1:$E$39</definedName>
    <definedName name="_xlnm.Print_Area" localSheetId="17">'Attach 14'!$A$1:$E$41</definedName>
    <definedName name="_xlnm.Print_Area" localSheetId="18">'Attach 15'!$A$1:$E$29</definedName>
    <definedName name="_xlnm.Print_Area" localSheetId="19">'Attach 16'!$A$1:$E$36</definedName>
    <definedName name="_xlnm.Print_Area" localSheetId="20">'Attach 17'!$A$1:$I$109</definedName>
    <definedName name="_xlnm.Print_Area" localSheetId="1">'Attach 2'!$B$1:$T$853</definedName>
    <definedName name="_xlnm.Print_Area" localSheetId="2">'Attach 3'!$B$1:$AA$77</definedName>
    <definedName name="_xlnm.Print_Area" localSheetId="3">'Attach 4'!$A$1:$Q$634</definedName>
    <definedName name="_xlnm.Print_Area" localSheetId="4">'Attach 5 p.1'!$A$1:$O$35</definedName>
    <definedName name="_xlnm.Print_Area" localSheetId="5">'Attach 5 p.2'!$A$1:$O$57</definedName>
    <definedName name="_xlnm.Print_Area" localSheetId="6">'Attach 6'!$A$1:$F$340</definedName>
    <definedName name="_xlnm.Print_Area" localSheetId="7">'Attach 7'!$A$1:$H$51</definedName>
    <definedName name="_xlnm.Print_Area" localSheetId="8">'Attach 8'!$A$1:$M$56</definedName>
    <definedName name="_xlnm.Print_Area" localSheetId="9">'Attach 9'!$A$1:$I$258</definedName>
    <definedName name="_xlnm.Print_Titles" localSheetId="8">'Attach 8'!$2:$12</definedName>
    <definedName name="wrn.Backup." localSheetId="0" hidden="1">{#N/A,#N/A,FALSE,"Margins";#N/A,#N/A,FALSE,"Fuel $";#N/A,#N/A,FALSE,"Fuel";#N/A,#N/A,FALSE,"M12 Storage";#N/A,#N/A,FALSE,"M12 Transport";#N/A,#N/A,FALSE,"M12 OR";#N/A,#N/A,FALSE,"C1 OR"}</definedName>
    <definedName name="wrn.Backup." localSheetId="1" hidden="1">{#N/A,#N/A,FALSE,"Margins";#N/A,#N/A,FALSE,"Fuel $";#N/A,#N/A,FALSE,"Fuel";#N/A,#N/A,FALSE,"M12 Storage";#N/A,#N/A,FALSE,"M12 Transport";#N/A,#N/A,FALSE,"M12 OR";#N/A,#N/A,FALSE,"C1 OR"}</definedName>
    <definedName name="wrn.Backup." localSheetId="2" hidden="1">{#N/A,#N/A,FALSE,"Margins";#N/A,#N/A,FALSE,"Fuel $";#N/A,#N/A,FALSE,"Fuel";#N/A,#N/A,FALSE,"M12 Storage";#N/A,#N/A,FALSE,"M12 Transport";#N/A,#N/A,FALSE,"M12 OR";#N/A,#N/A,FALSE,"C1 OR"}</definedName>
    <definedName name="wrn.Backup." localSheetId="3" hidden="1">{#N/A,#N/A,FALSE,"Margins";#N/A,#N/A,FALSE,"Fuel $";#N/A,#N/A,FALSE,"Fuel";#N/A,#N/A,FALSE,"M12 Storage";#N/A,#N/A,FALSE,"M12 Transport";#N/A,#N/A,FALSE,"M12 OR";#N/A,#N/A,FALSE,"C1 OR"}</definedName>
    <definedName name="wrn.Backup." localSheetId="8" hidden="1">{#N/A,#N/A,FALSE,"Margins";#N/A,#N/A,FALSE,"Fuel $";#N/A,#N/A,FALSE,"Fuel";#N/A,#N/A,FALSE,"M12 Storage";#N/A,#N/A,FALSE,"M12 Transport";#N/A,#N/A,FALSE,"M12 OR";#N/A,#N/A,FALSE,"C1 OR"}</definedName>
    <definedName name="wrn.Backup." hidden="1">{#N/A,#N/A,FALSE,"Margins";#N/A,#N/A,FALSE,"Fuel $";#N/A,#N/A,FALSE,"Fuel";#N/A,#N/A,FALSE,"M12 Storage";#N/A,#N/A,FALSE,"M12 Transport";#N/A,#N/A,FALSE,"M12 OR";#N/A,#N/A,FALSE,"C1 OR"}</definedName>
    <definedName name="wrn.h3T1S1." localSheetId="3" hidden="1">{#N/A,#N/A,FALSE,"H3 Tab 1"}</definedName>
    <definedName name="wrn.h3T1S1." hidden="1">{#N/A,#N/A,FALSE,"H3 Tab 1"}</definedName>
    <definedName name="wrn.H3T1S2." localSheetId="3" hidden="1">{#N/A,#N/A,FALSE,"H3 Tab 1"}</definedName>
    <definedName name="wrn.H3T1S2." hidden="1">{#N/A,#N/A,FALSE,"H3 Tab 1"}</definedName>
    <definedName name="wrn.H3T2S3." localSheetId="3" hidden="1">{#N/A,#N/A,FALSE,"H3 Tab 2";#N/A,#N/A,FALSE,"H3 Tab 2"}</definedName>
    <definedName name="wrn.H3T2S3." hidden="1">{#N/A,#N/A,FALSE,"H3 Tab 2";#N/A,#N/A,FALSE,"H3 Tab 2"}</definedName>
    <definedName name="wrn.Print._.All." localSheetId="3" hidden="1">{#N/A,#N/A,FALSE,"Dday-Cust#";#N/A,#N/A,FALSE,"Cascade";#N/A,#N/A,FALSE,"LF Rate 10,16";#N/A,#N/A,FALSE,"Direct Supply Source";#N/A,#N/A,FALSE,"Direct-DSM";#N/A,#N/A,FALSE,"Regulators";#N/A,#N/A,FALSE,"BS Admin etc..";#N/A,#N/A,FALSE,"Sole Mains";#N/A,#N/A,FALSE,"Sole M&amp;R";#N/A,#N/A,FALSE,"Joint-Sole-Grid-CIAC";#N/A,#N/A,FALSE,"COG";#N/A,#N/A,FALSE,"Gas Supply"}</definedName>
    <definedName name="wrn.Print._.All." hidden="1">{#N/A,#N/A,FALSE,"Dday-Cust#";#N/A,#N/A,FALSE,"Cascade";#N/A,#N/A,FALSE,"LF Rate 10,16";#N/A,#N/A,FALSE,"Direct Supply Source";#N/A,#N/A,FALSE,"Direct-DSM";#N/A,#N/A,FALSE,"Regulators";#N/A,#N/A,FALSE,"BS Admin etc..";#N/A,#N/A,FALSE,"Sole Mains";#N/A,#N/A,FALSE,"Sole M&amp;R";#N/A,#N/A,FALSE,"Joint-Sole-Grid-CIAC";#N/A,#N/A,FALSE,"COG";#N/A,#N/A,FALSE,"Gas Supply"}</definedName>
    <definedName name="wrn.RevProof." localSheetId="3" hidden="1">{#N/A,#N/A,FALSE,"RevProof"}</definedName>
    <definedName name="wrn.RevProof." hidden="1">{#N/A,#N/A,FALSE,"RevProof"}</definedName>
    <definedName name="wrn.Schedules." localSheetId="0" hidden="1">{#N/A,#N/A,FALSE,"Filed Sheet";#N/A,#N/A,FALSE,"Schedule C";#N/A,#N/A,FALSE,"Appendix A"}</definedName>
    <definedName name="wrn.Schedules." localSheetId="1" hidden="1">{#N/A,#N/A,FALSE,"Filed Sheet";#N/A,#N/A,FALSE,"Schedule C";#N/A,#N/A,FALSE,"Appendix A"}</definedName>
    <definedName name="wrn.Schedules." localSheetId="2" hidden="1">{#N/A,#N/A,FALSE,"Filed Sheet";#N/A,#N/A,FALSE,"Schedule C";#N/A,#N/A,FALSE,"Appendix A"}</definedName>
    <definedName name="wrn.Schedules." localSheetId="3" hidden="1">{#N/A,#N/A,FALSE,"Filed Sheet";#N/A,#N/A,FALSE,"Schedule C";#N/A,#N/A,FALSE,"Appendix A"}</definedName>
    <definedName name="wrn.Schedules." localSheetId="8" hidden="1">{#N/A,#N/A,FALSE,"Filed Sheet";#N/A,#N/A,FALSE,"Schedule C";#N/A,#N/A,FALSE,"Appendix A"}</definedName>
    <definedName name="wrn.Schedules." hidden="1">{#N/A,#N/A,FALSE,"Filed Sheet";#N/A,#N/A,FALSE,"Schedule C";#N/A,#N/A,FALSE,"Appendix 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7" i="30" l="1"/>
  <c r="F213" i="13"/>
  <c r="F227" i="13"/>
  <c r="K180" i="27"/>
  <c r="Q171" i="27"/>
  <c r="Q91" i="27"/>
  <c r="A192" i="37"/>
  <c r="A21" i="37"/>
  <c r="B721" i="5"/>
  <c r="B723" i="5" s="1"/>
  <c r="B727" i="5" s="1"/>
  <c r="B729" i="5" s="1"/>
  <c r="B732" i="5" s="1"/>
  <c r="B736" i="5" s="1"/>
  <c r="Q424" i="27" l="1"/>
  <c r="Q449" i="27"/>
  <c r="Q469" i="27"/>
  <c r="Q482" i="27"/>
  <c r="Q462" i="27"/>
  <c r="Q437" i="27"/>
  <c r="D290" i="13" l="1"/>
  <c r="D285" i="13"/>
  <c r="D272" i="13"/>
  <c r="D273" i="13" s="1"/>
  <c r="K14" i="8" l="1"/>
  <c r="H62" i="6" l="1"/>
  <c r="E27" i="35" l="1"/>
  <c r="G115" i="16"/>
  <c r="G109" i="16"/>
  <c r="A199" i="27" l="1"/>
  <c r="A500" i="27"/>
  <c r="A503" i="27" s="1"/>
  <c r="A14" i="39"/>
  <c r="A15" i="39" s="1"/>
  <c r="A16" i="39" s="1"/>
  <c r="A17" i="39" s="1"/>
  <c r="A18" i="39" s="1"/>
  <c r="A20" i="39" s="1"/>
  <c r="A21" i="39" s="1"/>
  <c r="A24" i="39" s="1"/>
  <c r="A25" i="39" s="1"/>
  <c r="A26" i="39" s="1"/>
  <c r="A27" i="39" s="1"/>
  <c r="A28" i="39" s="1"/>
  <c r="A30" i="39" s="1"/>
  <c r="A31" i="39" s="1"/>
  <c r="A34" i="39" s="1"/>
  <c r="A35" i="39" s="1"/>
  <c r="A36" i="39" s="1"/>
  <c r="A37" i="39" s="1"/>
  <c r="A38" i="39" s="1"/>
  <c r="A40" i="39" s="1"/>
  <c r="A41" i="39" s="1"/>
  <c r="A54" i="39" s="1"/>
  <c r="A55" i="39" s="1"/>
  <c r="A56" i="39" s="1"/>
  <c r="A57" i="39" s="1"/>
  <c r="A58" i="39" s="1"/>
  <c r="A60" i="39" s="1"/>
  <c r="A61" i="39" s="1"/>
  <c r="A44" i="39" s="1"/>
  <c r="A45" i="39" s="1"/>
  <c r="A46" i="39" s="1"/>
  <c r="A47" i="39" s="1"/>
  <c r="A48" i="39" s="1"/>
  <c r="A50" i="39" s="1"/>
  <c r="A51" i="39" s="1"/>
  <c r="A64" i="39" s="1"/>
  <c r="A65" i="39" s="1"/>
  <c r="A66" i="39" s="1"/>
  <c r="A67" i="39" s="1"/>
  <c r="A68" i="39" s="1"/>
  <c r="A70" i="39" s="1"/>
  <c r="A71" i="39" s="1"/>
  <c r="A74" i="39" s="1"/>
  <c r="A75" i="39" s="1"/>
  <c r="A76" i="39" s="1"/>
  <c r="A77" i="39" s="1"/>
  <c r="A78" i="39" s="1"/>
  <c r="A80" i="39" s="1"/>
  <c r="A81" i="39" s="1"/>
  <c r="A95" i="39" s="1"/>
  <c r="A96" i="39" s="1"/>
  <c r="A97" i="39" s="1"/>
  <c r="A98" i="39" s="1"/>
  <c r="A99" i="39" s="1"/>
  <c r="A101" i="39" s="1"/>
  <c r="A102" i="39" s="1"/>
  <c r="A105" i="39" s="1"/>
  <c r="A106" i="39" s="1"/>
  <c r="A107" i="39" s="1"/>
  <c r="A108" i="39" s="1"/>
  <c r="A109" i="39" s="1"/>
  <c r="A111" i="39" s="1"/>
  <c r="A112" i="39" s="1"/>
  <c r="A115" i="39" s="1"/>
  <c r="A116" i="39" s="1"/>
  <c r="A117" i="39" s="1"/>
  <c r="A118" i="39" s="1"/>
  <c r="A119" i="39" s="1"/>
  <c r="A121" i="39" s="1"/>
  <c r="A122" i="39" s="1"/>
  <c r="A125" i="39" s="1"/>
  <c r="A126" i="39" s="1"/>
  <c r="A127" i="39" s="1"/>
  <c r="A128" i="39" s="1"/>
  <c r="A129" i="39" s="1"/>
  <c r="A131" i="39" s="1"/>
  <c r="A132" i="39" s="1"/>
  <c r="A135" i="39" s="1"/>
  <c r="A136" i="39" s="1"/>
  <c r="A137" i="39" s="1"/>
  <c r="A138" i="39" s="1"/>
  <c r="A140" i="39" s="1"/>
  <c r="A141" i="39" s="1"/>
  <c r="A144" i="39" s="1"/>
  <c r="A145" i="39" s="1"/>
  <c r="A146" i="39" s="1"/>
  <c r="A147" i="39" s="1"/>
  <c r="A149" i="39" s="1"/>
  <c r="A150" i="39" s="1"/>
  <c r="A164" i="39" s="1"/>
  <c r="A165" i="39" s="1"/>
  <c r="A166" i="39" s="1"/>
  <c r="A167" i="39" s="1"/>
  <c r="A169" i="39" s="1"/>
  <c r="A170" i="39" s="1"/>
  <c r="A173" i="39" s="1"/>
  <c r="A174" i="39" s="1"/>
  <c r="A175" i="39" s="1"/>
  <c r="A176" i="39" s="1"/>
  <c r="A178" i="39" s="1"/>
  <c r="A179" i="39" s="1"/>
  <c r="A182" i="39" s="1"/>
  <c r="A183" i="39" s="1"/>
  <c r="A184" i="39" s="1"/>
  <c r="A185" i="39" s="1"/>
  <c r="A187" i="39" s="1"/>
  <c r="A188" i="39" s="1"/>
  <c r="A191" i="39" s="1"/>
  <c r="A192" i="39" s="1"/>
  <c r="A193" i="39" s="1"/>
  <c r="A194" i="39" s="1"/>
  <c r="A196" i="39" s="1"/>
  <c r="A197" i="39" s="1"/>
  <c r="A200" i="39" s="1"/>
  <c r="A201" i="39" s="1"/>
  <c r="A202" i="39" s="1"/>
  <c r="A203" i="39" s="1"/>
  <c r="A205" i="39" s="1"/>
  <c r="A206" i="39" s="1"/>
  <c r="A209" i="39" s="1"/>
  <c r="A210" i="39" s="1"/>
  <c r="A211" i="39" s="1"/>
  <c r="A212" i="39" s="1"/>
  <c r="A214" i="39" s="1"/>
  <c r="A215" i="39" s="1"/>
  <c r="A218" i="39" s="1"/>
  <c r="A219" i="39" s="1"/>
  <c r="A220" i="39" s="1"/>
  <c r="A222" i="39" s="1"/>
  <c r="A223" i="39" s="1"/>
  <c r="J14" i="39"/>
  <c r="L14" i="39" s="1"/>
  <c r="M14" i="39" s="1"/>
  <c r="J15" i="39"/>
  <c r="L15" i="39" s="1"/>
  <c r="M15" i="39" s="1"/>
  <c r="J16" i="39"/>
  <c r="L16" i="39" s="1"/>
  <c r="M16" i="39" s="1"/>
  <c r="J17" i="39"/>
  <c r="E18" i="39"/>
  <c r="E20" i="39"/>
  <c r="H20" i="39"/>
  <c r="J24" i="39"/>
  <c r="J25" i="39"/>
  <c r="L25" i="39" s="1"/>
  <c r="M25" i="39" s="1"/>
  <c r="J26" i="39"/>
  <c r="L26" i="39" s="1"/>
  <c r="M26" i="39" s="1"/>
  <c r="J27" i="39"/>
  <c r="L27" i="39" s="1"/>
  <c r="M27" i="39" s="1"/>
  <c r="E28" i="39"/>
  <c r="H30" i="39"/>
  <c r="J34" i="39"/>
  <c r="J35" i="39"/>
  <c r="L35" i="39" s="1"/>
  <c r="M35" i="39" s="1"/>
  <c r="J36" i="39"/>
  <c r="L36" i="39" s="1"/>
  <c r="M36" i="39" s="1"/>
  <c r="J37" i="39"/>
  <c r="L37" i="39" s="1"/>
  <c r="M37" i="39" s="1"/>
  <c r="E38" i="39"/>
  <c r="E40" i="39"/>
  <c r="H40" i="39"/>
  <c r="J44" i="39"/>
  <c r="L44" i="39" s="1"/>
  <c r="M44" i="39" s="1"/>
  <c r="J45" i="39"/>
  <c r="J46" i="39"/>
  <c r="L46" i="39" s="1"/>
  <c r="M46" i="39" s="1"/>
  <c r="J47" i="39"/>
  <c r="L47" i="39" s="1"/>
  <c r="M47" i="39" s="1"/>
  <c r="E48" i="39"/>
  <c r="E50" i="39"/>
  <c r="H50" i="39"/>
  <c r="E60" i="39"/>
  <c r="J55" i="39"/>
  <c r="L55" i="39" s="1"/>
  <c r="M55" i="39" s="1"/>
  <c r="J57" i="39"/>
  <c r="L57" i="39" s="1"/>
  <c r="M57" i="39" s="1"/>
  <c r="E58" i="39"/>
  <c r="H60" i="39"/>
  <c r="J64" i="39"/>
  <c r="L64" i="39" s="1"/>
  <c r="M64" i="39" s="1"/>
  <c r="J65" i="39"/>
  <c r="L65" i="39" s="1"/>
  <c r="M65" i="39" s="1"/>
  <c r="J66" i="39"/>
  <c r="L66" i="39" s="1"/>
  <c r="M66" i="39" s="1"/>
  <c r="J67" i="39"/>
  <c r="L67" i="39" s="1"/>
  <c r="M67" i="39" s="1"/>
  <c r="E68" i="39"/>
  <c r="E70" i="39"/>
  <c r="H70" i="39"/>
  <c r="J74" i="39"/>
  <c r="J75" i="39"/>
  <c r="L75" i="39" s="1"/>
  <c r="M75" i="39" s="1"/>
  <c r="J76" i="39"/>
  <c r="L76" i="39" s="1"/>
  <c r="M76" i="39" s="1"/>
  <c r="E78" i="39"/>
  <c r="J95" i="39"/>
  <c r="J96" i="39"/>
  <c r="L96" i="39" s="1"/>
  <c r="M96" i="39" s="1"/>
  <c r="J97" i="39"/>
  <c r="L97" i="39" s="1"/>
  <c r="M97" i="39" s="1"/>
  <c r="J98" i="39"/>
  <c r="L98" i="39" s="1"/>
  <c r="M98" i="39" s="1"/>
  <c r="E99" i="39"/>
  <c r="H99" i="39"/>
  <c r="E101" i="39"/>
  <c r="H101" i="39"/>
  <c r="J105" i="39"/>
  <c r="L105" i="39" s="1"/>
  <c r="M105" i="39" s="1"/>
  <c r="J106" i="39"/>
  <c r="L106" i="39" s="1"/>
  <c r="M106" i="39" s="1"/>
  <c r="J107" i="39"/>
  <c r="L107" i="39" s="1"/>
  <c r="M107" i="39" s="1"/>
  <c r="J108" i="39"/>
  <c r="L108" i="39" s="1"/>
  <c r="M108" i="39" s="1"/>
  <c r="E109" i="39"/>
  <c r="H109" i="39"/>
  <c r="E111" i="39"/>
  <c r="H111" i="39"/>
  <c r="J115" i="39"/>
  <c r="J116" i="39"/>
  <c r="L116" i="39" s="1"/>
  <c r="M116" i="39" s="1"/>
  <c r="J117" i="39"/>
  <c r="L117" i="39" s="1"/>
  <c r="M117" i="39" s="1"/>
  <c r="J118" i="39"/>
  <c r="L118" i="39" s="1"/>
  <c r="M118" i="39" s="1"/>
  <c r="E119" i="39"/>
  <c r="H119" i="39"/>
  <c r="E121" i="39"/>
  <c r="H121" i="39"/>
  <c r="J125" i="39"/>
  <c r="J126" i="39"/>
  <c r="L126" i="39" s="1"/>
  <c r="M126" i="39" s="1"/>
  <c r="J127" i="39"/>
  <c r="L127" i="39" s="1"/>
  <c r="M127" i="39" s="1"/>
  <c r="J128" i="39"/>
  <c r="L128" i="39" s="1"/>
  <c r="M128" i="39" s="1"/>
  <c r="E129" i="39"/>
  <c r="H129" i="39"/>
  <c r="E131" i="39"/>
  <c r="H131" i="39"/>
  <c r="J135" i="39"/>
  <c r="J136" i="39"/>
  <c r="M136" i="39" s="1"/>
  <c r="E140" i="39"/>
  <c r="J137" i="39"/>
  <c r="M137" i="39" s="1"/>
  <c r="E138" i="39"/>
  <c r="H138" i="39"/>
  <c r="H140" i="39"/>
  <c r="E147" i="39"/>
  <c r="J144" i="39"/>
  <c r="J145" i="39"/>
  <c r="M145" i="39" s="1"/>
  <c r="J146" i="39"/>
  <c r="M146" i="39" s="1"/>
  <c r="H149" i="39"/>
  <c r="J164" i="39"/>
  <c r="J165" i="39"/>
  <c r="L165" i="39" s="1"/>
  <c r="M165" i="39" s="1"/>
  <c r="J166" i="39"/>
  <c r="L166" i="39" s="1"/>
  <c r="M166" i="39" s="1"/>
  <c r="E167" i="39"/>
  <c r="H167" i="39"/>
  <c r="E169" i="39"/>
  <c r="H169" i="39"/>
  <c r="J173" i="39"/>
  <c r="J174" i="39"/>
  <c r="L174" i="39" s="1"/>
  <c r="M174" i="39" s="1"/>
  <c r="J175" i="39"/>
  <c r="L175" i="39" s="1"/>
  <c r="M175" i="39" s="1"/>
  <c r="E176" i="39"/>
  <c r="H176" i="39"/>
  <c r="E178" i="39"/>
  <c r="H178" i="39"/>
  <c r="J182" i="39"/>
  <c r="J183" i="39"/>
  <c r="L183" i="39" s="1"/>
  <c r="M183" i="39" s="1"/>
  <c r="J184" i="39"/>
  <c r="L184" i="39" s="1"/>
  <c r="M184" i="39" s="1"/>
  <c r="E185" i="39"/>
  <c r="H185" i="39"/>
  <c r="E187" i="39"/>
  <c r="H187" i="39"/>
  <c r="E194" i="39"/>
  <c r="J192" i="39"/>
  <c r="L192" i="39" s="1"/>
  <c r="M192" i="39" s="1"/>
  <c r="H194" i="39"/>
  <c r="E196" i="39"/>
  <c r="H196" i="39"/>
  <c r="J200" i="39"/>
  <c r="J201" i="39"/>
  <c r="L201" i="39" s="1"/>
  <c r="M201" i="39" s="1"/>
  <c r="J202" i="39"/>
  <c r="L202" i="39" s="1"/>
  <c r="M202" i="39" s="1"/>
  <c r="E203" i="39"/>
  <c r="H203" i="39"/>
  <c r="E205" i="39"/>
  <c r="H205" i="39"/>
  <c r="J209" i="39"/>
  <c r="J210" i="39"/>
  <c r="L210" i="39" s="1"/>
  <c r="M210" i="39" s="1"/>
  <c r="E212" i="39"/>
  <c r="J218" i="39"/>
  <c r="E220" i="39"/>
  <c r="H222" i="39"/>
  <c r="A14" i="38"/>
  <c r="A15" i="38" s="1"/>
  <c r="A16" i="38" s="1"/>
  <c r="A17" i="38" s="1"/>
  <c r="A18" i="38" s="1"/>
  <c r="A20" i="38" s="1"/>
  <c r="A21" i="38" s="1"/>
  <c r="A24" i="38" s="1"/>
  <c r="A25" i="38" s="1"/>
  <c r="A26" i="38" s="1"/>
  <c r="A27" i="38" s="1"/>
  <c r="A28" i="38" s="1"/>
  <c r="A30" i="38" s="1"/>
  <c r="A31" i="38" s="1"/>
  <c r="A34" i="38" s="1"/>
  <c r="A35" i="38" s="1"/>
  <c r="A36" i="38" s="1"/>
  <c r="A37" i="38" s="1"/>
  <c r="A38" i="38" s="1"/>
  <c r="A40" i="38" s="1"/>
  <c r="A41" i="38" s="1"/>
  <c r="A54" i="38" s="1"/>
  <c r="A55" i="38" s="1"/>
  <c r="A56" i="38" s="1"/>
  <c r="A57" i="38" s="1"/>
  <c r="A58" i="38" s="1"/>
  <c r="A60" i="38" s="1"/>
  <c r="A61" i="38" s="1"/>
  <c r="A44" i="38" s="1"/>
  <c r="A45" i="38" s="1"/>
  <c r="A46" i="38" s="1"/>
  <c r="A47" i="38" s="1"/>
  <c r="A48" i="38" s="1"/>
  <c r="A50" i="38" s="1"/>
  <c r="A51" i="38" s="1"/>
  <c r="A64" i="38" s="1"/>
  <c r="A65" i="38" s="1"/>
  <c r="A66" i="38" s="1"/>
  <c r="A67" i="38" s="1"/>
  <c r="A68" i="38" s="1"/>
  <c r="A70" i="38" s="1"/>
  <c r="A71" i="38" s="1"/>
  <c r="A85" i="38" s="1"/>
  <c r="A86" i="38" s="1"/>
  <c r="A87" i="38" s="1"/>
  <c r="A88" i="38" s="1"/>
  <c r="A89" i="38" s="1"/>
  <c r="A91" i="38" s="1"/>
  <c r="A92" i="38" s="1"/>
  <c r="A95" i="38" s="1"/>
  <c r="A96" i="38" s="1"/>
  <c r="A97" i="38" s="1"/>
  <c r="A98" i="38" s="1"/>
  <c r="A99" i="38" s="1"/>
  <c r="A101" i="38" s="1"/>
  <c r="A102" i="38" s="1"/>
  <c r="A105" i="38" s="1"/>
  <c r="A106" i="38" s="1"/>
  <c r="A107" i="38" s="1"/>
  <c r="A108" i="38" s="1"/>
  <c r="A109" i="38" s="1"/>
  <c r="A111" i="38" s="1"/>
  <c r="A112" i="38" s="1"/>
  <c r="A113" i="38" s="1"/>
  <c r="A114" i="38" s="1"/>
  <c r="A117" i="38" s="1"/>
  <c r="A118" i="38" s="1"/>
  <c r="A119" i="38" s="1"/>
  <c r="A120" i="38" s="1"/>
  <c r="A121" i="38" s="1"/>
  <c r="A123" i="38" s="1"/>
  <c r="A124" i="38" s="1"/>
  <c r="A125" i="38" s="1"/>
  <c r="A126" i="38" s="1"/>
  <c r="J14" i="38"/>
  <c r="J15" i="38"/>
  <c r="L15" i="38" s="1"/>
  <c r="J16" i="38"/>
  <c r="L16" i="38" s="1"/>
  <c r="M16" i="38" s="1"/>
  <c r="E18" i="38"/>
  <c r="H18" i="38"/>
  <c r="J25" i="38"/>
  <c r="L25" i="38" s="1"/>
  <c r="J27" i="38"/>
  <c r="L27" i="38" s="1"/>
  <c r="M27" i="38" s="1"/>
  <c r="H28" i="38"/>
  <c r="H30" i="38"/>
  <c r="J34" i="38"/>
  <c r="L34" i="38" s="1"/>
  <c r="M34" i="38" s="1"/>
  <c r="J35" i="38"/>
  <c r="L35" i="38" s="1"/>
  <c r="J36" i="38"/>
  <c r="L36" i="38" s="1"/>
  <c r="M36" i="38" s="1"/>
  <c r="J37" i="38"/>
  <c r="L37" i="38" s="1"/>
  <c r="M37" i="38" s="1"/>
  <c r="E38" i="38"/>
  <c r="H38" i="38"/>
  <c r="E40" i="38"/>
  <c r="H40" i="38"/>
  <c r="J44" i="38"/>
  <c r="J45" i="38"/>
  <c r="J46" i="38"/>
  <c r="L46" i="38" s="1"/>
  <c r="M46" i="38" s="1"/>
  <c r="J47" i="38"/>
  <c r="L47" i="38" s="1"/>
  <c r="M47" i="38" s="1"/>
  <c r="E48" i="38"/>
  <c r="H48" i="38"/>
  <c r="E50" i="38"/>
  <c r="H50" i="38"/>
  <c r="J54" i="38"/>
  <c r="J55" i="38"/>
  <c r="L55" i="38" s="1"/>
  <c r="J56" i="38"/>
  <c r="L56" i="38" s="1"/>
  <c r="M56" i="38" s="1"/>
  <c r="E58" i="38"/>
  <c r="H58" i="38"/>
  <c r="H60" i="38"/>
  <c r="J64" i="38"/>
  <c r="J65" i="38"/>
  <c r="L65" i="38" s="1"/>
  <c r="J66" i="38"/>
  <c r="L66" i="38" s="1"/>
  <c r="M66" i="38" s="1"/>
  <c r="J67" i="38"/>
  <c r="L67" i="38" s="1"/>
  <c r="M67" i="38" s="1"/>
  <c r="H68" i="38"/>
  <c r="H70" i="38"/>
  <c r="J85" i="38"/>
  <c r="J86" i="38"/>
  <c r="L86" i="38"/>
  <c r="J87" i="38"/>
  <c r="L87" i="38" s="1"/>
  <c r="M87" i="38" s="1"/>
  <c r="J88" i="38"/>
  <c r="L88" i="38" s="1"/>
  <c r="M88" i="38" s="1"/>
  <c r="E89" i="38"/>
  <c r="H89" i="38"/>
  <c r="H91" i="38"/>
  <c r="J95" i="38"/>
  <c r="L95" i="38" s="1"/>
  <c r="M95" i="38" s="1"/>
  <c r="J96" i="38"/>
  <c r="E99" i="38"/>
  <c r="H99" i="38"/>
  <c r="J98" i="38"/>
  <c r="L98" i="38" s="1"/>
  <c r="M98" i="38" s="1"/>
  <c r="E109" i="38"/>
  <c r="F111" i="38"/>
  <c r="J105" i="38"/>
  <c r="J106" i="38"/>
  <c r="L106" i="38" s="1"/>
  <c r="J107" i="38"/>
  <c r="L107" i="38"/>
  <c r="M107" i="38" s="1"/>
  <c r="E111" i="38"/>
  <c r="H109" i="38"/>
  <c r="H111" i="38"/>
  <c r="I111" i="38"/>
  <c r="F113" i="38"/>
  <c r="H113" i="38"/>
  <c r="I113" i="38"/>
  <c r="J117" i="38"/>
  <c r="L117" i="38" s="1"/>
  <c r="M117" i="38" s="1"/>
  <c r="J118" i="38"/>
  <c r="L118" i="38" s="1"/>
  <c r="J119" i="38"/>
  <c r="J120" i="38"/>
  <c r="L120" i="38" s="1"/>
  <c r="M120" i="38" s="1"/>
  <c r="E125" i="38"/>
  <c r="E121" i="38"/>
  <c r="H121" i="38"/>
  <c r="I125" i="38"/>
  <c r="F123" i="38"/>
  <c r="H123" i="38"/>
  <c r="F125" i="38"/>
  <c r="H125" i="38"/>
  <c r="A14" i="37"/>
  <c r="A15" i="37" s="1"/>
  <c r="A16" i="37" s="1"/>
  <c r="A17" i="37" s="1"/>
  <c r="A18" i="37" s="1"/>
  <c r="A20" i="37" s="1"/>
  <c r="A22" i="37" s="1"/>
  <c r="A23" i="37" s="1"/>
  <c r="A26" i="37" s="1"/>
  <c r="A27" i="37" s="1"/>
  <c r="A28" i="37" s="1"/>
  <c r="A29" i="37" s="1"/>
  <c r="A30" i="37" s="1"/>
  <c r="A32" i="37" s="1"/>
  <c r="A33" i="37" s="1"/>
  <c r="A34" i="37" s="1"/>
  <c r="A35" i="37" s="1"/>
  <c r="A38" i="37" s="1"/>
  <c r="A39" i="37" s="1"/>
  <c r="A40" i="37" s="1"/>
  <c r="A41" i="37" s="1"/>
  <c r="A42" i="37" s="1"/>
  <c r="A44" i="37" s="1"/>
  <c r="A45" i="37" s="1"/>
  <c r="A46" i="37" s="1"/>
  <c r="A47" i="37" s="1"/>
  <c r="A50" i="37" s="1"/>
  <c r="A51" i="37" s="1"/>
  <c r="A52" i="37" s="1"/>
  <c r="A53" i="37" s="1"/>
  <c r="A54" i="37" s="1"/>
  <c r="A56" i="37" s="1"/>
  <c r="A57" i="37" s="1"/>
  <c r="A58" i="37" s="1"/>
  <c r="A59" i="37" s="1"/>
  <c r="A62" i="37" s="1"/>
  <c r="A63" i="37" s="1"/>
  <c r="A64" i="37" s="1"/>
  <c r="A65" i="37" s="1"/>
  <c r="A66" i="37" s="1"/>
  <c r="A68" i="37" s="1"/>
  <c r="A69" i="37" s="1"/>
  <c r="A70" i="37" s="1"/>
  <c r="A71" i="37" s="1"/>
  <c r="A85" i="37" s="1"/>
  <c r="A86" i="37" s="1"/>
  <c r="A87" i="37" s="1"/>
  <c r="A88" i="37" s="1"/>
  <c r="A89" i="37" s="1"/>
  <c r="A91" i="37" s="1"/>
  <c r="A92" i="37" s="1"/>
  <c r="A93" i="37" s="1"/>
  <c r="A94" i="37" s="1"/>
  <c r="A97" i="37" s="1"/>
  <c r="A98" i="37" s="1"/>
  <c r="A99" i="37" s="1"/>
  <c r="A100" i="37" s="1"/>
  <c r="A101" i="37" s="1"/>
  <c r="A109" i="37" s="1"/>
  <c r="A110" i="37" s="1"/>
  <c r="A111" i="37" s="1"/>
  <c r="A112" i="37" s="1"/>
  <c r="A113" i="37" s="1"/>
  <c r="A115" i="37" s="1"/>
  <c r="A116" i="37" s="1"/>
  <c r="A117" i="37" s="1"/>
  <c r="A118" i="37" s="1"/>
  <c r="A103" i="37" s="1"/>
  <c r="A104" i="37" s="1"/>
  <c r="A105" i="37" s="1"/>
  <c r="A106" i="37" s="1"/>
  <c r="A121" i="37" s="1"/>
  <c r="A122" i="37" s="1"/>
  <c r="A123" i="37" s="1"/>
  <c r="A124" i="37" s="1"/>
  <c r="A125" i="37" s="1"/>
  <c r="A127" i="37" s="1"/>
  <c r="A128" i="37" s="1"/>
  <c r="A129" i="37" s="1"/>
  <c r="A130" i="37" s="1"/>
  <c r="A133" i="37" s="1"/>
  <c r="A134" i="37" s="1"/>
  <c r="A135" i="37" s="1"/>
  <c r="A136" i="37" s="1"/>
  <c r="A137" i="37" s="1"/>
  <c r="A139" i="37" s="1"/>
  <c r="A140" i="37" s="1"/>
  <c r="A141" i="37" s="1"/>
  <c r="A142" i="37" s="1"/>
  <c r="A145" i="37" s="1"/>
  <c r="A146" i="37" s="1"/>
  <c r="A147" i="37" s="1"/>
  <c r="A148" i="37" s="1"/>
  <c r="A149" i="37" s="1"/>
  <c r="A162" i="37" s="1"/>
  <c r="A163" i="37" s="1"/>
  <c r="A164" i="37" s="1"/>
  <c r="A165" i="37" s="1"/>
  <c r="A168" i="37" s="1"/>
  <c r="A169" i="37" s="1"/>
  <c r="A170" i="37" s="1"/>
  <c r="A171" i="37" s="1"/>
  <c r="A172" i="37" s="1"/>
  <c r="A174" i="37" s="1"/>
  <c r="A175" i="37" s="1"/>
  <c r="A176" i="37" s="1"/>
  <c r="A177" i="37" s="1"/>
  <c r="A180" i="37" s="1"/>
  <c r="A181" i="37" s="1"/>
  <c r="A182" i="37" s="1"/>
  <c r="A183" i="37" s="1"/>
  <c r="A184" i="37" s="1"/>
  <c r="A186" i="37" s="1"/>
  <c r="A187" i="37" s="1"/>
  <c r="A188" i="37" s="1"/>
  <c r="A189" i="37" s="1"/>
  <c r="A193" i="37" s="1"/>
  <c r="A194" i="37" s="1"/>
  <c r="A195" i="37" s="1"/>
  <c r="A197" i="37" s="1"/>
  <c r="A198" i="37" s="1"/>
  <c r="A201" i="37" s="1"/>
  <c r="A202" i="37" s="1"/>
  <c r="A203" i="37" s="1"/>
  <c r="A204" i="37" s="1"/>
  <c r="A205" i="37" s="1"/>
  <c r="A207" i="37" s="1"/>
  <c r="A208" i="37" s="1"/>
  <c r="A209" i="37" s="1"/>
  <c r="A210" i="37" s="1"/>
  <c r="A213" i="37" s="1"/>
  <c r="A214" i="37" s="1"/>
  <c r="A215" i="37" s="1"/>
  <c r="A216" i="37" s="1"/>
  <c r="A217" i="37" s="1"/>
  <c r="A219" i="37" s="1"/>
  <c r="A220" i="37" s="1"/>
  <c r="A221" i="37" s="1"/>
  <c r="A222" i="37" s="1"/>
  <c r="A236" i="37" s="1"/>
  <c r="A237" i="37" s="1"/>
  <c r="A238" i="37" s="1"/>
  <c r="A239" i="37" s="1"/>
  <c r="A240" i="37" s="1"/>
  <c r="A242" i="37" s="1"/>
  <c r="A243" i="37" s="1"/>
  <c r="A244" i="37" s="1"/>
  <c r="A245" i="37" s="1"/>
  <c r="A248" i="37" s="1"/>
  <c r="A249" i="37" s="1"/>
  <c r="A250" i="37" s="1"/>
  <c r="A251" i="37" s="1"/>
  <c r="A252" i="37" s="1"/>
  <c r="A254" i="37" s="1"/>
  <c r="A255" i="37" s="1"/>
  <c r="A256" i="37" s="1"/>
  <c r="A257" i="37" s="1"/>
  <c r="A260" i="37" s="1"/>
  <c r="A261" i="37" s="1"/>
  <c r="A262" i="37" s="1"/>
  <c r="A263" i="37" s="1"/>
  <c r="A264" i="37" s="1"/>
  <c r="A266" i="37" s="1"/>
  <c r="A267" i="37" s="1"/>
  <c r="A268" i="37" s="1"/>
  <c r="A269" i="37" s="1"/>
  <c r="A272" i="37" s="1"/>
  <c r="A273" i="37" s="1"/>
  <c r="A274" i="37" s="1"/>
  <c r="A275" i="37" s="1"/>
  <c r="A276" i="37" s="1"/>
  <c r="A278" i="37" s="1"/>
  <c r="A279" i="37" s="1"/>
  <c r="A280" i="37" s="1"/>
  <c r="A281" i="37" s="1"/>
  <c r="A284" i="37" s="1"/>
  <c r="A285" i="37" s="1"/>
  <c r="A286" i="37" s="1"/>
  <c r="A287" i="37" s="1"/>
  <c r="A289" i="37" s="1"/>
  <c r="A290" i="37" s="1"/>
  <c r="A291" i="37" s="1"/>
  <c r="A292" i="37" s="1"/>
  <c r="J15" i="37"/>
  <c r="L15" i="37" s="1"/>
  <c r="J16" i="37"/>
  <c r="L16" i="37" s="1"/>
  <c r="M16" i="37" s="1"/>
  <c r="J17" i="37"/>
  <c r="L17" i="37" s="1"/>
  <c r="M17" i="37" s="1"/>
  <c r="E18" i="37"/>
  <c r="J26" i="37"/>
  <c r="L26" i="37" s="1"/>
  <c r="M26" i="37" s="1"/>
  <c r="J27" i="37"/>
  <c r="L27" i="37" s="1"/>
  <c r="J28" i="37"/>
  <c r="L28" i="37" s="1"/>
  <c r="M28" i="37" s="1"/>
  <c r="J29" i="37"/>
  <c r="L29" i="37" s="1"/>
  <c r="M29" i="37" s="1"/>
  <c r="E30" i="37"/>
  <c r="H30" i="37"/>
  <c r="J39" i="37"/>
  <c r="L39" i="37" s="1"/>
  <c r="J40" i="37"/>
  <c r="L40" i="37" s="1"/>
  <c r="M40" i="37" s="1"/>
  <c r="J41" i="37"/>
  <c r="L41" i="37" s="1"/>
  <c r="M41" i="37" s="1"/>
  <c r="H42" i="37"/>
  <c r="J50" i="37"/>
  <c r="J51" i="37"/>
  <c r="L51" i="37" s="1"/>
  <c r="J52" i="37"/>
  <c r="L52" i="37" s="1"/>
  <c r="M52" i="37" s="1"/>
  <c r="J53" i="37"/>
  <c r="L53" i="37" s="1"/>
  <c r="M53" i="37" s="1"/>
  <c r="E54" i="37"/>
  <c r="H66" i="37"/>
  <c r="J63" i="37"/>
  <c r="L63" i="37" s="1"/>
  <c r="J64" i="37"/>
  <c r="L64" i="37" s="1"/>
  <c r="M64" i="37" s="1"/>
  <c r="J65" i="37"/>
  <c r="L65" i="37" s="1"/>
  <c r="M65" i="37" s="1"/>
  <c r="E66" i="37"/>
  <c r="E89" i="37"/>
  <c r="J85" i="37"/>
  <c r="J86" i="37"/>
  <c r="L86" i="37" s="1"/>
  <c r="J87" i="37"/>
  <c r="L87" i="37" s="1"/>
  <c r="M87" i="37" s="1"/>
  <c r="J88" i="37"/>
  <c r="L88" i="37" s="1"/>
  <c r="M88" i="37" s="1"/>
  <c r="E101" i="37"/>
  <c r="J97" i="37"/>
  <c r="J98" i="37"/>
  <c r="L98" i="37" s="1"/>
  <c r="J99" i="37"/>
  <c r="L99" i="37" s="1"/>
  <c r="M99" i="37" s="1"/>
  <c r="J100" i="37"/>
  <c r="L100" i="37" s="1"/>
  <c r="M100" i="37" s="1"/>
  <c r="H101" i="37"/>
  <c r="J109" i="37"/>
  <c r="L109" i="37" s="1"/>
  <c r="M109" i="37" s="1"/>
  <c r="J110" i="37"/>
  <c r="L110" i="37" s="1"/>
  <c r="J111" i="37"/>
  <c r="J112" i="37"/>
  <c r="L112" i="37" s="1"/>
  <c r="M112" i="37" s="1"/>
  <c r="E113" i="37"/>
  <c r="H113" i="37"/>
  <c r="J122" i="37"/>
  <c r="L122" i="37" s="1"/>
  <c r="J123" i="37"/>
  <c r="L123" i="37" s="1"/>
  <c r="M123" i="37" s="1"/>
  <c r="J124" i="37"/>
  <c r="L124" i="37" s="1"/>
  <c r="M124" i="37" s="1"/>
  <c r="E125" i="37"/>
  <c r="J133" i="37"/>
  <c r="J134" i="37"/>
  <c r="L134" i="37" s="1"/>
  <c r="J135" i="37"/>
  <c r="L135" i="37" s="1"/>
  <c r="M135" i="37" s="1"/>
  <c r="J136" i="37"/>
  <c r="L136" i="37" s="1"/>
  <c r="M136" i="37" s="1"/>
  <c r="E137" i="37"/>
  <c r="H137" i="37"/>
  <c r="J146" i="37"/>
  <c r="L146" i="37" s="1"/>
  <c r="H149" i="37"/>
  <c r="J147" i="37"/>
  <c r="L147" i="37" s="1"/>
  <c r="M147" i="37" s="1"/>
  <c r="J148" i="37"/>
  <c r="L148" i="37" s="1"/>
  <c r="M148" i="37" s="1"/>
  <c r="J168" i="37"/>
  <c r="J169" i="37"/>
  <c r="L169" i="37" s="1"/>
  <c r="J170" i="37"/>
  <c r="L170" i="37" s="1"/>
  <c r="M170" i="37" s="1"/>
  <c r="J171" i="37"/>
  <c r="L171" i="37" s="1"/>
  <c r="M171" i="37" s="1"/>
  <c r="E172" i="37"/>
  <c r="J181" i="37"/>
  <c r="L181" i="37" s="1"/>
  <c r="J182" i="37"/>
  <c r="L182" i="37" s="1"/>
  <c r="M182" i="37" s="1"/>
  <c r="J183" i="37"/>
  <c r="L183" i="37" s="1"/>
  <c r="M183" i="37" s="1"/>
  <c r="E184" i="37"/>
  <c r="J192" i="37"/>
  <c r="J193" i="37"/>
  <c r="L193" i="37" s="1"/>
  <c r="M193" i="37" s="1"/>
  <c r="J194" i="37"/>
  <c r="E195" i="37"/>
  <c r="H195" i="37"/>
  <c r="J201" i="37"/>
  <c r="L201" i="37" s="1"/>
  <c r="M201" i="37" s="1"/>
  <c r="J202" i="37"/>
  <c r="L202" i="37" s="1"/>
  <c r="J203" i="37"/>
  <c r="L203" i="37" s="1"/>
  <c r="M203" i="37" s="1"/>
  <c r="J204" i="37"/>
  <c r="L204" i="37" s="1"/>
  <c r="M204" i="37" s="1"/>
  <c r="E205" i="37"/>
  <c r="E217" i="37"/>
  <c r="J214" i="37"/>
  <c r="L214" i="37" s="1"/>
  <c r="J215" i="37"/>
  <c r="L215" i="37" s="1"/>
  <c r="M215" i="37" s="1"/>
  <c r="J216" i="37"/>
  <c r="L216" i="37" s="1"/>
  <c r="M216" i="37" s="1"/>
  <c r="H217" i="37"/>
  <c r="J236" i="37"/>
  <c r="L236" i="37" s="1"/>
  <c r="M236" i="37" s="1"/>
  <c r="E240" i="37"/>
  <c r="J238" i="37"/>
  <c r="L238" i="37" s="1"/>
  <c r="M238" i="37" s="1"/>
  <c r="J239" i="37"/>
  <c r="E252" i="37"/>
  <c r="J248" i="37"/>
  <c r="J249" i="37"/>
  <c r="L249" i="37" s="1"/>
  <c r="J250" i="37"/>
  <c r="L250" i="37" s="1"/>
  <c r="M250" i="37" s="1"/>
  <c r="J251" i="37"/>
  <c r="L251" i="37" s="1"/>
  <c r="M251" i="37" s="1"/>
  <c r="H252" i="37"/>
  <c r="J260" i="37"/>
  <c r="J261" i="37"/>
  <c r="L261" i="37" s="1"/>
  <c r="J262" i="37"/>
  <c r="L262" i="37" s="1"/>
  <c r="M262" i="37" s="1"/>
  <c r="J263" i="37"/>
  <c r="L263" i="37" s="1"/>
  <c r="M263" i="37" s="1"/>
  <c r="H264" i="37"/>
  <c r="J272" i="37"/>
  <c r="J273" i="37"/>
  <c r="L273" i="37" s="1"/>
  <c r="J274" i="37"/>
  <c r="L274" i="37" s="1"/>
  <c r="M274" i="37" s="1"/>
  <c r="J275" i="37"/>
  <c r="L275" i="37" s="1"/>
  <c r="M275" i="37" s="1"/>
  <c r="E276" i="37"/>
  <c r="H276" i="37"/>
  <c r="H287" i="37"/>
  <c r="J285" i="37"/>
  <c r="M285" i="37" s="1"/>
  <c r="J286" i="37"/>
  <c r="M286" i="37" s="1"/>
  <c r="J50" i="39" l="1"/>
  <c r="M50" i="39" s="1"/>
  <c r="L45" i="39"/>
  <c r="M45" i="39" s="1"/>
  <c r="J48" i="39"/>
  <c r="J111" i="39"/>
  <c r="M111" i="39" s="1"/>
  <c r="M38" i="38"/>
  <c r="J38" i="38"/>
  <c r="L38" i="38" s="1"/>
  <c r="J40" i="38"/>
  <c r="J137" i="37"/>
  <c r="L137" i="37" s="1"/>
  <c r="J54" i="37"/>
  <c r="L54" i="37" s="1"/>
  <c r="A504" i="27"/>
  <c r="L239" i="37"/>
  <c r="M239" i="37" s="1"/>
  <c r="M240" i="37"/>
  <c r="J252" i="37"/>
  <c r="L252" i="37" s="1"/>
  <c r="L248" i="37"/>
  <c r="M248" i="37" s="1"/>
  <c r="M252" i="37"/>
  <c r="J276" i="37"/>
  <c r="L276" i="37" s="1"/>
  <c r="L272" i="37"/>
  <c r="M272" i="37" s="1"/>
  <c r="M276" i="37"/>
  <c r="J264" i="37"/>
  <c r="L260" i="37"/>
  <c r="M260" i="37" s="1"/>
  <c r="M264" i="37"/>
  <c r="E264" i="37"/>
  <c r="J284" i="37"/>
  <c r="J237" i="37"/>
  <c r="L194" i="37"/>
  <c r="M194" i="37" s="1"/>
  <c r="M195" i="37"/>
  <c r="J195" i="37"/>
  <c r="L195" i="37" s="1"/>
  <c r="L192" i="37"/>
  <c r="M192" i="37" s="1"/>
  <c r="J172" i="37"/>
  <c r="L172" i="37" s="1"/>
  <c r="L133" i="37"/>
  <c r="M133" i="37" s="1"/>
  <c r="J38" i="37"/>
  <c r="E42" i="37"/>
  <c r="L105" i="38"/>
  <c r="M105" i="38" s="1"/>
  <c r="J111" i="38"/>
  <c r="L96" i="38"/>
  <c r="J121" i="38"/>
  <c r="L121" i="38" s="1"/>
  <c r="J123" i="38"/>
  <c r="L119" i="38"/>
  <c r="M119" i="38" s="1"/>
  <c r="J176" i="39"/>
  <c r="J178" i="39"/>
  <c r="L173" i="39"/>
  <c r="M173" i="39" s="1"/>
  <c r="L17" i="39"/>
  <c r="M17" i="39" s="1"/>
  <c r="J18" i="39"/>
  <c r="H240" i="37"/>
  <c r="J180" i="37"/>
  <c r="H184" i="37"/>
  <c r="H205" i="37"/>
  <c r="J145" i="37"/>
  <c r="E149" i="37"/>
  <c r="J121" i="37"/>
  <c r="H125" i="37"/>
  <c r="J113" i="37"/>
  <c r="L113" i="37" s="1"/>
  <c r="L111" i="37"/>
  <c r="M111" i="37" s="1"/>
  <c r="L50" i="37"/>
  <c r="M50" i="37" s="1"/>
  <c r="M54" i="37"/>
  <c r="J30" i="37"/>
  <c r="L30" i="37" s="1"/>
  <c r="J213" i="37"/>
  <c r="E123" i="38"/>
  <c r="M218" i="39"/>
  <c r="J222" i="39"/>
  <c r="L111" i="39"/>
  <c r="L168" i="37"/>
  <c r="M168" i="37" s="1"/>
  <c r="M172" i="37"/>
  <c r="L97" i="37"/>
  <c r="M97" i="37" s="1"/>
  <c r="M101" i="37"/>
  <c r="J101" i="37"/>
  <c r="L101" i="37" s="1"/>
  <c r="M30" i="37"/>
  <c r="J125" i="38"/>
  <c r="E28" i="38"/>
  <c r="E30" i="38"/>
  <c r="M205" i="37"/>
  <c r="M137" i="37"/>
  <c r="J89" i="37"/>
  <c r="L89" i="37" s="1"/>
  <c r="L85" i="37"/>
  <c r="M85" i="37" s="1"/>
  <c r="M89" i="37"/>
  <c r="J14" i="37"/>
  <c r="H18" i="37"/>
  <c r="J89" i="38"/>
  <c r="L89" i="38" s="1"/>
  <c r="J91" i="38"/>
  <c r="L85" i="38"/>
  <c r="M85" i="38" s="1"/>
  <c r="M89" i="38"/>
  <c r="L45" i="38"/>
  <c r="J48" i="38"/>
  <c r="L48" i="38" s="1"/>
  <c r="J50" i="38"/>
  <c r="J167" i="39"/>
  <c r="J169" i="39"/>
  <c r="L164" i="39"/>
  <c r="M164" i="39" s="1"/>
  <c r="E287" i="37"/>
  <c r="J205" i="37"/>
  <c r="L205" i="37" s="1"/>
  <c r="H89" i="37"/>
  <c r="J108" i="38"/>
  <c r="L108" i="38" s="1"/>
  <c r="M108" i="38" s="1"/>
  <c r="L14" i="38"/>
  <c r="M14" i="38" s="1"/>
  <c r="J20" i="38"/>
  <c r="J203" i="39"/>
  <c r="J205" i="39"/>
  <c r="J147" i="39"/>
  <c r="M147" i="39" s="1"/>
  <c r="M144" i="39"/>
  <c r="J149" i="39"/>
  <c r="J140" i="39"/>
  <c r="M140" i="39" s="1"/>
  <c r="J138" i="39"/>
  <c r="M138" i="39" s="1"/>
  <c r="M135" i="39"/>
  <c r="J129" i="39"/>
  <c r="J131" i="39"/>
  <c r="L125" i="39"/>
  <c r="M125" i="39" s="1"/>
  <c r="E80" i="39"/>
  <c r="J77" i="39"/>
  <c r="L77" i="39" s="1"/>
  <c r="M77" i="39" s="1"/>
  <c r="H172" i="37"/>
  <c r="M113" i="37"/>
  <c r="J62" i="37"/>
  <c r="H54" i="37"/>
  <c r="M121" i="38"/>
  <c r="E113" i="38"/>
  <c r="J113" i="38" s="1"/>
  <c r="J97" i="38"/>
  <c r="E68" i="38"/>
  <c r="H212" i="39"/>
  <c r="H80" i="39"/>
  <c r="J68" i="38"/>
  <c r="J70" i="38"/>
  <c r="L64" i="38"/>
  <c r="M64" i="38" s="1"/>
  <c r="M68" i="38"/>
  <c r="L54" i="38"/>
  <c r="M54" i="38" s="1"/>
  <c r="J60" i="38"/>
  <c r="J99" i="39"/>
  <c r="J101" i="39"/>
  <c r="L95" i="39"/>
  <c r="M95" i="39" s="1"/>
  <c r="E20" i="38"/>
  <c r="J17" i="38"/>
  <c r="L17" i="38" s="1"/>
  <c r="M17" i="38" s="1"/>
  <c r="J219" i="39"/>
  <c r="M219" i="39" s="1"/>
  <c r="J20" i="39"/>
  <c r="H101" i="38"/>
  <c r="L44" i="38"/>
  <c r="M44" i="38" s="1"/>
  <c r="M48" i="38"/>
  <c r="J26" i="38"/>
  <c r="L26" i="38" s="1"/>
  <c r="M26" i="38" s="1"/>
  <c r="H20" i="38"/>
  <c r="J185" i="39"/>
  <c r="J187" i="39"/>
  <c r="L182" i="39"/>
  <c r="M182" i="39" s="1"/>
  <c r="J119" i="39"/>
  <c r="J121" i="39"/>
  <c r="L115" i="39"/>
  <c r="M115" i="39" s="1"/>
  <c r="J109" i="39"/>
  <c r="L74" i="39"/>
  <c r="M74" i="39" s="1"/>
  <c r="J80" i="39"/>
  <c r="J68" i="39"/>
  <c r="J70" i="39"/>
  <c r="J38" i="39"/>
  <c r="J40" i="39"/>
  <c r="L34" i="39"/>
  <c r="M34" i="39" s="1"/>
  <c r="E70" i="38"/>
  <c r="J24" i="38"/>
  <c r="E214" i="39"/>
  <c r="J211" i="39"/>
  <c r="L211" i="39" s="1"/>
  <c r="M211" i="39" s="1"/>
  <c r="L209" i="39"/>
  <c r="M209" i="39" s="1"/>
  <c r="J214" i="39"/>
  <c r="J28" i="39"/>
  <c r="J30" i="39"/>
  <c r="L24" i="39"/>
  <c r="M24" i="39" s="1"/>
  <c r="E101" i="38"/>
  <c r="E60" i="38"/>
  <c r="J57" i="38"/>
  <c r="L57" i="38" s="1"/>
  <c r="M57" i="38" s="1"/>
  <c r="H214" i="39"/>
  <c r="L200" i="39"/>
  <c r="M200" i="39" s="1"/>
  <c r="J193" i="39"/>
  <c r="L193" i="39" s="1"/>
  <c r="M193" i="39" s="1"/>
  <c r="J191" i="39"/>
  <c r="J56" i="39"/>
  <c r="L56" i="39" s="1"/>
  <c r="M56" i="39" s="1"/>
  <c r="J54" i="39"/>
  <c r="E91" i="38"/>
  <c r="H220" i="39"/>
  <c r="H147" i="39"/>
  <c r="E30" i="39"/>
  <c r="E222" i="39"/>
  <c r="E149" i="39"/>
  <c r="A14" i="36" a="1"/>
  <c r="A14" i="36" s="1"/>
  <c r="I14" i="36"/>
  <c r="I15" i="36"/>
  <c r="I16" i="36"/>
  <c r="I20" i="36"/>
  <c r="I21" i="36"/>
  <c r="I22" i="36"/>
  <c r="I26" i="36"/>
  <c r="I27" i="36"/>
  <c r="I28" i="36"/>
  <c r="I29" i="36"/>
  <c r="I35" i="36"/>
  <c r="I38" i="36" s="1"/>
  <c r="I40" i="36" s="1"/>
  <c r="I36" i="36"/>
  <c r="I37" i="36"/>
  <c r="I46" i="36"/>
  <c r="A70" i="36"/>
  <c r="I70" i="36"/>
  <c r="A71" i="36"/>
  <c r="I71" i="36"/>
  <c r="A72" i="36"/>
  <c r="A75" i="36" s="1"/>
  <c r="A76" i="36" s="1"/>
  <c r="A77" i="36" s="1"/>
  <c r="A78" i="36" s="1"/>
  <c r="A81" i="36" s="1"/>
  <c r="A82" i="36" s="1"/>
  <c r="A83" i="36" s="1"/>
  <c r="A84" i="36" s="1"/>
  <c r="A85" i="36" s="1"/>
  <c r="A86" i="36" s="1"/>
  <c r="A89" i="36" s="1"/>
  <c r="A90" i="36" s="1"/>
  <c r="A91" i="36" s="1"/>
  <c r="A92" i="36" s="1"/>
  <c r="A93" i="36" s="1"/>
  <c r="A94" i="36" s="1"/>
  <c r="A97" i="36" s="1"/>
  <c r="A98" i="36" s="1"/>
  <c r="A99" i="36" s="1"/>
  <c r="A101" i="36" s="1"/>
  <c r="I76" i="36"/>
  <c r="I77" i="36"/>
  <c r="I81" i="36"/>
  <c r="I82" i="36"/>
  <c r="I83" i="36"/>
  <c r="G89" i="36"/>
  <c r="I89" i="36"/>
  <c r="G90" i="36"/>
  <c r="I90" i="36" s="1"/>
  <c r="G91" i="36"/>
  <c r="I91" i="36"/>
  <c r="I97" i="36"/>
  <c r="I98" i="36"/>
  <c r="E14" i="35"/>
  <c r="A14" i="35"/>
  <c r="E21" i="35"/>
  <c r="E23" i="35" s="1"/>
  <c r="E28" i="35"/>
  <c r="A14" i="34" a="1"/>
  <c r="A14" i="34" s="1"/>
  <c r="E15" i="34"/>
  <c r="A15" i="33" a="1"/>
  <c r="A15" i="33" s="1"/>
  <c r="E16" i="33"/>
  <c r="E21" i="33"/>
  <c r="E26" i="33"/>
  <c r="E31" i="33"/>
  <c r="E33" i="33" s="1"/>
  <c r="A14" i="32" a="1"/>
  <c r="A14" i="32" s="1"/>
  <c r="E19" i="32"/>
  <c r="E23" i="32" s="1"/>
  <c r="E25" i="32" s="1"/>
  <c r="E30" i="32"/>
  <c r="A29" i="32"/>
  <c r="A30" i="32" s="1"/>
  <c r="A14" i="31" a="1"/>
  <c r="A14" i="31" s="1"/>
  <c r="A15" i="31" s="1" a="1"/>
  <c r="A15" i="31" s="1"/>
  <c r="A19" i="31" s="1"/>
  <c r="E15" i="31"/>
  <c r="E21" i="31"/>
  <c r="A17" i="30"/>
  <c r="A18" i="30" s="1"/>
  <c r="A19" i="30" s="1"/>
  <c r="A21" i="30" s="1"/>
  <c r="A24" i="30" s="1"/>
  <c r="H19" i="30"/>
  <c r="H30" i="30" s="1"/>
  <c r="J19" i="30"/>
  <c r="I19" i="30"/>
  <c r="I24" i="30"/>
  <c r="J24" i="30"/>
  <c r="A29" i="30"/>
  <c r="A33" i="30"/>
  <c r="A35" i="30" s="1"/>
  <c r="A37" i="30" s="1"/>
  <c r="A39" i="30" s="1"/>
  <c r="L76" i="30"/>
  <c r="N76" i="30"/>
  <c r="A79" i="30"/>
  <c r="A80" i="30" s="1"/>
  <c r="A81" i="30" s="1"/>
  <c r="A83" i="30" s="1"/>
  <c r="A86" i="30" s="1"/>
  <c r="H79" i="30"/>
  <c r="I79" i="30"/>
  <c r="I86" i="30" s="1"/>
  <c r="J79" i="30"/>
  <c r="J86" i="30" s="1"/>
  <c r="H80" i="30"/>
  <c r="I80" i="30"/>
  <c r="A91" i="30"/>
  <c r="A92" i="30" s="1"/>
  <c r="A93" i="30" s="1"/>
  <c r="A95" i="30" s="1"/>
  <c r="A97" i="30" s="1"/>
  <c r="A99" i="30" s="1"/>
  <c r="A101" i="30" s="1"/>
  <c r="A105" i="30" s="1"/>
  <c r="A106" i="30" s="1"/>
  <c r="A107" i="30" s="1"/>
  <c r="A109" i="30" s="1"/>
  <c r="A110" i="30" s="1"/>
  <c r="A12" i="29" a="1"/>
  <c r="A12" i="29" s="1"/>
  <c r="C17" i="29"/>
  <c r="G17" i="29"/>
  <c r="E29" i="29"/>
  <c r="G29" i="29"/>
  <c r="C29" i="29"/>
  <c r="P25" i="30" l="1"/>
  <c r="P31" i="30" s="1"/>
  <c r="P33" i="30" s="1"/>
  <c r="I92" i="36"/>
  <c r="I94" i="36" s="1"/>
  <c r="I84" i="36"/>
  <c r="I86" i="36" s="1"/>
  <c r="I81" i="30"/>
  <c r="L50" i="39"/>
  <c r="M48" i="39"/>
  <c r="L48" i="39"/>
  <c r="J78" i="39"/>
  <c r="L40" i="38"/>
  <c r="M40" i="38"/>
  <c r="L68" i="38"/>
  <c r="A18" i="35"/>
  <c r="A19" i="35" s="1"/>
  <c r="A20" i="35" s="1"/>
  <c r="A508" i="27"/>
  <c r="A509" i="27" s="1"/>
  <c r="H81" i="30"/>
  <c r="N92" i="30"/>
  <c r="L113" i="38"/>
  <c r="M113" i="38"/>
  <c r="M125" i="38"/>
  <c r="L125" i="38"/>
  <c r="J194" i="39"/>
  <c r="J196" i="39"/>
  <c r="L191" i="39"/>
  <c r="M191" i="39" s="1"/>
  <c r="L30" i="39"/>
  <c r="M30" i="39"/>
  <c r="M222" i="39"/>
  <c r="J184" i="37"/>
  <c r="L184" i="37" s="1"/>
  <c r="L180" i="37"/>
  <c r="M180" i="37" s="1"/>
  <c r="M184" i="37"/>
  <c r="L123" i="38"/>
  <c r="M123" i="38"/>
  <c r="J28" i="38"/>
  <c r="L28" i="38" s="1"/>
  <c r="J30" i="38"/>
  <c r="L24" i="38"/>
  <c r="M24" i="38" s="1"/>
  <c r="M28" i="38"/>
  <c r="L97" i="38"/>
  <c r="M97" i="38" s="1"/>
  <c r="M99" i="38"/>
  <c r="J18" i="37"/>
  <c r="L18" i="37" s="1"/>
  <c r="L14" i="37"/>
  <c r="M14" i="37" s="1"/>
  <c r="M18" i="37"/>
  <c r="L28" i="39"/>
  <c r="M28" i="39"/>
  <c r="L109" i="39"/>
  <c r="M109" i="39"/>
  <c r="L131" i="39"/>
  <c r="M131" i="39"/>
  <c r="M205" i="39"/>
  <c r="L205" i="39"/>
  <c r="L237" i="37"/>
  <c r="J240" i="37"/>
  <c r="L240" i="37" s="1"/>
  <c r="M109" i="38"/>
  <c r="L214" i="39"/>
  <c r="M214" i="39"/>
  <c r="L40" i="39"/>
  <c r="M40" i="39"/>
  <c r="L101" i="39"/>
  <c r="M101" i="39"/>
  <c r="L70" i="38"/>
  <c r="M70" i="38"/>
  <c r="L129" i="39"/>
  <c r="M129" i="39"/>
  <c r="M203" i="39"/>
  <c r="L203" i="39"/>
  <c r="J220" i="39"/>
  <c r="M220" i="39" s="1"/>
  <c r="L18" i="39"/>
  <c r="M18" i="39"/>
  <c r="J101" i="38"/>
  <c r="J42" i="37"/>
  <c r="L42" i="37" s="1"/>
  <c r="L38" i="37"/>
  <c r="M38" i="37" s="1"/>
  <c r="M42" i="37"/>
  <c r="J287" i="37"/>
  <c r="M287" i="37"/>
  <c r="M284" i="37"/>
  <c r="M185" i="39"/>
  <c r="L185" i="39"/>
  <c r="J212" i="39"/>
  <c r="L38" i="39"/>
  <c r="M38" i="39"/>
  <c r="L121" i="39"/>
  <c r="M121" i="39"/>
  <c r="L99" i="39"/>
  <c r="M99" i="39"/>
  <c r="J66" i="37"/>
  <c r="L66" i="37" s="1"/>
  <c r="L62" i="37"/>
  <c r="M62" i="37" s="1"/>
  <c r="M66" i="37"/>
  <c r="L20" i="38"/>
  <c r="M20" i="38"/>
  <c r="J125" i="37"/>
  <c r="L125" i="37" s="1"/>
  <c r="L121" i="37"/>
  <c r="M121" i="37" s="1"/>
  <c r="M125" i="37"/>
  <c r="J99" i="38"/>
  <c r="L99" i="38" s="1"/>
  <c r="L78" i="39"/>
  <c r="M78" i="39"/>
  <c r="M70" i="39"/>
  <c r="L70" i="39"/>
  <c r="L119" i="39"/>
  <c r="M119" i="39"/>
  <c r="L60" i="38"/>
  <c r="M60" i="38"/>
  <c r="J18" i="38"/>
  <c r="L18" i="38" s="1"/>
  <c r="L169" i="39"/>
  <c r="M169" i="39"/>
  <c r="L91" i="38"/>
  <c r="M91" i="38"/>
  <c r="L213" i="37"/>
  <c r="M213" i="37" s="1"/>
  <c r="M217" i="37"/>
  <c r="J217" i="37"/>
  <c r="L217" i="37" s="1"/>
  <c r="M68" i="39"/>
  <c r="L68" i="39"/>
  <c r="L20" i="39"/>
  <c r="M20" i="39"/>
  <c r="J58" i="38"/>
  <c r="L58" i="38" s="1"/>
  <c r="M18" i="38"/>
  <c r="L167" i="39"/>
  <c r="M167" i="39"/>
  <c r="J149" i="37"/>
  <c r="L149" i="37" s="1"/>
  <c r="L145" i="37"/>
  <c r="M145" i="37" s="1"/>
  <c r="M149" i="37"/>
  <c r="L178" i="39"/>
  <c r="M178" i="39"/>
  <c r="M111" i="38"/>
  <c r="L111" i="38"/>
  <c r="M50" i="38"/>
  <c r="L50" i="38"/>
  <c r="J58" i="39"/>
  <c r="J60" i="39"/>
  <c r="L54" i="39"/>
  <c r="M54" i="39" s="1"/>
  <c r="L80" i="39"/>
  <c r="M80" i="39"/>
  <c r="M187" i="39"/>
  <c r="L187" i="39"/>
  <c r="M58" i="38"/>
  <c r="M149" i="39"/>
  <c r="L176" i="39"/>
  <c r="M176" i="39"/>
  <c r="J109" i="38"/>
  <c r="L109" i="38" s="1"/>
  <c r="L264" i="37"/>
  <c r="A20" i="31" a="1"/>
  <c r="A20" i="31" s="1"/>
  <c r="A21" i="31" s="1" a="1"/>
  <c r="A21" i="31" s="1"/>
  <c r="A13" i="29" a="1"/>
  <c r="A13" i="29" s="1"/>
  <c r="E32" i="32"/>
  <c r="E34" i="32"/>
  <c r="I17" i="36"/>
  <c r="I17" i="29"/>
  <c r="A15" i="34" a="1"/>
  <c r="A15" i="34" s="1"/>
  <c r="A18" i="34" s="1" a="1"/>
  <c r="A18" i="34" s="1"/>
  <c r="A20" i="34" s="1" a="1"/>
  <c r="A20" i="34" s="1"/>
  <c r="A15" i="36" a="1"/>
  <c r="A15" i="36" s="1"/>
  <c r="A16" i="36" s="1" a="1"/>
  <c r="A16" i="36" s="1"/>
  <c r="G33" i="29"/>
  <c r="I23" i="36"/>
  <c r="I46" i="30"/>
  <c r="J46" i="30"/>
  <c r="I99" i="36"/>
  <c r="G75" i="36"/>
  <c r="I75" i="36" s="1"/>
  <c r="I78" i="36" s="1"/>
  <c r="I69" i="36"/>
  <c r="I72" i="36" s="1"/>
  <c r="I30" i="36"/>
  <c r="I32" i="36" s="1"/>
  <c r="H21" i="30"/>
  <c r="A15" i="32" a="1"/>
  <c r="A15" i="32" s="1"/>
  <c r="A16" i="32" s="1" a="1"/>
  <c r="A16" i="32" s="1"/>
  <c r="E17" i="29"/>
  <c r="E33" i="29" s="1"/>
  <c r="J80" i="30"/>
  <c r="J81" i="30" s="1"/>
  <c r="A16" i="33" a="1"/>
  <c r="A16" i="33" s="1"/>
  <c r="A19" i="33" s="1" a="1"/>
  <c r="A19" i="33" s="1"/>
  <c r="H24" i="30"/>
  <c r="L31" i="30"/>
  <c r="A32" i="32"/>
  <c r="A34" i="32" s="1"/>
  <c r="H86" i="30"/>
  <c r="L79" i="30"/>
  <c r="L86" i="30" s="1"/>
  <c r="I29" i="29"/>
  <c r="K12" i="27"/>
  <c r="A14" i="27"/>
  <c r="A15" i="27" s="1"/>
  <c r="K14" i="27"/>
  <c r="K15" i="27"/>
  <c r="K16" i="27"/>
  <c r="K17" i="27"/>
  <c r="K20" i="27"/>
  <c r="K21" i="27"/>
  <c r="K22" i="27"/>
  <c r="K23" i="27"/>
  <c r="K25" i="27"/>
  <c r="K28" i="27"/>
  <c r="K30" i="27"/>
  <c r="K31" i="27"/>
  <c r="K32" i="27"/>
  <c r="K33" i="27"/>
  <c r="K34" i="27"/>
  <c r="K38" i="27"/>
  <c r="K39" i="27"/>
  <c r="K40" i="27"/>
  <c r="K41" i="27"/>
  <c r="K43" i="27"/>
  <c r="K46" i="27"/>
  <c r="K47" i="27"/>
  <c r="K48" i="27"/>
  <c r="K51" i="27"/>
  <c r="K52" i="27"/>
  <c r="K53" i="27"/>
  <c r="K54" i="27"/>
  <c r="K56" i="27"/>
  <c r="K59" i="27"/>
  <c r="K60" i="27"/>
  <c r="K62" i="27"/>
  <c r="K63" i="27"/>
  <c r="K66" i="27"/>
  <c r="K67" i="27"/>
  <c r="K68" i="27"/>
  <c r="K69" i="27"/>
  <c r="K71" i="27"/>
  <c r="K74" i="27"/>
  <c r="K75" i="27"/>
  <c r="K77" i="27"/>
  <c r="K78" i="27"/>
  <c r="K81" i="27"/>
  <c r="K82" i="27"/>
  <c r="K83" i="27"/>
  <c r="K84" i="27"/>
  <c r="K89" i="27"/>
  <c r="K91" i="27"/>
  <c r="K103" i="27"/>
  <c r="K107" i="27"/>
  <c r="K112" i="27"/>
  <c r="K113" i="27"/>
  <c r="K114" i="27"/>
  <c r="K117" i="27"/>
  <c r="K118" i="27"/>
  <c r="K120" i="27"/>
  <c r="K122" i="27"/>
  <c r="K126" i="27"/>
  <c r="K129" i="27"/>
  <c r="K130" i="27"/>
  <c r="K133" i="27"/>
  <c r="K134" i="27"/>
  <c r="K135" i="27"/>
  <c r="K136" i="27"/>
  <c r="K141" i="27"/>
  <c r="K142" i="27"/>
  <c r="K144" i="27"/>
  <c r="K145" i="27"/>
  <c r="K148" i="27"/>
  <c r="K149" i="27"/>
  <c r="K150" i="27"/>
  <c r="K151" i="27"/>
  <c r="K153" i="27"/>
  <c r="K156" i="27"/>
  <c r="K157" i="27"/>
  <c r="K158" i="27"/>
  <c r="K161" i="27"/>
  <c r="K162" i="27"/>
  <c r="K163" i="27"/>
  <c r="K164" i="27"/>
  <c r="K166" i="27"/>
  <c r="K169" i="27"/>
  <c r="K170" i="27"/>
  <c r="K171" i="27"/>
  <c r="K174" i="27"/>
  <c r="K175" i="27"/>
  <c r="K176" i="27"/>
  <c r="K177" i="27"/>
  <c r="K181" i="27"/>
  <c r="K182" i="27"/>
  <c r="K183" i="27"/>
  <c r="A201" i="27"/>
  <c r="A202" i="27" s="1"/>
  <c r="K199" i="27"/>
  <c r="K201" i="27"/>
  <c r="K202" i="27"/>
  <c r="K203" i="27"/>
  <c r="K204" i="27"/>
  <c r="K208" i="27"/>
  <c r="K209" i="27"/>
  <c r="K212" i="27"/>
  <c r="K213" i="27"/>
  <c r="K214" i="27"/>
  <c r="K215" i="27"/>
  <c r="K218" i="27"/>
  <c r="K219" i="27"/>
  <c r="K222" i="27"/>
  <c r="K224" i="27"/>
  <c r="K225" i="27"/>
  <c r="K226" i="27"/>
  <c r="K227" i="27"/>
  <c r="K228" i="27"/>
  <c r="K231" i="27"/>
  <c r="K232" i="27"/>
  <c r="K235" i="27"/>
  <c r="K236" i="27"/>
  <c r="K237" i="27"/>
  <c r="K238" i="27"/>
  <c r="K241" i="27"/>
  <c r="K242" i="27"/>
  <c r="K245" i="27"/>
  <c r="K247" i="27"/>
  <c r="K248" i="27"/>
  <c r="K251" i="27"/>
  <c r="K252" i="27"/>
  <c r="K257" i="27"/>
  <c r="K258" i="27"/>
  <c r="K260" i="27"/>
  <c r="K261" i="27"/>
  <c r="K262" i="27"/>
  <c r="K265" i="27"/>
  <c r="K266" i="27"/>
  <c r="K267" i="27"/>
  <c r="K268" i="27"/>
  <c r="K271" i="27"/>
  <c r="K272" i="27"/>
  <c r="K275" i="27"/>
  <c r="K279" i="27"/>
  <c r="K280" i="27"/>
  <c r="K282" i="27"/>
  <c r="K294" i="27"/>
  <c r="K296" i="27"/>
  <c r="K302" i="27"/>
  <c r="K304" i="27"/>
  <c r="K305" i="27"/>
  <c r="K306" i="27"/>
  <c r="K307" i="27"/>
  <c r="K310" i="27"/>
  <c r="K311" i="27"/>
  <c r="K312" i="27"/>
  <c r="K315" i="27"/>
  <c r="K316" i="27"/>
  <c r="A333" i="27"/>
  <c r="K333" i="27"/>
  <c r="K335" i="27"/>
  <c r="K336" i="27"/>
  <c r="K337" i="27"/>
  <c r="K339" i="27"/>
  <c r="K341" i="27"/>
  <c r="K344" i="27"/>
  <c r="K346" i="27"/>
  <c r="K347" i="27"/>
  <c r="K348" i="27"/>
  <c r="K349" i="27"/>
  <c r="K351" i="27"/>
  <c r="K353" i="27"/>
  <c r="K357" i="27"/>
  <c r="K358" i="27"/>
  <c r="K359" i="27"/>
  <c r="K362" i="27"/>
  <c r="K363" i="27"/>
  <c r="K366" i="27"/>
  <c r="O367" i="27"/>
  <c r="K369" i="27"/>
  <c r="K371" i="27"/>
  <c r="K374" i="27"/>
  <c r="K375" i="27"/>
  <c r="O375" i="27"/>
  <c r="K378" i="27"/>
  <c r="K379" i="27"/>
  <c r="K381" i="27"/>
  <c r="K383" i="27"/>
  <c r="K388" i="27"/>
  <c r="K390" i="27"/>
  <c r="K392" i="27"/>
  <c r="K394" i="27"/>
  <c r="K398" i="27"/>
  <c r="K399" i="27"/>
  <c r="K401" i="27"/>
  <c r="K415" i="27"/>
  <c r="K418" i="27"/>
  <c r="K419" i="27"/>
  <c r="K421" i="27"/>
  <c r="K422" i="27"/>
  <c r="K424" i="27"/>
  <c r="K428" i="27"/>
  <c r="K430" i="27"/>
  <c r="K431" i="27"/>
  <c r="K432" i="27"/>
  <c r="K433" i="27"/>
  <c r="K435" i="27"/>
  <c r="K437" i="27"/>
  <c r="K443" i="27"/>
  <c r="K444" i="27"/>
  <c r="K446" i="27"/>
  <c r="K447" i="27"/>
  <c r="K449" i="27"/>
  <c r="K453" i="27"/>
  <c r="K455" i="27"/>
  <c r="K456" i="27"/>
  <c r="K457" i="27"/>
  <c r="K458" i="27"/>
  <c r="K460" i="27"/>
  <c r="K462" i="27"/>
  <c r="K465" i="27"/>
  <c r="K467" i="27"/>
  <c r="K468" i="27"/>
  <c r="K469" i="27"/>
  <c r="K473" i="27"/>
  <c r="K475" i="27"/>
  <c r="K476" i="27"/>
  <c r="K477" i="27"/>
  <c r="K478" i="27"/>
  <c r="K480" i="27"/>
  <c r="K482" i="27"/>
  <c r="A17" i="36" l="1" a="1"/>
  <c r="A17" i="36" s="1"/>
  <c r="A510" i="27"/>
  <c r="J30" i="30"/>
  <c r="I30" i="30"/>
  <c r="A335" i="27"/>
  <c r="L60" i="39"/>
  <c r="M60" i="39"/>
  <c r="L196" i="39"/>
  <c r="M196" i="39"/>
  <c r="L58" i="39"/>
  <c r="M58" i="39"/>
  <c r="L194" i="39"/>
  <c r="M194" i="39"/>
  <c r="L212" i="39"/>
  <c r="M212" i="39"/>
  <c r="L101" i="38"/>
  <c r="M101" i="38"/>
  <c r="L30" i="38"/>
  <c r="M30" i="38"/>
  <c r="L81" i="30"/>
  <c r="A20" i="33" a="1"/>
  <c r="A20" i="33" s="1"/>
  <c r="A21" i="33" s="1" a="1"/>
  <c r="A21" i="33" s="1"/>
  <c r="H27" i="30"/>
  <c r="A21" i="34" a="1"/>
  <c r="A21" i="34" s="1"/>
  <c r="A23" i="34" s="1" a="1"/>
  <c r="A23" i="34" s="1"/>
  <c r="A25" i="34" s="1" a="1"/>
  <c r="A25" i="34" s="1"/>
  <c r="I33" i="29"/>
  <c r="I29" i="30"/>
  <c r="I21" i="30"/>
  <c r="A17" i="32" a="1"/>
  <c r="A17" i="32" s="1"/>
  <c r="A18" i="32" s="1" a="1"/>
  <c r="A18" i="32" s="1"/>
  <c r="A19" i="32" s="1" a="1"/>
  <c r="A19" i="32" s="1"/>
  <c r="I48" i="36"/>
  <c r="I101" i="36"/>
  <c r="J29" i="30"/>
  <c r="A14" i="29" a="1"/>
  <c r="A14" i="29" s="1"/>
  <c r="H29" i="30"/>
  <c r="J21" i="30"/>
  <c r="O25" i="30"/>
  <c r="O31" i="30" s="1"/>
  <c r="O33" i="30" s="1"/>
  <c r="N25" i="30"/>
  <c r="N31" i="30" s="1"/>
  <c r="N33" i="30" s="1"/>
  <c r="A21" i="35"/>
  <c r="N87" i="30"/>
  <c r="K387" i="27"/>
  <c r="K367" i="27"/>
  <c r="K309" i="27"/>
  <c r="K295" i="27"/>
  <c r="K128" i="27"/>
  <c r="K440" i="27"/>
  <c r="K403" i="27"/>
  <c r="K205" i="27"/>
  <c r="K108" i="27"/>
  <c r="K90" i="27"/>
  <c r="K125" i="27"/>
  <c r="K35" i="27"/>
  <c r="K301" i="27"/>
  <c r="K276" i="27"/>
  <c r="K263" i="27"/>
  <c r="K138" i="27"/>
  <c r="K119" i="27"/>
  <c r="K106" i="27"/>
  <c r="K86" i="27"/>
  <c r="A203" i="27"/>
  <c r="A16" i="27"/>
  <c r="A20" i="36" l="1" a="1"/>
  <c r="A20" i="36" s="1"/>
  <c r="A24" i="33" a="1"/>
  <c r="A24" i="33" s="1"/>
  <c r="A25" i="33" s="1" a="1"/>
  <c r="A25" i="33" s="1"/>
  <c r="A26" i="33" s="1" a="1"/>
  <c r="A26" i="33" s="1"/>
  <c r="A29" i="33" s="1" a="1"/>
  <c r="A29" i="33" s="1"/>
  <c r="A511" i="27"/>
  <c r="A336" i="27"/>
  <c r="A337" i="27" s="1"/>
  <c r="I92" i="30"/>
  <c r="H92" i="30"/>
  <c r="I83" i="30"/>
  <c r="H83" i="30"/>
  <c r="H45" i="30"/>
  <c r="I45" i="30"/>
  <c r="I27" i="30"/>
  <c r="A22" i="35"/>
  <c r="H31" i="30"/>
  <c r="H35" i="30" s="1"/>
  <c r="H43" i="30" s="1"/>
  <c r="I31" i="30"/>
  <c r="J83" i="30"/>
  <c r="H47" i="30"/>
  <c r="J47" i="30"/>
  <c r="A21" i="32" a="1"/>
  <c r="A21" i="32" s="1"/>
  <c r="A23" i="32" s="1" a="1"/>
  <c r="A23" i="32" s="1"/>
  <c r="A25" i="32" s="1" a="1"/>
  <c r="A25" i="32" s="1"/>
  <c r="J92" i="30"/>
  <c r="J27" i="30"/>
  <c r="A15" i="29" a="1"/>
  <c r="A15" i="29" s="1"/>
  <c r="J31" i="30"/>
  <c r="A204" i="27"/>
  <c r="A17" i="27"/>
  <c r="A21" i="36" l="1" a="1"/>
  <c r="A21" i="36" s="1"/>
  <c r="A22" i="36" s="1" a="1"/>
  <c r="A22" i="36" s="1"/>
  <c r="J37" i="30"/>
  <c r="J39" i="30" s="1"/>
  <c r="J43" i="30" s="1"/>
  <c r="A512" i="27"/>
  <c r="J48" i="30"/>
  <c r="I37" i="30"/>
  <c r="I39" i="30" s="1"/>
  <c r="I43" i="30" s="1"/>
  <c r="I51" i="30" s="1"/>
  <c r="A339" i="27"/>
  <c r="A341" i="27" s="1"/>
  <c r="A30" i="33" a="1"/>
  <c r="A30" i="33" s="1"/>
  <c r="A31" i="33" s="1" a="1"/>
  <c r="A31" i="33" s="1"/>
  <c r="I48" i="30"/>
  <c r="A16" i="29" a="1"/>
  <c r="A16" i="29" s="1"/>
  <c r="A23" i="35"/>
  <c r="H48" i="30"/>
  <c r="I89" i="30"/>
  <c r="H37" i="30"/>
  <c r="J89" i="30"/>
  <c r="L83" i="30"/>
  <c r="H89" i="30"/>
  <c r="A20" i="27"/>
  <c r="A205" i="27"/>
  <c r="A23" i="36" l="1" a="1"/>
  <c r="A23" i="36" s="1"/>
  <c r="A26" i="36" s="1" a="1"/>
  <c r="A26" i="36" s="1"/>
  <c r="A515" i="27"/>
  <c r="A344" i="27"/>
  <c r="A33" i="33" a="1"/>
  <c r="A33" i="33" s="1"/>
  <c r="A26" i="35"/>
  <c r="A27" i="35" s="1"/>
  <c r="E18" i="34"/>
  <c r="E23" i="34" s="1"/>
  <c r="E25" i="34" s="1"/>
  <c r="H50" i="30"/>
  <c r="J50" i="30" s="1"/>
  <c r="A17" i="29" a="1"/>
  <c r="A17" i="29" s="1"/>
  <c r="A208" i="27"/>
  <c r="A21" i="27"/>
  <c r="A27" i="36" l="1" a="1"/>
  <c r="A27" i="36" s="1"/>
  <c r="A28" i="36" s="1" a="1"/>
  <c r="A28" i="36" s="1"/>
  <c r="A29" i="36" s="1" a="1"/>
  <c r="A29" i="36" s="1"/>
  <c r="A516" i="27"/>
  <c r="A346" i="27"/>
  <c r="A347" i="27" s="1"/>
  <c r="A348" i="27" s="1"/>
  <c r="A28" i="35"/>
  <c r="A19" i="29" a="1"/>
  <c r="A19" i="29" s="1"/>
  <c r="A22" i="29" s="1" a="1"/>
  <c r="A22" i="29" s="1"/>
  <c r="A23" i="29" s="1" a="1"/>
  <c r="A23" i="29" s="1"/>
  <c r="A24" i="29" s="1" a="1"/>
  <c r="A24" i="29" s="1"/>
  <c r="A25" i="29" s="1" a="1"/>
  <c r="A25" i="29" s="1"/>
  <c r="A26" i="29" s="1" a="1"/>
  <c r="A26" i="29" s="1"/>
  <c r="A27" i="29" s="1" a="1"/>
  <c r="A27" i="29" s="1"/>
  <c r="A28" i="29" s="1" a="1"/>
  <c r="A28" i="29" s="1"/>
  <c r="A22" i="27"/>
  <c r="A23" i="27" s="1"/>
  <c r="A209" i="27"/>
  <c r="A30" i="36" l="1" a="1"/>
  <c r="A30" i="36" s="1"/>
  <c r="A31" i="36" s="1" a="1"/>
  <c r="A31" i="36" s="1"/>
  <c r="A32" i="36" s="1" a="1"/>
  <c r="A32" i="36" s="1"/>
  <c r="A35" i="36" s="1" a="1"/>
  <c r="A35" i="36" s="1"/>
  <c r="A36" i="36" s="1" a="1"/>
  <c r="A36" i="36" s="1"/>
  <c r="A37" i="36" s="1" a="1"/>
  <c r="A37" i="36" s="1"/>
  <c r="A38" i="36" s="1" a="1"/>
  <c r="A38" i="36" s="1"/>
  <c r="A39" i="36" s="1" a="1"/>
  <c r="A39" i="36" s="1"/>
  <c r="A40" i="36" s="1" a="1"/>
  <c r="A40" i="36" s="1"/>
  <c r="A43" i="36" s="1" a="1"/>
  <c r="A43" i="36" s="1"/>
  <c r="A44" i="36" s="1" a="1"/>
  <c r="A44" i="36" s="1"/>
  <c r="A45" i="36" s="1" a="1"/>
  <c r="A45" i="36" s="1"/>
  <c r="A46" i="36" s="1" a="1"/>
  <c r="A46" i="36" s="1"/>
  <c r="A48" i="36" s="1" a="1"/>
  <c r="A48" i="36" s="1"/>
  <c r="A519" i="27"/>
  <c r="A25" i="27"/>
  <c r="A28" i="27" s="1"/>
  <c r="A29" i="29" a="1"/>
  <c r="A29" i="29" s="1"/>
  <c r="A31" i="29" s="1" a="1"/>
  <c r="A31" i="29" s="1"/>
  <c r="A33" i="29" s="1" a="1"/>
  <c r="A33" i="29" s="1"/>
  <c r="A212" i="27"/>
  <c r="A349" i="27"/>
  <c r="A523" i="27" l="1"/>
  <c r="A524" i="27" s="1"/>
  <c r="A525" i="27" s="1"/>
  <c r="A527" i="27" s="1"/>
  <c r="A531" i="27" s="1"/>
  <c r="A532" i="27" s="1"/>
  <c r="A533" i="27" s="1"/>
  <c r="A213" i="27"/>
  <c r="A30" i="27"/>
  <c r="A351" i="27"/>
  <c r="A534" i="27" l="1"/>
  <c r="A535" i="27" s="1"/>
  <c r="A536" i="27" s="1"/>
  <c r="A537" i="27" s="1"/>
  <c r="A538" i="27" s="1"/>
  <c r="A539" i="27" s="1"/>
  <c r="A540" i="27" s="1"/>
  <c r="A542" i="27" s="1"/>
  <c r="A546" i="27" s="1"/>
  <c r="A547" i="27" s="1"/>
  <c r="A548" i="27" s="1"/>
  <c r="A549" i="27" s="1"/>
  <c r="A550" i="27" s="1"/>
  <c r="A551" i="27" s="1"/>
  <c r="A552" i="27" s="1"/>
  <c r="A553" i="27" s="1"/>
  <c r="A554" i="27" s="1"/>
  <c r="A214" i="27"/>
  <c r="A215" i="27" s="1"/>
  <c r="A218" i="27" s="1"/>
  <c r="A219" i="27" s="1"/>
  <c r="A222" i="27" s="1"/>
  <c r="A224" i="27" s="1"/>
  <c r="A225" i="27" s="1"/>
  <c r="A226" i="27" s="1"/>
  <c r="A227" i="27" s="1"/>
  <c r="A228" i="27" s="1"/>
  <c r="A231" i="27" s="1"/>
  <c r="A232" i="27" s="1"/>
  <c r="A235" i="27" s="1"/>
  <c r="A236" i="27" s="1"/>
  <c r="A237" i="27" s="1"/>
  <c r="A238" i="27" s="1"/>
  <c r="A241" i="27" s="1"/>
  <c r="A242" i="27" s="1"/>
  <c r="A245" i="27" s="1"/>
  <c r="A247" i="27" s="1"/>
  <c r="A248" i="27" s="1"/>
  <c r="A251" i="27" s="1"/>
  <c r="A252" i="27" s="1"/>
  <c r="A254" i="27" s="1"/>
  <c r="A257" i="27" s="1"/>
  <c r="A258" i="27" s="1"/>
  <c r="A260" i="27" s="1"/>
  <c r="A261" i="27" s="1"/>
  <c r="A262" i="27" s="1"/>
  <c r="A263" i="27" s="1"/>
  <c r="A265" i="27" s="1"/>
  <c r="A266" i="27" s="1"/>
  <c r="A267" i="27" s="1"/>
  <c r="A268" i="27" s="1"/>
  <c r="A271" i="27" s="1"/>
  <c r="A272" i="27" s="1"/>
  <c r="A275" i="27" s="1"/>
  <c r="A276" i="27" s="1"/>
  <c r="A279" i="27" s="1"/>
  <c r="A280" i="27" s="1"/>
  <c r="A281" i="27" s="1"/>
  <c r="A282" i="27" s="1"/>
  <c r="A294" i="27" s="1"/>
  <c r="A295" i="27" s="1"/>
  <c r="A296" i="27" s="1"/>
  <c r="A298" i="27" s="1"/>
  <c r="A301" i="27" s="1"/>
  <c r="A302" i="27" s="1"/>
  <c r="A304" i="27" s="1"/>
  <c r="A305" i="27" s="1"/>
  <c r="A306" i="27" s="1"/>
  <c r="A307" i="27" s="1"/>
  <c r="A309" i="27" s="1"/>
  <c r="A310" i="27" s="1"/>
  <c r="A311" i="27" s="1"/>
  <c r="A312" i="27" s="1"/>
  <c r="A315" i="27" s="1"/>
  <c r="A316" i="27" s="1"/>
  <c r="A353" i="27"/>
  <c r="A357" i="27" s="1"/>
  <c r="A358" i="27" s="1"/>
  <c r="A359" i="27" s="1"/>
  <c r="A362" i="27" s="1"/>
  <c r="A363" i="27" s="1"/>
  <c r="A366" i="27" s="1"/>
  <c r="A367" i="27" s="1"/>
  <c r="A369" i="27" s="1"/>
  <c r="A371" i="27" s="1"/>
  <c r="A374" i="27" s="1"/>
  <c r="A375" i="27" s="1"/>
  <c r="A378" i="27" s="1"/>
  <c r="A379" i="27" s="1"/>
  <c r="A381" i="27" s="1"/>
  <c r="A383" i="27" s="1"/>
  <c r="A387" i="27" s="1"/>
  <c r="A388" i="27" s="1"/>
  <c r="A390" i="27" s="1"/>
  <c r="A392" i="27" s="1"/>
  <c r="A394" i="27" s="1"/>
  <c r="A398" i="27" s="1"/>
  <c r="A399" i="27" s="1"/>
  <c r="A401" i="27" s="1"/>
  <c r="A403" i="27" s="1"/>
  <c r="A415" i="27" s="1"/>
  <c r="A418" i="27" s="1"/>
  <c r="A419" i="27" s="1"/>
  <c r="A421" i="27" s="1"/>
  <c r="A422" i="27" s="1"/>
  <c r="A424" i="27" s="1"/>
  <c r="A428" i="27" s="1"/>
  <c r="A430" i="27" s="1"/>
  <c r="A431" i="27" s="1"/>
  <c r="A432" i="27" s="1"/>
  <c r="A433" i="27" s="1"/>
  <c r="A435" i="27" s="1"/>
  <c r="A437" i="27" s="1"/>
  <c r="A31" i="27"/>
  <c r="A32" i="27" s="1"/>
  <c r="A33" i="27" s="1"/>
  <c r="A34" i="27" s="1"/>
  <c r="A555" i="27" l="1"/>
  <c r="A559" i="27" s="1"/>
  <c r="A560" i="27" s="1"/>
  <c r="A561" i="27" s="1"/>
  <c r="A562" i="27" s="1"/>
  <c r="A564" i="27" s="1"/>
  <c r="A565" i="27" s="1"/>
  <c r="A577" i="27" s="1"/>
  <c r="A579" i="27" s="1"/>
  <c r="A580" i="27" s="1"/>
  <c r="A440" i="27"/>
  <c r="A443" i="27" s="1"/>
  <c r="A444" i="27" s="1"/>
  <c r="A446" i="27" s="1"/>
  <c r="A447" i="27" s="1"/>
  <c r="A449" i="27" s="1"/>
  <c r="A453" i="27" s="1"/>
  <c r="A455" i="27" s="1"/>
  <c r="A456" i="27" s="1"/>
  <c r="A457" i="27" s="1"/>
  <c r="A458" i="27" s="1"/>
  <c r="A460" i="27" s="1"/>
  <c r="A462" i="27" s="1"/>
  <c r="A465" i="27" s="1"/>
  <c r="A467" i="27" s="1"/>
  <c r="A468" i="27" s="1"/>
  <c r="A469" i="27" s="1"/>
  <c r="A473" i="27" s="1"/>
  <c r="A475" i="27" s="1"/>
  <c r="A476" i="27" s="1"/>
  <c r="A477" i="27" s="1"/>
  <c r="A478" i="27" s="1"/>
  <c r="A480" i="27" s="1"/>
  <c r="A482" i="27" s="1"/>
  <c r="A35" i="27"/>
  <c r="A38" i="27" s="1"/>
  <c r="A39" i="27" s="1"/>
  <c r="A40" i="27" s="1"/>
  <c r="A41" i="27" s="1"/>
  <c r="A43" i="27" s="1"/>
  <c r="A46" i="27" s="1"/>
  <c r="A47" i="27" s="1"/>
  <c r="A48" i="27" s="1"/>
  <c r="A51" i="27" s="1"/>
  <c r="A52" i="27" s="1"/>
  <c r="A53" i="27" s="1"/>
  <c r="A54" i="27" s="1"/>
  <c r="A56" i="27" s="1"/>
  <c r="A59" i="27" s="1"/>
  <c r="A60" i="27" s="1"/>
  <c r="A62" i="27" s="1"/>
  <c r="A63" i="27" s="1"/>
  <c r="A66" i="27" s="1"/>
  <c r="A67" i="27" s="1"/>
  <c r="A68" i="27" s="1"/>
  <c r="A69" i="27" s="1"/>
  <c r="A71" i="27" s="1"/>
  <c r="A74" i="27" s="1"/>
  <c r="A75" i="27" s="1"/>
  <c r="A77" i="27" s="1"/>
  <c r="A78" i="27" s="1"/>
  <c r="A81" i="27" s="1"/>
  <c r="A82" i="27" s="1"/>
  <c r="A83" i="27" s="1"/>
  <c r="A84" i="27" s="1"/>
  <c r="A86" i="27" s="1"/>
  <c r="A89" i="27" s="1"/>
  <c r="A90" i="27" s="1"/>
  <c r="A91" i="27" s="1"/>
  <c r="A103" i="27" s="1"/>
  <c r="A106" i="27" s="1"/>
  <c r="A107" i="27" s="1"/>
  <c r="A108" i="27" s="1"/>
  <c r="A112" i="27" s="1"/>
  <c r="A113" i="27" s="1"/>
  <c r="A114" i="27" s="1"/>
  <c r="A117" i="27" s="1"/>
  <c r="A118" i="27" s="1"/>
  <c r="A119" i="27" s="1"/>
  <c r="A120" i="27" s="1"/>
  <c r="A122" i="27" s="1"/>
  <c r="A125" i="27" s="1"/>
  <c r="A126" i="27" s="1"/>
  <c r="A128" i="27" s="1"/>
  <c r="A129" i="27" s="1"/>
  <c r="A130" i="27" s="1"/>
  <c r="A133" i="27" s="1"/>
  <c r="A134" i="27" s="1"/>
  <c r="A135" i="27" s="1"/>
  <c r="A136" i="27" s="1"/>
  <c r="A138" i="27" s="1"/>
  <c r="A141" i="27" s="1"/>
  <c r="A142" i="27" s="1"/>
  <c r="A144" i="27" s="1"/>
  <c r="A145" i="27" s="1"/>
  <c r="A148" i="27" s="1"/>
  <c r="A149" i="27" s="1"/>
  <c r="A150" i="27" s="1"/>
  <c r="A151" i="27" s="1"/>
  <c r="A153" i="27" s="1"/>
  <c r="A156" i="27" s="1"/>
  <c r="A157" i="27" s="1"/>
  <c r="A158" i="27" s="1"/>
  <c r="A161" i="27" s="1"/>
  <c r="A162" i="27" s="1"/>
  <c r="A163" i="27" s="1"/>
  <c r="A164" i="27" s="1"/>
  <c r="A166" i="27" s="1"/>
  <c r="A169" i="27" s="1"/>
  <c r="A170" i="27" s="1"/>
  <c r="A171" i="27" s="1"/>
  <c r="A174" i="27" s="1"/>
  <c r="A175" i="27" s="1"/>
  <c r="A176" i="27" s="1"/>
  <c r="A177" i="27" s="1"/>
  <c r="A180" i="27" s="1"/>
  <c r="A181" i="27" s="1"/>
  <c r="A182" i="27" s="1"/>
  <c r="A183" i="27" s="1"/>
  <c r="A581" i="27" l="1"/>
  <c r="A583" i="27" l="1"/>
  <c r="A584" i="27" s="1"/>
  <c r="A585" i="27" s="1"/>
  <c r="A586" i="27" s="1"/>
  <c r="A588" i="27" s="1"/>
  <c r="A589" i="27" s="1"/>
  <c r="A590" i="27" s="1"/>
  <c r="A591" i="27" s="1"/>
  <c r="A595" i="27" s="1"/>
  <c r="A596" i="27" s="1"/>
  <c r="A597" i="27" s="1"/>
  <c r="A598" i="27" s="1"/>
  <c r="A600" i="27" s="1"/>
  <c r="A601" i="27" s="1"/>
  <c r="A602" i="27" s="1"/>
  <c r="A603" i="27" s="1"/>
  <c r="A606" i="27" s="1"/>
  <c r="A609" i="27" s="1"/>
  <c r="A610" i="27" s="1"/>
  <c r="A611" i="27" s="1"/>
  <c r="A614" i="27" s="1"/>
  <c r="A615" i="27" s="1"/>
  <c r="M141" i="4"/>
  <c r="I141" i="4"/>
  <c r="F141" i="4"/>
  <c r="M73" i="4"/>
  <c r="I73" i="4"/>
  <c r="F73" i="4"/>
  <c r="B138" i="4"/>
  <c r="B70" i="4"/>
  <c r="A616" i="27" l="1"/>
  <c r="A617" i="27" s="1"/>
  <c r="A618" i="27" s="1"/>
  <c r="F273" i="13"/>
  <c r="A619" i="27" l="1"/>
  <c r="A623" i="27" s="1"/>
  <c r="A624" i="27" s="1"/>
  <c r="A625" i="27" s="1"/>
  <c r="A626" i="27" s="1"/>
  <c r="A627" i="27" s="1"/>
  <c r="A628" i="27" s="1"/>
  <c r="D23" i="13"/>
  <c r="D25" i="13" s="1"/>
  <c r="D321" i="13" l="1"/>
  <c r="J23" i="9" l="1"/>
  <c r="I18" i="9"/>
  <c r="D302" i="13" l="1"/>
  <c r="J123" i="4" l="1"/>
  <c r="O24" i="9"/>
  <c r="D107" i="13" l="1"/>
  <c r="N123" i="4" l="1"/>
  <c r="Q185" i="4"/>
  <c r="M746" i="5" l="1"/>
  <c r="A62" i="16" l="1"/>
  <c r="A63" i="16" l="1"/>
  <c r="A64" i="16" s="1"/>
  <c r="A65" i="16" l="1"/>
  <c r="A69" i="16" l="1"/>
  <c r="A70" i="16" l="1"/>
  <c r="A71" i="16" l="1"/>
  <c r="A72" i="16" s="1"/>
  <c r="A73" i="16" l="1"/>
  <c r="A74" i="16" l="1"/>
  <c r="A75" i="16" l="1"/>
  <c r="A78" i="16" l="1"/>
  <c r="A79" i="16" l="1"/>
  <c r="A82" i="16" l="1"/>
  <c r="A83" i="16" l="1"/>
  <c r="A86" i="16" l="1"/>
  <c r="A87" i="16" l="1"/>
  <c r="A90" i="16" l="1"/>
  <c r="A91" i="16" l="1"/>
  <c r="A106" i="16" l="1"/>
  <c r="A107" i="16" l="1"/>
  <c r="A108" i="16" l="1"/>
  <c r="A109" i="16" l="1"/>
  <c r="A112" i="16" l="1"/>
  <c r="A113" i="16"/>
  <c r="A16" i="9"/>
  <c r="A114" i="16" l="1"/>
  <c r="A115" i="16" s="1"/>
  <c r="A117" i="16" s="1"/>
  <c r="A120" i="16" s="1"/>
  <c r="A121" i="16" s="1"/>
  <c r="A124" i="16" s="1"/>
  <c r="A125" i="16" s="1"/>
  <c r="A128" i="16" s="1"/>
  <c r="A129" i="16" s="1"/>
  <c r="A132" i="16" s="1"/>
  <c r="A133" i="16" s="1"/>
  <c r="A138" i="16" s="1"/>
  <c r="A139" i="16" s="1"/>
  <c r="A140" i="16" s="1"/>
  <c r="A141" i="16" s="1"/>
  <c r="A142" i="16" s="1"/>
  <c r="A143" i="16" s="1"/>
  <c r="A157" i="16" s="1"/>
  <c r="A158" i="16" s="1"/>
  <c r="A159" i="16" s="1"/>
  <c r="A160" i="16" s="1"/>
  <c r="A161" i="16" s="1"/>
  <c r="A162" i="16" s="1"/>
  <c r="A166" i="16" s="1"/>
  <c r="A167" i="16" s="1"/>
  <c r="A168" i="16" s="1"/>
  <c r="A171" i="16" s="1"/>
  <c r="A172" i="16" s="1"/>
  <c r="A175" i="16" s="1"/>
  <c r="A176" i="16" s="1"/>
  <c r="A181" i="16" s="1"/>
  <c r="A182" i="16" s="1"/>
  <c r="A183" i="16" s="1"/>
  <c r="A184" i="16" s="1"/>
  <c r="A188" i="16" s="1"/>
  <c r="A189" i="16" s="1"/>
  <c r="A190" i="16" s="1"/>
  <c r="A18" i="9"/>
  <c r="A19" i="9" s="1"/>
  <c r="A191" i="16" l="1"/>
  <c r="A192" i="16" s="1"/>
  <c r="A196" i="16" s="1"/>
  <c r="A197" i="16" s="1"/>
  <c r="A21" i="9"/>
  <c r="A23" i="9" s="1"/>
  <c r="A24" i="9" s="1"/>
  <c r="A28" i="9" s="1"/>
  <c r="A31" i="9" s="1"/>
  <c r="A32" i="9" s="1"/>
  <c r="A35" i="9" l="1"/>
  <c r="A39" i="9" s="1"/>
  <c r="A198" i="16"/>
  <c r="A199" i="16" s="1"/>
  <c r="A213" i="16" s="1"/>
  <c r="A214" i="16" s="1"/>
  <c r="A216" i="16" s="1"/>
  <c r="A217" i="16" s="1"/>
  <c r="A221" i="16" s="1"/>
  <c r="A222" i="16" s="1"/>
  <c r="A224" i="16" s="1"/>
  <c r="A225" i="16" s="1"/>
  <c r="A228" i="16" s="1"/>
  <c r="A233" i="16" s="1"/>
  <c r="A234" i="16" s="1"/>
  <c r="A235" i="16" s="1"/>
  <c r="A237" i="16" s="1"/>
  <c r="A238" i="16" s="1"/>
  <c r="A243" i="16" s="1"/>
  <c r="A244" i="16" s="1"/>
  <c r="A245" i="16" s="1"/>
  <c r="A247" i="16" s="1"/>
  <c r="A248" i="16" s="1"/>
  <c r="A41" i="9" l="1"/>
  <c r="A42" i="9" s="1"/>
  <c r="A43" i="9" s="1"/>
  <c r="A251" i="16"/>
  <c r="A252" i="16" s="1"/>
  <c r="A254" i="16" s="1"/>
  <c r="A44" i="9" l="1"/>
  <c r="A46" i="9" s="1"/>
  <c r="A48" i="9" l="1"/>
  <c r="A49" i="9" s="1"/>
  <c r="A50" i="9" l="1"/>
  <c r="F57" i="6" l="1"/>
  <c r="M58" i="6" l="1"/>
  <c r="O58" i="6"/>
  <c r="W58" i="6"/>
  <c r="K58" i="6"/>
  <c r="S58" i="6"/>
  <c r="T58" i="6"/>
  <c r="I58" i="6"/>
  <c r="H58" i="6"/>
  <c r="J58" i="6"/>
  <c r="R58" i="6"/>
  <c r="U58" i="6"/>
  <c r="L58" i="6"/>
  <c r="Q58" i="6"/>
  <c r="Y58" i="6"/>
  <c r="N58" i="6"/>
  <c r="V58" i="6"/>
  <c r="Z58" i="6"/>
  <c r="F55" i="6"/>
  <c r="F56" i="6"/>
  <c r="P58" i="6"/>
  <c r="X58" i="6"/>
  <c r="AA58" i="6"/>
  <c r="F58" i="6" l="1"/>
  <c r="M14" i="6"/>
  <c r="U14" i="6"/>
  <c r="K14" i="6"/>
  <c r="S14" i="6"/>
  <c r="V21" i="6"/>
  <c r="I14" i="6"/>
  <c r="Y14" i="6"/>
  <c r="H14" i="6"/>
  <c r="P14" i="6"/>
  <c r="X14" i="6"/>
  <c r="M21" i="6"/>
  <c r="U21" i="6"/>
  <c r="Z21" i="6"/>
  <c r="N21" i="6"/>
  <c r="F12" i="6"/>
  <c r="N14" i="6"/>
  <c r="V14" i="6"/>
  <c r="Z14" i="6"/>
  <c r="O21" i="6"/>
  <c r="K21" i="6"/>
  <c r="S21" i="6"/>
  <c r="AA21" i="6"/>
  <c r="Q14" i="6"/>
  <c r="F13" i="6"/>
  <c r="O14" i="6"/>
  <c r="W14" i="6"/>
  <c r="AA14" i="6"/>
  <c r="F17" i="6"/>
  <c r="P21" i="6"/>
  <c r="F19" i="6"/>
  <c r="X21" i="6"/>
  <c r="Q21" i="6"/>
  <c r="R14" i="6"/>
  <c r="L14" i="6"/>
  <c r="T14" i="6"/>
  <c r="W21" i="6"/>
  <c r="F20" i="6"/>
  <c r="H21" i="6"/>
  <c r="I21" i="6"/>
  <c r="Y21" i="6"/>
  <c r="J21" i="6"/>
  <c r="R21" i="6"/>
  <c r="T21" i="6"/>
  <c r="F11" i="6"/>
  <c r="F18" i="6"/>
  <c r="L21" i="6"/>
  <c r="J14" i="6"/>
  <c r="F21" i="6" l="1"/>
  <c r="P260" i="5" l="1"/>
  <c r="M260" i="5"/>
  <c r="AA64" i="6"/>
  <c r="Z64" i="6"/>
  <c r="Y64" i="6"/>
  <c r="X64" i="6"/>
  <c r="W64" i="6"/>
  <c r="V64" i="6"/>
  <c r="T64" i="6"/>
  <c r="S64" i="6"/>
  <c r="R64" i="6"/>
  <c r="Q64" i="6"/>
  <c r="P64" i="6"/>
  <c r="O64" i="6"/>
  <c r="N64" i="6"/>
  <c r="M64" i="6"/>
  <c r="L64" i="6"/>
  <c r="K64" i="6"/>
  <c r="J64" i="6"/>
  <c r="I64" i="6"/>
  <c r="H64" i="6"/>
  <c r="E175" i="16"/>
  <c r="E167" i="16"/>
  <c r="E166" i="16"/>
  <c r="T651" i="5" l="1"/>
  <c r="T468" i="5"/>
  <c r="T541" i="5"/>
  <c r="T558" i="5"/>
  <c r="T344" i="5"/>
  <c r="T533" i="5"/>
  <c r="T654" i="5"/>
  <c r="T682" i="5"/>
  <c r="T182" i="5"/>
  <c r="T565" i="5"/>
  <c r="T388" i="5"/>
  <c r="T609" i="5"/>
  <c r="T34" i="5"/>
  <c r="T411" i="5"/>
  <c r="T610" i="5"/>
  <c r="T134" i="5"/>
  <c r="T206" i="5"/>
  <c r="T559" i="5"/>
  <c r="T652" i="5"/>
  <c r="T12" i="5"/>
  <c r="T412" i="5"/>
  <c r="T564" i="5"/>
  <c r="T612" i="5"/>
  <c r="T266" i="5"/>
  <c r="T355" i="5"/>
  <c r="T589" i="5"/>
  <c r="T613" i="5"/>
  <c r="T305" i="5"/>
  <c r="T441" i="5"/>
  <c r="T534" i="5"/>
  <c r="T540" i="5"/>
  <c r="T655" i="5"/>
  <c r="J178" i="4"/>
  <c r="J166" i="4"/>
  <c r="J158" i="4"/>
  <c r="K172" i="4"/>
  <c r="K171" i="4"/>
  <c r="K169" i="4"/>
  <c r="K170" i="4"/>
  <c r="K173" i="4"/>
  <c r="K174" i="4"/>
  <c r="K175" i="4"/>
  <c r="K176" i="4"/>
  <c r="K177" i="4"/>
  <c r="K161" i="4"/>
  <c r="K162" i="4"/>
  <c r="K163" i="4"/>
  <c r="K164" i="4"/>
  <c r="K165" i="4"/>
  <c r="K147" i="4"/>
  <c r="K148" i="4"/>
  <c r="K149" i="4"/>
  <c r="K150" i="4"/>
  <c r="K151" i="4"/>
  <c r="K152" i="4"/>
  <c r="K153" i="4"/>
  <c r="K154" i="4"/>
  <c r="K155" i="4"/>
  <c r="K156" i="4"/>
  <c r="K157" i="4"/>
  <c r="J180" i="4" l="1"/>
  <c r="G157" i="4"/>
  <c r="G149" i="4"/>
  <c r="G177" i="4"/>
  <c r="G173" i="4"/>
  <c r="G147" i="4"/>
  <c r="F30" i="4"/>
  <c r="G169" i="4"/>
  <c r="G165" i="4"/>
  <c r="G151" i="4"/>
  <c r="G162" i="4"/>
  <c r="G148" i="4"/>
  <c r="G176" i="4"/>
  <c r="G175" i="4"/>
  <c r="G152" i="4"/>
  <c r="G163" i="4"/>
  <c r="G172" i="4"/>
  <c r="G164" i="4"/>
  <c r="G150" i="4"/>
  <c r="G161" i="4"/>
  <c r="G170" i="4"/>
  <c r="G174" i="4"/>
  <c r="G171" i="4"/>
  <c r="N191" i="4" l="1"/>
  <c r="J191" i="4"/>
  <c r="J195" i="4" s="1"/>
  <c r="Q183" i="4"/>
  <c r="K193" i="4"/>
  <c r="Q774" i="5" l="1"/>
  <c r="J55" i="4"/>
  <c r="N55" i="4"/>
  <c r="S787" i="5" l="1"/>
  <c r="T732" i="5"/>
  <c r="S788" i="5"/>
  <c r="J210" i="5" l="1"/>
  <c r="J207" i="5"/>
  <c r="M207" i="5" s="1"/>
  <c r="J206" i="5"/>
  <c r="M206" i="5" s="1"/>
  <c r="Q206" i="5"/>
  <c r="J209" i="5"/>
  <c r="H211" i="5"/>
  <c r="S206" i="5" l="1"/>
  <c r="P206" i="5"/>
  <c r="J211" i="5"/>
  <c r="K211" i="5" s="1"/>
  <c r="G217" i="16"/>
  <c r="G228" i="16" l="1"/>
  <c r="G238" i="16"/>
  <c r="G248" i="16"/>
  <c r="G252" i="16"/>
  <c r="G225" i="16"/>
  <c r="E132" i="16" l="1"/>
  <c r="E133" i="16" s="1"/>
  <c r="C41" i="16"/>
  <c r="C29" i="16"/>
  <c r="C21" i="16"/>
  <c r="A11" i="16"/>
  <c r="G199" i="16"/>
  <c r="G192" i="16"/>
  <c r="G184" i="16"/>
  <c r="G176" i="16"/>
  <c r="G172" i="16"/>
  <c r="G168" i="16"/>
  <c r="G162" i="16"/>
  <c r="G75" i="16"/>
  <c r="G78" i="16"/>
  <c r="G82" i="16"/>
  <c r="G86" i="16"/>
  <c r="G90" i="16"/>
  <c r="G120" i="16"/>
  <c r="G121" i="16" s="1"/>
  <c r="G124" i="16"/>
  <c r="G125" i="16" s="1"/>
  <c r="G128" i="16"/>
  <c r="G132" i="16"/>
  <c r="G65" i="16"/>
  <c r="I132" i="16" l="1"/>
  <c r="I133" i="16" s="1"/>
  <c r="G29" i="16"/>
  <c r="G143" i="16"/>
  <c r="G21" i="16"/>
  <c r="G133" i="16"/>
  <c r="G129" i="16"/>
  <c r="A12" i="16"/>
  <c r="A13" i="16" s="1"/>
  <c r="G41" i="16"/>
  <c r="G43" i="16" l="1"/>
  <c r="A14" i="16"/>
  <c r="A15" i="16" s="1"/>
  <c r="A16" i="16" l="1"/>
  <c r="A17" i="16" l="1"/>
  <c r="A18" i="16" l="1"/>
  <c r="A19" i="16" l="1"/>
  <c r="A20" i="16" s="1"/>
  <c r="A21" i="16" s="1"/>
  <c r="A24" i="16" s="1"/>
  <c r="A25" i="16" s="1"/>
  <c r="A26" i="16" l="1"/>
  <c r="A27" i="16" l="1"/>
  <c r="A28" i="16" l="1"/>
  <c r="A29" i="16" s="1"/>
  <c r="A32" i="16" s="1"/>
  <c r="A33" i="16" l="1"/>
  <c r="A34" i="16" l="1"/>
  <c r="A35" i="16" s="1"/>
  <c r="A36" i="16" s="1"/>
  <c r="A37" i="16" s="1"/>
  <c r="A38" i="16" s="1"/>
  <c r="A39" i="16" s="1"/>
  <c r="A40" i="16" s="1"/>
  <c r="A41" i="16" s="1"/>
  <c r="A43" i="16" s="1"/>
  <c r="G91" i="16" l="1"/>
  <c r="G87" i="16"/>
  <c r="G79" i="16"/>
  <c r="G83" i="16" l="1"/>
  <c r="G117" i="16" l="1"/>
  <c r="G254" i="16" l="1"/>
  <c r="A14" i="15"/>
  <c r="A15" i="15" l="1"/>
  <c r="A16" i="15" s="1"/>
  <c r="E32" i="15"/>
  <c r="E44" i="15"/>
  <c r="E24" i="15"/>
  <c r="A17" i="15" l="1"/>
  <c r="A18" i="15"/>
  <c r="E46" i="15"/>
  <c r="A19" i="15" l="1"/>
  <c r="A20" i="15" s="1"/>
  <c r="A21" i="15" l="1"/>
  <c r="A22" i="15" l="1"/>
  <c r="A23" i="15"/>
  <c r="A24" i="15" s="1"/>
  <c r="A27" i="15" s="1"/>
  <c r="A28" i="15" s="1"/>
  <c r="A29" i="15" s="1"/>
  <c r="A30" i="15" l="1"/>
  <c r="A31" i="15" s="1"/>
  <c r="A32" i="15" l="1"/>
  <c r="A35" i="15" s="1"/>
  <c r="A36" i="15" s="1"/>
  <c r="A37" i="15" l="1"/>
  <c r="A38" i="15" s="1"/>
  <c r="A39" i="15" l="1"/>
  <c r="A40" i="15" s="1"/>
  <c r="A41" i="15" s="1"/>
  <c r="A42" i="15" s="1"/>
  <c r="A43" i="15" s="1"/>
  <c r="A44" i="15" s="1"/>
  <c r="A46" i="15" s="1"/>
  <c r="A15" i="13" l="1"/>
  <c r="A16" i="13" l="1"/>
  <c r="A21" i="13" s="1"/>
  <c r="D16" i="13"/>
  <c r="A22" i="13" l="1"/>
  <c r="A23" i="13" s="1"/>
  <c r="A24" i="13" s="1"/>
  <c r="D89" i="13"/>
  <c r="D84" i="13"/>
  <c r="A25" i="13" l="1"/>
  <c r="A30" i="13" s="1"/>
  <c r="A31" i="13" s="1"/>
  <c r="A32" i="13" s="1"/>
  <c r="A35" i="13" l="1"/>
  <c r="A36" i="13" s="1"/>
  <c r="A37" i="13" l="1"/>
  <c r="A38" i="13" s="1"/>
  <c r="A41" i="13" l="1"/>
  <c r="A42" i="13" l="1"/>
  <c r="A43" i="13" s="1"/>
  <c r="A44" i="13" s="1"/>
  <c r="A16" i="11"/>
  <c r="E26" i="11" l="1"/>
  <c r="E34" i="11"/>
  <c r="G34" i="11"/>
  <c r="E46" i="11"/>
  <c r="A17" i="11"/>
  <c r="A18" i="11" s="1"/>
  <c r="G46" i="11"/>
  <c r="G26" i="11"/>
  <c r="E48" i="11" l="1"/>
  <c r="G48" i="11"/>
  <c r="A19" i="11"/>
  <c r="A20" i="11" s="1"/>
  <c r="A21" i="11" s="1"/>
  <c r="O157" i="4"/>
  <c r="N98" i="4" l="1"/>
  <c r="A22" i="11"/>
  <c r="N30" i="4" l="1"/>
  <c r="A23" i="11"/>
  <c r="I42" i="4"/>
  <c r="I30" i="4"/>
  <c r="A24" i="11" l="1"/>
  <c r="A25" i="11" l="1"/>
  <c r="A26" i="11" l="1"/>
  <c r="A29" i="11" l="1"/>
  <c r="A30" i="11" l="1"/>
  <c r="A31" i="11" s="1"/>
  <c r="A32" i="11" s="1"/>
  <c r="A33" i="11" s="1"/>
  <c r="A34" i="11" s="1"/>
  <c r="A37" i="11" s="1"/>
  <c r="A38" i="11" s="1"/>
  <c r="A39" i="11" s="1"/>
  <c r="A40" i="11" s="1"/>
  <c r="A41" i="11" s="1"/>
  <c r="A42" i="11" s="1"/>
  <c r="A43" i="11" s="1"/>
  <c r="A44" i="11" s="1"/>
  <c r="A45" i="11" s="1"/>
  <c r="A46" i="11" s="1"/>
  <c r="A48" i="11" s="1"/>
  <c r="M721" i="5" l="1"/>
  <c r="M836" i="5"/>
  <c r="M835" i="5"/>
  <c r="T797" i="5"/>
  <c r="E214" i="16" l="1"/>
  <c r="E213" i="16"/>
  <c r="E74" i="16"/>
  <c r="H684" i="5"/>
  <c r="H701" i="5" s="1"/>
  <c r="E252" i="16"/>
  <c r="I252" i="16" s="1"/>
  <c r="E245" i="16"/>
  <c r="E237" i="16"/>
  <c r="E235" i="16"/>
  <c r="E234" i="16"/>
  <c r="E233" i="16"/>
  <c r="E191" i="16"/>
  <c r="H430" i="5"/>
  <c r="J429" i="5"/>
  <c r="J428" i="5"/>
  <c r="J427" i="5"/>
  <c r="J426" i="5"/>
  <c r="J654" i="5" l="1"/>
  <c r="M654" i="5" s="1"/>
  <c r="E238" i="16"/>
  <c r="I238" i="16" s="1"/>
  <c r="J649" i="5"/>
  <c r="E244" i="16"/>
  <c r="J652" i="5"/>
  <c r="M652" i="5" s="1"/>
  <c r="E247" i="16"/>
  <c r="E248" i="16" s="1"/>
  <c r="I248" i="16" s="1"/>
  <c r="J648" i="5"/>
  <c r="E243" i="16"/>
  <c r="H32" i="6"/>
  <c r="AA32" i="6"/>
  <c r="S32" i="6"/>
  <c r="J539" i="5"/>
  <c r="M539" i="5" s="1"/>
  <c r="Q655" i="5"/>
  <c r="P655" i="5" s="1"/>
  <c r="M32" i="6"/>
  <c r="J32" i="6"/>
  <c r="P32" i="6"/>
  <c r="J541" i="5"/>
  <c r="M541" i="5" s="1"/>
  <c r="I32" i="6"/>
  <c r="N32" i="6"/>
  <c r="T32" i="6"/>
  <c r="Z32" i="6"/>
  <c r="R32" i="6"/>
  <c r="Y32" i="6"/>
  <c r="Q32" i="6"/>
  <c r="X32" i="6"/>
  <c r="L32" i="6"/>
  <c r="W32" i="6"/>
  <c r="K32" i="6"/>
  <c r="V32" i="6"/>
  <c r="O32" i="6"/>
  <c r="U32" i="6"/>
  <c r="J376" i="5"/>
  <c r="F50" i="6"/>
  <c r="F60" i="6"/>
  <c r="F49" i="6"/>
  <c r="F10" i="6"/>
  <c r="F14" i="6" s="1"/>
  <c r="F31" i="6"/>
  <c r="F30" i="6"/>
  <c r="J540" i="5"/>
  <c r="M540" i="5" s="1"/>
  <c r="H543" i="5"/>
  <c r="J688" i="5"/>
  <c r="M688" i="5" s="1"/>
  <c r="J693" i="5"/>
  <c r="M693" i="5" s="1"/>
  <c r="J679" i="5"/>
  <c r="J681" i="5"/>
  <c r="J663" i="5"/>
  <c r="M663" i="5" s="1"/>
  <c r="J682" i="5"/>
  <c r="M682" i="5" s="1"/>
  <c r="J695" i="5"/>
  <c r="M695" i="5" s="1"/>
  <c r="Q682" i="5"/>
  <c r="P682" i="5" s="1"/>
  <c r="J691" i="5"/>
  <c r="M691" i="5" s="1"/>
  <c r="J692" i="5"/>
  <c r="M692" i="5" s="1"/>
  <c r="J690" i="5"/>
  <c r="M690" i="5" s="1"/>
  <c r="H699" i="5"/>
  <c r="Q652" i="5"/>
  <c r="P652" i="5" s="1"/>
  <c r="J670" i="5"/>
  <c r="M670" i="5" s="1"/>
  <c r="J645" i="5"/>
  <c r="M645" i="5" s="1"/>
  <c r="J666" i="5"/>
  <c r="M666" i="5" s="1"/>
  <c r="J665" i="5"/>
  <c r="M665" i="5" s="1"/>
  <c r="J667" i="5"/>
  <c r="M667" i="5" s="1"/>
  <c r="H659" i="5"/>
  <c r="H676" i="5" s="1"/>
  <c r="J651" i="5"/>
  <c r="M651" i="5" s="1"/>
  <c r="J655" i="5"/>
  <c r="M655" i="5" s="1"/>
  <c r="J668" i="5"/>
  <c r="M668" i="5" s="1"/>
  <c r="J628" i="5"/>
  <c r="M628" i="5" s="1"/>
  <c r="J624" i="5"/>
  <c r="M624" i="5" s="1"/>
  <c r="J626" i="5"/>
  <c r="M626" i="5" s="1"/>
  <c r="J625" i="5"/>
  <c r="M625" i="5" s="1"/>
  <c r="J621" i="5"/>
  <c r="M621" i="5" s="1"/>
  <c r="J623" i="5"/>
  <c r="M623" i="5" s="1"/>
  <c r="J603" i="5"/>
  <c r="H617" i="5"/>
  <c r="J609" i="5"/>
  <c r="M609" i="5" s="1"/>
  <c r="Q610" i="5"/>
  <c r="P610" i="5" s="1"/>
  <c r="Q613" i="5"/>
  <c r="P613" i="5" s="1"/>
  <c r="J613" i="5"/>
  <c r="M613" i="5" s="1"/>
  <c r="J612" i="5"/>
  <c r="M612" i="5" s="1"/>
  <c r="J610" i="5"/>
  <c r="M610" i="5" s="1"/>
  <c r="J606" i="5"/>
  <c r="J607" i="5"/>
  <c r="Q35" i="6" l="1"/>
  <c r="P35" i="6"/>
  <c r="Y35" i="6"/>
  <c r="J35" i="6"/>
  <c r="M35" i="6"/>
  <c r="R35" i="6"/>
  <c r="V35" i="6"/>
  <c r="Z35" i="6"/>
  <c r="K35" i="6"/>
  <c r="T35" i="6"/>
  <c r="O35" i="6"/>
  <c r="W35" i="6"/>
  <c r="N35" i="6"/>
  <c r="S35" i="6"/>
  <c r="L35" i="6"/>
  <c r="I35" i="6"/>
  <c r="AA35" i="6"/>
  <c r="X35" i="6"/>
  <c r="H35" i="6"/>
  <c r="M603" i="5"/>
  <c r="G237" i="16"/>
  <c r="I237" i="16" s="1"/>
  <c r="G247" i="16"/>
  <c r="I247" i="16" s="1"/>
  <c r="F32" i="6"/>
  <c r="J543" i="5"/>
  <c r="H674" i="5"/>
  <c r="J684" i="5"/>
  <c r="J699" i="5"/>
  <c r="J674" i="5"/>
  <c r="J659" i="5"/>
  <c r="H634" i="5"/>
  <c r="H632" i="5"/>
  <c r="J632" i="5"/>
  <c r="J617" i="5"/>
  <c r="J36" i="6" l="1"/>
  <c r="H36" i="6"/>
  <c r="L36" i="6"/>
  <c r="S36" i="6"/>
  <c r="T36" i="6"/>
  <c r="R36" i="6"/>
  <c r="P36" i="6"/>
  <c r="I36" i="6"/>
  <c r="O36" i="6"/>
  <c r="N36" i="6"/>
  <c r="K36" i="6"/>
  <c r="M36" i="6"/>
  <c r="Q36" i="6"/>
  <c r="K543" i="5"/>
  <c r="J634" i="5"/>
  <c r="K684" i="5"/>
  <c r="J701" i="5"/>
  <c r="K699" i="5"/>
  <c r="K674" i="5"/>
  <c r="K659" i="5"/>
  <c r="J676" i="5"/>
  <c r="K617" i="5"/>
  <c r="K701" i="5" l="1"/>
  <c r="K676" i="5"/>
  <c r="K634" i="5"/>
  <c r="K632" i="5"/>
  <c r="J424" i="5" l="1"/>
  <c r="J423" i="5"/>
  <c r="H415" i="5"/>
  <c r="H437" i="5" s="1"/>
  <c r="J422" i="5" l="1"/>
  <c r="H378" i="5"/>
  <c r="H323" i="5"/>
  <c r="E161" i="16"/>
  <c r="E160" i="16"/>
  <c r="E159" i="16"/>
  <c r="E158" i="16"/>
  <c r="E157" i="16"/>
  <c r="H284" i="5"/>
  <c r="H283" i="5"/>
  <c r="E142" i="16"/>
  <c r="E141" i="16"/>
  <c r="E140" i="16"/>
  <c r="E139" i="16"/>
  <c r="E138" i="16"/>
  <c r="J256" i="5"/>
  <c r="M256" i="5" s="1"/>
  <c r="H262" i="5"/>
  <c r="O258" i="5"/>
  <c r="O262" i="5" s="1"/>
  <c r="E128" i="16"/>
  <c r="E124" i="16"/>
  <c r="H201" i="5"/>
  <c r="E120" i="16"/>
  <c r="E114" i="16"/>
  <c r="E113" i="16"/>
  <c r="E112" i="16"/>
  <c r="E108" i="16"/>
  <c r="E107" i="16"/>
  <c r="E106" i="16"/>
  <c r="E90" i="16"/>
  <c r="H121" i="5"/>
  <c r="E86" i="16"/>
  <c r="H598" i="5"/>
  <c r="E228" i="16"/>
  <c r="I228" i="16" s="1"/>
  <c r="H574" i="5"/>
  <c r="E221" i="16"/>
  <c r="H551" i="5"/>
  <c r="E216" i="16"/>
  <c r="H509" i="5"/>
  <c r="E198" i="16"/>
  <c r="E197" i="16"/>
  <c r="E196" i="16"/>
  <c r="J479" i="5"/>
  <c r="E190" i="16"/>
  <c r="E189" i="16"/>
  <c r="E188" i="16"/>
  <c r="H287" i="5" l="1"/>
  <c r="H567" i="5"/>
  <c r="E224" i="16"/>
  <c r="H561" i="5"/>
  <c r="E222" i="16"/>
  <c r="E217" i="16"/>
  <c r="E199" i="16"/>
  <c r="I199" i="16" s="1"/>
  <c r="E176" i="16"/>
  <c r="I176" i="16" s="1"/>
  <c r="E143" i="16"/>
  <c r="I143" i="16" s="1"/>
  <c r="E162" i="16"/>
  <c r="I162" i="16" s="1"/>
  <c r="E192" i="16"/>
  <c r="I192" i="16" s="1"/>
  <c r="E168" i="16"/>
  <c r="I168" i="16" s="1"/>
  <c r="H392" i="5"/>
  <c r="H398" i="5" s="1"/>
  <c r="E171" i="16"/>
  <c r="E115" i="16"/>
  <c r="I128" i="16"/>
  <c r="I129" i="16" s="1"/>
  <c r="E129" i="16"/>
  <c r="E125" i="16"/>
  <c r="I124" i="16"/>
  <c r="I125" i="16" s="1"/>
  <c r="E109" i="16"/>
  <c r="I109" i="16" s="1"/>
  <c r="I120" i="16"/>
  <c r="I121" i="16" s="1"/>
  <c r="E121" i="16"/>
  <c r="E87" i="16"/>
  <c r="I86" i="16"/>
  <c r="I87" i="16" s="1"/>
  <c r="E91" i="16"/>
  <c r="I90" i="16"/>
  <c r="I91" i="16" s="1"/>
  <c r="O152" i="4"/>
  <c r="O176" i="4"/>
  <c r="O177" i="4"/>
  <c r="P177" i="4" s="1"/>
  <c r="H547" i="5"/>
  <c r="H553" i="5"/>
  <c r="J238" i="5"/>
  <c r="J419" i="5"/>
  <c r="M419" i="5" s="1"/>
  <c r="J413" i="5"/>
  <c r="M413" i="5" s="1"/>
  <c r="Q411" i="5"/>
  <c r="P411" i="5" s="1"/>
  <c r="J411" i="5"/>
  <c r="M411" i="5" s="1"/>
  <c r="J421" i="5"/>
  <c r="Q412" i="5"/>
  <c r="P412" i="5" s="1"/>
  <c r="J418" i="5"/>
  <c r="M418" i="5" s="1"/>
  <c r="J433" i="5"/>
  <c r="J412" i="5"/>
  <c r="M412" i="5" s="1"/>
  <c r="J434" i="5"/>
  <c r="J409" i="5"/>
  <c r="M409" i="5" s="1"/>
  <c r="J410" i="5"/>
  <c r="H435" i="5"/>
  <c r="J391" i="5"/>
  <c r="M391" i="5" s="1"/>
  <c r="Q352" i="5"/>
  <c r="P352" i="5" s="1"/>
  <c r="H370" i="5"/>
  <c r="J377" i="5"/>
  <c r="J364" i="5"/>
  <c r="J365" i="5"/>
  <c r="Q355" i="5"/>
  <c r="P355" i="5" s="1"/>
  <c r="J356" i="5"/>
  <c r="M356" i="5" s="1"/>
  <c r="J367" i="5"/>
  <c r="J352" i="5"/>
  <c r="M352" i="5" s="1"/>
  <c r="O353" i="5"/>
  <c r="Q351" i="5"/>
  <c r="P351" i="5" s="1"/>
  <c r="J351" i="5"/>
  <c r="M351" i="5" s="1"/>
  <c r="J355" i="5"/>
  <c r="M355" i="5" s="1"/>
  <c r="H353" i="5"/>
  <c r="Q305" i="5"/>
  <c r="P305" i="5" s="1"/>
  <c r="J382" i="5"/>
  <c r="J390" i="5"/>
  <c r="M390" i="5" s="1"/>
  <c r="J311" i="5"/>
  <c r="H383" i="5"/>
  <c r="H319" i="5"/>
  <c r="J308" i="5"/>
  <c r="J347" i="5"/>
  <c r="Q388" i="5"/>
  <c r="P388" i="5" s="1"/>
  <c r="H331" i="5"/>
  <c r="J362" i="5"/>
  <c r="Q344" i="5"/>
  <c r="P344" i="5" s="1"/>
  <c r="J344" i="5"/>
  <c r="M344" i="5" s="1"/>
  <c r="H348" i="5"/>
  <c r="J346" i="5"/>
  <c r="J318" i="5"/>
  <c r="J361" i="5"/>
  <c r="J381" i="5"/>
  <c r="J388" i="5"/>
  <c r="M388" i="5" s="1"/>
  <c r="J389" i="5"/>
  <c r="J396" i="5"/>
  <c r="J309" i="5"/>
  <c r="J310" i="5"/>
  <c r="J324" i="5"/>
  <c r="J323" i="5"/>
  <c r="J330" i="5"/>
  <c r="H322" i="5"/>
  <c r="J305" i="5"/>
  <c r="M305" i="5" s="1"/>
  <c r="J307" i="5"/>
  <c r="J317" i="5"/>
  <c r="Q318" i="5"/>
  <c r="J329" i="5"/>
  <c r="H312" i="5"/>
  <c r="Q317" i="5"/>
  <c r="Q266" i="5"/>
  <c r="P266" i="5" s="1"/>
  <c r="H292" i="5"/>
  <c r="J278" i="5"/>
  <c r="J284" i="5"/>
  <c r="J279" i="5"/>
  <c r="H280" i="5"/>
  <c r="J272" i="5"/>
  <c r="J237" i="5"/>
  <c r="J269" i="5"/>
  <c r="J271" i="5"/>
  <c r="J283" i="5"/>
  <c r="J270" i="5"/>
  <c r="J257" i="5"/>
  <c r="M257" i="5" s="1"/>
  <c r="H243" i="5"/>
  <c r="J290" i="5"/>
  <c r="J266" i="5"/>
  <c r="M266" i="5" s="1"/>
  <c r="J268" i="5"/>
  <c r="J229" i="5"/>
  <c r="M229" i="5" s="1"/>
  <c r="J507" i="5"/>
  <c r="M507" i="5" s="1"/>
  <c r="H273" i="5"/>
  <c r="J143" i="5"/>
  <c r="M143" i="5" s="1"/>
  <c r="J231" i="5"/>
  <c r="J239" i="5"/>
  <c r="J230" i="5"/>
  <c r="J197" i="5"/>
  <c r="J185" i="5"/>
  <c r="Q229" i="5"/>
  <c r="P229" i="5" s="1"/>
  <c r="H234" i="5"/>
  <c r="H240" i="5" s="1"/>
  <c r="H241" i="5" s="1"/>
  <c r="J218" i="5"/>
  <c r="H224" i="5"/>
  <c r="H215" i="5"/>
  <c r="H226" i="5" s="1"/>
  <c r="J154" i="5"/>
  <c r="J219" i="5"/>
  <c r="J201" i="5"/>
  <c r="J220" i="5"/>
  <c r="J146" i="5"/>
  <c r="J196" i="5"/>
  <c r="J186" i="5"/>
  <c r="H188" i="5"/>
  <c r="H192" i="5" s="1"/>
  <c r="H203" i="5" s="1"/>
  <c r="J187" i="5"/>
  <c r="J195" i="5"/>
  <c r="J148" i="5"/>
  <c r="J147" i="5"/>
  <c r="Q182" i="5"/>
  <c r="P182" i="5" s="1"/>
  <c r="J153" i="5"/>
  <c r="J155" i="5"/>
  <c r="H156" i="5"/>
  <c r="J182" i="5"/>
  <c r="M182" i="5" s="1"/>
  <c r="J183" i="5"/>
  <c r="M183" i="5" s="1"/>
  <c r="H149" i="5"/>
  <c r="J165" i="5"/>
  <c r="J163" i="5"/>
  <c r="J164" i="5"/>
  <c r="H169" i="5"/>
  <c r="J135" i="5"/>
  <c r="J108" i="5"/>
  <c r="J109" i="5"/>
  <c r="H110" i="5"/>
  <c r="H112" i="5" s="1"/>
  <c r="H123" i="5" s="1"/>
  <c r="H595" i="5"/>
  <c r="H596" i="5" s="1"/>
  <c r="J106" i="5"/>
  <c r="J117" i="5"/>
  <c r="J134" i="5"/>
  <c r="M134" i="5" s="1"/>
  <c r="J105" i="5"/>
  <c r="M105" i="5" s="1"/>
  <c r="J121" i="5"/>
  <c r="J115" i="5"/>
  <c r="J116" i="5"/>
  <c r="J589" i="5"/>
  <c r="M589" i="5" s="1"/>
  <c r="J594" i="5"/>
  <c r="H591" i="5"/>
  <c r="H600" i="5" s="1"/>
  <c r="J598" i="5"/>
  <c r="Q589" i="5"/>
  <c r="J588" i="5"/>
  <c r="H571" i="5"/>
  <c r="J557" i="5"/>
  <c r="J558" i="5"/>
  <c r="M558" i="5" s="1"/>
  <c r="Q559" i="5"/>
  <c r="P559" i="5" s="1"/>
  <c r="Q558" i="5"/>
  <c r="P558" i="5" s="1"/>
  <c r="J559" i="5"/>
  <c r="M559" i="5" s="1"/>
  <c r="J565" i="5"/>
  <c r="M565" i="5" s="1"/>
  <c r="Q533" i="5"/>
  <c r="P533" i="5" s="1"/>
  <c r="Q534" i="5"/>
  <c r="P534" i="5" s="1"/>
  <c r="J570" i="5"/>
  <c r="J574" i="5"/>
  <c r="J564" i="5"/>
  <c r="M564" i="5" s="1"/>
  <c r="J534" i="5"/>
  <c r="M534" i="5" s="1"/>
  <c r="J533" i="5"/>
  <c r="M533" i="5" s="1"/>
  <c r="J532" i="5"/>
  <c r="M532" i="5" s="1"/>
  <c r="J531" i="5"/>
  <c r="J530" i="5"/>
  <c r="M530" i="5" s="1"/>
  <c r="H536" i="5"/>
  <c r="J546" i="5"/>
  <c r="J550" i="5"/>
  <c r="J551" i="5"/>
  <c r="H517" i="5"/>
  <c r="J517" i="5" s="1"/>
  <c r="J516" i="5"/>
  <c r="H497" i="5"/>
  <c r="J505" i="5"/>
  <c r="M505" i="5" s="1"/>
  <c r="J506" i="5"/>
  <c r="M506" i="5" s="1"/>
  <c r="J499" i="5"/>
  <c r="M499" i="5" s="1"/>
  <c r="J500" i="5"/>
  <c r="M500" i="5" s="1"/>
  <c r="J471" i="5"/>
  <c r="J496" i="5"/>
  <c r="M496" i="5" s="1"/>
  <c r="J495" i="5"/>
  <c r="M495" i="5" s="1"/>
  <c r="J472" i="5"/>
  <c r="J489" i="5"/>
  <c r="J490" i="5"/>
  <c r="J512" i="5"/>
  <c r="J491" i="5"/>
  <c r="H492" i="5"/>
  <c r="H483" i="5"/>
  <c r="J483" i="5" s="1"/>
  <c r="H474" i="5"/>
  <c r="H480" i="5" s="1"/>
  <c r="Q468" i="5"/>
  <c r="P468" i="5" s="1"/>
  <c r="J470" i="5"/>
  <c r="J468" i="5"/>
  <c r="M468" i="5" s="1"/>
  <c r="J473" i="5"/>
  <c r="F178" i="4"/>
  <c r="F166" i="4"/>
  <c r="F90" i="4"/>
  <c r="F98" i="4"/>
  <c r="P589" i="5" l="1"/>
  <c r="S589" i="5"/>
  <c r="J372" i="5"/>
  <c r="J322" i="5"/>
  <c r="H326" i="5"/>
  <c r="Q177" i="4"/>
  <c r="H576" i="5"/>
  <c r="I217" i="16"/>
  <c r="G213" i="16"/>
  <c r="I213" i="16" s="1"/>
  <c r="G216" i="16"/>
  <c r="I216" i="16" s="1"/>
  <c r="E225" i="16"/>
  <c r="I225" i="16" s="1"/>
  <c r="P176" i="4"/>
  <c r="E172" i="16"/>
  <c r="I172" i="16" s="1"/>
  <c r="E117" i="16"/>
  <c r="I117" i="16" s="1"/>
  <c r="I115" i="16"/>
  <c r="Q176" i="4"/>
  <c r="J378" i="5"/>
  <c r="K378" i="5" s="1"/>
  <c r="J430" i="5"/>
  <c r="J415" i="5"/>
  <c r="J435" i="5"/>
  <c r="J392" i="5"/>
  <c r="J370" i="5"/>
  <c r="H369" i="5"/>
  <c r="H358" i="5"/>
  <c r="H385" i="5"/>
  <c r="J353" i="5"/>
  <c r="K353" i="5" s="1"/>
  <c r="M353" i="5"/>
  <c r="P353" i="5"/>
  <c r="Q353" i="5"/>
  <c r="S353" i="5" s="1"/>
  <c r="S305" i="5"/>
  <c r="S388" i="5"/>
  <c r="J348" i="5"/>
  <c r="J383" i="5"/>
  <c r="J331" i="5"/>
  <c r="O318" i="5"/>
  <c r="P318" i="5" s="1"/>
  <c r="J319" i="5"/>
  <c r="J312" i="5"/>
  <c r="J314" i="5" s="1"/>
  <c r="Q319" i="5"/>
  <c r="O317" i="5"/>
  <c r="M317" i="5" s="1"/>
  <c r="H333" i="5"/>
  <c r="H314" i="5"/>
  <c r="J280" i="5"/>
  <c r="J285" i="5"/>
  <c r="J243" i="5"/>
  <c r="J258" i="5"/>
  <c r="J262" i="5" s="1"/>
  <c r="J273" i="5"/>
  <c r="J275" i="5" s="1"/>
  <c r="J509" i="5"/>
  <c r="H275" i="5"/>
  <c r="H294" i="5"/>
  <c r="M258" i="5"/>
  <c r="M262" i="5" s="1"/>
  <c r="S229" i="5"/>
  <c r="H245" i="5"/>
  <c r="H221" i="5"/>
  <c r="H222" i="5" s="1"/>
  <c r="J224" i="5"/>
  <c r="J149" i="5"/>
  <c r="J188" i="5"/>
  <c r="H198" i="5"/>
  <c r="J198" i="5" s="1"/>
  <c r="H160" i="5"/>
  <c r="H171" i="5" s="1"/>
  <c r="J156" i="5"/>
  <c r="J136" i="5"/>
  <c r="J169" i="5"/>
  <c r="H118" i="5"/>
  <c r="J110" i="5"/>
  <c r="K110" i="5" s="1"/>
  <c r="H140" i="5"/>
  <c r="J595" i="5"/>
  <c r="J591" i="5"/>
  <c r="J561" i="5"/>
  <c r="J571" i="5"/>
  <c r="H572" i="5"/>
  <c r="J567" i="5"/>
  <c r="J536" i="5"/>
  <c r="H502" i="5"/>
  <c r="H519" i="5"/>
  <c r="H513" i="5"/>
  <c r="J497" i="5"/>
  <c r="J492" i="5"/>
  <c r="S468" i="5"/>
  <c r="H476" i="5"/>
  <c r="H485" i="5"/>
  <c r="J474" i="5"/>
  <c r="J476" i="5" s="1"/>
  <c r="J480" i="5"/>
  <c r="H481" i="5"/>
  <c r="P317" i="5" l="1"/>
  <c r="M318" i="5"/>
  <c r="M319" i="5" s="1"/>
  <c r="G224" i="16"/>
  <c r="I224" i="16" s="1"/>
  <c r="G221" i="16"/>
  <c r="I221" i="16" s="1"/>
  <c r="K536" i="5"/>
  <c r="J437" i="5"/>
  <c r="J596" i="5"/>
  <c r="J572" i="5"/>
  <c r="K572" i="5" s="1"/>
  <c r="J199" i="5"/>
  <c r="J398" i="5"/>
  <c r="J369" i="5"/>
  <c r="J366" i="5"/>
  <c r="J358" i="5"/>
  <c r="R353" i="5"/>
  <c r="T353" i="5" s="1"/>
  <c r="K383" i="5"/>
  <c r="K348" i="5"/>
  <c r="K392" i="5"/>
  <c r="J325" i="5"/>
  <c r="O319" i="5"/>
  <c r="S319" i="5" s="1"/>
  <c r="K312" i="5"/>
  <c r="K331" i="5"/>
  <c r="K314" i="5"/>
  <c r="R319" i="5"/>
  <c r="K319" i="5"/>
  <c r="K280" i="5"/>
  <c r="J286" i="5"/>
  <c r="J291" i="5"/>
  <c r="K275" i="5"/>
  <c r="K273" i="5"/>
  <c r="J140" i="5"/>
  <c r="J221" i="5"/>
  <c r="K149" i="5"/>
  <c r="K188" i="5"/>
  <c r="H199" i="5"/>
  <c r="H166" i="5"/>
  <c r="H167" i="5" s="1"/>
  <c r="J118" i="5"/>
  <c r="K156" i="5"/>
  <c r="J112" i="5"/>
  <c r="H119" i="5"/>
  <c r="K136" i="5"/>
  <c r="K591" i="5"/>
  <c r="K567" i="5"/>
  <c r="H548" i="5"/>
  <c r="J547" i="5"/>
  <c r="J502" i="5"/>
  <c r="K497" i="5"/>
  <c r="K492" i="5"/>
  <c r="K474" i="5"/>
  <c r="J513" i="5"/>
  <c r="H514" i="5"/>
  <c r="J481" i="5"/>
  <c r="J485" i="5" s="1"/>
  <c r="K476" i="5"/>
  <c r="K596" i="5" l="1"/>
  <c r="K199" i="5"/>
  <c r="J600" i="5"/>
  <c r="J576" i="5"/>
  <c r="J326" i="5"/>
  <c r="K326" i="5" s="1"/>
  <c r="J548" i="5"/>
  <c r="J553" i="5" s="1"/>
  <c r="J292" i="5"/>
  <c r="J119" i="5"/>
  <c r="J123" i="5" s="1"/>
  <c r="J222" i="5"/>
  <c r="J287" i="5"/>
  <c r="K415" i="5"/>
  <c r="K437" i="5"/>
  <c r="K358" i="5"/>
  <c r="J371" i="5"/>
  <c r="H373" i="5"/>
  <c r="K398" i="5"/>
  <c r="P319" i="5"/>
  <c r="T319" i="5"/>
  <c r="K112" i="5"/>
  <c r="J166" i="5"/>
  <c r="K140" i="5"/>
  <c r="K561" i="5"/>
  <c r="K485" i="5"/>
  <c r="K502" i="5"/>
  <c r="J514" i="5"/>
  <c r="K481" i="5"/>
  <c r="K600" i="5" l="1"/>
  <c r="K548" i="5"/>
  <c r="K292" i="5"/>
  <c r="J294" i="5"/>
  <c r="J333" i="5"/>
  <c r="K119" i="5"/>
  <c r="K222" i="5"/>
  <c r="J373" i="5"/>
  <c r="J167" i="5"/>
  <c r="K123" i="5"/>
  <c r="K287" i="5"/>
  <c r="K576" i="5"/>
  <c r="K514" i="5"/>
  <c r="K553" i="5" l="1"/>
  <c r="K333" i="5"/>
  <c r="J385" i="5"/>
  <c r="K167" i="5"/>
  <c r="K373" i="5"/>
  <c r="K294" i="5"/>
  <c r="K385" i="5" l="1"/>
  <c r="F110" i="4" l="1"/>
  <c r="F112" i="4" l="1"/>
  <c r="D821" i="5" l="1"/>
  <c r="D803" i="5"/>
  <c r="D793" i="5"/>
  <c r="T791" i="5"/>
  <c r="T790" i="5"/>
  <c r="T788" i="5"/>
  <c r="T787" i="5"/>
  <c r="T783" i="5"/>
  <c r="T782" i="5"/>
  <c r="T781" i="5"/>
  <c r="T780" i="5"/>
  <c r="T757" i="5"/>
  <c r="T756" i="5"/>
  <c r="T753" i="5"/>
  <c r="T752" i="5"/>
  <c r="J819" i="5" l="1"/>
  <c r="M819" i="5" s="1"/>
  <c r="J818" i="5"/>
  <c r="M818" i="5" s="1"/>
  <c r="J817" i="5"/>
  <c r="M817" i="5" s="1"/>
  <c r="M787" i="5"/>
  <c r="P787" i="5"/>
  <c r="K742" i="5" l="1"/>
  <c r="B11" i="6" l="1"/>
  <c r="E183" i="16"/>
  <c r="E182" i="16"/>
  <c r="E181" i="16"/>
  <c r="B12" i="6" l="1"/>
  <c r="E184" i="16"/>
  <c r="I184" i="16" s="1"/>
  <c r="J441" i="5"/>
  <c r="Q441" i="5"/>
  <c r="P441" i="5" s="1"/>
  <c r="H455" i="5"/>
  <c r="J455" i="5" s="1"/>
  <c r="J444" i="5"/>
  <c r="J445" i="5"/>
  <c r="H446" i="5"/>
  <c r="J443" i="5"/>
  <c r="J451" i="5"/>
  <c r="B13" i="6" l="1"/>
  <c r="M441" i="5"/>
  <c r="H457" i="5"/>
  <c r="H452" i="5"/>
  <c r="H448" i="5"/>
  <c r="J446" i="5"/>
  <c r="K446" i="5" s="1"/>
  <c r="B14" i="6" l="1"/>
  <c r="B17" i="6"/>
  <c r="B18" i="6" s="1"/>
  <c r="J452" i="5"/>
  <c r="H453" i="5"/>
  <c r="J448" i="5"/>
  <c r="B19" i="6" l="1"/>
  <c r="K448" i="5"/>
  <c r="J453" i="5"/>
  <c r="B20" i="6" l="1"/>
  <c r="K453" i="5"/>
  <c r="J457" i="5"/>
  <c r="B21" i="6" l="1"/>
  <c r="K457" i="5"/>
  <c r="B23" i="6" l="1"/>
  <c r="B25" i="6" s="1"/>
  <c r="B26" i="6" s="1"/>
  <c r="B27" i="6" s="1"/>
  <c r="B30" i="6" s="1"/>
  <c r="B31" i="6" s="1"/>
  <c r="B32" i="6" s="1"/>
  <c r="B35" i="6" s="1"/>
  <c r="B36" i="6" s="1"/>
  <c r="B39" i="6" s="1"/>
  <c r="B40" i="6" s="1"/>
  <c r="B43" i="6" s="1"/>
  <c r="B44" i="6" s="1"/>
  <c r="B49" i="6" s="1"/>
  <c r="B50" i="6" s="1"/>
  <c r="B51" i="6" s="1"/>
  <c r="J66" i="5"/>
  <c r="M66" i="5" s="1"/>
  <c r="J84" i="5"/>
  <c r="M84" i="5" s="1"/>
  <c r="B52" i="6" l="1"/>
  <c r="B55" i="6" s="1"/>
  <c r="B56" i="6" s="1"/>
  <c r="B14" i="5"/>
  <c r="B57" i="6" l="1"/>
  <c r="B58" i="6" s="1"/>
  <c r="B60" i="6" s="1"/>
  <c r="B62" i="6" s="1"/>
  <c r="B64" i="6" s="1"/>
  <c r="B66" i="6" s="1"/>
  <c r="B15" i="5"/>
  <c r="B16" i="5" s="1"/>
  <c r="B17" i="5" l="1"/>
  <c r="B18" i="5" s="1"/>
  <c r="B20" i="5" l="1"/>
  <c r="B12" i="4"/>
  <c r="B23" i="5" l="1"/>
  <c r="B13" i="4"/>
  <c r="B24" i="5" l="1"/>
  <c r="B14" i="4"/>
  <c r="B25" i="5" l="1"/>
  <c r="B26" i="5" s="1"/>
  <c r="B27" i="5" s="1"/>
  <c r="B29" i="5" s="1"/>
  <c r="B31" i="5" s="1"/>
  <c r="B34" i="5" s="1"/>
  <c r="B36" i="5" s="1"/>
  <c r="B37" i="5" s="1"/>
  <c r="B38" i="5" s="1"/>
  <c r="B39" i="5" s="1"/>
  <c r="B40" i="5" s="1"/>
  <c r="B15" i="4"/>
  <c r="B41" i="5" l="1"/>
  <c r="B42" i="5" s="1"/>
  <c r="B44" i="5" s="1"/>
  <c r="B16" i="4"/>
  <c r="B17" i="4" l="1"/>
  <c r="B18" i="4" l="1"/>
  <c r="B19" i="4" l="1"/>
  <c r="B20" i="4" s="1"/>
  <c r="B21" i="4" s="1"/>
  <c r="B22" i="4" s="1"/>
  <c r="B25" i="4" l="1"/>
  <c r="B26" i="4" s="1"/>
  <c r="B27" i="4" s="1"/>
  <c r="B28" i="4" s="1"/>
  <c r="B29" i="4" s="1"/>
  <c r="B30" i="4" s="1"/>
  <c r="B33" i="4" s="1"/>
  <c r="B34" i="4" s="1"/>
  <c r="B35" i="4" s="1"/>
  <c r="B36" i="4" s="1"/>
  <c r="B37" i="4" s="1"/>
  <c r="B38" i="4" s="1"/>
  <c r="B39" i="4" s="1"/>
  <c r="B40" i="4" s="1"/>
  <c r="B41" i="4" s="1"/>
  <c r="B42" i="4" s="1"/>
  <c r="B44" i="4" l="1"/>
  <c r="B47" i="4" s="1"/>
  <c r="B48" i="4" s="1"/>
  <c r="B49" i="4" s="1"/>
  <c r="B50" i="4" s="1"/>
  <c r="B51" i="4" s="1"/>
  <c r="B52" i="4" s="1"/>
  <c r="B53" i="4" s="1"/>
  <c r="B54" i="4" s="1"/>
  <c r="B55" i="4" s="1"/>
  <c r="B57" i="4" l="1"/>
  <c r="B59" i="4" s="1"/>
  <c r="E69" i="16" l="1"/>
  <c r="E61" i="16"/>
  <c r="J87" i="5" l="1"/>
  <c r="E71" i="16"/>
  <c r="E62" i="16"/>
  <c r="E72" i="16"/>
  <c r="E63" i="16"/>
  <c r="E73" i="16"/>
  <c r="E64" i="16"/>
  <c r="E82" i="16"/>
  <c r="E70" i="16"/>
  <c r="E78" i="16"/>
  <c r="I82" i="16" l="1"/>
  <c r="I83" i="16" s="1"/>
  <c r="E83" i="16"/>
  <c r="E79" i="16"/>
  <c r="I78" i="16"/>
  <c r="I79" i="16" s="1"/>
  <c r="E75" i="16"/>
  <c r="I75" i="16" s="1"/>
  <c r="E65" i="16"/>
  <c r="I65" i="16" s="1"/>
  <c r="H42" i="5"/>
  <c r="H55" i="5" s="1"/>
  <c r="H18" i="5"/>
  <c r="H20" i="5" s="1"/>
  <c r="J73" i="5"/>
  <c r="H79" i="5"/>
  <c r="J74" i="5"/>
  <c r="J68" i="5"/>
  <c r="H70" i="5"/>
  <c r="J94" i="5"/>
  <c r="H100" i="5"/>
  <c r="J85" i="5"/>
  <c r="J67" i="5"/>
  <c r="J88" i="5"/>
  <c r="H29" i="5"/>
  <c r="H89" i="5"/>
  <c r="H91" i="5" s="1"/>
  <c r="J95" i="5"/>
  <c r="H53" i="5"/>
  <c r="J89" i="5" l="1"/>
  <c r="K89" i="5" s="1"/>
  <c r="H31" i="5"/>
  <c r="H44" i="5"/>
  <c r="J70" i="5"/>
  <c r="J100" i="5"/>
  <c r="J79" i="5"/>
  <c r="H81" i="5"/>
  <c r="H102" i="5"/>
  <c r="J91" i="5" l="1"/>
  <c r="K70" i="5"/>
  <c r="K91" i="5" l="1"/>
  <c r="J96" i="5" l="1"/>
  <c r="H97" i="5"/>
  <c r="J75" i="5"/>
  <c r="H76" i="5"/>
  <c r="J76" i="5" l="1"/>
  <c r="H77" i="5"/>
  <c r="J97" i="5"/>
  <c r="H98" i="5"/>
  <c r="J77" i="5" l="1"/>
  <c r="K77" i="5" s="1"/>
  <c r="J98" i="5"/>
  <c r="J81" i="5" l="1"/>
  <c r="K81" i="5" s="1"/>
  <c r="K98" i="5"/>
  <c r="J102" i="5"/>
  <c r="K102" i="5" l="1"/>
  <c r="H26" i="5" l="1"/>
  <c r="H50" i="5"/>
  <c r="H27" i="5" l="1"/>
  <c r="J26" i="5"/>
  <c r="J50" i="5"/>
  <c r="H51" i="5"/>
  <c r="F42" i="4" l="1"/>
  <c r="J29" i="5" l="1"/>
  <c r="J15" i="5"/>
  <c r="J17" i="5"/>
  <c r="J40" i="5"/>
  <c r="J12" i="5"/>
  <c r="M12" i="5" s="1"/>
  <c r="Q12" i="5"/>
  <c r="J38" i="5"/>
  <c r="J24" i="5"/>
  <c r="J53" i="5"/>
  <c r="J37" i="5"/>
  <c r="J41" i="5"/>
  <c r="J48" i="5"/>
  <c r="J36" i="5"/>
  <c r="J39" i="5"/>
  <c r="Q34" i="5"/>
  <c r="P34" i="5" s="1"/>
  <c r="J34" i="5"/>
  <c r="M34" i="5" s="1"/>
  <c r="P12" i="5" l="1"/>
  <c r="S12" i="5"/>
  <c r="J49" i="5"/>
  <c r="J47" i="5"/>
  <c r="J25" i="5"/>
  <c r="J23" i="5"/>
  <c r="J16" i="5"/>
  <c r="S34" i="5"/>
  <c r="J14" i="5"/>
  <c r="J18" i="5" l="1"/>
  <c r="J27" i="5"/>
  <c r="J42" i="5"/>
  <c r="J51" i="5"/>
  <c r="K18" i="5" l="1"/>
  <c r="J20" i="5"/>
  <c r="K51" i="5"/>
  <c r="K27" i="5"/>
  <c r="K42" i="5"/>
  <c r="J44" i="5"/>
  <c r="J31" i="5" l="1"/>
  <c r="K20" i="5"/>
  <c r="J55" i="5"/>
  <c r="K44" i="5"/>
  <c r="K31" i="5" l="1"/>
  <c r="K55" i="5"/>
  <c r="J519" i="5" l="1"/>
  <c r="J240" i="5"/>
  <c r="K509" i="5"/>
  <c r="B47" i="5"/>
  <c r="B48" i="5" s="1"/>
  <c r="J241" i="5" l="1"/>
  <c r="K519" i="5"/>
  <c r="B49" i="5"/>
  <c r="K241" i="5" l="1"/>
  <c r="B50" i="5"/>
  <c r="B51" i="5" s="1"/>
  <c r="B53" i="5" s="1"/>
  <c r="B55" i="5" l="1"/>
  <c r="B66" i="5" s="1"/>
  <c r="B67" i="5" l="1"/>
  <c r="B68" i="5" s="1"/>
  <c r="B70" i="5" s="1"/>
  <c r="B73" i="5" l="1"/>
  <c r="B74" i="5" s="1"/>
  <c r="B75" i="5" l="1"/>
  <c r="B76" i="5" l="1"/>
  <c r="B77" i="5" s="1"/>
  <c r="B79" i="5" l="1"/>
  <c r="B81" i="5" s="1"/>
  <c r="B84" i="5" s="1"/>
  <c r="B85" i="5" s="1"/>
  <c r="B87" i="5" s="1"/>
  <c r="B88" i="5" s="1"/>
  <c r="B89" i="5" s="1"/>
  <c r="B91" i="5" s="1"/>
  <c r="B94" i="5" s="1"/>
  <c r="B95" i="5" s="1"/>
  <c r="B96" i="5" s="1"/>
  <c r="B97" i="5" s="1"/>
  <c r="B98" i="5" s="1"/>
  <c r="B100" i="5" s="1"/>
  <c r="B102" i="5" s="1"/>
  <c r="B105" i="5" s="1"/>
  <c r="B106" i="5" l="1"/>
  <c r="B108" i="5" s="1"/>
  <c r="B109" i="5" s="1"/>
  <c r="B110" i="5" l="1"/>
  <c r="B112" i="5" s="1"/>
  <c r="B115" i="5" l="1"/>
  <c r="Q278" i="5"/>
  <c r="Q279" i="5"/>
  <c r="B116" i="5" l="1"/>
  <c r="O279" i="5"/>
  <c r="O278" i="5"/>
  <c r="Q280" i="5"/>
  <c r="B117" i="5" l="1"/>
  <c r="M278" i="5"/>
  <c r="M279" i="5"/>
  <c r="P278" i="5"/>
  <c r="P279" i="5"/>
  <c r="R280" i="5"/>
  <c r="T280" i="5" s="1"/>
  <c r="O280" i="5"/>
  <c r="B118" i="5" l="1"/>
  <c r="B119" i="5" s="1"/>
  <c r="B121" i="5" s="1"/>
  <c r="B123" i="5" s="1"/>
  <c r="B134" i="5" s="1"/>
  <c r="B135" i="5" s="1"/>
  <c r="B136" i="5" s="1"/>
  <c r="B138" i="5" s="1"/>
  <c r="B140" i="5" s="1"/>
  <c r="B143" i="5" s="1"/>
  <c r="P280" i="5"/>
  <c r="M280" i="5"/>
  <c r="S280" i="5"/>
  <c r="B146" i="5" l="1"/>
  <c r="B147" i="5" s="1"/>
  <c r="B148" i="5" s="1"/>
  <c r="B149" i="5" s="1"/>
  <c r="B153" i="5" l="1"/>
  <c r="B154" i="5" s="1"/>
  <c r="B155" i="5" l="1"/>
  <c r="B156" i="5" s="1"/>
  <c r="Q541" i="5"/>
  <c r="P541" i="5" s="1"/>
  <c r="Q564" i="5"/>
  <c r="P564" i="5" s="1"/>
  <c r="Q612" i="5"/>
  <c r="P612" i="5" s="1"/>
  <c r="Q609" i="5"/>
  <c r="P609" i="5" s="1"/>
  <c r="Q651" i="5"/>
  <c r="P651" i="5" s="1"/>
  <c r="Q134" i="5"/>
  <c r="P134" i="5" s="1"/>
  <c r="Q565" i="5"/>
  <c r="P565" i="5" s="1"/>
  <c r="Q654" i="5"/>
  <c r="P654" i="5" s="1"/>
  <c r="Q540" i="5"/>
  <c r="P540" i="5" s="1"/>
  <c r="B158" i="5" l="1"/>
  <c r="B160" i="5" s="1"/>
  <c r="O509" i="5"/>
  <c r="M509" i="5"/>
  <c r="P567" i="5"/>
  <c r="O543" i="5"/>
  <c r="M543" i="5"/>
  <c r="Q567" i="5"/>
  <c r="B163" i="5" l="1"/>
  <c r="B164" i="5" s="1"/>
  <c r="O175" i="4"/>
  <c r="Q175" i="4" s="1"/>
  <c r="R567" i="5"/>
  <c r="T567" i="5" s="1"/>
  <c r="O567" i="5"/>
  <c r="M567" i="5"/>
  <c r="S344" i="5"/>
  <c r="S182" i="5"/>
  <c r="S134" i="5"/>
  <c r="S266" i="5"/>
  <c r="S441" i="5"/>
  <c r="B165" i="5" l="1"/>
  <c r="B166" i="5" s="1"/>
  <c r="B167" i="5" s="1"/>
  <c r="B169" i="5" s="1"/>
  <c r="B171" i="5" s="1"/>
  <c r="B182" i="5" s="1"/>
  <c r="B183" i="5" s="1"/>
  <c r="B185" i="5" s="1"/>
  <c r="B186" i="5" s="1"/>
  <c r="B187" i="5" s="1"/>
  <c r="B188" i="5" s="1"/>
  <c r="B190" i="5" s="1"/>
  <c r="B192" i="5" s="1"/>
  <c r="B195" i="5" s="1"/>
  <c r="B196" i="5" s="1"/>
  <c r="B197" i="5" s="1"/>
  <c r="B198" i="5" s="1"/>
  <c r="B199" i="5" s="1"/>
  <c r="B201" i="5" s="1"/>
  <c r="B203" i="5" s="1"/>
  <c r="B206" i="5" s="1"/>
  <c r="P175" i="4"/>
  <c r="S567" i="5"/>
  <c r="B207" i="5" l="1"/>
  <c r="B209" i="5" s="1"/>
  <c r="B210" i="5" s="1"/>
  <c r="B211" i="5" s="1"/>
  <c r="B213" i="5" s="1"/>
  <c r="B215" i="5" l="1"/>
  <c r="B218" i="5" s="1"/>
  <c r="J747" i="5"/>
  <c r="M747" i="5" s="1"/>
  <c r="B219" i="5" l="1"/>
  <c r="B220" i="5" s="1"/>
  <c r="O497" i="5"/>
  <c r="M497" i="5"/>
  <c r="B221" i="5" l="1"/>
  <c r="Q550" i="5"/>
  <c r="T550" i="5"/>
  <c r="T516" i="5"/>
  <c r="Q516" i="5"/>
  <c r="O516" i="5" s="1"/>
  <c r="M516" i="5" s="1"/>
  <c r="B222" i="5" l="1"/>
  <c r="B224" i="5" s="1"/>
  <c r="B226" i="5" s="1"/>
  <c r="B229" i="5" s="1"/>
  <c r="B230" i="5" s="1"/>
  <c r="B231" i="5" s="1"/>
  <c r="B232" i="5" s="1"/>
  <c r="B234" i="5" s="1"/>
  <c r="B237" i="5" s="1"/>
  <c r="B238" i="5" s="1"/>
  <c r="B239" i="5" s="1"/>
  <c r="B240" i="5" s="1"/>
  <c r="B241" i="5" s="1"/>
  <c r="B243" i="5" s="1"/>
  <c r="B245" i="5" s="1"/>
  <c r="B256" i="5" s="1"/>
  <c r="B257" i="5" s="1"/>
  <c r="B258" i="5" s="1"/>
  <c r="B260" i="5" s="1"/>
  <c r="B262" i="5" s="1"/>
  <c r="B266" i="5" s="1"/>
  <c r="O550" i="5"/>
  <c r="M550" i="5" s="1"/>
  <c r="P516" i="5"/>
  <c r="S516" i="5"/>
  <c r="S550" i="5" l="1"/>
  <c r="B268" i="5"/>
  <c r="B269" i="5" s="1"/>
  <c r="P550" i="5"/>
  <c r="B270" i="5" l="1"/>
  <c r="B271" i="5" s="1"/>
  <c r="B272" i="5" l="1"/>
  <c r="B273" i="5" s="1"/>
  <c r="B275" i="5" l="1"/>
  <c r="B278" i="5" l="1"/>
  <c r="B279" i="5" s="1"/>
  <c r="U36" i="6"/>
  <c r="U35" i="6"/>
  <c r="B280" i="5" l="1"/>
  <c r="B283" i="5" s="1"/>
  <c r="B284" i="5" l="1"/>
  <c r="B285" i="5" s="1"/>
  <c r="B286" i="5" s="1"/>
  <c r="B287" i="5" s="1"/>
  <c r="B290" i="5" s="1"/>
  <c r="B291" i="5" s="1"/>
  <c r="B292" i="5" s="1"/>
  <c r="B294" i="5" s="1"/>
  <c r="B305" i="5" s="1"/>
  <c r="B307" i="5" s="1"/>
  <c r="B308" i="5" s="1"/>
  <c r="B309" i="5" s="1"/>
  <c r="B310" i="5" s="1"/>
  <c r="B311" i="5" s="1"/>
  <c r="B312" i="5" s="1"/>
  <c r="B314" i="5" s="1"/>
  <c r="B317" i="5" s="1"/>
  <c r="B318" i="5" s="1"/>
  <c r="B319" i="5" s="1"/>
  <c r="B322" i="5" s="1"/>
  <c r="B323" i="5" s="1"/>
  <c r="B324" i="5" s="1"/>
  <c r="B325" i="5" s="1"/>
  <c r="B326" i="5" s="1"/>
  <c r="B329" i="5" s="1"/>
  <c r="B330" i="5" s="1"/>
  <c r="B331" i="5" s="1"/>
  <c r="B333" i="5" s="1"/>
  <c r="B344" i="5" s="1"/>
  <c r="B346" i="5" l="1"/>
  <c r="B347" i="5" s="1"/>
  <c r="B348" i="5" s="1"/>
  <c r="B358" i="5" l="1"/>
  <c r="B351" i="5"/>
  <c r="B352" i="5" s="1"/>
  <c r="B353" i="5" s="1"/>
  <c r="B355" i="5" l="1"/>
  <c r="B356" i="5" s="1"/>
  <c r="B361" i="5" l="1"/>
  <c r="B364" i="5" l="1"/>
  <c r="B362" i="5"/>
  <c r="B366" i="5" l="1"/>
  <c r="B365" i="5"/>
  <c r="B367" i="5" l="1"/>
  <c r="B369" i="5" s="1"/>
  <c r="B370" i="5" s="1"/>
  <c r="B371" i="5" l="1"/>
  <c r="B372" i="5" s="1"/>
  <c r="N110" i="4"/>
  <c r="B373" i="5" l="1"/>
  <c r="B376" i="5" s="1"/>
  <c r="N90" i="4"/>
  <c r="B377" i="5" l="1"/>
  <c r="B378" i="5" s="1"/>
  <c r="B381" i="5" s="1"/>
  <c r="B382" i="5" s="1"/>
  <c r="B383" i="5" s="1"/>
  <c r="B385" i="5" s="1"/>
  <c r="B388" i="5" s="1"/>
  <c r="B389" i="5" s="1"/>
  <c r="B390" i="5" s="1"/>
  <c r="B391" i="5" s="1"/>
  <c r="B392" i="5" s="1"/>
  <c r="B396" i="5" s="1"/>
  <c r="B398" i="5" s="1"/>
  <c r="B409" i="5" s="1"/>
  <c r="B410" i="5" s="1"/>
  <c r="B411" i="5" s="1"/>
  <c r="B412" i="5" s="1"/>
  <c r="B413" i="5" s="1"/>
  <c r="B415" i="5" s="1"/>
  <c r="B418" i="5" s="1"/>
  <c r="B419" i="5" s="1"/>
  <c r="B421" i="5" s="1"/>
  <c r="B422" i="5" s="1"/>
  <c r="B423" i="5" s="1"/>
  <c r="B424" i="5" s="1"/>
  <c r="B426" i="5" s="1"/>
  <c r="B427" i="5" s="1"/>
  <c r="B428" i="5" s="1"/>
  <c r="B429" i="5" s="1"/>
  <c r="N22" i="4"/>
  <c r="B430" i="5" l="1"/>
  <c r="B433" i="5" s="1"/>
  <c r="B434" i="5" s="1"/>
  <c r="B435" i="5" s="1"/>
  <c r="B437" i="5" s="1"/>
  <c r="B441" i="5" s="1"/>
  <c r="B443" i="5" s="1"/>
  <c r="B444" i="5" s="1"/>
  <c r="B445" i="5" s="1"/>
  <c r="B446" i="5" l="1"/>
  <c r="B448" i="5" s="1"/>
  <c r="B451" i="5" s="1"/>
  <c r="B452" i="5" s="1"/>
  <c r="B453" i="5" s="1"/>
  <c r="B455" i="5" l="1"/>
  <c r="B457" i="5" s="1"/>
  <c r="B468" i="5" s="1"/>
  <c r="B470" i="5" s="1"/>
  <c r="B471" i="5" s="1"/>
  <c r="B472" i="5" s="1"/>
  <c r="B473" i="5" s="1"/>
  <c r="B474" i="5" s="1"/>
  <c r="B476" i="5" s="1"/>
  <c r="B479" i="5" s="1"/>
  <c r="B480" i="5" s="1"/>
  <c r="B481" i="5" l="1"/>
  <c r="B483" i="5" s="1"/>
  <c r="B485" i="5" s="1"/>
  <c r="B489" i="5" s="1"/>
  <c r="B490" i="5" s="1"/>
  <c r="B491" i="5" s="1"/>
  <c r="B492" i="5" s="1"/>
  <c r="B495" i="5" s="1"/>
  <c r="B496" i="5" s="1"/>
  <c r="M178" i="4"/>
  <c r="B497" i="5" l="1"/>
  <c r="N178" i="4"/>
  <c r="B499" i="5" l="1"/>
  <c r="B500" i="5" s="1"/>
  <c r="B502" i="5" l="1"/>
  <c r="B505" i="5" s="1"/>
  <c r="B506" i="5" s="1"/>
  <c r="B507" i="5" s="1"/>
  <c r="B509" i="5" s="1"/>
  <c r="B512" i="5" s="1"/>
  <c r="B513" i="5" s="1"/>
  <c r="O165" i="4"/>
  <c r="Q165" i="4" s="1"/>
  <c r="B514" i="5" l="1"/>
  <c r="B516" i="5" s="1"/>
  <c r="B517" i="5" s="1"/>
  <c r="B519" i="5" s="1"/>
  <c r="B530" i="5" s="1"/>
  <c r="B531" i="5" s="1"/>
  <c r="B532" i="5" s="1"/>
  <c r="B533" i="5" s="1"/>
  <c r="B534" i="5" s="1"/>
  <c r="B536" i="5" s="1"/>
  <c r="B539" i="5" s="1"/>
  <c r="B540" i="5" s="1"/>
  <c r="B541" i="5" s="1"/>
  <c r="B543" i="5" s="1"/>
  <c r="B546" i="5" s="1"/>
  <c r="B547" i="5" s="1"/>
  <c r="B548" i="5" l="1"/>
  <c r="B550" i="5" s="1"/>
  <c r="B551" i="5" s="1"/>
  <c r="B553" i="5" s="1"/>
  <c r="B557" i="5" s="1"/>
  <c r="B558" i="5" l="1"/>
  <c r="B559" i="5" s="1"/>
  <c r="B561" i="5" s="1"/>
  <c r="B564" i="5" s="1"/>
  <c r="B565" i="5" l="1"/>
  <c r="B567" i="5" s="1"/>
  <c r="B570" i="5" s="1"/>
  <c r="B571" i="5" s="1"/>
  <c r="M166" i="4"/>
  <c r="P165" i="4"/>
  <c r="N166" i="4" s="1"/>
  <c r="B572" i="5" l="1"/>
  <c r="B574" i="5" s="1"/>
  <c r="B576" i="5" s="1"/>
  <c r="B588" i="5" s="1"/>
  <c r="B589" i="5" l="1"/>
  <c r="B591" i="5" s="1"/>
  <c r="B594" i="5" s="1"/>
  <c r="B595" i="5" s="1"/>
  <c r="N42" i="4"/>
  <c r="B596" i="5" l="1"/>
  <c r="B598" i="5" s="1"/>
  <c r="B600" i="5" s="1"/>
  <c r="B603" i="5" s="1"/>
  <c r="B606" i="5" s="1"/>
  <c r="B607" i="5" s="1"/>
  <c r="B609" i="5" s="1"/>
  <c r="B610" i="5" s="1"/>
  <c r="B612" i="5" s="1"/>
  <c r="B613" i="5" s="1"/>
  <c r="B615" i="5" s="1"/>
  <c r="B617" i="5" s="1"/>
  <c r="B621" i="5" s="1"/>
  <c r="B623" i="5" s="1"/>
  <c r="B624" i="5" s="1"/>
  <c r="B625" i="5" s="1"/>
  <c r="B626" i="5" s="1"/>
  <c r="B628" i="5" s="1"/>
  <c r="B630" i="5" s="1"/>
  <c r="B632" i="5" s="1"/>
  <c r="B634" i="5" s="1"/>
  <c r="B645" i="5" s="1"/>
  <c r="Q152" i="4"/>
  <c r="P152" i="4"/>
  <c r="M158" i="4"/>
  <c r="M180" i="4" s="1"/>
  <c r="B648" i="5" l="1"/>
  <c r="B649" i="5" s="1"/>
  <c r="B651" i="5" s="1"/>
  <c r="B652" i="5" s="1"/>
  <c r="B654" i="5" s="1"/>
  <c r="B655" i="5" s="1"/>
  <c r="N158" i="4"/>
  <c r="N180" i="4" s="1"/>
  <c r="N195" i="4" s="1"/>
  <c r="B657" i="5" l="1"/>
  <c r="N44" i="4"/>
  <c r="N59" i="4" s="1"/>
  <c r="B659" i="5" l="1"/>
  <c r="B663" i="5" s="1"/>
  <c r="B665" i="5" l="1"/>
  <c r="B666" i="5" s="1"/>
  <c r="B667" i="5" s="1"/>
  <c r="B668" i="5" s="1"/>
  <c r="B670" i="5" l="1"/>
  <c r="B672" i="5" s="1"/>
  <c r="B674" i="5" s="1"/>
  <c r="B676" i="5" s="1"/>
  <c r="B679" i="5" s="1"/>
  <c r="B681" i="5" s="1"/>
  <c r="B682" i="5" s="1"/>
  <c r="B683" i="5" s="1"/>
  <c r="B684" i="5" s="1"/>
  <c r="B688" i="5" s="1"/>
  <c r="B690" i="5" s="1"/>
  <c r="B691" i="5" s="1"/>
  <c r="B692" i="5" s="1"/>
  <c r="B693" i="5" s="1"/>
  <c r="B695" i="5" s="1"/>
  <c r="B697" i="5" s="1"/>
  <c r="B699" i="5" s="1"/>
  <c r="B701" i="5" s="1"/>
  <c r="B703" i="5" s="1"/>
  <c r="B737" i="5" l="1"/>
  <c r="B738" i="5" s="1"/>
  <c r="O723" i="5"/>
  <c r="B739" i="5" l="1"/>
  <c r="B740" i="5" s="1"/>
  <c r="B742" i="5" s="1"/>
  <c r="O729" i="5"/>
  <c r="B745" i="5" l="1"/>
  <c r="B746" i="5" s="1"/>
  <c r="B747" i="5" s="1"/>
  <c r="B748" i="5" s="1"/>
  <c r="B749" i="5" s="1"/>
  <c r="B752" i="5" l="1"/>
  <c r="B753" i="5" s="1"/>
  <c r="B756" i="5" s="1"/>
  <c r="B757" i="5" s="1"/>
  <c r="B759" i="5" s="1"/>
  <c r="B771" i="5" s="1"/>
  <c r="B772" i="5" s="1"/>
  <c r="B773" i="5" s="1"/>
  <c r="B774" i="5" s="1"/>
  <c r="B775" i="5" l="1"/>
  <c r="B780" i="5" s="1"/>
  <c r="B781" i="5" s="1"/>
  <c r="B782" i="5" l="1"/>
  <c r="B783" i="5" s="1"/>
  <c r="B787" i="5" s="1"/>
  <c r="B788" i="5" s="1"/>
  <c r="B790" i="5" s="1"/>
  <c r="B791" i="5" s="1"/>
  <c r="B793" i="5" s="1"/>
  <c r="B796" i="5" s="1"/>
  <c r="B797" i="5" l="1"/>
  <c r="B798" i="5" s="1"/>
  <c r="B799" i="5" s="1"/>
  <c r="B800" i="5" s="1"/>
  <c r="B801" i="5" s="1"/>
  <c r="B803" i="5" s="1"/>
  <c r="B805" i="5" s="1"/>
  <c r="B808" i="5" s="1"/>
  <c r="A47" i="13" l="1"/>
  <c r="B809" i="5"/>
  <c r="B811" i="5" s="1"/>
  <c r="B812" i="5" s="1"/>
  <c r="B813" i="5" s="1"/>
  <c r="A48" i="13" l="1"/>
  <c r="A49" i="13" s="1"/>
  <c r="B814" i="5"/>
  <c r="A50" i="13" l="1"/>
  <c r="B815" i="5"/>
  <c r="B817" i="5" s="1"/>
  <c r="B818" i="5" s="1"/>
  <c r="B819" i="5" s="1"/>
  <c r="B821" i="5" s="1"/>
  <c r="B832" i="5" s="1"/>
  <c r="N112" i="4"/>
  <c r="N127" i="4" s="1"/>
  <c r="A53" i="13" l="1"/>
  <c r="A54" i="13" s="1"/>
  <c r="A55" i="13" s="1"/>
  <c r="B834" i="5"/>
  <c r="B835" i="5" s="1"/>
  <c r="B836" i="5" s="1"/>
  <c r="B838" i="5" s="1"/>
  <c r="B840" i="5" s="1"/>
  <c r="B842" i="5" s="1"/>
  <c r="B844" i="5" s="1"/>
  <c r="B846" i="5" s="1"/>
  <c r="I22" i="8"/>
  <c r="A56" i="13" l="1"/>
  <c r="A59" i="13" s="1"/>
  <c r="I20" i="8"/>
  <c r="A60" i="13" l="1"/>
  <c r="A61" i="13" s="1"/>
  <c r="I22" i="4"/>
  <c r="I44" i="4" s="1"/>
  <c r="A62" i="13" l="1"/>
  <c r="A77" i="13" l="1"/>
  <c r="A78" i="13" s="1"/>
  <c r="A79" i="13" s="1"/>
  <c r="A80" i="13" s="1"/>
  <c r="A83" i="13" s="1"/>
  <c r="A84" i="13" s="1"/>
  <c r="A85" i="13" s="1"/>
  <c r="A88" i="13" l="1"/>
  <c r="A89" i="13" s="1"/>
  <c r="A90" i="13" s="1"/>
  <c r="A95" i="13" s="1"/>
  <c r="A96" i="13" s="1"/>
  <c r="A97" i="13" s="1"/>
  <c r="A100" i="13" s="1"/>
  <c r="A101" i="13" s="1"/>
  <c r="A102" i="13" s="1"/>
  <c r="A105" i="13" s="1"/>
  <c r="A106" i="13" s="1"/>
  <c r="A107" i="13" s="1"/>
  <c r="A110" i="13" s="1"/>
  <c r="U64" i="6"/>
  <c r="A111" i="13" l="1"/>
  <c r="A114" i="13" s="1"/>
  <c r="I98" i="4"/>
  <c r="I90" i="4"/>
  <c r="O147" i="4"/>
  <c r="O172" i="4"/>
  <c r="O173" i="4"/>
  <c r="O161" i="4"/>
  <c r="O171" i="4"/>
  <c r="O169" i="4"/>
  <c r="A115" i="13" l="1"/>
  <c r="A130" i="13" s="1"/>
  <c r="K178" i="4"/>
  <c r="O154" i="4"/>
  <c r="O162" i="4"/>
  <c r="O148" i="4"/>
  <c r="Q173" i="4"/>
  <c r="P173" i="4"/>
  <c r="O149" i="4"/>
  <c r="O174" i="4"/>
  <c r="K158" i="4"/>
  <c r="Q171" i="4"/>
  <c r="P171" i="4"/>
  <c r="O163" i="4"/>
  <c r="O150" i="4"/>
  <c r="O156" i="4"/>
  <c r="O153" i="4"/>
  <c r="K166" i="4"/>
  <c r="Q161" i="4"/>
  <c r="P161" i="4"/>
  <c r="Q147" i="4"/>
  <c r="P147" i="4"/>
  <c r="P172" i="4"/>
  <c r="Q172" i="4"/>
  <c r="O155" i="4"/>
  <c r="I178" i="4"/>
  <c r="O170" i="4"/>
  <c r="Q169" i="4"/>
  <c r="P169" i="4"/>
  <c r="O164" i="4"/>
  <c r="O151" i="4"/>
  <c r="A131" i="13" l="1"/>
  <c r="A134" i="13" s="1"/>
  <c r="A135" i="13" s="1"/>
  <c r="A136" i="13" s="1"/>
  <c r="G178" i="4"/>
  <c r="G166" i="4"/>
  <c r="I166" i="4"/>
  <c r="I158" i="4"/>
  <c r="O178" i="4"/>
  <c r="P178" i="4" s="1"/>
  <c r="P155" i="4"/>
  <c r="P149" i="4"/>
  <c r="Q149" i="4"/>
  <c r="I110" i="4"/>
  <c r="I112" i="4" s="1"/>
  <c r="Q164" i="4"/>
  <c r="P164" i="4"/>
  <c r="P153" i="4"/>
  <c r="Q148" i="4"/>
  <c r="P148" i="4"/>
  <c r="O166" i="4"/>
  <c r="K180" i="4"/>
  <c r="P150" i="4"/>
  <c r="Q150" i="4"/>
  <c r="P154" i="4"/>
  <c r="P174" i="4"/>
  <c r="Q174" i="4"/>
  <c r="Q151" i="4"/>
  <c r="P151" i="4"/>
  <c r="Q170" i="4"/>
  <c r="P170" i="4"/>
  <c r="O158" i="4"/>
  <c r="P156" i="4"/>
  <c r="Q163" i="4"/>
  <c r="P163" i="4"/>
  <c r="Q162" i="4"/>
  <c r="P162" i="4"/>
  <c r="I180" i="4" l="1"/>
  <c r="Q178" i="4"/>
  <c r="O180" i="4"/>
  <c r="P158" i="4"/>
  <c r="Q166" i="4"/>
  <c r="P166" i="4"/>
  <c r="A139" i="13" l="1"/>
  <c r="P180" i="4"/>
  <c r="A140" i="13" l="1"/>
  <c r="J797" i="5"/>
  <c r="A141" i="13" l="1"/>
  <c r="J798" i="5"/>
  <c r="M798" i="5" s="1"/>
  <c r="A144" i="13" l="1"/>
  <c r="J796" i="5"/>
  <c r="A145" i="13" l="1"/>
  <c r="Q805" i="5"/>
  <c r="P805" i="5" s="1"/>
  <c r="Q797" i="5"/>
  <c r="S797" i="5" s="1"/>
  <c r="A146" i="13" l="1"/>
  <c r="T796" i="5"/>
  <c r="Q796" i="5"/>
  <c r="S796" i="5" s="1"/>
  <c r="A149" i="13" l="1"/>
  <c r="H840" i="5"/>
  <c r="A150" i="13" l="1"/>
  <c r="M805" i="5"/>
  <c r="A151" i="13" l="1"/>
  <c r="J832" i="5"/>
  <c r="J808" i="5"/>
  <c r="A154" i="13" l="1"/>
  <c r="M808" i="5"/>
  <c r="M832" i="5"/>
  <c r="J727" i="5"/>
  <c r="A155" i="13" l="1"/>
  <c r="A156" i="13" s="1"/>
  <c r="A159" i="13" s="1"/>
  <c r="A160" i="13" s="1"/>
  <c r="A161" i="13" s="1"/>
  <c r="A164" i="13" s="1"/>
  <c r="A165" i="13" s="1"/>
  <c r="A166" i="13" s="1"/>
  <c r="A180" i="13" s="1"/>
  <c r="A183" i="13" s="1"/>
  <c r="A184" i="13" s="1"/>
  <c r="A185" i="13" s="1"/>
  <c r="A188" i="13" s="1"/>
  <c r="A189" i="13" s="1"/>
  <c r="A190" i="13" s="1"/>
  <c r="A193" i="13" s="1"/>
  <c r="A194" i="13" s="1"/>
  <c r="A195" i="13" s="1"/>
  <c r="A211" i="13" s="1"/>
  <c r="A212" i="13" s="1"/>
  <c r="A213" i="13" s="1"/>
  <c r="A216" i="13" s="1"/>
  <c r="A217" i="13" s="1"/>
  <c r="A218" i="13" s="1"/>
  <c r="A220" i="13" s="1"/>
  <c r="A225" i="13" s="1"/>
  <c r="A226" i="13" s="1"/>
  <c r="A227" i="13" s="1"/>
  <c r="A230" i="13" s="1"/>
  <c r="A231" i="13" s="1"/>
  <c r="A232" i="13" s="1"/>
  <c r="A234" i="13" s="1"/>
  <c r="A237" i="13" s="1"/>
  <c r="A238" i="13" s="1"/>
  <c r="A239" i="13" s="1"/>
  <c r="A253" i="13" s="1"/>
  <c r="A254" i="13" s="1"/>
  <c r="A255" i="13" s="1"/>
  <c r="A257" i="13" s="1"/>
  <c r="A260" i="13" s="1"/>
  <c r="A261" i="13" s="1"/>
  <c r="A262" i="13" s="1"/>
  <c r="A265" i="13" s="1"/>
  <c r="A266" i="13" s="1"/>
  <c r="A267" i="13" s="1"/>
  <c r="A268" i="13" s="1"/>
  <c r="A271" i="13" s="1"/>
  <c r="A272" i="13" s="1"/>
  <c r="A273" i="13" s="1"/>
  <c r="A283" i="13" s="1"/>
  <c r="A284" i="13" s="1"/>
  <c r="A285" i="13" s="1"/>
  <c r="A288" i="13" s="1"/>
  <c r="A289" i="13" s="1"/>
  <c r="A290" i="13" s="1"/>
  <c r="A291" i="13" s="1"/>
  <c r="A292" i="13" s="1"/>
  <c r="A293" i="13" s="1"/>
  <c r="A294" i="13" s="1"/>
  <c r="A297" i="13" s="1"/>
  <c r="A298" i="13" s="1"/>
  <c r="A299" i="13" s="1"/>
  <c r="A300" i="13" s="1"/>
  <c r="A301" i="13" s="1"/>
  <c r="A302" i="13" s="1"/>
  <c r="A303" i="13" s="1"/>
  <c r="A304" i="13" s="1"/>
  <c r="A319" i="13" s="1"/>
  <c r="A320" i="13" s="1"/>
  <c r="A321" i="13" s="1"/>
  <c r="A322" i="13" s="1"/>
  <c r="A323" i="13" s="1"/>
  <c r="A324" i="13" s="1"/>
  <c r="A327" i="13" s="1"/>
  <c r="A328" i="13" s="1"/>
  <c r="A329" i="13" s="1"/>
  <c r="A330" i="13" s="1"/>
  <c r="J720" i="5"/>
  <c r="H723" i="5"/>
  <c r="M727" i="5"/>
  <c r="M729" i="5" s="1"/>
  <c r="J729" i="5"/>
  <c r="J723" i="5" l="1"/>
  <c r="K723" i="5" s="1"/>
  <c r="M720" i="5"/>
  <c r="M723" i="5" s="1"/>
  <c r="J772" i="5" l="1"/>
  <c r="M772" i="5" s="1"/>
  <c r="J748" i="5"/>
  <c r="M748" i="5" s="1"/>
  <c r="H793" i="5"/>
  <c r="J811" i="5" l="1"/>
  <c r="M811" i="5" s="1"/>
  <c r="J773" i="5"/>
  <c r="M773" i="5" s="1"/>
  <c r="J749" i="5"/>
  <c r="M749" i="5" s="1"/>
  <c r="J745" i="5"/>
  <c r="J834" i="5"/>
  <c r="J736" i="5"/>
  <c r="J775" i="5"/>
  <c r="M775" i="5" s="1"/>
  <c r="J774" i="5"/>
  <c r="H759" i="5"/>
  <c r="M834" i="5" l="1"/>
  <c r="J840" i="5"/>
  <c r="K840" i="5" s="1"/>
  <c r="J739" i="5" l="1"/>
  <c r="J742" i="5"/>
  <c r="J737" i="5"/>
  <c r="J740" i="5"/>
  <c r="J738" i="5"/>
  <c r="Q808" i="5" l="1"/>
  <c r="T808" i="5"/>
  <c r="M774" i="5"/>
  <c r="P808" i="5" l="1"/>
  <c r="Q737" i="5" l="1"/>
  <c r="M737" i="5"/>
  <c r="Q739" i="5"/>
  <c r="S739" i="5" s="1"/>
  <c r="M739" i="5"/>
  <c r="S737" i="5" l="1"/>
  <c r="P737" i="5"/>
  <c r="T774" i="5" l="1"/>
  <c r="P774" i="5" l="1"/>
  <c r="S774" i="5"/>
  <c r="T737" i="5" l="1"/>
  <c r="T739" i="5"/>
  <c r="P788" i="5" l="1"/>
  <c r="M788" i="5"/>
  <c r="M796" i="5" l="1"/>
  <c r="P796" i="5"/>
  <c r="M797" i="5"/>
  <c r="P797" i="5"/>
  <c r="T727" i="5" l="1"/>
  <c r="Q727" i="5"/>
  <c r="Q729" i="5" l="1"/>
  <c r="P727" i="5"/>
  <c r="P729" i="5" s="1"/>
  <c r="S729" i="5" l="1"/>
  <c r="T729" i="5"/>
  <c r="T832" i="5" l="1"/>
  <c r="Q832" i="5"/>
  <c r="P832" i="5" s="1"/>
  <c r="T814" i="5" l="1"/>
  <c r="T815" i="5"/>
  <c r="F107" i="13" l="1"/>
  <c r="Q117" i="4" l="1"/>
  <c r="Q49" i="4" l="1"/>
  <c r="B80" i="4" l="1"/>
  <c r="B81" i="4" l="1"/>
  <c r="B82" i="4" s="1"/>
  <c r="B83" i="4" l="1"/>
  <c r="B84" i="4" s="1"/>
  <c r="B85" i="4" l="1"/>
  <c r="B86" i="4" l="1"/>
  <c r="B87" i="4" s="1"/>
  <c r="B88" i="4" s="1"/>
  <c r="B89" i="4" l="1"/>
  <c r="B90" i="4" l="1"/>
  <c r="B93" i="4" s="1"/>
  <c r="B94" i="4" l="1"/>
  <c r="B95" i="4" l="1"/>
  <c r="B96" i="4" l="1"/>
  <c r="B97" i="4" s="1"/>
  <c r="B98" i="4" s="1"/>
  <c r="B101" i="4" s="1"/>
  <c r="B102" i="4" s="1"/>
  <c r="B103" i="4" s="1"/>
  <c r="B104" i="4" s="1"/>
  <c r="B105" i="4" s="1"/>
  <c r="B106" i="4" s="1"/>
  <c r="B107" i="4" s="1"/>
  <c r="B108" i="4" s="1"/>
  <c r="B109" i="4" s="1"/>
  <c r="B110" i="4" s="1"/>
  <c r="B112" i="4" s="1"/>
  <c r="B115" i="4" s="1"/>
  <c r="B116" i="4" s="1"/>
  <c r="B117" i="4" s="1"/>
  <c r="B118" i="4" s="1"/>
  <c r="B119" i="4" s="1"/>
  <c r="B120" i="4" s="1"/>
  <c r="B121" i="4" s="1"/>
  <c r="B122" i="4" s="1"/>
  <c r="B123" i="4" s="1"/>
  <c r="B125" i="4" s="1"/>
  <c r="B127" i="4" s="1"/>
  <c r="B148" i="4" l="1"/>
  <c r="B149" i="4" s="1"/>
  <c r="E42" i="9"/>
  <c r="L26" i="8"/>
  <c r="B150" i="4" l="1"/>
  <c r="B151" i="4" s="1"/>
  <c r="F21" i="9"/>
  <c r="J21" i="9" s="1"/>
  <c r="F46" i="9"/>
  <c r="F50" i="9" s="1"/>
  <c r="B152" i="4" l="1"/>
  <c r="B153" i="4" s="1"/>
  <c r="B154" i="4" s="1"/>
  <c r="F41" i="9"/>
  <c r="B155" i="4" l="1"/>
  <c r="B156" i="4" s="1"/>
  <c r="B157" i="4" l="1"/>
  <c r="B158" i="4" s="1"/>
  <c r="F18" i="9"/>
  <c r="J18" i="9" s="1"/>
  <c r="K18" i="9"/>
  <c r="B161" i="4" l="1"/>
  <c r="B162" i="4" s="1"/>
  <c r="B163" i="4" s="1"/>
  <c r="B164" i="4" s="1"/>
  <c r="B165" i="4" s="1"/>
  <c r="B166" i="4" s="1"/>
  <c r="B169" i="4" s="1"/>
  <c r="B170" i="4" s="1"/>
  <c r="B171" i="4" s="1"/>
  <c r="B172" i="4" s="1"/>
  <c r="B173" i="4" s="1"/>
  <c r="B174" i="4" s="1"/>
  <c r="B175" i="4" s="1"/>
  <c r="B176" i="4" s="1"/>
  <c r="B177" i="4" s="1"/>
  <c r="B178" i="4" s="1"/>
  <c r="B180" i="4" s="1"/>
  <c r="B183" i="4" s="1"/>
  <c r="B184" i="4" s="1"/>
  <c r="B185" i="4" s="1"/>
  <c r="B186" i="4" s="1"/>
  <c r="B187" i="4" s="1"/>
  <c r="B188" i="4" s="1"/>
  <c r="B189" i="4" s="1"/>
  <c r="B190" i="4" s="1"/>
  <c r="B191" i="4" s="1"/>
  <c r="B193" i="4" s="1"/>
  <c r="B195" i="4" s="1"/>
  <c r="E14" i="8" l="1"/>
  <c r="E14" i="9" l="1"/>
  <c r="I14" i="9" s="1"/>
  <c r="E28" i="9"/>
  <c r="E23" i="9" l="1"/>
  <c r="I23" i="9" s="1"/>
  <c r="E49" i="9"/>
  <c r="G13" i="8"/>
  <c r="E48" i="9"/>
  <c r="F43" i="9"/>
  <c r="K26" i="8"/>
  <c r="I21" i="9"/>
  <c r="G24" i="9"/>
  <c r="G12" i="8"/>
  <c r="G19" i="8"/>
  <c r="G17" i="8"/>
  <c r="D255" i="13"/>
  <c r="G16" i="8"/>
  <c r="K23" i="9" l="1"/>
  <c r="D268" i="13"/>
  <c r="F268" i="13" s="1"/>
  <c r="D262" i="13"/>
  <c r="F262" i="13" s="1"/>
  <c r="G26" i="8"/>
  <c r="F14" i="8"/>
  <c r="L14" i="8" s="1"/>
  <c r="F14" i="9" s="1"/>
  <c r="J14" i="9" s="1"/>
  <c r="G14" i="8"/>
  <c r="F18" i="8"/>
  <c r="F255" i="13"/>
  <c r="D257" i="13"/>
  <c r="F257" i="13" s="1"/>
  <c r="G18" i="8"/>
  <c r="G20" i="8" s="1"/>
  <c r="M26" i="8"/>
  <c r="E46" i="9"/>
  <c r="E50" i="9" s="1"/>
  <c r="K21" i="9"/>
  <c r="E18" i="8"/>
  <c r="K24" i="9" l="1"/>
  <c r="M14" i="8"/>
  <c r="G14" i="9" s="1"/>
  <c r="K14" i="9" s="1"/>
  <c r="G22" i="8"/>
  <c r="F28" i="9"/>
  <c r="L18" i="8"/>
  <c r="F31" i="9" s="1"/>
  <c r="F20" i="8"/>
  <c r="E20" i="8"/>
  <c r="K18" i="8"/>
  <c r="G46" i="9"/>
  <c r="G50" i="9" s="1"/>
  <c r="O26" i="8"/>
  <c r="M35" i="9" s="1"/>
  <c r="G28" i="9" l="1"/>
  <c r="L20" i="8"/>
  <c r="F22" i="8"/>
  <c r="L22" i="8" s="1"/>
  <c r="F39" i="9" s="1"/>
  <c r="F44" i="9" s="1"/>
  <c r="E31" i="9"/>
  <c r="M18" i="8"/>
  <c r="G31" i="9" s="1"/>
  <c r="K20" i="8"/>
  <c r="E22" i="8"/>
  <c r="K22" i="8" s="1"/>
  <c r="F16" i="9" l="1"/>
  <c r="F32" i="9"/>
  <c r="E16" i="9"/>
  <c r="M20" i="8"/>
  <c r="E32" i="9"/>
  <c r="E39" i="9"/>
  <c r="E44" i="9" s="1"/>
  <c r="M22" i="8"/>
  <c r="G39" i="9" s="1"/>
  <c r="G44" i="9" s="1"/>
  <c r="I16" i="9" l="1"/>
  <c r="E19" i="9"/>
  <c r="J16" i="9"/>
  <c r="F19" i="9"/>
  <c r="G16" i="9"/>
  <c r="G32" i="9"/>
  <c r="J19" i="9" l="1"/>
  <c r="I19" i="9"/>
  <c r="G19" i="9"/>
  <c r="K16" i="9"/>
  <c r="K19" i="9" l="1"/>
  <c r="D32" i="13"/>
  <c r="D299" i="13"/>
  <c r="D304" i="13" s="1"/>
  <c r="F304" i="13" s="1"/>
  <c r="D55" i="13" l="1"/>
  <c r="D61" i="13"/>
  <c r="D79" i="13"/>
  <c r="D43" i="13"/>
  <c r="D37" i="13"/>
  <c r="D49" i="13"/>
  <c r="T25" i="6" l="1"/>
  <c r="M25" i="6"/>
  <c r="Y25" i="6"/>
  <c r="R25" i="6"/>
  <c r="O25" i="6"/>
  <c r="L25" i="6"/>
  <c r="K25" i="6"/>
  <c r="Q25" i="6"/>
  <c r="W25" i="6"/>
  <c r="AA25" i="6"/>
  <c r="S25" i="6"/>
  <c r="X25" i="6"/>
  <c r="I25" i="6"/>
  <c r="P25" i="6"/>
  <c r="J25" i="6"/>
  <c r="Z25" i="6"/>
  <c r="V25" i="6"/>
  <c r="V26" i="6" s="1"/>
  <c r="U25" i="6"/>
  <c r="U26" i="6" s="1"/>
  <c r="U27" i="6" s="1"/>
  <c r="N25" i="6"/>
  <c r="H25" i="6"/>
  <c r="O26" i="6" l="1"/>
  <c r="O39" i="6" s="1"/>
  <c r="H26" i="6"/>
  <c r="F25" i="6"/>
  <c r="H27" i="6"/>
  <c r="X26" i="6"/>
  <c r="X39" i="6" s="1"/>
  <c r="X43" i="6" s="1"/>
  <c r="R26" i="6"/>
  <c r="R39" i="6" s="1"/>
  <c r="I26" i="6"/>
  <c r="I39" i="6" s="1"/>
  <c r="N26" i="6"/>
  <c r="N39" i="6" s="1"/>
  <c r="S26" i="6"/>
  <c r="S39" i="6" s="1"/>
  <c r="Y26" i="6"/>
  <c r="Y39" i="6" s="1"/>
  <c r="Y43" i="6" s="1"/>
  <c r="AA26" i="6"/>
  <c r="AA39" i="6" s="1"/>
  <c r="AA43" i="6" s="1"/>
  <c r="AA27" i="6"/>
  <c r="M26" i="6"/>
  <c r="M39" i="6" s="1"/>
  <c r="V27" i="6"/>
  <c r="V39" i="6"/>
  <c r="V43" i="6" s="1"/>
  <c r="W26" i="6"/>
  <c r="W39" i="6" s="1"/>
  <c r="W43" i="6" s="1"/>
  <c r="T26" i="6"/>
  <c r="T39" i="6" s="1"/>
  <c r="Z26" i="6"/>
  <c r="Z39" i="6" s="1"/>
  <c r="Z43" i="6" s="1"/>
  <c r="Q26" i="6"/>
  <c r="Q39" i="6" s="1"/>
  <c r="J26" i="6"/>
  <c r="J39" i="6" s="1"/>
  <c r="K26" i="6"/>
  <c r="K39" i="6" s="1"/>
  <c r="P26" i="6"/>
  <c r="P39" i="6" s="1"/>
  <c r="L26" i="6"/>
  <c r="L39" i="6" s="1"/>
  <c r="O27" i="6" l="1"/>
  <c r="M27" i="6"/>
  <c r="T27" i="6"/>
  <c r="R27" i="6"/>
  <c r="I27" i="6"/>
  <c r="J27" i="6"/>
  <c r="W27" i="6"/>
  <c r="Y27" i="6"/>
  <c r="Q27" i="6"/>
  <c r="K27" i="6"/>
  <c r="Q325" i="5"/>
  <c r="Q323" i="5"/>
  <c r="Q322" i="5"/>
  <c r="S43" i="6"/>
  <c r="S40" i="6"/>
  <c r="U39" i="6"/>
  <c r="U43" i="6" s="1"/>
  <c r="P27" i="6"/>
  <c r="N40" i="6"/>
  <c r="N44" i="6" s="1"/>
  <c r="N43" i="6"/>
  <c r="P43" i="6"/>
  <c r="P40" i="6"/>
  <c r="P44" i="6" s="1"/>
  <c r="Q595" i="5"/>
  <c r="Q594" i="5"/>
  <c r="Q546" i="5"/>
  <c r="Q547" i="5"/>
  <c r="Z27" i="6"/>
  <c r="M40" i="6"/>
  <c r="M44" i="6" s="1"/>
  <c r="M43" i="6"/>
  <c r="N27" i="6"/>
  <c r="X27" i="6"/>
  <c r="T683" i="5"/>
  <c r="Q571" i="5"/>
  <c r="Q570" i="5"/>
  <c r="Q324" i="5"/>
  <c r="K40" i="6"/>
  <c r="K44" i="6" s="1"/>
  <c r="K43" i="6"/>
  <c r="T43" i="6"/>
  <c r="T40" i="6"/>
  <c r="T44" i="6" s="1"/>
  <c r="Q452" i="5"/>
  <c r="Q451" i="5"/>
  <c r="Q480" i="5"/>
  <c r="Q479" i="5"/>
  <c r="Q428" i="5"/>
  <c r="Q423" i="5"/>
  <c r="Q366" i="5"/>
  <c r="Q371" i="5"/>
  <c r="Q284" i="5"/>
  <c r="Q283" i="5"/>
  <c r="Q286" i="5"/>
  <c r="Q422" i="5"/>
  <c r="Q427" i="5"/>
  <c r="Q421" i="5"/>
  <c r="Q429" i="5"/>
  <c r="Q426" i="5"/>
  <c r="Q424" i="5"/>
  <c r="Q369" i="5"/>
  <c r="Q372" i="5"/>
  <c r="Q367" i="5"/>
  <c r="Q365" i="5"/>
  <c r="Q364" i="5"/>
  <c r="Q370" i="5"/>
  <c r="T657" i="5"/>
  <c r="T615" i="5"/>
  <c r="J40" i="6"/>
  <c r="J44" i="6" s="1"/>
  <c r="J43" i="6"/>
  <c r="H39" i="6"/>
  <c r="F26" i="6"/>
  <c r="F27" i="6" s="1"/>
  <c r="Q285" i="5"/>
  <c r="L43" i="6"/>
  <c r="L40" i="6"/>
  <c r="L44" i="6" s="1"/>
  <c r="I40" i="6"/>
  <c r="I44" i="6" s="1"/>
  <c r="I43" i="6"/>
  <c r="L27" i="6"/>
  <c r="Q40" i="6"/>
  <c r="Q44" i="6" s="1"/>
  <c r="Q43" i="6"/>
  <c r="S27" i="6"/>
  <c r="R43" i="6"/>
  <c r="R40" i="6"/>
  <c r="R44" i="6" s="1"/>
  <c r="O40" i="6"/>
  <c r="O44" i="6" s="1"/>
  <c r="O43" i="6"/>
  <c r="O424" i="5" l="1"/>
  <c r="M424" i="5" s="1"/>
  <c r="O683" i="5"/>
  <c r="S683" i="5" s="1"/>
  <c r="O367" i="5"/>
  <c r="M367" i="5" s="1"/>
  <c r="O426" i="5"/>
  <c r="M426" i="5" s="1"/>
  <c r="O283" i="5"/>
  <c r="P283" i="5" s="1"/>
  <c r="Q287" i="5"/>
  <c r="Q596" i="5"/>
  <c r="O594" i="5"/>
  <c r="P594" i="5" s="1"/>
  <c r="O372" i="5"/>
  <c r="M372" i="5" s="1"/>
  <c r="O429" i="5"/>
  <c r="M429" i="5" s="1"/>
  <c r="O284" i="5"/>
  <c r="M284" i="5" s="1"/>
  <c r="O423" i="5"/>
  <c r="M423" i="5" s="1"/>
  <c r="O452" i="5"/>
  <c r="M452" i="5" s="1"/>
  <c r="Q572" i="5"/>
  <c r="O570" i="5"/>
  <c r="P570" i="5" s="1"/>
  <c r="O595" i="5"/>
  <c r="M595" i="5" s="1"/>
  <c r="Q326" i="5"/>
  <c r="R326" i="5" s="1"/>
  <c r="T326" i="5" s="1"/>
  <c r="O322" i="5"/>
  <c r="P322" i="5" s="1"/>
  <c r="O369" i="5"/>
  <c r="M369" i="5" s="1"/>
  <c r="O421" i="5"/>
  <c r="P421" i="5" s="1"/>
  <c r="O428" i="5"/>
  <c r="M428" i="5" s="1"/>
  <c r="O571" i="5"/>
  <c r="M571" i="5" s="1"/>
  <c r="O323" i="5"/>
  <c r="M323" i="5" s="1"/>
  <c r="S44" i="6"/>
  <c r="U40" i="6"/>
  <c r="U44" i="6" s="1"/>
  <c r="O427" i="5"/>
  <c r="M427" i="5" s="1"/>
  <c r="O371" i="5"/>
  <c r="M371" i="5" s="1"/>
  <c r="O657" i="5"/>
  <c r="M657" i="5" s="1"/>
  <c r="O615" i="5"/>
  <c r="M615" i="5" s="1"/>
  <c r="O285" i="5"/>
  <c r="M285" i="5" s="1"/>
  <c r="O422" i="5"/>
  <c r="M422" i="5" s="1"/>
  <c r="O366" i="5"/>
  <c r="M366" i="5" s="1"/>
  <c r="Q481" i="5"/>
  <c r="O479" i="5"/>
  <c r="O547" i="5"/>
  <c r="M547" i="5" s="1"/>
  <c r="O365" i="5"/>
  <c r="M365" i="5" s="1"/>
  <c r="Q238" i="5"/>
  <c r="Q240" i="5"/>
  <c r="Q237" i="5"/>
  <c r="O370" i="5"/>
  <c r="M370" i="5" s="1"/>
  <c r="O325" i="5"/>
  <c r="M325" i="5" s="1"/>
  <c r="O451" i="5"/>
  <c r="Q453" i="5"/>
  <c r="Q513" i="5"/>
  <c r="Q512" i="5"/>
  <c r="H43" i="6"/>
  <c r="H40" i="6"/>
  <c r="H44" i="6" s="1"/>
  <c r="O364" i="5"/>
  <c r="M364" i="5" s="1"/>
  <c r="O286" i="5"/>
  <c r="M286" i="5" s="1"/>
  <c r="O480" i="5"/>
  <c r="M480" i="5" s="1"/>
  <c r="O324" i="5"/>
  <c r="M324" i="5" s="1"/>
  <c r="Q548" i="5"/>
  <c r="O546" i="5"/>
  <c r="P546" i="5" s="1"/>
  <c r="P657" i="5" l="1"/>
  <c r="P286" i="5"/>
  <c r="P424" i="5"/>
  <c r="P284" i="5"/>
  <c r="P365" i="5"/>
  <c r="P369" i="5"/>
  <c r="P480" i="5"/>
  <c r="P422" i="5"/>
  <c r="P323" i="5"/>
  <c r="P423" i="5"/>
  <c r="P367" i="5"/>
  <c r="P325" i="5"/>
  <c r="P571" i="5"/>
  <c r="P572" i="5" s="1"/>
  <c r="S657" i="5"/>
  <c r="P428" i="5"/>
  <c r="P427" i="5"/>
  <c r="P372" i="5"/>
  <c r="P366" i="5"/>
  <c r="P452" i="5"/>
  <c r="P426" i="5"/>
  <c r="Q117" i="5"/>
  <c r="Q50" i="5"/>
  <c r="Q48" i="5"/>
  <c r="Q47" i="5"/>
  <c r="P324" i="5"/>
  <c r="M451" i="5"/>
  <c r="M453" i="5" s="1"/>
  <c r="O453" i="5"/>
  <c r="P371" i="5"/>
  <c r="P595" i="5"/>
  <c r="P596" i="5" s="1"/>
  <c r="Q49" i="5"/>
  <c r="Q165" i="5"/>
  <c r="Q239" i="5"/>
  <c r="Q241" i="5" s="1"/>
  <c r="R241" i="5" s="1"/>
  <c r="T241" i="5" s="1"/>
  <c r="Q196" i="5"/>
  <c r="Q195" i="5"/>
  <c r="Q198" i="5"/>
  <c r="R453" i="5"/>
  <c r="Q164" i="5"/>
  <c r="Q166" i="5"/>
  <c r="Q163" i="5"/>
  <c r="M594" i="5"/>
  <c r="M596" i="5" s="1"/>
  <c r="O596" i="5"/>
  <c r="Q220" i="5"/>
  <c r="Q514" i="5"/>
  <c r="R514" i="5" s="1"/>
  <c r="O512" i="5"/>
  <c r="P370" i="5"/>
  <c r="O237" i="5"/>
  <c r="P547" i="5"/>
  <c r="P548" i="5" s="1"/>
  <c r="P285" i="5"/>
  <c r="P287" i="5" s="1"/>
  <c r="M570" i="5"/>
  <c r="M572" i="5" s="1"/>
  <c r="O572" i="5"/>
  <c r="P429" i="5"/>
  <c r="R596" i="5"/>
  <c r="Q96" i="5"/>
  <c r="Q74" i="5"/>
  <c r="Q73" i="5"/>
  <c r="Q76" i="5"/>
  <c r="Q115" i="5"/>
  <c r="Q118" i="5"/>
  <c r="Q116" i="5"/>
  <c r="O240" i="5"/>
  <c r="M240" i="5" s="1"/>
  <c r="M421" i="5"/>
  <c r="M430" i="5" s="1"/>
  <c r="O430" i="5"/>
  <c r="R572" i="5"/>
  <c r="P683" i="5"/>
  <c r="M683" i="5"/>
  <c r="R548" i="5"/>
  <c r="Q197" i="5"/>
  <c r="Q221" i="5"/>
  <c r="Q219" i="5"/>
  <c r="Q218" i="5"/>
  <c r="O513" i="5"/>
  <c r="M513" i="5" s="1"/>
  <c r="O238" i="5"/>
  <c r="M238" i="5" s="1"/>
  <c r="P479" i="5"/>
  <c r="M479" i="5"/>
  <c r="M481" i="5" s="1"/>
  <c r="O481" i="5"/>
  <c r="S615" i="5"/>
  <c r="R287" i="5"/>
  <c r="T287" i="5" s="1"/>
  <c r="Q75" i="5"/>
  <c r="Q94" i="5"/>
  <c r="Q95" i="5"/>
  <c r="Q97" i="5"/>
  <c r="M546" i="5"/>
  <c r="M548" i="5" s="1"/>
  <c r="O548" i="5"/>
  <c r="P364" i="5"/>
  <c r="P451" i="5"/>
  <c r="P453" i="5" s="1"/>
  <c r="R481" i="5"/>
  <c r="P615" i="5"/>
  <c r="M322" i="5"/>
  <c r="M326" i="5" s="1"/>
  <c r="O326" i="5"/>
  <c r="S326" i="5" s="1"/>
  <c r="M283" i="5"/>
  <c r="M287" i="5" s="1"/>
  <c r="O287" i="5"/>
  <c r="S287" i="5" s="1"/>
  <c r="S596" i="5" l="1"/>
  <c r="S481" i="5"/>
  <c r="P326" i="5"/>
  <c r="P481" i="5"/>
  <c r="S453" i="5"/>
  <c r="S572" i="5"/>
  <c r="P513" i="5"/>
  <c r="O197" i="5"/>
  <c r="M197" i="5" s="1"/>
  <c r="M237" i="5"/>
  <c r="O195" i="5"/>
  <c r="P195" i="5" s="1"/>
  <c r="Q199" i="5"/>
  <c r="R199" i="5" s="1"/>
  <c r="T199" i="5" s="1"/>
  <c r="O47" i="5"/>
  <c r="P47" i="5" s="1"/>
  <c r="Q51" i="5"/>
  <c r="R51" i="5" s="1"/>
  <c r="T51" i="5" s="1"/>
  <c r="O218" i="5"/>
  <c r="P218" i="5" s="1"/>
  <c r="Q222" i="5"/>
  <c r="S548" i="5"/>
  <c r="O48" i="5"/>
  <c r="M48" i="5" s="1"/>
  <c r="O75" i="5"/>
  <c r="M75" i="5" s="1"/>
  <c r="O219" i="5"/>
  <c r="M219" i="5" s="1"/>
  <c r="P240" i="5"/>
  <c r="Q77" i="5"/>
  <c r="O73" i="5"/>
  <c r="P512" i="5"/>
  <c r="M512" i="5"/>
  <c r="M514" i="5" s="1"/>
  <c r="O514" i="5"/>
  <c r="O196" i="5"/>
  <c r="M196" i="5" s="1"/>
  <c r="O239" i="5"/>
  <c r="M239" i="5" s="1"/>
  <c r="O50" i="5"/>
  <c r="M50" i="5" s="1"/>
  <c r="O164" i="5"/>
  <c r="M164" i="5" s="1"/>
  <c r="O49" i="5"/>
  <c r="M49" i="5" s="1"/>
  <c r="O74" i="5"/>
  <c r="M74" i="5" s="1"/>
  <c r="O94" i="5"/>
  <c r="P94" i="5" s="1"/>
  <c r="Q98" i="5"/>
  <c r="R98" i="5" s="1"/>
  <c r="T98" i="5" s="1"/>
  <c r="P238" i="5"/>
  <c r="O221" i="5"/>
  <c r="M221" i="5" s="1"/>
  <c r="O116" i="5"/>
  <c r="M116" i="5" s="1"/>
  <c r="O165" i="5"/>
  <c r="M165" i="5" s="1"/>
  <c r="O97" i="5"/>
  <c r="M97" i="5" s="1"/>
  <c r="O118" i="5"/>
  <c r="M118" i="5" s="1"/>
  <c r="O96" i="5"/>
  <c r="M96" i="5" s="1"/>
  <c r="O220" i="5"/>
  <c r="M220" i="5" s="1"/>
  <c r="O163" i="5"/>
  <c r="P163" i="5" s="1"/>
  <c r="Q167" i="5"/>
  <c r="R167" i="5" s="1"/>
  <c r="T167" i="5" s="1"/>
  <c r="O115" i="5"/>
  <c r="P115" i="5" s="1"/>
  <c r="Q119" i="5"/>
  <c r="P237" i="5"/>
  <c r="O117" i="5"/>
  <c r="M117" i="5" s="1"/>
  <c r="O95" i="5"/>
  <c r="M95" i="5" s="1"/>
  <c r="O76" i="5"/>
  <c r="M76" i="5" s="1"/>
  <c r="O166" i="5"/>
  <c r="M166" i="5" s="1"/>
  <c r="O198" i="5"/>
  <c r="M198" i="5" s="1"/>
  <c r="P48" i="5" l="1"/>
  <c r="P74" i="5"/>
  <c r="P96" i="5"/>
  <c r="P239" i="5"/>
  <c r="P241" i="5" s="1"/>
  <c r="P198" i="5"/>
  <c r="P75" i="5"/>
  <c r="P197" i="5"/>
  <c r="P220" i="5"/>
  <c r="P221" i="5"/>
  <c r="P118" i="5"/>
  <c r="P49" i="5"/>
  <c r="P514" i="5"/>
  <c r="P76" i="5"/>
  <c r="P117" i="5"/>
  <c r="P166" i="5"/>
  <c r="P196" i="5"/>
  <c r="P219" i="5"/>
  <c r="P165" i="5"/>
  <c r="P50" i="5"/>
  <c r="Q25" i="5"/>
  <c r="R77" i="5"/>
  <c r="T77" i="5" s="1"/>
  <c r="R222" i="5"/>
  <c r="T222" i="5" s="1"/>
  <c r="M195" i="5"/>
  <c r="M199" i="5" s="1"/>
  <c r="O199" i="5"/>
  <c r="S199" i="5" s="1"/>
  <c r="Q26" i="5"/>
  <c r="Q24" i="5"/>
  <c r="Q23" i="5"/>
  <c r="M218" i="5"/>
  <c r="M222" i="5" s="1"/>
  <c r="O222" i="5"/>
  <c r="S222" i="5" s="1"/>
  <c r="O241" i="5"/>
  <c r="S241" i="5" s="1"/>
  <c r="M73" i="5"/>
  <c r="M77" i="5" s="1"/>
  <c r="O77" i="5"/>
  <c r="S77" i="5" s="1"/>
  <c r="P95" i="5"/>
  <c r="R119" i="5"/>
  <c r="T119" i="5" s="1"/>
  <c r="P97" i="5"/>
  <c r="P116" i="5"/>
  <c r="P164" i="5"/>
  <c r="S514" i="5"/>
  <c r="M241" i="5"/>
  <c r="M115" i="5"/>
  <c r="M119" i="5" s="1"/>
  <c r="O119" i="5"/>
  <c r="S119" i="5" s="1"/>
  <c r="M163" i="5"/>
  <c r="M167" i="5" s="1"/>
  <c r="O167" i="5"/>
  <c r="S167" i="5" s="1"/>
  <c r="M94" i="5"/>
  <c r="M98" i="5" s="1"/>
  <c r="O98" i="5"/>
  <c r="S98" i="5" s="1"/>
  <c r="P73" i="5"/>
  <c r="M47" i="5"/>
  <c r="M51" i="5" s="1"/>
  <c r="O51" i="5"/>
  <c r="S51" i="5" s="1"/>
  <c r="P51" i="5" l="1"/>
  <c r="P167" i="5"/>
  <c r="P199" i="5"/>
  <c r="P222" i="5"/>
  <c r="P77" i="5"/>
  <c r="P119" i="5"/>
  <c r="P98" i="5"/>
  <c r="Q27" i="5"/>
  <c r="R27" i="5" s="1"/>
  <c r="T27" i="5" s="1"/>
  <c r="O23" i="5"/>
  <c r="P23" i="5" s="1"/>
  <c r="O25" i="5"/>
  <c r="M25" i="5" s="1"/>
  <c r="O24" i="5"/>
  <c r="M24" i="5" s="1"/>
  <c r="O26" i="5"/>
  <c r="M26" i="5" s="1"/>
  <c r="P25" i="5" l="1"/>
  <c r="P26" i="5"/>
  <c r="Q108" i="5"/>
  <c r="P24" i="5"/>
  <c r="M23" i="5"/>
  <c r="M27" i="5" s="1"/>
  <c r="O27" i="5"/>
  <c r="T68" i="5"/>
  <c r="Q68" i="5"/>
  <c r="P27" i="5" l="1"/>
  <c r="S27" i="5"/>
  <c r="D44" i="13"/>
  <c r="F44" i="13" s="1"/>
  <c r="Q88" i="5"/>
  <c r="Q87" i="5"/>
  <c r="O68" i="5"/>
  <c r="S68" i="5" s="1"/>
  <c r="O108" i="5"/>
  <c r="P108" i="5" s="1"/>
  <c r="Q109" i="5"/>
  <c r="Q110" i="5" s="1"/>
  <c r="P68" i="5" l="1"/>
  <c r="D38" i="13"/>
  <c r="F38" i="13" s="1"/>
  <c r="M68" i="5"/>
  <c r="O88" i="5"/>
  <c r="M88" i="5" s="1"/>
  <c r="Q89" i="5"/>
  <c r="O87" i="5"/>
  <c r="O109" i="5"/>
  <c r="M109" i="5" s="1"/>
  <c r="R110" i="5"/>
  <c r="T110" i="5" s="1"/>
  <c r="M108" i="5"/>
  <c r="O110" i="5" l="1"/>
  <c r="S110" i="5" s="1"/>
  <c r="M110" i="5"/>
  <c r="P109" i="5"/>
  <c r="P110" i="5" s="1"/>
  <c r="P88" i="5"/>
  <c r="P87" i="5"/>
  <c r="O89" i="5"/>
  <c r="S89" i="5" s="1"/>
  <c r="M87" i="5"/>
  <c r="M89" i="5" s="1"/>
  <c r="R89" i="5"/>
  <c r="T89" i="5" s="1"/>
  <c r="P89" i="5" l="1"/>
  <c r="D293" i="13" l="1"/>
  <c r="D294" i="13" s="1"/>
  <c r="D195" i="13"/>
  <c r="F195" i="13" s="1"/>
  <c r="D190" i="13"/>
  <c r="F190" i="13" s="1"/>
  <c r="F294" i="13" l="1"/>
  <c r="T630" i="5" l="1"/>
  <c r="T697" i="5"/>
  <c r="T672" i="5"/>
  <c r="J234" i="5" l="1"/>
  <c r="Q695" i="5"/>
  <c r="P695" i="5" s="1"/>
  <c r="T695" i="5"/>
  <c r="Q670" i="5"/>
  <c r="P670" i="5" s="1"/>
  <c r="T670" i="5"/>
  <c r="O232" i="5" l="1"/>
  <c r="K234" i="5"/>
  <c r="J245" i="5"/>
  <c r="O672" i="5"/>
  <c r="S672" i="5" s="1"/>
  <c r="T143" i="5"/>
  <c r="Q143" i="5"/>
  <c r="Q628" i="5"/>
  <c r="P628" i="5" s="1"/>
  <c r="T628" i="5"/>
  <c r="O697" i="5"/>
  <c r="S697" i="5" s="1"/>
  <c r="Q409" i="5"/>
  <c r="T409" i="5"/>
  <c r="T105" i="5"/>
  <c r="Q105" i="5"/>
  <c r="Q66" i="5"/>
  <c r="T66" i="5"/>
  <c r="Q603" i="5"/>
  <c r="T603" i="5"/>
  <c r="O630" i="5"/>
  <c r="P630" i="5" s="1"/>
  <c r="Q84" i="5"/>
  <c r="T84" i="5"/>
  <c r="Q645" i="5"/>
  <c r="T645" i="5"/>
  <c r="Q530" i="5"/>
  <c r="T530" i="5"/>
  <c r="T505" i="5"/>
  <c r="Q505" i="5"/>
  <c r="P672" i="5" l="1"/>
  <c r="K245" i="5"/>
  <c r="P530" i="5"/>
  <c r="S530" i="5"/>
  <c r="S630" i="5"/>
  <c r="M630" i="5"/>
  <c r="M632" i="5" s="1"/>
  <c r="O632" i="5"/>
  <c r="S66" i="5"/>
  <c r="P66" i="5"/>
  <c r="P645" i="5"/>
  <c r="S645" i="5"/>
  <c r="S603" i="5"/>
  <c r="P603" i="5"/>
  <c r="T256" i="5"/>
  <c r="Q256" i="5"/>
  <c r="M672" i="5"/>
  <c r="M674" i="5" s="1"/>
  <c r="O674" i="5"/>
  <c r="P697" i="5"/>
  <c r="O699" i="5"/>
  <c r="M697" i="5"/>
  <c r="M699" i="5" s="1"/>
  <c r="P505" i="5"/>
  <c r="P409" i="5"/>
  <c r="S409" i="5"/>
  <c r="S84" i="5"/>
  <c r="P84" i="5"/>
  <c r="S105" i="5"/>
  <c r="P105" i="5"/>
  <c r="P143" i="5"/>
  <c r="S143" i="5"/>
  <c r="J160" i="5" l="1"/>
  <c r="J192" i="5"/>
  <c r="J215" i="5"/>
  <c r="P256" i="5"/>
  <c r="G153" i="4" l="1"/>
  <c r="Q153" i="4"/>
  <c r="G156" i="4"/>
  <c r="Q156" i="4"/>
  <c r="O158" i="5"/>
  <c r="K215" i="5"/>
  <c r="J226" i="5"/>
  <c r="O213" i="5"/>
  <c r="K192" i="5"/>
  <c r="J203" i="5"/>
  <c r="O190" i="5"/>
  <c r="K160" i="5"/>
  <c r="J171" i="5"/>
  <c r="G154" i="4" l="1"/>
  <c r="Q154" i="4"/>
  <c r="K203" i="5"/>
  <c r="K171" i="5"/>
  <c r="K226" i="5"/>
  <c r="J703" i="5"/>
  <c r="F158" i="4"/>
  <c r="G155" i="4" l="1"/>
  <c r="G158" i="4" s="1"/>
  <c r="G180" i="4" s="1"/>
  <c r="Q155" i="4"/>
  <c r="F180" i="4"/>
  <c r="Q158" i="4"/>
  <c r="F22" i="4" l="1"/>
  <c r="F44" i="4" s="1"/>
  <c r="Q180" i="4"/>
  <c r="Q209" i="5" l="1"/>
  <c r="Q210" i="5"/>
  <c r="O210" i="5" l="1"/>
  <c r="M210" i="5" s="1"/>
  <c r="D62" i="13"/>
  <c r="F62" i="13" s="1"/>
  <c r="Q211" i="5"/>
  <c r="R211" i="5" s="1"/>
  <c r="T211" i="5" s="1"/>
  <c r="O209" i="5"/>
  <c r="P210" i="5" l="1"/>
  <c r="Q186" i="5"/>
  <c r="Q185" i="5"/>
  <c r="P209" i="5"/>
  <c r="P211" i="5" s="1"/>
  <c r="O211" i="5"/>
  <c r="M209" i="5"/>
  <c r="M211" i="5" s="1"/>
  <c r="M215" i="5" s="1"/>
  <c r="Q187" i="5"/>
  <c r="D80" i="13" l="1"/>
  <c r="F80" i="13" s="1"/>
  <c r="S211" i="5"/>
  <c r="O215" i="5"/>
  <c r="Q231" i="5"/>
  <c r="T231" i="5"/>
  <c r="O186" i="5"/>
  <c r="M186" i="5" s="1"/>
  <c r="O185" i="5"/>
  <c r="Q188" i="5"/>
  <c r="O187" i="5"/>
  <c r="M187" i="5" s="1"/>
  <c r="R188" i="5" l="1"/>
  <c r="T188" i="5" s="1"/>
  <c r="D56" i="13"/>
  <c r="F56" i="13" s="1"/>
  <c r="O231" i="5"/>
  <c r="S231" i="5" s="1"/>
  <c r="P187" i="5"/>
  <c r="P186" i="5"/>
  <c r="P185" i="5"/>
  <c r="O188" i="5"/>
  <c r="M185" i="5"/>
  <c r="M188" i="5" s="1"/>
  <c r="M192" i="5" s="1"/>
  <c r="P231" i="5" l="1"/>
  <c r="M231" i="5"/>
  <c r="O192" i="5"/>
  <c r="P188" i="5"/>
  <c r="S188" i="5"/>
  <c r="Q679" i="5" l="1"/>
  <c r="T679" i="5"/>
  <c r="O679" i="5" l="1"/>
  <c r="M679" i="5" l="1"/>
  <c r="S679" i="5"/>
  <c r="P679" i="5"/>
  <c r="T138" i="5" l="1"/>
  <c r="T260" i="5" l="1"/>
  <c r="O136" i="5" l="1"/>
  <c r="M135" i="5"/>
  <c r="M136" i="5" s="1"/>
  <c r="O138" i="5"/>
  <c r="S138" i="5" s="1"/>
  <c r="P138" i="5" l="1"/>
  <c r="M138" i="5"/>
  <c r="M140" i="5" s="1"/>
  <c r="O140" i="5"/>
  <c r="Q377" i="5" l="1"/>
  <c r="D146" i="13" l="1"/>
  <c r="F146" i="13" s="1"/>
  <c r="Q433" i="5"/>
  <c r="Q621" i="5"/>
  <c r="T621" i="5"/>
  <c r="Q434" i="5"/>
  <c r="T688" i="5"/>
  <c r="Q688" i="5"/>
  <c r="T663" i="5"/>
  <c r="Q663" i="5"/>
  <c r="Q376" i="5"/>
  <c r="O377" i="5"/>
  <c r="M377" i="5" s="1"/>
  <c r="T623" i="5"/>
  <c r="Q623" i="5"/>
  <c r="P623" i="5" s="1"/>
  <c r="G44" i="15" l="1"/>
  <c r="O434" i="5"/>
  <c r="M434" i="5" s="1"/>
  <c r="O376" i="5"/>
  <c r="P376" i="5" s="1"/>
  <c r="Q378" i="5"/>
  <c r="G24" i="15"/>
  <c r="Q692" i="5"/>
  <c r="P692" i="5" s="1"/>
  <c r="T692" i="5"/>
  <c r="P663" i="5"/>
  <c r="G32" i="15"/>
  <c r="T690" i="5"/>
  <c r="Q690" i="5"/>
  <c r="P690" i="5" s="1"/>
  <c r="O433" i="5"/>
  <c r="P433" i="5" s="1"/>
  <c r="Q435" i="5"/>
  <c r="P377" i="5"/>
  <c r="T666" i="5"/>
  <c r="Q666" i="5"/>
  <c r="P666" i="5" s="1"/>
  <c r="S688" i="5"/>
  <c r="P688" i="5"/>
  <c r="P621" i="5"/>
  <c r="Q624" i="5"/>
  <c r="P624" i="5" s="1"/>
  <c r="T624" i="5"/>
  <c r="Q691" i="5"/>
  <c r="P691" i="5" s="1"/>
  <c r="T691" i="5"/>
  <c r="Q665" i="5"/>
  <c r="P665" i="5" s="1"/>
  <c r="T665" i="5"/>
  <c r="D166" i="13" l="1"/>
  <c r="F166" i="13" s="1"/>
  <c r="T693" i="5"/>
  <c r="Q693" i="5"/>
  <c r="P693" i="5" s="1"/>
  <c r="P699" i="5" s="1"/>
  <c r="T625" i="5"/>
  <c r="Q625" i="5"/>
  <c r="P625" i="5" s="1"/>
  <c r="P378" i="5"/>
  <c r="P434" i="5"/>
  <c r="P435" i="5" s="1"/>
  <c r="R378" i="5"/>
  <c r="T378" i="5" s="1"/>
  <c r="M376" i="5"/>
  <c r="M378" i="5" s="1"/>
  <c r="O378" i="5"/>
  <c r="Q667" i="5"/>
  <c r="T667" i="5"/>
  <c r="T626" i="5"/>
  <c r="Q626" i="5"/>
  <c r="P626" i="5" s="1"/>
  <c r="Q668" i="5"/>
  <c r="P668" i="5" s="1"/>
  <c r="T668" i="5"/>
  <c r="O435" i="5"/>
  <c r="M433" i="5"/>
  <c r="M435" i="5" s="1"/>
  <c r="P632" i="5" l="1"/>
  <c r="Q632" i="5"/>
  <c r="Q699" i="5"/>
  <c r="P667" i="5"/>
  <c r="P674" i="5" s="1"/>
  <c r="Q674" i="5"/>
  <c r="R632" i="5"/>
  <c r="T632" i="5" s="1"/>
  <c r="S378" i="5"/>
  <c r="S632" i="5" l="1"/>
  <c r="S699" i="5"/>
  <c r="R699" i="5"/>
  <c r="T699" i="5" s="1"/>
  <c r="R674" i="5"/>
  <c r="T674" i="5" s="1"/>
  <c r="S674" i="5"/>
  <c r="Q419" i="5"/>
  <c r="P419" i="5" s="1"/>
  <c r="Q362" i="5"/>
  <c r="Q361" i="5"/>
  <c r="Q418" i="5"/>
  <c r="O362" i="5" l="1"/>
  <c r="M362" i="5" s="1"/>
  <c r="Q373" i="5"/>
  <c r="O361" i="5"/>
  <c r="P361" i="5" s="1"/>
  <c r="D218" i="13"/>
  <c r="F218" i="13" s="1"/>
  <c r="Q430" i="5"/>
  <c r="P418" i="5"/>
  <c r="P430" i="5" s="1"/>
  <c r="P362" i="5" l="1"/>
  <c r="P373" i="5" s="1"/>
  <c r="M361" i="5"/>
  <c r="M373" i="5" s="1"/>
  <c r="O373" i="5"/>
  <c r="R373" i="5"/>
  <c r="T373" i="5" s="1"/>
  <c r="D232" i="13"/>
  <c r="F232" i="13" s="1"/>
  <c r="S373" i="5" l="1"/>
  <c r="P783" i="5" l="1"/>
  <c r="M783" i="5" l="1"/>
  <c r="J799" i="5" l="1"/>
  <c r="J800" i="5" l="1"/>
  <c r="J803" i="5" s="1"/>
  <c r="H803" i="5"/>
  <c r="M799" i="5"/>
  <c r="K803" i="5" l="1"/>
  <c r="H821" i="5"/>
  <c r="J809" i="5"/>
  <c r="M809" i="5" l="1"/>
  <c r="J759" i="5" l="1"/>
  <c r="K759" i="5" s="1"/>
  <c r="M838" i="5" l="1"/>
  <c r="M840" i="5" s="1"/>
  <c r="O840" i="5"/>
  <c r="J771" i="5" l="1"/>
  <c r="M771" i="5" l="1"/>
  <c r="T798" i="5" l="1"/>
  <c r="Q798" i="5"/>
  <c r="P798" i="5" l="1"/>
  <c r="S798" i="5"/>
  <c r="Q721" i="5" l="1"/>
  <c r="P721" i="5" s="1"/>
  <c r="T721" i="5"/>
  <c r="T720" i="5" l="1"/>
  <c r="Q720" i="5"/>
  <c r="Q723" i="5" l="1"/>
  <c r="P720" i="5"/>
  <c r="P723" i="5" s="1"/>
  <c r="S723" i="5" l="1"/>
  <c r="T723" i="5"/>
  <c r="Q116" i="4" l="1"/>
  <c r="Q47" i="4" l="1"/>
  <c r="Q115" i="4"/>
  <c r="Q834" i="5" l="1"/>
  <c r="P834" i="5" s="1"/>
  <c r="T834" i="5"/>
  <c r="M740" i="5" l="1"/>
  <c r="M738" i="5" l="1"/>
  <c r="T811" i="5"/>
  <c r="Q811" i="5"/>
  <c r="P811" i="5" s="1"/>
  <c r="T772" i="5"/>
  <c r="Q772" i="5"/>
  <c r="Q771" i="5"/>
  <c r="T771" i="5"/>
  <c r="M745" i="5"/>
  <c r="P771" i="5" l="1"/>
  <c r="S771" i="5"/>
  <c r="K16" i="4"/>
  <c r="S772" i="5"/>
  <c r="P772" i="5"/>
  <c r="K109" i="4"/>
  <c r="G109" i="4" s="1"/>
  <c r="K41" i="4"/>
  <c r="G41" i="4" s="1"/>
  <c r="K21" i="4"/>
  <c r="K89" i="4"/>
  <c r="G89" i="4" s="1"/>
  <c r="M742" i="5"/>
  <c r="M736" i="5" l="1"/>
  <c r="K108" i="4"/>
  <c r="G108" i="4" s="1"/>
  <c r="K107" i="4"/>
  <c r="G107" i="4" s="1"/>
  <c r="G16" i="4"/>
  <c r="O52" i="6"/>
  <c r="O62" i="6" s="1"/>
  <c r="O66" i="6" s="1"/>
  <c r="I52" i="6"/>
  <c r="I62" i="6" s="1"/>
  <c r="I66" i="6" s="1"/>
  <c r="M148" i="5"/>
  <c r="M147" i="5"/>
  <c r="M607" i="5"/>
  <c r="K84" i="4"/>
  <c r="G84" i="4" s="1"/>
  <c r="K17" i="11"/>
  <c r="K18" i="11"/>
  <c r="K38" i="11"/>
  <c r="K22" i="11"/>
  <c r="K45" i="11"/>
  <c r="K42" i="11"/>
  <c r="K16" i="11"/>
  <c r="K24" i="11"/>
  <c r="K20" i="11"/>
  <c r="K21" i="11"/>
  <c r="K44" i="11"/>
  <c r="K43" i="11"/>
  <c r="K30" i="11"/>
  <c r="K19" i="11"/>
  <c r="K37" i="11"/>
  <c r="K31" i="11"/>
  <c r="K33" i="11"/>
  <c r="K32" i="11"/>
  <c r="K39" i="11"/>
  <c r="K29" i="11"/>
  <c r="K40" i="11"/>
  <c r="K23" i="11"/>
  <c r="I48" i="11"/>
  <c r="K15" i="11"/>
  <c r="K41" i="11"/>
  <c r="K25" i="11"/>
  <c r="Y52" i="6"/>
  <c r="Y62" i="6" s="1"/>
  <c r="Y66" i="6" s="1"/>
  <c r="U52" i="6"/>
  <c r="K40" i="4"/>
  <c r="G40" i="4" s="1"/>
  <c r="N52" i="6"/>
  <c r="N62" i="6" s="1"/>
  <c r="N66" i="6" s="1"/>
  <c r="V52" i="6"/>
  <c r="V62" i="6" s="1"/>
  <c r="V66" i="6" s="1"/>
  <c r="AA52" i="6"/>
  <c r="AA62" i="6" s="1"/>
  <c r="AA66" i="6" s="1"/>
  <c r="M471" i="5"/>
  <c r="M472" i="5"/>
  <c r="M473" i="5"/>
  <c r="Q52" i="6"/>
  <c r="Q62" i="6" s="1"/>
  <c r="Q66" i="6" s="1"/>
  <c r="K52" i="6"/>
  <c r="K62" i="6" s="1"/>
  <c r="K66" i="6" s="1"/>
  <c r="M52" i="6"/>
  <c r="M62" i="6" s="1"/>
  <c r="M66" i="6" s="1"/>
  <c r="P52" i="6"/>
  <c r="P62" i="6" s="1"/>
  <c r="P66" i="6" s="1"/>
  <c r="R52" i="6"/>
  <c r="R62" i="6" s="1"/>
  <c r="R66" i="6" s="1"/>
  <c r="M155" i="5"/>
  <c r="M154" i="5"/>
  <c r="M310" i="5"/>
  <c r="M308" i="5"/>
  <c r="M309" i="5"/>
  <c r="M311" i="5"/>
  <c r="G21" i="4"/>
  <c r="M490" i="5"/>
  <c r="M491" i="5"/>
  <c r="J52" i="6"/>
  <c r="J62" i="6" s="1"/>
  <c r="J66" i="6" s="1"/>
  <c r="M649" i="5"/>
  <c r="M40" i="5"/>
  <c r="M39" i="5"/>
  <c r="M41" i="5"/>
  <c r="M38" i="5"/>
  <c r="M37" i="5"/>
  <c r="S52" i="6"/>
  <c r="S62" i="6" s="1"/>
  <c r="L52" i="6"/>
  <c r="L62" i="6" s="1"/>
  <c r="L66" i="6" s="1"/>
  <c r="T52" i="6"/>
  <c r="T62" i="6" s="1"/>
  <c r="T66" i="6" s="1"/>
  <c r="K39" i="4"/>
  <c r="G39" i="4" s="1"/>
  <c r="M347" i="5"/>
  <c r="X52" i="6"/>
  <c r="X62" i="6" s="1"/>
  <c r="X66" i="6" s="1"/>
  <c r="Z52" i="6"/>
  <c r="Z62" i="6" s="1"/>
  <c r="Z66" i="6" s="1"/>
  <c r="W52" i="6"/>
  <c r="W62" i="6" s="1"/>
  <c r="W66" i="6" s="1"/>
  <c r="K34" i="11" l="1"/>
  <c r="K33" i="4"/>
  <c r="M470" i="5"/>
  <c r="M474" i="5" s="1"/>
  <c r="M476" i="5" s="1"/>
  <c r="O474" i="5"/>
  <c r="O476" i="5" s="1"/>
  <c r="K36" i="4"/>
  <c r="G36" i="4" s="1"/>
  <c r="K104" i="4"/>
  <c r="G104" i="4" s="1"/>
  <c r="M146" i="5"/>
  <c r="M149" i="5" s="1"/>
  <c r="O149" i="5"/>
  <c r="M269" i="5"/>
  <c r="M270" i="5"/>
  <c r="M271" i="5"/>
  <c r="M272" i="5"/>
  <c r="K96" i="4"/>
  <c r="G96" i="4" s="1"/>
  <c r="K28" i="4"/>
  <c r="G28" i="4" s="1"/>
  <c r="K26" i="4"/>
  <c r="G26" i="4" s="1"/>
  <c r="K94" i="4"/>
  <c r="G94" i="4" s="1"/>
  <c r="K17" i="4"/>
  <c r="G17" i="4" s="1"/>
  <c r="K85" i="4"/>
  <c r="G85" i="4" s="1"/>
  <c r="H52" i="6"/>
  <c r="H66" i="6" s="1"/>
  <c r="F51" i="6"/>
  <c r="F52" i="6" s="1"/>
  <c r="M444" i="5"/>
  <c r="M445" i="5"/>
  <c r="M489" i="5"/>
  <c r="M492" i="5" s="1"/>
  <c r="M502" i="5" s="1"/>
  <c r="O492" i="5"/>
  <c r="O502" i="5" s="1"/>
  <c r="K12" i="4"/>
  <c r="G12" i="4" s="1"/>
  <c r="K80" i="4"/>
  <c r="G80" i="4" s="1"/>
  <c r="M648" i="5"/>
  <c r="M659" i="5" s="1"/>
  <c r="M676" i="5" s="1"/>
  <c r="O659" i="5"/>
  <c r="O676" i="5" s="1"/>
  <c r="K83" i="4"/>
  <c r="G83" i="4" s="1"/>
  <c r="K15" i="4"/>
  <c r="G15" i="4" s="1"/>
  <c r="K27" i="4"/>
  <c r="G27" i="4" s="1"/>
  <c r="K95" i="4"/>
  <c r="G95" i="4" s="1"/>
  <c r="K88" i="4"/>
  <c r="G88" i="4" s="1"/>
  <c r="K20" i="4"/>
  <c r="G20" i="4" s="1"/>
  <c r="K14" i="4"/>
  <c r="G14" i="4" s="1"/>
  <c r="K82" i="4"/>
  <c r="G82" i="4" s="1"/>
  <c r="M681" i="5"/>
  <c r="M684" i="5" s="1"/>
  <c r="M701" i="5" s="1"/>
  <c r="O684" i="5"/>
  <c r="O701" i="5" s="1"/>
  <c r="K93" i="4"/>
  <c r="K102" i="4"/>
  <c r="G102" i="4" s="1"/>
  <c r="K34" i="4"/>
  <c r="G34" i="4" s="1"/>
  <c r="M15" i="5"/>
  <c r="M16" i="5"/>
  <c r="M17" i="5"/>
  <c r="K37" i="4"/>
  <c r="G37" i="4" s="1"/>
  <c r="K105" i="4"/>
  <c r="G105" i="4" s="1"/>
  <c r="O348" i="5"/>
  <c r="O358" i="5" s="1"/>
  <c r="M346" i="5"/>
  <c r="M348" i="5" s="1"/>
  <c r="M358" i="5" s="1"/>
  <c r="K86" i="4"/>
  <c r="G86" i="4" s="1"/>
  <c r="K18" i="4"/>
  <c r="G18" i="4" s="1"/>
  <c r="K19" i="4"/>
  <c r="G19" i="4" s="1"/>
  <c r="K87" i="4"/>
  <c r="G87" i="4" s="1"/>
  <c r="M36" i="5"/>
  <c r="M42" i="5" s="1"/>
  <c r="M44" i="5" s="1"/>
  <c r="O42" i="5"/>
  <c r="O44" i="5" s="1"/>
  <c r="K13" i="4"/>
  <c r="G13" i="4" s="1"/>
  <c r="K81" i="4"/>
  <c r="G81" i="4" s="1"/>
  <c r="O156" i="5"/>
  <c r="M153" i="5"/>
  <c r="M156" i="5" s="1"/>
  <c r="S66" i="6"/>
  <c r="U62" i="6"/>
  <c r="U66" i="6" s="1"/>
  <c r="K35" i="4"/>
  <c r="G35" i="4" s="1"/>
  <c r="K103" i="4"/>
  <c r="G103" i="4" s="1"/>
  <c r="M557" i="5"/>
  <c r="M561" i="5" s="1"/>
  <c r="O561" i="5"/>
  <c r="K97" i="4"/>
  <c r="G97" i="4" s="1"/>
  <c r="K29" i="4"/>
  <c r="G29" i="4" s="1"/>
  <c r="K26" i="11"/>
  <c r="O617" i="5"/>
  <c r="O634" i="5" s="1"/>
  <c r="M606" i="5"/>
  <c r="M617" i="5" s="1"/>
  <c r="M634" i="5" s="1"/>
  <c r="K25" i="4"/>
  <c r="M531" i="5"/>
  <c r="M536" i="5" s="1"/>
  <c r="O536" i="5"/>
  <c r="M307" i="5"/>
  <c r="M312" i="5" s="1"/>
  <c r="M314" i="5" s="1"/>
  <c r="O312" i="5"/>
  <c r="O314" i="5" s="1"/>
  <c r="K106" i="4"/>
  <c r="G106" i="4" s="1"/>
  <c r="K38" i="4"/>
  <c r="G38" i="4" s="1"/>
  <c r="I19" i="11"/>
  <c r="M19" i="11" s="1"/>
  <c r="I41" i="11"/>
  <c r="M41" i="11" s="1"/>
  <c r="I17" i="11"/>
  <c r="M17" i="11" s="1"/>
  <c r="I16" i="11"/>
  <c r="M16" i="11" s="1"/>
  <c r="I32" i="11"/>
  <c r="M32" i="11" s="1"/>
  <c r="I22" i="11"/>
  <c r="M22" i="11" s="1"/>
  <c r="I15" i="11"/>
  <c r="I43" i="11"/>
  <c r="M43" i="11" s="1"/>
  <c r="I31" i="11"/>
  <c r="M31" i="11" s="1"/>
  <c r="I39" i="11"/>
  <c r="M39" i="11" s="1"/>
  <c r="I18" i="11"/>
  <c r="M18" i="11" s="1"/>
  <c r="I23" i="11"/>
  <c r="M23" i="11" s="1"/>
  <c r="I45" i="11"/>
  <c r="M45" i="11" s="1"/>
  <c r="I33" i="11"/>
  <c r="M33" i="11" s="1"/>
  <c r="I20" i="11"/>
  <c r="M20" i="11" s="1"/>
  <c r="I37" i="11"/>
  <c r="I42" i="11"/>
  <c r="M42" i="11" s="1"/>
  <c r="I21" i="11"/>
  <c r="M21" i="11" s="1"/>
  <c r="I40" i="11"/>
  <c r="M40" i="11" s="1"/>
  <c r="I44" i="11"/>
  <c r="M44" i="11" s="1"/>
  <c r="I30" i="11"/>
  <c r="M30" i="11" s="1"/>
  <c r="I29" i="11"/>
  <c r="I24" i="11"/>
  <c r="M24" i="11" s="1"/>
  <c r="I25" i="11"/>
  <c r="M25" i="11" s="1"/>
  <c r="I38" i="11"/>
  <c r="M38" i="11" s="1"/>
  <c r="K46" i="11"/>
  <c r="Q749" i="5" l="1"/>
  <c r="T749" i="5"/>
  <c r="Q745" i="5"/>
  <c r="T745" i="5"/>
  <c r="Q738" i="5"/>
  <c r="T738" i="5"/>
  <c r="T736" i="5"/>
  <c r="Q736" i="5"/>
  <c r="T746" i="5"/>
  <c r="Q746" i="5"/>
  <c r="T817" i="5"/>
  <c r="M29" i="11"/>
  <c r="M34" i="11" s="1"/>
  <c r="I34" i="11"/>
  <c r="M85" i="5"/>
  <c r="M91" i="5" s="1"/>
  <c r="O91" i="5"/>
  <c r="G25" i="4"/>
  <c r="G30" i="4" s="1"/>
  <c r="K30" i="4"/>
  <c r="M588" i="5"/>
  <c r="M591" i="5" s="1"/>
  <c r="O591" i="5"/>
  <c r="M67" i="5"/>
  <c r="M70" i="5" s="1"/>
  <c r="O70" i="5"/>
  <c r="J98" i="4"/>
  <c r="O160" i="5"/>
  <c r="K79" i="4"/>
  <c r="J90" i="4"/>
  <c r="J30" i="4"/>
  <c r="Q291" i="5"/>
  <c r="Q290" i="5"/>
  <c r="M160" i="5"/>
  <c r="J22" i="4"/>
  <c r="K11" i="4"/>
  <c r="J110" i="4"/>
  <c r="K101" i="4"/>
  <c r="M106" i="5"/>
  <c r="M112" i="5" s="1"/>
  <c r="O112" i="5"/>
  <c r="M14" i="5"/>
  <c r="M18" i="5" s="1"/>
  <c r="M20" i="5" s="1"/>
  <c r="O18" i="5"/>
  <c r="O20" i="5" s="1"/>
  <c r="J42" i="4"/>
  <c r="M389" i="5"/>
  <c r="M392" i="5" s="1"/>
  <c r="O392" i="5"/>
  <c r="K42" i="4"/>
  <c r="G33" i="4"/>
  <c r="G42" i="4" s="1"/>
  <c r="G93" i="4"/>
  <c r="G98" i="4" s="1"/>
  <c r="K98" i="4"/>
  <c r="Q491" i="5"/>
  <c r="P491" i="5" s="1"/>
  <c r="M443" i="5"/>
  <c r="M446" i="5" s="1"/>
  <c r="M448" i="5" s="1"/>
  <c r="O446" i="5"/>
  <c r="O448" i="5" s="1"/>
  <c r="M268" i="5"/>
  <c r="M273" i="5" s="1"/>
  <c r="M275" i="5" s="1"/>
  <c r="O273" i="5"/>
  <c r="O275" i="5" s="1"/>
  <c r="I46" i="11"/>
  <c r="M37" i="11"/>
  <c r="M46" i="11" s="1"/>
  <c r="Q489" i="5"/>
  <c r="Q382" i="5"/>
  <c r="Q381" i="5"/>
  <c r="O415" i="5"/>
  <c r="O437" i="5" s="1"/>
  <c r="M410" i="5"/>
  <c r="M415" i="5" s="1"/>
  <c r="M437" i="5" s="1"/>
  <c r="I26" i="11"/>
  <c r="M15" i="11"/>
  <c r="M26" i="11" s="1"/>
  <c r="Q330" i="5"/>
  <c r="Q329" i="5"/>
  <c r="M230" i="5"/>
  <c r="M234" i="5" s="1"/>
  <c r="O234" i="5"/>
  <c r="M48" i="11" l="1"/>
  <c r="P746" i="5"/>
  <c r="S746" i="5"/>
  <c r="S736" i="5"/>
  <c r="P736" i="5"/>
  <c r="T742" i="5"/>
  <c r="Q742" i="5"/>
  <c r="P749" i="5"/>
  <c r="S749" i="5"/>
  <c r="Q836" i="5"/>
  <c r="P836" i="5" s="1"/>
  <c r="T836" i="5"/>
  <c r="S745" i="5"/>
  <c r="P745" i="5"/>
  <c r="Q740" i="5"/>
  <c r="T740" i="5"/>
  <c r="Q748" i="5"/>
  <c r="T748" i="5"/>
  <c r="S738" i="5"/>
  <c r="P738" i="5"/>
  <c r="J44" i="4"/>
  <c r="J59" i="4" s="1"/>
  <c r="Q517" i="5"/>
  <c r="T517" i="5"/>
  <c r="Q169" i="5"/>
  <c r="T169" i="5"/>
  <c r="Q483" i="5"/>
  <c r="T483" i="5"/>
  <c r="K110" i="4"/>
  <c r="G101" i="4"/>
  <c r="G110" i="4" s="1"/>
  <c r="Q574" i="5"/>
  <c r="T574" i="5"/>
  <c r="T396" i="5"/>
  <c r="Q396" i="5"/>
  <c r="Q455" i="5"/>
  <c r="T455" i="5"/>
  <c r="O381" i="5"/>
  <c r="Q383" i="5"/>
  <c r="P489" i="5"/>
  <c r="Q121" i="5"/>
  <c r="T121" i="5"/>
  <c r="O290" i="5"/>
  <c r="Q292" i="5"/>
  <c r="J112" i="4"/>
  <c r="J127" i="4" s="1"/>
  <c r="T79" i="5"/>
  <c r="Q79" i="5"/>
  <c r="O329" i="5"/>
  <c r="Q331" i="5"/>
  <c r="Q551" i="5"/>
  <c r="T551" i="5"/>
  <c r="Q100" i="5"/>
  <c r="T100" i="5"/>
  <c r="G79" i="4"/>
  <c r="G90" i="4" s="1"/>
  <c r="K90" i="4"/>
  <c r="Q53" i="5"/>
  <c r="T53" i="5"/>
  <c r="Q490" i="5"/>
  <c r="P490" i="5" s="1"/>
  <c r="Q201" i="5"/>
  <c r="T201" i="5"/>
  <c r="Q243" i="5"/>
  <c r="T243" i="5"/>
  <c r="O291" i="5"/>
  <c r="M291" i="5" s="1"/>
  <c r="O330" i="5"/>
  <c r="M330" i="5" s="1"/>
  <c r="O382" i="5"/>
  <c r="M382" i="5" s="1"/>
  <c r="T224" i="5"/>
  <c r="Q224" i="5"/>
  <c r="T598" i="5"/>
  <c r="Q598" i="5"/>
  <c r="T29" i="5"/>
  <c r="Q29" i="5"/>
  <c r="K22" i="4"/>
  <c r="K44" i="4" s="1"/>
  <c r="G11" i="4"/>
  <c r="G22" i="4" s="1"/>
  <c r="G44" i="4" s="1"/>
  <c r="P492" i="5" l="1"/>
  <c r="G112" i="4"/>
  <c r="P291" i="5"/>
  <c r="T747" i="5"/>
  <c r="Q747" i="5"/>
  <c r="Q118" i="4"/>
  <c r="S740" i="5"/>
  <c r="P740" i="5"/>
  <c r="T809" i="5"/>
  <c r="Q809" i="5"/>
  <c r="P809" i="5" s="1"/>
  <c r="S748" i="5"/>
  <c r="P748" i="5"/>
  <c r="S742" i="5"/>
  <c r="P742" i="5"/>
  <c r="Q835" i="5"/>
  <c r="P835" i="5" s="1"/>
  <c r="T835" i="5"/>
  <c r="O53" i="5"/>
  <c r="S53" i="5" s="1"/>
  <c r="P329" i="5"/>
  <c r="M329" i="5"/>
  <c r="M331" i="5" s="1"/>
  <c r="M333" i="5" s="1"/>
  <c r="O331" i="5"/>
  <c r="S331" i="5" s="1"/>
  <c r="Q492" i="5"/>
  <c r="T539" i="5"/>
  <c r="Q539" i="5"/>
  <c r="O79" i="5"/>
  <c r="P79" i="5" s="1"/>
  <c r="R292" i="5"/>
  <c r="T292" i="5" s="1"/>
  <c r="R383" i="5"/>
  <c r="T383" i="5" s="1"/>
  <c r="O396" i="5"/>
  <c r="P396" i="5" s="1"/>
  <c r="O169" i="5"/>
  <c r="S169" i="5" s="1"/>
  <c r="O598" i="5"/>
  <c r="P290" i="5"/>
  <c r="P292" i="5" s="1"/>
  <c r="O292" i="5"/>
  <c r="S292" i="5" s="1"/>
  <c r="M290" i="5"/>
  <c r="M292" i="5" s="1"/>
  <c r="M294" i="5" s="1"/>
  <c r="P381" i="5"/>
  <c r="M381" i="5"/>
  <c r="M383" i="5" s="1"/>
  <c r="M385" i="5" s="1"/>
  <c r="O383" i="5"/>
  <c r="O455" i="5"/>
  <c r="P455" i="5" s="1"/>
  <c r="O517" i="5"/>
  <c r="P517" i="5" s="1"/>
  <c r="O224" i="5"/>
  <c r="P224" i="5" s="1"/>
  <c r="P382" i="5"/>
  <c r="O243" i="5"/>
  <c r="P243" i="5" s="1"/>
  <c r="O551" i="5"/>
  <c r="S551" i="5" s="1"/>
  <c r="O483" i="5"/>
  <c r="S483" i="5"/>
  <c r="R331" i="5"/>
  <c r="T331" i="5" s="1"/>
  <c r="O29" i="5"/>
  <c r="P29" i="5" s="1"/>
  <c r="K112" i="4"/>
  <c r="O121" i="5"/>
  <c r="P121" i="5" s="1"/>
  <c r="O574" i="5"/>
  <c r="S574" i="5" s="1"/>
  <c r="O201" i="5"/>
  <c r="P201" i="5" s="1"/>
  <c r="P330" i="5"/>
  <c r="O100" i="5"/>
  <c r="S100" i="5" s="1"/>
  <c r="S121" i="5" l="1"/>
  <c r="S224" i="5"/>
  <c r="P53" i="5"/>
  <c r="P331" i="5"/>
  <c r="P551" i="5"/>
  <c r="S747" i="5"/>
  <c r="P747" i="5"/>
  <c r="T799" i="5"/>
  <c r="Q799" i="5"/>
  <c r="P383" i="5"/>
  <c r="P100" i="5"/>
  <c r="P539" i="5"/>
  <c r="P543" i="5" s="1"/>
  <c r="Q543" i="5"/>
  <c r="S539" i="5"/>
  <c r="M551" i="5"/>
  <c r="M553" i="5" s="1"/>
  <c r="O553" i="5"/>
  <c r="M224" i="5"/>
  <c r="M226" i="5" s="1"/>
  <c r="O226" i="5"/>
  <c r="S29" i="5"/>
  <c r="M29" i="5"/>
  <c r="M31" i="5" s="1"/>
  <c r="O31" i="5"/>
  <c r="P169" i="5"/>
  <c r="M169" i="5"/>
  <c r="M171" i="5" s="1"/>
  <c r="O171" i="5"/>
  <c r="M100" i="5"/>
  <c r="M102" i="5" s="1"/>
  <c r="O102" i="5"/>
  <c r="O123" i="5"/>
  <c r="M121" i="5"/>
  <c r="M123" i="5" s="1"/>
  <c r="P483" i="5"/>
  <c r="M483" i="5"/>
  <c r="M485" i="5" s="1"/>
  <c r="O485" i="5"/>
  <c r="S517" i="5"/>
  <c r="M517" i="5"/>
  <c r="M519" i="5" s="1"/>
  <c r="O519" i="5"/>
  <c r="S455" i="5"/>
  <c r="M455" i="5"/>
  <c r="M457" i="5" s="1"/>
  <c r="O457" i="5"/>
  <c r="S79" i="5"/>
  <c r="M79" i="5"/>
  <c r="M81" i="5" s="1"/>
  <c r="O81" i="5"/>
  <c r="M53" i="5"/>
  <c r="M55" i="5" s="1"/>
  <c r="O55" i="5"/>
  <c r="O294" i="5"/>
  <c r="O385" i="5"/>
  <c r="S598" i="5"/>
  <c r="M598" i="5"/>
  <c r="M600" i="5" s="1"/>
  <c r="O600" i="5"/>
  <c r="S396" i="5"/>
  <c r="M396" i="5"/>
  <c r="M398" i="5" s="1"/>
  <c r="O398" i="5"/>
  <c r="R492" i="5"/>
  <c r="T492" i="5" s="1"/>
  <c r="S492" i="5"/>
  <c r="S243" i="5"/>
  <c r="M243" i="5"/>
  <c r="M245" i="5" s="1"/>
  <c r="O245" i="5"/>
  <c r="P598" i="5"/>
  <c r="S383" i="5"/>
  <c r="O333" i="5"/>
  <c r="S201" i="5"/>
  <c r="M201" i="5"/>
  <c r="M203" i="5" s="1"/>
  <c r="O203" i="5"/>
  <c r="P574" i="5"/>
  <c r="M574" i="5"/>
  <c r="M576" i="5" s="1"/>
  <c r="O576" i="5"/>
  <c r="S799" i="5" l="1"/>
  <c r="P799" i="5"/>
  <c r="O703" i="5"/>
  <c r="M703" i="5"/>
  <c r="R543" i="5"/>
  <c r="T543" i="5" s="1"/>
  <c r="S543" i="5"/>
  <c r="Q125" i="4" l="1"/>
  <c r="Q122" i="4" l="1"/>
  <c r="I123" i="4"/>
  <c r="I127" i="4" s="1"/>
  <c r="K123" i="4" l="1"/>
  <c r="K127" i="4" s="1"/>
  <c r="T775" i="5" l="1"/>
  <c r="T773" i="5"/>
  <c r="Q773" i="5"/>
  <c r="S773" i="5" l="1"/>
  <c r="P773" i="5"/>
  <c r="P775" i="5"/>
  <c r="S775" i="5"/>
  <c r="Q120" i="4" l="1"/>
  <c r="Q121" i="4" l="1"/>
  <c r="M791" i="5" l="1"/>
  <c r="G123" i="4" l="1"/>
  <c r="G127" i="4" s="1"/>
  <c r="F123" i="4"/>
  <c r="F127" i="4" s="1"/>
  <c r="M790" i="5"/>
  <c r="J793" i="5"/>
  <c r="F191" i="4"/>
  <c r="F195" i="4" s="1"/>
  <c r="F55" i="4"/>
  <c r="F59" i="4" s="1"/>
  <c r="M123" i="4" l="1"/>
  <c r="Q119" i="4"/>
  <c r="O123" i="4"/>
  <c r="S790" i="5"/>
  <c r="P790" i="5"/>
  <c r="K793" i="5"/>
  <c r="P123" i="4" l="1"/>
  <c r="Q123" i="4"/>
  <c r="M814" i="5" l="1"/>
  <c r="M782" i="5" l="1"/>
  <c r="S791" i="5" l="1"/>
  <c r="P791" i="5"/>
  <c r="M815" i="5"/>
  <c r="P782" i="5"/>
  <c r="O803" i="5"/>
  <c r="M800" i="5"/>
  <c r="M803" i="5" s="1"/>
  <c r="S782" i="5"/>
  <c r="P838" i="5" l="1"/>
  <c r="P840" i="5" s="1"/>
  <c r="Q840" i="5"/>
  <c r="Q186" i="4" l="1"/>
  <c r="Q50" i="4"/>
  <c r="Q759" i="5"/>
  <c r="R759" i="5" s="1"/>
  <c r="T759" i="5" s="1"/>
  <c r="S840" i="5"/>
  <c r="R840" i="5"/>
  <c r="T840" i="5"/>
  <c r="Q190" i="4" l="1"/>
  <c r="M753" i="5"/>
  <c r="S753" i="5"/>
  <c r="P753" i="5"/>
  <c r="Q54" i="4"/>
  <c r="M752" i="5" l="1"/>
  <c r="S752" i="5"/>
  <c r="P752" i="5"/>
  <c r="D330" i="13"/>
  <c r="T813" i="5" l="1"/>
  <c r="Q813" i="5"/>
  <c r="P813" i="5" s="1"/>
  <c r="Q812" i="5"/>
  <c r="T812" i="5"/>
  <c r="T819" i="5"/>
  <c r="T800" i="5"/>
  <c r="Q800" i="5"/>
  <c r="T818" i="5"/>
  <c r="P812" i="5" l="1"/>
  <c r="S800" i="5"/>
  <c r="P800" i="5"/>
  <c r="P803" i="5" s="1"/>
  <c r="Q803" i="5"/>
  <c r="S803" i="5" l="1"/>
  <c r="R803" i="5"/>
  <c r="T803" i="5" s="1"/>
  <c r="Q53" i="4"/>
  <c r="Q189" i="4"/>
  <c r="Q188" i="4" l="1"/>
  <c r="Q52" i="4"/>
  <c r="M781" i="5" l="1"/>
  <c r="Q184" i="4" l="1"/>
  <c r="Q48" i="4"/>
  <c r="P781" i="5"/>
  <c r="S781" i="5"/>
  <c r="Q793" i="5" l="1"/>
  <c r="Q844" i="5" s="1"/>
  <c r="O191" i="4"/>
  <c r="O195" i="4" s="1"/>
  <c r="Q187" i="4"/>
  <c r="Q191" i="4" l="1"/>
  <c r="R793" i="5"/>
  <c r="T793" i="5" s="1"/>
  <c r="Q51" i="4"/>
  <c r="O55" i="4"/>
  <c r="O793" i="5" l="1"/>
  <c r="M780" i="5"/>
  <c r="M793" i="5" s="1"/>
  <c r="P780" i="5"/>
  <c r="P793" i="5" s="1"/>
  <c r="S780" i="5"/>
  <c r="Q55" i="4"/>
  <c r="M757" i="5"/>
  <c r="P757" i="5"/>
  <c r="S757" i="5"/>
  <c r="Q195" i="4"/>
  <c r="I55" i="4" l="1"/>
  <c r="I59" i="4" s="1"/>
  <c r="I191" i="4"/>
  <c r="I195" i="4" s="1"/>
  <c r="M756" i="5"/>
  <c r="M759" i="5" s="1"/>
  <c r="P756" i="5"/>
  <c r="P759" i="5" s="1"/>
  <c r="P844" i="5" s="1"/>
  <c r="S756" i="5"/>
  <c r="O759" i="5"/>
  <c r="S759" i="5" s="1"/>
  <c r="S793" i="5"/>
  <c r="O844" i="5" l="1"/>
  <c r="O846" i="5" s="1"/>
  <c r="K55" i="4"/>
  <c r="K59" i="4" s="1"/>
  <c r="G55" i="4"/>
  <c r="G59" i="4" s="1"/>
  <c r="M55" i="4"/>
  <c r="K191" i="4"/>
  <c r="K195" i="4" s="1"/>
  <c r="G191" i="4"/>
  <c r="G195" i="4" s="1"/>
  <c r="M191" i="4"/>
  <c r="M195" i="4" s="1"/>
  <c r="P191" i="4" l="1"/>
  <c r="P55" i="4"/>
  <c r="P195" i="4" l="1"/>
  <c r="O102" i="4" l="1"/>
  <c r="O105" i="4"/>
  <c r="O84" i="4"/>
  <c r="O97" i="4"/>
  <c r="O80" i="4"/>
  <c r="O81" i="4"/>
  <c r="O94" i="4"/>
  <c r="O109" i="4"/>
  <c r="O108" i="4"/>
  <c r="O82" i="4"/>
  <c r="O89" i="4"/>
  <c r="O85" i="4"/>
  <c r="O106" i="4"/>
  <c r="O103" i="4"/>
  <c r="O96" i="4"/>
  <c r="O95" i="4"/>
  <c r="O104" i="4"/>
  <c r="O107" i="4"/>
  <c r="O86" i="4"/>
  <c r="O87" i="4"/>
  <c r="O83" i="4"/>
  <c r="O88" i="4"/>
  <c r="Q103" i="4" l="1"/>
  <c r="P103" i="4"/>
  <c r="Q108" i="4"/>
  <c r="P108" i="4"/>
  <c r="Q80" i="4"/>
  <c r="P80" i="4"/>
  <c r="O16" i="4"/>
  <c r="Q86" i="4"/>
  <c r="P86" i="4"/>
  <c r="O36" i="4"/>
  <c r="O35" i="4"/>
  <c r="P105" i="4"/>
  <c r="Q105" i="4"/>
  <c r="O17" i="4"/>
  <c r="O18" i="4"/>
  <c r="Q95" i="4"/>
  <c r="P95" i="4"/>
  <c r="O21" i="4"/>
  <c r="O40" i="4"/>
  <c r="P94" i="4"/>
  <c r="Q94" i="4"/>
  <c r="O12" i="4"/>
  <c r="O37" i="4"/>
  <c r="Q104" i="4"/>
  <c r="P104" i="4"/>
  <c r="O15" i="4"/>
  <c r="O27" i="4"/>
  <c r="P106" i="4"/>
  <c r="Q106" i="4"/>
  <c r="O26" i="4"/>
  <c r="Q97" i="4"/>
  <c r="P97" i="4"/>
  <c r="O20" i="4"/>
  <c r="P87" i="4"/>
  <c r="Q87" i="4"/>
  <c r="Q107" i="4"/>
  <c r="P107" i="4"/>
  <c r="O29" i="4"/>
  <c r="Q102" i="4"/>
  <c r="P102" i="4"/>
  <c r="Q83" i="4"/>
  <c r="P83" i="4"/>
  <c r="O19" i="4"/>
  <c r="P96" i="4"/>
  <c r="Q96" i="4"/>
  <c r="O38" i="4"/>
  <c r="P82" i="4"/>
  <c r="Q82" i="4"/>
  <c r="Q109" i="4"/>
  <c r="P109" i="4"/>
  <c r="P81" i="4"/>
  <c r="Q81" i="4"/>
  <c r="O34" i="4"/>
  <c r="P88" i="4"/>
  <c r="Q88" i="4"/>
  <c r="O39" i="4"/>
  <c r="O28" i="4"/>
  <c r="P85" i="4"/>
  <c r="Q85" i="4"/>
  <c r="O14" i="4"/>
  <c r="O41" i="4"/>
  <c r="O13" i="4"/>
  <c r="Q84" i="4"/>
  <c r="P84" i="4"/>
  <c r="P14" i="4" l="1"/>
  <c r="Q14" i="4"/>
  <c r="P12" i="4"/>
  <c r="Q12" i="4"/>
  <c r="Q16" i="4"/>
  <c r="P16" i="4"/>
  <c r="Q38" i="4"/>
  <c r="P38" i="4"/>
  <c r="M90" i="4"/>
  <c r="O79" i="4"/>
  <c r="Q36" i="4"/>
  <c r="P36" i="4"/>
  <c r="P34" i="4"/>
  <c r="Q34" i="4"/>
  <c r="P13" i="4"/>
  <c r="Q13" i="4"/>
  <c r="P28" i="4"/>
  <c r="Q28" i="4"/>
  <c r="Q26" i="4"/>
  <c r="P26" i="4"/>
  <c r="Q40" i="4"/>
  <c r="P40" i="4"/>
  <c r="Q18" i="4"/>
  <c r="P18" i="4"/>
  <c r="M110" i="4"/>
  <c r="O101" i="4"/>
  <c r="P35" i="4"/>
  <c r="Q35" i="4"/>
  <c r="Q27" i="4"/>
  <c r="P27" i="4"/>
  <c r="P39" i="4"/>
  <c r="Q39" i="4"/>
  <c r="P19" i="4"/>
  <c r="Q19" i="4"/>
  <c r="P29" i="4"/>
  <c r="Q29" i="4"/>
  <c r="P20" i="4"/>
  <c r="Q20" i="4"/>
  <c r="M98" i="4"/>
  <c r="O93" i="4"/>
  <c r="P37" i="4"/>
  <c r="Q37" i="4"/>
  <c r="P41" i="4"/>
  <c r="Q41" i="4"/>
  <c r="Q15" i="4"/>
  <c r="P15" i="4"/>
  <c r="P17" i="4"/>
  <c r="Q17" i="4"/>
  <c r="M112" i="4" l="1"/>
  <c r="M127" i="4" s="1"/>
  <c r="M42" i="4"/>
  <c r="O33" i="4"/>
  <c r="O110" i="4"/>
  <c r="Q101" i="4"/>
  <c r="P101" i="4"/>
  <c r="P79" i="4"/>
  <c r="Q79" i="4"/>
  <c r="O90" i="4"/>
  <c r="M22" i="4"/>
  <c r="O11" i="4"/>
  <c r="M30" i="4"/>
  <c r="O25" i="4"/>
  <c r="Q93" i="4"/>
  <c r="P93" i="4"/>
  <c r="O98" i="4"/>
  <c r="M44" i="4" l="1"/>
  <c r="O30" i="4"/>
  <c r="P25" i="4"/>
  <c r="Q25" i="4"/>
  <c r="Q11" i="4"/>
  <c r="P11" i="4"/>
  <c r="O22" i="4"/>
  <c r="Q110" i="4"/>
  <c r="P110" i="4"/>
  <c r="P90" i="4"/>
  <c r="Q90" i="4"/>
  <c r="O112" i="4"/>
  <c r="O127" i="4" s="1"/>
  <c r="P33" i="4"/>
  <c r="O42" i="4"/>
  <c r="Q33" i="4"/>
  <c r="Q98" i="4"/>
  <c r="P98" i="4"/>
  <c r="M59" i="4" l="1"/>
  <c r="D227" i="13"/>
  <c r="D234" i="13" s="1"/>
  <c r="F234" i="13" s="1"/>
  <c r="Q346" i="5"/>
  <c r="P42" i="4"/>
  <c r="Q42" i="4"/>
  <c r="Q36" i="5"/>
  <c r="Q40" i="5"/>
  <c r="P40" i="5" s="1"/>
  <c r="Q39" i="5"/>
  <c r="P39" i="5" s="1"/>
  <c r="Q311" i="5"/>
  <c r="P311" i="5" s="1"/>
  <c r="Q472" i="5"/>
  <c r="P472" i="5" s="1"/>
  <c r="Q30" i="4"/>
  <c r="P30" i="4"/>
  <c r="D156" i="13"/>
  <c r="F156" i="13" s="1"/>
  <c r="D213" i="13"/>
  <c r="D220" i="13" s="1"/>
  <c r="F220" i="13" s="1"/>
  <c r="Q37" i="5"/>
  <c r="P37" i="5" s="1"/>
  <c r="Q308" i="5"/>
  <c r="P308" i="5" s="1"/>
  <c r="Q470" i="5"/>
  <c r="Q146" i="5"/>
  <c r="Q38" i="5"/>
  <c r="P38" i="5" s="1"/>
  <c r="Q473" i="5"/>
  <c r="P473" i="5" s="1"/>
  <c r="Q307" i="5"/>
  <c r="D161" i="13"/>
  <c r="F161" i="13" s="1"/>
  <c r="Q310" i="5"/>
  <c r="P310" i="5" s="1"/>
  <c r="Q41" i="5"/>
  <c r="P41" i="5" s="1"/>
  <c r="Q147" i="5"/>
  <c r="P147" i="5" s="1"/>
  <c r="P22" i="4"/>
  <c r="Q22" i="4"/>
  <c r="O44" i="4"/>
  <c r="Q148" i="5"/>
  <c r="P148" i="5" s="1"/>
  <c r="Q471" i="5"/>
  <c r="P471" i="5" s="1"/>
  <c r="D151" i="13"/>
  <c r="F151" i="13" s="1"/>
  <c r="D141" i="13"/>
  <c r="F141" i="13" s="1"/>
  <c r="P112" i="4"/>
  <c r="Q112" i="4"/>
  <c r="Q347" i="5"/>
  <c r="P347" i="5" s="1"/>
  <c r="Q309" i="5"/>
  <c r="P309" i="5" s="1"/>
  <c r="O59" i="4" l="1"/>
  <c r="Q268" i="5"/>
  <c r="T67" i="5"/>
  <c r="Q67" i="5"/>
  <c r="D102" i="13"/>
  <c r="Q474" i="5"/>
  <c r="P470" i="5"/>
  <c r="P474" i="5" s="1"/>
  <c r="P476" i="5" s="1"/>
  <c r="P485" i="5" s="1"/>
  <c r="T681" i="5"/>
  <c r="Q681" i="5"/>
  <c r="Q15" i="5"/>
  <c r="P15" i="5" s="1"/>
  <c r="P346" i="5"/>
  <c r="P348" i="5" s="1"/>
  <c r="P358" i="5" s="1"/>
  <c r="P385" i="5" s="1"/>
  <c r="Q348" i="5"/>
  <c r="Q312" i="5"/>
  <c r="P307" i="5"/>
  <c r="P312" i="5" s="1"/>
  <c r="P314" i="5" s="1"/>
  <c r="P333" i="5" s="1"/>
  <c r="Q443" i="5"/>
  <c r="D322" i="13"/>
  <c r="D185" i="13"/>
  <c r="F185" i="13" s="1"/>
  <c r="Q445" i="5"/>
  <c r="P445" i="5" s="1"/>
  <c r="T183" i="5"/>
  <c r="Q183" i="5"/>
  <c r="Q155" i="5"/>
  <c r="P155" i="5" s="1"/>
  <c r="T106" i="5"/>
  <c r="Q106" i="5"/>
  <c r="Q607" i="5"/>
  <c r="P607" i="5" s="1"/>
  <c r="T607" i="5"/>
  <c r="Q16" i="5"/>
  <c r="P16" i="5" s="1"/>
  <c r="T648" i="5"/>
  <c r="Q648" i="5"/>
  <c r="Q14" i="5"/>
  <c r="Q135" i="5"/>
  <c r="T135" i="5"/>
  <c r="T410" i="5"/>
  <c r="Q410" i="5"/>
  <c r="Q154" i="5"/>
  <c r="P154" i="5" s="1"/>
  <c r="T649" i="5"/>
  <c r="Q649" i="5"/>
  <c r="P649" i="5" s="1"/>
  <c r="Q444" i="5"/>
  <c r="P444" i="5" s="1"/>
  <c r="Q127" i="4"/>
  <c r="P127" i="4"/>
  <c r="D131" i="13"/>
  <c r="F131" i="13" s="1"/>
  <c r="Q44" i="4"/>
  <c r="P44" i="4"/>
  <c r="Q588" i="5"/>
  <c r="T588" i="5"/>
  <c r="Q269" i="5"/>
  <c r="P269" i="5" s="1"/>
  <c r="T557" i="5"/>
  <c r="Q557" i="5"/>
  <c r="Q42" i="5"/>
  <c r="P36" i="5"/>
  <c r="P42" i="5" s="1"/>
  <c r="P44" i="5" s="1"/>
  <c r="P55" i="5" s="1"/>
  <c r="Q272" i="5"/>
  <c r="P272" i="5" s="1"/>
  <c r="Q85" i="5"/>
  <c r="T85" i="5"/>
  <c r="Q153" i="5"/>
  <c r="Q270" i="5"/>
  <c r="P270" i="5" s="1"/>
  <c r="Q271" i="5"/>
  <c r="P271" i="5" s="1"/>
  <c r="Q17" i="5"/>
  <c r="P17" i="5" s="1"/>
  <c r="D90" i="13"/>
  <c r="F90" i="13" s="1"/>
  <c r="T390" i="5"/>
  <c r="Q390" i="5"/>
  <c r="P390" i="5" s="1"/>
  <c r="T606" i="5"/>
  <c r="Q606" i="5"/>
  <c r="Q207" i="5"/>
  <c r="T207" i="5"/>
  <c r="D239" i="13"/>
  <c r="F239" i="13" s="1"/>
  <c r="P146" i="5"/>
  <c r="P149" i="5" s="1"/>
  <c r="Q149" i="5"/>
  <c r="T230" i="5"/>
  <c r="Q230" i="5"/>
  <c r="F102" i="13" l="1"/>
  <c r="D114" i="13"/>
  <c r="D115" i="13" s="1"/>
  <c r="D110" i="13"/>
  <c r="D111" i="13" s="1"/>
  <c r="D324" i="13"/>
  <c r="F324" i="13" s="1"/>
  <c r="P606" i="5"/>
  <c r="P617" i="5" s="1"/>
  <c r="P634" i="5" s="1"/>
  <c r="Q617" i="5"/>
  <c r="P85" i="5"/>
  <c r="P91" i="5" s="1"/>
  <c r="P102" i="5" s="1"/>
  <c r="Q91" i="5"/>
  <c r="S85" i="5"/>
  <c r="P135" i="5"/>
  <c r="P136" i="5" s="1"/>
  <c r="P140" i="5" s="1"/>
  <c r="Q136" i="5"/>
  <c r="S135" i="5"/>
  <c r="R312" i="5"/>
  <c r="T312" i="5" s="1"/>
  <c r="Q314" i="5"/>
  <c r="S312" i="5"/>
  <c r="F115" i="13"/>
  <c r="F111" i="13"/>
  <c r="S67" i="5"/>
  <c r="Q70" i="5"/>
  <c r="P67" i="5"/>
  <c r="P70" i="5" s="1"/>
  <c r="P81" i="5" s="1"/>
  <c r="P557" i="5"/>
  <c r="P561" i="5" s="1"/>
  <c r="P576" i="5" s="1"/>
  <c r="Q561" i="5"/>
  <c r="S557" i="5"/>
  <c r="Q506" i="5"/>
  <c r="T506" i="5"/>
  <c r="P14" i="5"/>
  <c r="P18" i="5" s="1"/>
  <c r="P20" i="5" s="1"/>
  <c r="P31" i="5" s="1"/>
  <c r="Q18" i="5"/>
  <c r="Q500" i="5"/>
  <c r="P500" i="5" s="1"/>
  <c r="T500" i="5"/>
  <c r="P183" i="5"/>
  <c r="P192" i="5" s="1"/>
  <c r="P203" i="5" s="1"/>
  <c r="S183" i="5"/>
  <c r="Q192" i="5"/>
  <c r="P443" i="5"/>
  <c r="P446" i="5" s="1"/>
  <c r="P448" i="5" s="1"/>
  <c r="P457" i="5" s="1"/>
  <c r="Q446" i="5"/>
  <c r="P268" i="5"/>
  <c r="P273" i="5" s="1"/>
  <c r="P275" i="5" s="1"/>
  <c r="P294" i="5" s="1"/>
  <c r="Q273" i="5"/>
  <c r="Q659" i="5"/>
  <c r="P648" i="5"/>
  <c r="P659" i="5" s="1"/>
  <c r="P676" i="5" s="1"/>
  <c r="R42" i="5"/>
  <c r="T42" i="5" s="1"/>
  <c r="S42" i="5"/>
  <c r="Q44" i="5"/>
  <c r="S348" i="5"/>
  <c r="Q358" i="5"/>
  <c r="R348" i="5"/>
  <c r="T348" i="5" s="1"/>
  <c r="P681" i="5"/>
  <c r="P684" i="5" s="1"/>
  <c r="P701" i="5" s="1"/>
  <c r="Q684" i="5"/>
  <c r="P207" i="5"/>
  <c r="P215" i="5" s="1"/>
  <c r="P226" i="5" s="1"/>
  <c r="Q215" i="5"/>
  <c r="S207" i="5"/>
  <c r="T531" i="5"/>
  <c r="Q531" i="5"/>
  <c r="Q591" i="5"/>
  <c r="P588" i="5"/>
  <c r="P591" i="5" s="1"/>
  <c r="P600" i="5" s="1"/>
  <c r="S588" i="5"/>
  <c r="Q415" i="5"/>
  <c r="S410" i="5"/>
  <c r="P410" i="5"/>
  <c r="P415" i="5" s="1"/>
  <c r="P437" i="5" s="1"/>
  <c r="T389" i="5"/>
  <c r="Q389" i="5"/>
  <c r="Q156" i="5"/>
  <c r="Q160" i="5" s="1"/>
  <c r="P153" i="5"/>
  <c r="P156" i="5" s="1"/>
  <c r="P160" i="5" s="1"/>
  <c r="P171" i="5" s="1"/>
  <c r="Q59" i="4"/>
  <c r="P59" i="4"/>
  <c r="P106" i="5"/>
  <c r="P112" i="5" s="1"/>
  <c r="P123" i="5" s="1"/>
  <c r="S106" i="5"/>
  <c r="Q112" i="5"/>
  <c r="D97" i="13"/>
  <c r="Q234" i="5"/>
  <c r="P230" i="5"/>
  <c r="P234" i="5" s="1"/>
  <c r="P245" i="5" s="1"/>
  <c r="S230" i="5"/>
  <c r="R149" i="5"/>
  <c r="T149" i="5" s="1"/>
  <c r="S149" i="5"/>
  <c r="D50" i="13"/>
  <c r="F50" i="13" s="1"/>
  <c r="S474" i="5"/>
  <c r="R474" i="5"/>
  <c r="T474" i="5" s="1"/>
  <c r="Q476" i="5"/>
  <c r="P531" i="5" l="1"/>
  <c r="Q701" i="5"/>
  <c r="R684" i="5"/>
  <c r="T684" i="5" s="1"/>
  <c r="S684" i="5"/>
  <c r="R44" i="5"/>
  <c r="T44" i="5" s="1"/>
  <c r="Q55" i="5"/>
  <c r="S44" i="5"/>
  <c r="Q576" i="5"/>
  <c r="R561" i="5"/>
  <c r="T561" i="5" s="1"/>
  <c r="S561" i="5"/>
  <c r="Q245" i="5"/>
  <c r="S234" i="5"/>
  <c r="R234" i="5"/>
  <c r="T234" i="5" s="1"/>
  <c r="Q275" i="5"/>
  <c r="S273" i="5"/>
  <c r="R273" i="5"/>
  <c r="T273" i="5" s="1"/>
  <c r="Q448" i="5"/>
  <c r="R446" i="5"/>
  <c r="T446" i="5" s="1"/>
  <c r="S446" i="5"/>
  <c r="R215" i="5"/>
  <c r="T215" i="5" s="1"/>
  <c r="Q226" i="5"/>
  <c r="S215" i="5"/>
  <c r="S358" i="5"/>
  <c r="R358" i="5"/>
  <c r="T358" i="5" s="1"/>
  <c r="Q385" i="5"/>
  <c r="Q507" i="5"/>
  <c r="P507" i="5" s="1"/>
  <c r="T507" i="5"/>
  <c r="P506" i="5"/>
  <c r="R314" i="5"/>
  <c r="T314" i="5" s="1"/>
  <c r="Q333" i="5"/>
  <c r="S314" i="5"/>
  <c r="P389" i="5"/>
  <c r="P392" i="5" s="1"/>
  <c r="P398" i="5" s="1"/>
  <c r="Q392" i="5"/>
  <c r="S192" i="5"/>
  <c r="Q203" i="5"/>
  <c r="R192" i="5"/>
  <c r="T192" i="5" s="1"/>
  <c r="R617" i="5"/>
  <c r="T617" i="5" s="1"/>
  <c r="S617" i="5"/>
  <c r="Q634" i="5"/>
  <c r="R476" i="5"/>
  <c r="T476" i="5" s="1"/>
  <c r="Q485" i="5"/>
  <c r="S476" i="5"/>
  <c r="S160" i="5"/>
  <c r="Q171" i="5"/>
  <c r="R160" i="5"/>
  <c r="T160" i="5" s="1"/>
  <c r="F180" i="13"/>
  <c r="F97" i="13"/>
  <c r="S156" i="5"/>
  <c r="R156" i="5"/>
  <c r="T156" i="5" s="1"/>
  <c r="R18" i="5"/>
  <c r="T18" i="5" s="1"/>
  <c r="S18" i="5"/>
  <c r="Q20" i="5"/>
  <c r="Q81" i="5"/>
  <c r="R70" i="5"/>
  <c r="T70" i="5" s="1"/>
  <c r="S70" i="5"/>
  <c r="Q140" i="5"/>
  <c r="R136" i="5"/>
  <c r="T136" i="5" s="1"/>
  <c r="S136" i="5"/>
  <c r="R415" i="5"/>
  <c r="T415" i="5" s="1"/>
  <c r="Q437" i="5"/>
  <c r="S415" i="5"/>
  <c r="Q532" i="5"/>
  <c r="P532" i="5" s="1"/>
  <c r="T532" i="5"/>
  <c r="S91" i="5"/>
  <c r="Q102" i="5"/>
  <c r="R91" i="5"/>
  <c r="T91" i="5" s="1"/>
  <c r="S112" i="5"/>
  <c r="R112" i="5"/>
  <c r="T112" i="5" s="1"/>
  <c r="Q123" i="5"/>
  <c r="S591" i="5"/>
  <c r="R591" i="5"/>
  <c r="T591" i="5" s="1"/>
  <c r="Q600" i="5"/>
  <c r="Q676" i="5"/>
  <c r="S659" i="5"/>
  <c r="R659" i="5"/>
  <c r="T659" i="5" s="1"/>
  <c r="S123" i="5" l="1"/>
  <c r="R123" i="5"/>
  <c r="T123" i="5" s="1"/>
  <c r="S140" i="5"/>
  <c r="R140" i="5"/>
  <c r="T140" i="5" s="1"/>
  <c r="S485" i="5"/>
  <c r="R485" i="5"/>
  <c r="T485" i="5" s="1"/>
  <c r="R203" i="5"/>
  <c r="T203" i="5" s="1"/>
  <c r="S203" i="5"/>
  <c r="S245" i="5"/>
  <c r="R245" i="5"/>
  <c r="T245" i="5" s="1"/>
  <c r="S171" i="5"/>
  <c r="R171" i="5"/>
  <c r="T171" i="5" s="1"/>
  <c r="Q509" i="5"/>
  <c r="R333" i="5"/>
  <c r="T333" i="5" s="1"/>
  <c r="S333" i="5"/>
  <c r="P509" i="5"/>
  <c r="S226" i="5"/>
  <c r="R226" i="5"/>
  <c r="T226" i="5" s="1"/>
  <c r="S275" i="5"/>
  <c r="Q294" i="5"/>
  <c r="R275" i="5"/>
  <c r="T275" i="5" s="1"/>
  <c r="S701" i="5"/>
  <c r="R701" i="5"/>
  <c r="T701" i="5" s="1"/>
  <c r="S81" i="5"/>
  <c r="R81" i="5"/>
  <c r="T81" i="5" s="1"/>
  <c r="R437" i="5"/>
  <c r="T437" i="5" s="1"/>
  <c r="S437" i="5"/>
  <c r="S634" i="5"/>
  <c r="R634" i="5"/>
  <c r="T634" i="5" s="1"/>
  <c r="S576" i="5"/>
  <c r="R576" i="5"/>
  <c r="T576" i="5" s="1"/>
  <c r="Q536" i="5"/>
  <c r="P536" i="5"/>
  <c r="P553" i="5" s="1"/>
  <c r="R600" i="5"/>
  <c r="T600" i="5" s="1"/>
  <c r="S600" i="5"/>
  <c r="Q398" i="5"/>
  <c r="R392" i="5"/>
  <c r="T392" i="5" s="1"/>
  <c r="S392" i="5"/>
  <c r="R385" i="5"/>
  <c r="T385" i="5" s="1"/>
  <c r="S385" i="5"/>
  <c r="R55" i="5"/>
  <c r="T55" i="5" s="1"/>
  <c r="S55" i="5"/>
  <c r="R676" i="5"/>
  <c r="T676" i="5" s="1"/>
  <c r="S676" i="5"/>
  <c r="S102" i="5"/>
  <c r="R102" i="5"/>
  <c r="T102" i="5" s="1"/>
  <c r="S20" i="5"/>
  <c r="R20" i="5"/>
  <c r="T20" i="5" s="1"/>
  <c r="Q31" i="5"/>
  <c r="R448" i="5"/>
  <c r="T448" i="5" s="1"/>
  <c r="S448" i="5"/>
  <c r="Q457" i="5"/>
  <c r="R536" i="5" l="1"/>
  <c r="T536" i="5" s="1"/>
  <c r="Q553" i="5"/>
  <c r="S536" i="5"/>
  <c r="S509" i="5"/>
  <c r="R509" i="5"/>
  <c r="T509" i="5" s="1"/>
  <c r="S294" i="5"/>
  <c r="R294" i="5"/>
  <c r="T294" i="5" s="1"/>
  <c r="R457" i="5"/>
  <c r="T457" i="5" s="1"/>
  <c r="S457" i="5"/>
  <c r="S31" i="5"/>
  <c r="R31" i="5"/>
  <c r="T31" i="5" s="1"/>
  <c r="S398" i="5"/>
  <c r="R398" i="5"/>
  <c r="T398" i="5" s="1"/>
  <c r="R553" i="5" l="1"/>
  <c r="T553" i="5" s="1"/>
  <c r="S553" i="5"/>
  <c r="Q257" i="5"/>
  <c r="T257" i="5"/>
  <c r="P257" i="5" l="1"/>
  <c r="P258" i="5" s="1"/>
  <c r="P262" i="5" s="1"/>
  <c r="Q258" i="5"/>
  <c r="Q262" i="5" s="1"/>
  <c r="Q499" i="5" l="1"/>
  <c r="P499" i="5" s="1"/>
  <c r="T499" i="5"/>
  <c r="Q496" i="5"/>
  <c r="P496" i="5" s="1"/>
  <c r="T496" i="5"/>
  <c r="D85" i="13"/>
  <c r="F85" i="13" s="1"/>
  <c r="D136" i="13"/>
  <c r="F136" i="13" s="1"/>
  <c r="T495" i="5"/>
  <c r="Q495" i="5"/>
  <c r="P495" i="5" l="1"/>
  <c r="P497" i="5" s="1"/>
  <c r="P502" i="5" s="1"/>
  <c r="P519" i="5" s="1"/>
  <c r="Q497" i="5"/>
  <c r="R497" i="5" l="1"/>
  <c r="T497" i="5" s="1"/>
  <c r="Q502" i="5"/>
  <c r="P703" i="5"/>
  <c r="P846" i="5" s="1"/>
  <c r="Q519" i="5" l="1"/>
  <c r="S502" i="5"/>
  <c r="R502" i="5"/>
  <c r="T502" i="5" s="1"/>
  <c r="R519" i="5" l="1"/>
  <c r="T519" i="5" s="1"/>
  <c r="S519" i="5"/>
  <c r="Q703" i="5"/>
  <c r="Q846" i="5" s="1"/>
  <c r="M813" i="5" l="1"/>
  <c r="J821" i="5" l="1"/>
  <c r="M812" i="5"/>
  <c r="M821" i="5" s="1"/>
  <c r="M844" i="5" s="1"/>
  <c r="M846" i="5" l="1"/>
  <c r="J844" i="5"/>
  <c r="K821" i="5"/>
  <c r="J846" i="5" l="1"/>
  <c r="P814" i="5" l="1"/>
  <c r="P815" i="5" l="1"/>
  <c r="T821" i="5" l="1"/>
  <c r="H91" i="30" l="1"/>
  <c r="H93" i="30" s="1"/>
  <c r="H97" i="30" s="1"/>
  <c r="I91" i="30"/>
  <c r="J91" i="30"/>
  <c r="J93" i="30" s="1"/>
  <c r="N91" i="30"/>
  <c r="N93" i="30" s="1"/>
  <c r="N95" i="30" s="1"/>
  <c r="I93" i="30"/>
  <c r="L93" i="30"/>
  <c r="H105" i="30" l="1"/>
  <c r="H99" i="30"/>
  <c r="I99" i="30"/>
  <c r="J99" i="30"/>
  <c r="H106" i="30"/>
  <c r="I106" i="30"/>
  <c r="J101" i="30" l="1"/>
  <c r="J105" i="30"/>
  <c r="J107" i="30" s="1"/>
  <c r="I105" i="30"/>
  <c r="I107" i="30" s="1"/>
  <c r="I110" i="30" s="1"/>
  <c r="I101" i="30"/>
  <c r="H109" i="30"/>
  <c r="J109"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<sst xmlns="http://schemas.openxmlformats.org/spreadsheetml/2006/main" count="4920" uniqueCount="1157">
  <si>
    <t>Line</t>
  </si>
  <si>
    <t>No.</t>
  </si>
  <si>
    <t>(%)</t>
  </si>
  <si>
    <t>(a)</t>
  </si>
  <si>
    <t>(b)</t>
  </si>
  <si>
    <t>Rate 1</t>
  </si>
  <si>
    <t>Rate 6</t>
  </si>
  <si>
    <t>Rate 100</t>
  </si>
  <si>
    <t>Rate 110</t>
  </si>
  <si>
    <t>Rate 115</t>
  </si>
  <si>
    <t>Rate 125</t>
  </si>
  <si>
    <t>Rate 135</t>
  </si>
  <si>
    <t>Rate 145</t>
  </si>
  <si>
    <t>Rate 170</t>
  </si>
  <si>
    <t>Rate 200</t>
  </si>
  <si>
    <t>Rate 300</t>
  </si>
  <si>
    <t>Rate 01</t>
  </si>
  <si>
    <t>Rate 10</t>
  </si>
  <si>
    <t>Rate 20</t>
  </si>
  <si>
    <t>Rate 25</t>
  </si>
  <si>
    <t>Rate M1</t>
  </si>
  <si>
    <t>Rate M2</t>
  </si>
  <si>
    <t>Rate M4</t>
  </si>
  <si>
    <t>Rate M5</t>
  </si>
  <si>
    <t>Rate M7</t>
  </si>
  <si>
    <t>Rate M9</t>
  </si>
  <si>
    <t>Rate T1</t>
  </si>
  <si>
    <t>Rate T2</t>
  </si>
  <si>
    <t>Rate T3</t>
  </si>
  <si>
    <t>Notes:</t>
  </si>
  <si>
    <t xml:space="preserve">(1) </t>
  </si>
  <si>
    <t xml:space="preserve">(2) </t>
  </si>
  <si>
    <t xml:space="preserve">(3) </t>
  </si>
  <si>
    <t>Particulars</t>
  </si>
  <si>
    <t>Revenue (Deficiency) / Sufficiency</t>
  </si>
  <si>
    <r>
      <t>(cents/m</t>
    </r>
    <r>
      <rPr>
        <vertAlign val="superscript"/>
        <sz val="10"/>
        <rFont val="Arial"/>
        <family val="2"/>
      </rPr>
      <t>3</t>
    </r>
    <r>
      <rPr>
        <sz val="10"/>
        <rFont val="Arial"/>
        <family val="2"/>
      </rPr>
      <t>)</t>
    </r>
  </si>
  <si>
    <t>Ratios</t>
  </si>
  <si>
    <t>Rate Change</t>
  </si>
  <si>
    <t>(g)</t>
  </si>
  <si>
    <t>Ex-franchise</t>
  </si>
  <si>
    <t>Rate M12</t>
  </si>
  <si>
    <t>Rate M16</t>
  </si>
  <si>
    <t>Rate M17</t>
  </si>
  <si>
    <t>Rate C1</t>
  </si>
  <si>
    <t>Total Ex-franchise</t>
  </si>
  <si>
    <t xml:space="preserve">(4) </t>
  </si>
  <si>
    <t xml:space="preserve">(5) </t>
  </si>
  <si>
    <t>Billing</t>
  </si>
  <si>
    <t>Units</t>
  </si>
  <si>
    <t>Usage (1)</t>
  </si>
  <si>
    <t>First     30 m³</t>
  </si>
  <si>
    <t>Next     55 m³</t>
  </si>
  <si>
    <t>Next     85 m³</t>
  </si>
  <si>
    <t>Over  170 m³</t>
  </si>
  <si>
    <t>Total Rate 1</t>
  </si>
  <si>
    <t>bills</t>
  </si>
  <si>
    <t>10³m³</t>
  </si>
  <si>
    <t>Current Approved</t>
  </si>
  <si>
    <t xml:space="preserve">(c) </t>
  </si>
  <si>
    <t>(d) = (b - e)</t>
  </si>
  <si>
    <t>Proposed 2024</t>
  </si>
  <si>
    <t>Revenue</t>
  </si>
  <si>
    <t>Rates (2)</t>
  </si>
  <si>
    <t>(e)</t>
  </si>
  <si>
    <t>Transportation - System</t>
  </si>
  <si>
    <t>Transportation - Dawn</t>
  </si>
  <si>
    <t>Transportation - Western</t>
  </si>
  <si>
    <t>Transportation - Ontario</t>
  </si>
  <si>
    <t>Total Delivery</t>
  </si>
  <si>
    <t>Rates</t>
  </si>
  <si>
    <t>(h)</t>
  </si>
  <si>
    <t>(j) = (h - c) / (c)</t>
  </si>
  <si>
    <t>Total Rate 6</t>
  </si>
  <si>
    <t>First      500 m³</t>
  </si>
  <si>
    <t>Next      1,050 m³</t>
  </si>
  <si>
    <t>Next    4,500 m³</t>
  </si>
  <si>
    <t>Next    7,000 m³</t>
  </si>
  <si>
    <t>Next    15,250 m³</t>
  </si>
  <si>
    <t>Over  28,300 m³</t>
  </si>
  <si>
    <t>Revenue Requirement (3)</t>
  </si>
  <si>
    <t>Proposed</t>
  </si>
  <si>
    <t>10³m³/d</t>
  </si>
  <si>
    <t>Total Rate 100</t>
  </si>
  <si>
    <t>For all over 1,000,000 m³</t>
  </si>
  <si>
    <t>First 1,000,000 m³</t>
  </si>
  <si>
    <t>Monthly Customer Charge</t>
  </si>
  <si>
    <t>Delivery Commodity Charge</t>
  </si>
  <si>
    <t>Gas Supply Transportation Charge</t>
  </si>
  <si>
    <t>Gas Supply Commodity</t>
  </si>
  <si>
    <t>Delivery Contract Demand Charge</t>
  </si>
  <si>
    <t>Total Rate M1</t>
  </si>
  <si>
    <t>First              100 m³</t>
  </si>
  <si>
    <t>Next              150 m³</t>
  </si>
  <si>
    <t>All over         250 m³</t>
  </si>
  <si>
    <t>Total</t>
  </si>
  <si>
    <t>Dawn to Kirkwall</t>
  </si>
  <si>
    <t>- F24-T</t>
  </si>
  <si>
    <t>GJ/d/mo</t>
  </si>
  <si>
    <t>($/GJ)</t>
  </si>
  <si>
    <t>Dawn to Parkway</t>
  </si>
  <si>
    <t>Kirkwall to Parkway</t>
  </si>
  <si>
    <t xml:space="preserve">Parkway to Dawn/Kirkwall </t>
  </si>
  <si>
    <t>Kirkwall to Dawn</t>
  </si>
  <si>
    <t xml:space="preserve">Dawn to Parkway </t>
  </si>
  <si>
    <t>GJ</t>
  </si>
  <si>
    <t>Demand</t>
  </si>
  <si>
    <t>Dawn to Dawn Vector</t>
  </si>
  <si>
    <t>Dawn to Dawn TCPL</t>
  </si>
  <si>
    <t>Commodity</t>
  </si>
  <si>
    <t>Easterly</t>
  </si>
  <si>
    <t xml:space="preserve">Ojibway to Dawn </t>
  </si>
  <si>
    <t xml:space="preserve">Bluewater to Dawn </t>
  </si>
  <si>
    <t>Westerly</t>
  </si>
  <si>
    <t>Parkway to Kirkwall</t>
  </si>
  <si>
    <t>Short-term Transportation</t>
  </si>
  <si>
    <t>Monthly Fixed Charge</t>
  </si>
  <si>
    <t>Transmission Commodity Charge</t>
  </si>
  <si>
    <t xml:space="preserve">  Firm Demand Charge</t>
  </si>
  <si>
    <t>Total Revenue</t>
  </si>
  <si>
    <t>(c)</t>
  </si>
  <si>
    <t>Gas Supply Revenue</t>
  </si>
  <si>
    <t>First              1,000 m³</t>
  </si>
  <si>
    <t>Next              6,000 m³</t>
  </si>
  <si>
    <t>Next            13,000 m³</t>
  </si>
  <si>
    <t>All over       20,000 m³</t>
  </si>
  <si>
    <t>Total Rate M4</t>
  </si>
  <si>
    <t>Total Rate M2</t>
  </si>
  <si>
    <t>First           8,450 m³</t>
  </si>
  <si>
    <t>Next         19,700 m³</t>
  </si>
  <si>
    <t>All over    28,150 m³</t>
  </si>
  <si>
    <t>First Block</t>
  </si>
  <si>
    <t>All remaining use</t>
  </si>
  <si>
    <t>Firm MAV</t>
  </si>
  <si>
    <t>Unauthorized Overrun</t>
  </si>
  <si>
    <t>Total Delivery - Firm</t>
  </si>
  <si>
    <t>Interruptible Contracts</t>
  </si>
  <si>
    <t>Interruptible MAV</t>
  </si>
  <si>
    <t>Total Delivery - Interruptible</t>
  </si>
  <si>
    <t>Gas Supply MAV</t>
  </si>
  <si>
    <t>Days Use Discount - 75 days</t>
  </si>
  <si>
    <t>Days Use Discount - up to 275 days</t>
  </si>
  <si>
    <t>Firm Contracts</t>
  </si>
  <si>
    <t>Total Rate M7</t>
  </si>
  <si>
    <t>Total Rate M9</t>
  </si>
  <si>
    <t>Total Rate 125</t>
  </si>
  <si>
    <t>Total Rate 115</t>
  </si>
  <si>
    <t>Customer Supplied Fuel (UFG)</t>
  </si>
  <si>
    <t>Total Rate 110</t>
  </si>
  <si>
    <t>Winter</t>
  </si>
  <si>
    <t xml:space="preserve">   First             14,000 m³</t>
  </si>
  <si>
    <t xml:space="preserve">   Next             28,000 m³</t>
  </si>
  <si>
    <t xml:space="preserve">   For all over    42,000 m³</t>
  </si>
  <si>
    <t>Summer</t>
  </si>
  <si>
    <t>Seasonal Credits</t>
  </si>
  <si>
    <t>Total Rate 135</t>
  </si>
  <si>
    <t>Total Rate 145</t>
  </si>
  <si>
    <t>Total Rate 170</t>
  </si>
  <si>
    <t>Total Rate 200</t>
  </si>
  <si>
    <t>Total Rate 300</t>
  </si>
  <si>
    <t>Revenue Change</t>
  </si>
  <si>
    <t>Total Rate 01</t>
  </si>
  <si>
    <t>First     100 m³</t>
  </si>
  <si>
    <t>Next     200 m³</t>
  </si>
  <si>
    <t>Next     500 m³</t>
  </si>
  <si>
    <t>Over  1,000 m³</t>
  </si>
  <si>
    <t>Gas Supply Commodity - North West</t>
  </si>
  <si>
    <t>Gas Supply Commodity - North East</t>
  </si>
  <si>
    <t>Gas Supply Commodity Charge</t>
  </si>
  <si>
    <t>Storage Commodity - North West</t>
  </si>
  <si>
    <t>Storage Commodity - North East</t>
  </si>
  <si>
    <t>Storage Commodity Charge</t>
  </si>
  <si>
    <t>Transportation - System - North West</t>
  </si>
  <si>
    <t>Transportation - Bundled - North East</t>
  </si>
  <si>
    <t>Transportation - Bundled - North West</t>
  </si>
  <si>
    <t>Transportation - System - North East</t>
  </si>
  <si>
    <t>Total Rate 10</t>
  </si>
  <si>
    <t>First      1,000 m³</t>
  </si>
  <si>
    <t>Next      9,000 m³</t>
  </si>
  <si>
    <t>Next    20,000 m³</t>
  </si>
  <si>
    <t>Next    70,000 m³</t>
  </si>
  <si>
    <t>Over  100,000 m³</t>
  </si>
  <si>
    <t>First        70,000 m³</t>
  </si>
  <si>
    <t>All over   70,000 m³</t>
  </si>
  <si>
    <t>First      852,000 m³</t>
  </si>
  <si>
    <t>All over 852,000 m³</t>
  </si>
  <si>
    <t>MAV Charge</t>
  </si>
  <si>
    <t>Transportation Account Charge</t>
  </si>
  <si>
    <t>Gas Supply Demand Charge</t>
  </si>
  <si>
    <t>Commodity Transportation 1</t>
  </si>
  <si>
    <t>North West</t>
  </si>
  <si>
    <t>Commodity Transportation 2</t>
  </si>
  <si>
    <t>Gas Supply Transportation Charges</t>
  </si>
  <si>
    <t>System - North West</t>
  </si>
  <si>
    <t>System - North East</t>
  </si>
  <si>
    <t>Bundled - North East</t>
  </si>
  <si>
    <t>Bundled - North West</t>
  </si>
  <si>
    <t>North East</t>
  </si>
  <si>
    <t>Unbundled Storage</t>
  </si>
  <si>
    <t>Storage Demand ($/GJ)</t>
  </si>
  <si>
    <t>Storage Commodity ($/GJ)</t>
  </si>
  <si>
    <t>GJ/d</t>
  </si>
  <si>
    <t>Total Rate 20</t>
  </si>
  <si>
    <t>Total Rate 25</t>
  </si>
  <si>
    <t>Total Rate M5</t>
  </si>
  <si>
    <r>
      <t>Transportation (cents/m</t>
    </r>
    <r>
      <rPr>
        <vertAlign val="superscript"/>
        <sz val="10"/>
        <rFont val="Arial"/>
        <family val="2"/>
      </rPr>
      <t>3</t>
    </r>
    <r>
      <rPr>
        <sz val="10"/>
        <rFont val="Arial"/>
        <family val="2"/>
      </rPr>
      <t>)</t>
    </r>
  </si>
  <si>
    <t>First            28,150 m³</t>
  </si>
  <si>
    <t>Next         112,720 m³</t>
  </si>
  <si>
    <t>Firm Volumes - Customer Provides Fuel</t>
  </si>
  <si>
    <t>MAV - Firm</t>
  </si>
  <si>
    <t>Customer Supplied Fuel - Transportation</t>
  </si>
  <si>
    <t>Total Rate T1</t>
  </si>
  <si>
    <t>Monthly Demand Charges:</t>
  </si>
  <si>
    <t>Firm Space</t>
  </si>
  <si>
    <t>Firm Injection/Withdrawal Right</t>
  </si>
  <si>
    <t>Union provides deliverability inventory</t>
  </si>
  <si>
    <t>Customer provides deliverability inventory</t>
  </si>
  <si>
    <t>Firm incremental injection</t>
  </si>
  <si>
    <t xml:space="preserve">Interruptible withdrawal </t>
  </si>
  <si>
    <t>Commodity:</t>
  </si>
  <si>
    <t>Total Storage</t>
  </si>
  <si>
    <t>Total Transportation</t>
  </si>
  <si>
    <t>GJ/d/mo.</t>
  </si>
  <si>
    <t>First            140,870 m³</t>
  </si>
  <si>
    <t>All Over      140,870 m³</t>
  </si>
  <si>
    <t>Total Rate T2</t>
  </si>
  <si>
    <t>Total Rate T3</t>
  </si>
  <si>
    <t>Curtailment Credits</t>
  </si>
  <si>
    <t>(f) = (g - e)</t>
  </si>
  <si>
    <t>Transportation Demand</t>
  </si>
  <si>
    <t>Transportation Commodity</t>
  </si>
  <si>
    <t>Revenue Recovered From All</t>
  </si>
  <si>
    <t>Load Balancing - Transportation</t>
  </si>
  <si>
    <t>Gas Supply Administration</t>
  </si>
  <si>
    <t>Gas Supply Commodity (Reference Price)</t>
  </si>
  <si>
    <t xml:space="preserve">(a) </t>
  </si>
  <si>
    <t xml:space="preserve">(b) = (c - a) </t>
  </si>
  <si>
    <t>Rates (1)</t>
  </si>
  <si>
    <t>Customer Supplied Fuel - Storage</t>
  </si>
  <si>
    <t>Current</t>
  </si>
  <si>
    <t>Delivery Charge - Commodity</t>
  </si>
  <si>
    <t>Delivery Charge - Contract Demand</t>
  </si>
  <si>
    <t>Storage Charge - Commodity</t>
  </si>
  <si>
    <t xml:space="preserve">Gas Supply Transportation Charge - Demand </t>
  </si>
  <si>
    <t>Transportation Commodity - Tier 1</t>
  </si>
  <si>
    <t>Transportation Commodity - Tier 2</t>
  </si>
  <si>
    <t>Bundled (T-Service) Storage Service Charges</t>
  </si>
  <si>
    <t>Monthly Transportation Account Charge</t>
  </si>
  <si>
    <t>Customer Supplied Fuel - UFG</t>
  </si>
  <si>
    <t>Transportation Contract Demand</t>
  </si>
  <si>
    <t>Firm Volumes</t>
  </si>
  <si>
    <t>Monthly Fixed Charge - Typical</t>
  </si>
  <si>
    <t>Monthly Fixed Charge - Large</t>
  </si>
  <si>
    <t>Monthly Fixed Charge - Ontario Producers</t>
  </si>
  <si>
    <t>Rate 401</t>
  </si>
  <si>
    <t>Dawn to Delivery Area</t>
  </si>
  <si>
    <t>Kirkwall to Delivery Area or Dawn</t>
  </si>
  <si>
    <t>Parkway (TCPL) to Delivery Area or Dawn</t>
  </si>
  <si>
    <t>Total Rate M17</t>
  </si>
  <si>
    <t>Tecumseh Transportation Service</t>
  </si>
  <si>
    <t>Firm Demand Charge</t>
  </si>
  <si>
    <t>Interruptible Charge</t>
  </si>
  <si>
    <t>Line
No.</t>
  </si>
  <si>
    <t>Gas Cost</t>
  </si>
  <si>
    <t>(d)</t>
  </si>
  <si>
    <t>(f)</t>
  </si>
  <si>
    <t>Unit Rate</t>
  </si>
  <si>
    <t>Storage Demand</t>
  </si>
  <si>
    <t>(1)</t>
  </si>
  <si>
    <t>(2)</t>
  </si>
  <si>
    <t>(3)</t>
  </si>
  <si>
    <t>Customer Provides Deliverability Inventory</t>
  </si>
  <si>
    <t>Customer Provides Inventory</t>
  </si>
  <si>
    <t>Utility Provides Deliverability Inventory</t>
  </si>
  <si>
    <t>Utility Provides Inventory</t>
  </si>
  <si>
    <t>Total Storage Demand</t>
  </si>
  <si>
    <t>Fuel Ratio</t>
  </si>
  <si>
    <t>Storage Commodity</t>
  </si>
  <si>
    <t>(4)</t>
  </si>
  <si>
    <t>(5)</t>
  </si>
  <si>
    <t>(6)</t>
  </si>
  <si>
    <t>Add: Transportation to Delivery Area</t>
  </si>
  <si>
    <t>Dawn-Parkway Demand Rate</t>
  </si>
  <si>
    <t>Parkway to Union NDA TCPL Toll</t>
  </si>
  <si>
    <t>Costs ($000s)</t>
  </si>
  <si>
    <t>Fuel
Ratio (%)</t>
  </si>
  <si>
    <t>Reference</t>
  </si>
  <si>
    <t>EGD Rate Zone - Rate 315, Rate 316</t>
  </si>
  <si>
    <t>Monthly Storage Space Demand Charge</t>
  </si>
  <si>
    <t>Monthly Storage Deliverability Demand Charge - Rate 316</t>
  </si>
  <si>
    <t>Note (1)</t>
  </si>
  <si>
    <t>Monthly Storage Deliverability Demand Charge - Rate 315</t>
  </si>
  <si>
    <t>Injection/Withdrawal Unit Charge - Rate 316</t>
  </si>
  <si>
    <t>Add: Transportation Fuel to Delivery Area</t>
  </si>
  <si>
    <t>Dawn-Parkway Fuel</t>
  </si>
  <si>
    <t>Note (2)</t>
  </si>
  <si>
    <t>Injection/Withdrawal Unit Charge - Rate 315</t>
  </si>
  <si>
    <t>Union South Rate Zone - Rate T1, Rate T2, Rate T3</t>
  </si>
  <si>
    <t>Storage Deliverability</t>
  </si>
  <si>
    <t>Injection &amp; Withdrawal</t>
  </si>
  <si>
    <t>Customer Provides Fuel</t>
  </si>
  <si>
    <t xml:space="preserve">Union North Rate Zone - Rate 20, Rate 100 </t>
  </si>
  <si>
    <t>Note (3)</t>
  </si>
  <si>
    <t>Parkway to Union NDA TCPL Toll Optimization Credit</t>
  </si>
  <si>
    <t>Parkway to Union NDA TCPL Fuel</t>
  </si>
  <si>
    <t>Total Storage Commodity</t>
  </si>
  <si>
    <t>Space (1)</t>
  </si>
  <si>
    <t>Deliverability (1)</t>
  </si>
  <si>
    <t>Storage Commodity (1)</t>
  </si>
  <si>
    <t>Working Capital Adjustment (2)</t>
  </si>
  <si>
    <t>Load Balancing Commodity (3)</t>
  </si>
  <si>
    <t>Allocation
Units (5) (GJ)</t>
  </si>
  <si>
    <t>Rate (6) ($/GJ)</t>
  </si>
  <si>
    <t>RNG Sampling Charge</t>
  </si>
  <si>
    <t>per use</t>
  </si>
  <si>
    <t>Proposed Revenue Requirement</t>
  </si>
  <si>
    <t>(e) = (c + d)</t>
  </si>
  <si>
    <t>(h) = (e + f + g)</t>
  </si>
  <si>
    <t>(i) = (h / e)</t>
  </si>
  <si>
    <t>(j) = (h - a) / (a)</t>
  </si>
  <si>
    <t>Firm Transportation</t>
  </si>
  <si>
    <t>Monthly Demand Charges</t>
  </si>
  <si>
    <t>Commodity Charges</t>
  </si>
  <si>
    <t>Plus shipper supplied fuel per rate schedule.</t>
  </si>
  <si>
    <t>F24-T</t>
  </si>
  <si>
    <t>M12-X - Dawn, Kirkwall and Parkway</t>
  </si>
  <si>
    <t>Limited Firm/Interruptible Transportation</t>
  </si>
  <si>
    <t>Transportation Commodity Charges</t>
  </si>
  <si>
    <t>Commodity Charges - Shipper Supplied Fuel</t>
  </si>
  <si>
    <t>Monthly fixed charge per customer station - Typical</t>
  </si>
  <si>
    <t>Monthly fixed charge per customer station - Large</t>
  </si>
  <si>
    <t>Transmission commodity charge to Dawn</t>
  </si>
  <si>
    <t>West of Dawn</t>
  </si>
  <si>
    <t>East of Dawn</t>
  </si>
  <si>
    <t>Transportation Fuel Charges to Dawn</t>
  </si>
  <si>
    <t>Fuel &amp; UFG to Dawn</t>
  </si>
  <si>
    <t>Fuel &amp; UFG to Pool</t>
  </si>
  <si>
    <t>East of Dawn - Utility Supplied Fuel</t>
  </si>
  <si>
    <t>West of Dawn - Utility Supplied Fuel</t>
  </si>
  <si>
    <t>East of Dawn - Shipper Supplied Fuel</t>
  </si>
  <si>
    <t>West of Dawn - Shipper Supplied Fuel</t>
  </si>
  <si>
    <t>Transportation Fuel Charges to Pool</t>
  </si>
  <si>
    <t>Authorized Overrun</t>
  </si>
  <si>
    <t>Rate 331</t>
  </si>
  <si>
    <t>Rate M13</t>
  </si>
  <si>
    <t>Rate 332</t>
  </si>
  <si>
    <t>Monthly Demand Charge</t>
  </si>
  <si>
    <t>Monthly Demand Charge - Firm</t>
  </si>
  <si>
    <t>Commodity Charge - Interruptible</t>
  </si>
  <si>
    <t>Calculation of Supplemental Service Charges</t>
  </si>
  <si>
    <t>Rate</t>
  </si>
  <si>
    <t>cents / m³</t>
  </si>
  <si>
    <t>Rate M4 Firm MAV</t>
  </si>
  <si>
    <t>Gas Supply Admin Charge</t>
  </si>
  <si>
    <t>Rate M4 / M5 Interruptible MAV</t>
  </si>
  <si>
    <t>Rate 25 Interruptible</t>
  </si>
  <si>
    <t>Average Rate 10 Delivery Charge</t>
  </si>
  <si>
    <t>Percent of Average Rate 10 Delivery Charge</t>
  </si>
  <si>
    <t>Rate M7 Interruptible</t>
  </si>
  <si>
    <t>Rate M7 Maximum Interruptible Charge</t>
  </si>
  <si>
    <t>Rate M7 Seasonal</t>
  </si>
  <si>
    <t>Current Approved Maximum</t>
  </si>
  <si>
    <t>Change</t>
  </si>
  <si>
    <t>Rate T1 Interruptible</t>
  </si>
  <si>
    <t>Rate T2 Interruptible</t>
  </si>
  <si>
    <t>Rate M4 Firm</t>
  </si>
  <si>
    <t>Rate M4 Authorized Overrun Charge</t>
  </si>
  <si>
    <t>Delivery Commodity</t>
  </si>
  <si>
    <t>Rate M9 Authorized Overrun Charge</t>
  </si>
  <si>
    <t>Rate T1 Firm</t>
  </si>
  <si>
    <t>Rate T1 Firm Authorized Transportation Overrun Charge</t>
  </si>
  <si>
    <t>Rate T2 Firm</t>
  </si>
  <si>
    <t>Rate T2 Firm Authorized Transportation Overrun Charge</t>
  </si>
  <si>
    <t>Rate T3 Firm</t>
  </si>
  <si>
    <t>Rate T3 Firm Authorized Transportation Overrun Charge</t>
  </si>
  <si>
    <t>R20/100 Authorized Storage Overrun</t>
  </si>
  <si>
    <t>Rates T1, T2 Unauthorized Injections/Withdrawals</t>
  </si>
  <si>
    <t>Heat Value Conversion (South)</t>
  </si>
  <si>
    <t>Unauthorized Overrun Non-Compliance</t>
  </si>
  <si>
    <t>Rate 20 - at 50% Load Factor</t>
  </si>
  <si>
    <t>Delivery Commodity Charge (Tier 1)</t>
  </si>
  <si>
    <t>Rate 100 - at 70% Load Factor</t>
  </si>
  <si>
    <t>Notes</t>
  </si>
  <si>
    <t>D-PTRANS</t>
  </si>
  <si>
    <t>Rate Class</t>
  </si>
  <si>
    <r>
      <t>(10</t>
    </r>
    <r>
      <rPr>
        <vertAlign val="superscript"/>
        <sz val="10"/>
        <rFont val="Arial"/>
        <family val="2"/>
      </rPr>
      <t>3</t>
    </r>
    <r>
      <rPr>
        <sz val="10"/>
        <rFont val="Arial"/>
        <family val="2"/>
      </rPr>
      <t>m</t>
    </r>
    <r>
      <rPr>
        <vertAlign val="superscript"/>
        <sz val="10"/>
        <rFont val="Arial"/>
        <family val="2"/>
      </rPr>
      <t>3</t>
    </r>
    <r>
      <rPr>
        <sz val="10"/>
        <rFont val="Arial"/>
        <family val="2"/>
      </rPr>
      <t>/day) (1)</t>
    </r>
  </si>
  <si>
    <t xml:space="preserve"> </t>
  </si>
  <si>
    <t>Forecast</t>
  </si>
  <si>
    <t>DSM</t>
  </si>
  <si>
    <t>(10³m³)</t>
  </si>
  <si>
    <t>($000s)</t>
  </si>
  <si>
    <t>(cents / m³)</t>
  </si>
  <si>
    <t>Total Winter</t>
  </si>
  <si>
    <t>Total Summer</t>
  </si>
  <si>
    <t xml:space="preserve">Rate M4 </t>
  </si>
  <si>
    <t>EGD Rate Zone</t>
  </si>
  <si>
    <t>Union North Rate Zone</t>
  </si>
  <si>
    <t>Non-Utility Cross Charge</t>
  </si>
  <si>
    <t>Delivery</t>
  </si>
  <si>
    <t>Proposed Unit Rate Components</t>
  </si>
  <si>
    <t>Delivery Charge - Commodity (Average)</t>
  </si>
  <si>
    <t>Particulars ($000s)</t>
  </si>
  <si>
    <t>Total 
Revenue (1)</t>
  </si>
  <si>
    <t>(c) = (a - b)</t>
  </si>
  <si>
    <t>Rate C1 - St. Clair &amp; Ojibway to Dawn</t>
  </si>
  <si>
    <t>Rate C1 - Dawn-Dawn Vector</t>
  </si>
  <si>
    <t>Rate C1 - Dawn-Dawn TCPL</t>
  </si>
  <si>
    <t>Rate M13 - Transmission Commodity Charge</t>
  </si>
  <si>
    <t>Rate M16 -  Transportation Commodity and Demand Charges</t>
  </si>
  <si>
    <t>Short-Term Transportation</t>
  </si>
  <si>
    <t>Monthly Charges</t>
  </si>
  <si>
    <t xml:space="preserve">Rate M13 </t>
  </si>
  <si>
    <t xml:space="preserve">Rate M16 </t>
  </si>
  <si>
    <t>Rate M13 - RNG Sampling Charge</t>
  </si>
  <si>
    <t>Proposed Rate Design Methodology</t>
  </si>
  <si>
    <t>Station Costs</t>
  </si>
  <si>
    <t xml:space="preserve">Dawn to </t>
  </si>
  <si>
    <t xml:space="preserve">Kirkwall to </t>
  </si>
  <si>
    <t>Dawn</t>
  </si>
  <si>
    <t>Parkway</t>
  </si>
  <si>
    <t>Kirkwall</t>
  </si>
  <si>
    <t>Station</t>
  </si>
  <si>
    <t>Allocation Units (GJ)</t>
  </si>
  <si>
    <t xml:space="preserve">Easterly Demands </t>
  </si>
  <si>
    <t>Distance (km)</t>
  </si>
  <si>
    <t>Annual Billing Units</t>
  </si>
  <si>
    <t>Dawn Parkway Easterly Demands (line 2 x 12)</t>
  </si>
  <si>
    <t>Station Specific Demands (from line 6)</t>
  </si>
  <si>
    <t xml:space="preserve">Adjusted Westerly Demands Recovered over 100 days </t>
  </si>
  <si>
    <t xml:space="preserve">Adjusted Westerly Demands Recovered over 214 days </t>
  </si>
  <si>
    <t>Total Demands (line 6 + line 7 + line 9 + line 10)</t>
  </si>
  <si>
    <t>Demand Charges ($/GJ)  ((line 5 - line 14) x 1000 / line 6)</t>
  </si>
  <si>
    <t>Dawn Station</t>
  </si>
  <si>
    <t>Kirkwall Station</t>
  </si>
  <si>
    <t>Parkway Station</t>
  </si>
  <si>
    <t/>
  </si>
  <si>
    <t>Derivation of Rate C1 Long-Term Firm Transportation Demand Charges</t>
  </si>
  <si>
    <t>Total Rate Base</t>
  </si>
  <si>
    <t>Return on Rate Base</t>
  </si>
  <si>
    <t>Operating and Maintenance Costs</t>
  </si>
  <si>
    <t>Depreciation</t>
  </si>
  <si>
    <t xml:space="preserve">Taxes </t>
  </si>
  <si>
    <t>Derivation of Rate M13 Charges</t>
  </si>
  <si>
    <t>Typical Producer Station</t>
  </si>
  <si>
    <t>Number of Customer Stations</t>
  </si>
  <si>
    <t>Large Producer Station</t>
  </si>
  <si>
    <t>East of Dawn Demand Charge</t>
  </si>
  <si>
    <t>Distance - Dawn to Stratford lateral (km)</t>
  </si>
  <si>
    <t>Distance - Dawn to Parkway (km)</t>
  </si>
  <si>
    <t>Costs</t>
  </si>
  <si>
    <t>Heritage Pool Transportation Charges (GJ; $/GJ)</t>
  </si>
  <si>
    <t>Total Heritage Pool</t>
  </si>
  <si>
    <t>Tipperary Pool Transportation Charges (GJ; $/GJ)</t>
  </si>
  <si>
    <t>Total Tipperary Pool</t>
  </si>
  <si>
    <t>Dow Moore Pool Storage Charges (10³m³; $/10³m³)</t>
  </si>
  <si>
    <t>Annual turnover volume</t>
  </si>
  <si>
    <t>Maximum daily withdrawal volume</t>
  </si>
  <si>
    <t>Commodity charge</t>
  </si>
  <si>
    <t xml:space="preserve">Total </t>
  </si>
  <si>
    <t>Unregulated allocation</t>
  </si>
  <si>
    <t>Total Dow Moore Pool</t>
  </si>
  <si>
    <t>Black Creek Pool Storage Charges (10³m³; $/10³m³)</t>
  </si>
  <si>
    <t>Total Black Creek Pool</t>
  </si>
  <si>
    <t>OBA/LBA</t>
  </si>
  <si>
    <t>UFG</t>
  </si>
  <si>
    <t>Hysteresis</t>
  </si>
  <si>
    <t>Total Long-Term Storage System Integrity</t>
  </si>
  <si>
    <t>Total Non-Utility Cross Charge</t>
  </si>
  <si>
    <t xml:space="preserve">Costs </t>
  </si>
  <si>
    <t>No</t>
  </si>
  <si>
    <t>(GJ)</t>
  </si>
  <si>
    <t>($)</t>
  </si>
  <si>
    <t>Storage space</t>
  </si>
  <si>
    <t>Storage deliverability</t>
  </si>
  <si>
    <t>Delivery Commodity Charge (avg. price)</t>
  </si>
  <si>
    <t>Union South Rate Zone</t>
  </si>
  <si>
    <t>Monthly Delivery Commodity Charge</t>
  </si>
  <si>
    <t>Interruptible / Seasonal Contracts</t>
  </si>
  <si>
    <t>(b) = (a - e)</t>
  </si>
  <si>
    <t>($000s) (2)</t>
  </si>
  <si>
    <t>(i) = (g / e)</t>
  </si>
  <si>
    <t>Charges West of Dawn</t>
  </si>
  <si>
    <t>Charges East of Dawn</t>
  </si>
  <si>
    <t>Monthly Contract Demand</t>
  </si>
  <si>
    <t>Line No.</t>
  </si>
  <si>
    <t>(i)</t>
  </si>
  <si>
    <t>(j)</t>
  </si>
  <si>
    <t>(k)</t>
  </si>
  <si>
    <t>(l)</t>
  </si>
  <si>
    <t>(m)</t>
  </si>
  <si>
    <t>(n)</t>
  </si>
  <si>
    <t>(o)</t>
  </si>
  <si>
    <t>(p)</t>
  </si>
  <si>
    <t>(q)</t>
  </si>
  <si>
    <t>(r)</t>
  </si>
  <si>
    <t>(s)</t>
  </si>
  <si>
    <t>(t)</t>
  </si>
  <si>
    <t>(u)</t>
  </si>
  <si>
    <t>Rate M13/GPA</t>
  </si>
  <si>
    <t>Rate M12/C1 Dawn-Parkway</t>
  </si>
  <si>
    <t>Storage Rate Detail</t>
  </si>
  <si>
    <t>Rate M13 &amp; GPA</t>
  </si>
  <si>
    <t>Rate M13, GPA</t>
  </si>
  <si>
    <t>Summary of Proposed Revenue Change by Rate Class</t>
  </si>
  <si>
    <t>Delivery Revenue</t>
  </si>
  <si>
    <t>Exhibit 7, Tab 1, Schedule 1, Attachment 1.</t>
  </si>
  <si>
    <t>Revenue (Deficiency) / Sufficiency (2)</t>
  </si>
  <si>
    <t>Derivation of Proposed Rates and Revenue by Rate Class</t>
  </si>
  <si>
    <t>Western Transportation</t>
  </si>
  <si>
    <t>Transportation</t>
  </si>
  <si>
    <r>
      <t>Gas Supply Commodity Charge - Delivery (cents/m</t>
    </r>
    <r>
      <rPr>
        <vertAlign val="superscript"/>
        <sz val="10"/>
        <rFont val="Arial"/>
        <family val="2"/>
      </rPr>
      <t>3</t>
    </r>
    <r>
      <rPr>
        <sz val="10"/>
        <rFont val="Arial"/>
        <family val="2"/>
      </rPr>
      <t>)</t>
    </r>
  </si>
  <si>
    <r>
      <t>Gas Supply Commodity Charge - Gas Supply (cents/m</t>
    </r>
    <r>
      <rPr>
        <vertAlign val="superscript"/>
        <sz val="10"/>
        <rFont val="Arial"/>
        <family val="2"/>
      </rPr>
      <t>3</t>
    </r>
    <r>
      <rPr>
        <sz val="10"/>
        <rFont val="Arial"/>
        <family val="2"/>
      </rPr>
      <t>)</t>
    </r>
  </si>
  <si>
    <r>
      <t>Gas Supply Commodity Charge - Total (cents/m</t>
    </r>
    <r>
      <rPr>
        <vertAlign val="superscript"/>
        <sz val="10"/>
        <rFont val="Arial"/>
        <family val="2"/>
      </rPr>
      <t>3</t>
    </r>
    <r>
      <rPr>
        <sz val="10"/>
        <rFont val="Arial"/>
        <family val="2"/>
      </rPr>
      <t>)</t>
    </r>
  </si>
  <si>
    <r>
      <t>Unit Rates - Gas Supply (cents/m</t>
    </r>
    <r>
      <rPr>
        <u/>
        <vertAlign val="superscript"/>
        <sz val="10"/>
        <rFont val="Arial"/>
        <family val="2"/>
      </rPr>
      <t>3</t>
    </r>
    <r>
      <rPr>
        <u/>
        <sz val="10"/>
        <rFont val="Arial"/>
        <family val="2"/>
      </rPr>
      <t xml:space="preserve">) </t>
    </r>
  </si>
  <si>
    <r>
      <t>Unit Rates - Total (cents/m</t>
    </r>
    <r>
      <rPr>
        <u/>
        <vertAlign val="superscript"/>
        <sz val="10"/>
        <rFont val="Arial"/>
        <family val="2"/>
      </rPr>
      <t>3</t>
    </r>
    <r>
      <rPr>
        <u/>
        <sz val="10"/>
        <rFont val="Arial"/>
        <family val="2"/>
      </rPr>
      <t xml:space="preserve">) </t>
    </r>
  </si>
  <si>
    <r>
      <t>Unit Rates - Delivery (cents/m</t>
    </r>
    <r>
      <rPr>
        <u/>
        <vertAlign val="superscript"/>
        <sz val="10"/>
        <rFont val="Arial"/>
        <family val="2"/>
      </rPr>
      <t>3</t>
    </r>
    <r>
      <rPr>
        <u/>
        <sz val="10"/>
        <rFont val="Arial"/>
        <family val="2"/>
      </rPr>
      <t xml:space="preserve">) </t>
    </r>
  </si>
  <si>
    <t>Proposed Revenue (6)</t>
  </si>
  <si>
    <t xml:space="preserve">(6) </t>
  </si>
  <si>
    <t>Rate M4 (7)</t>
  </si>
  <si>
    <t xml:space="preserve">(7) </t>
  </si>
  <si>
    <t>Total 
Margin (1)</t>
  </si>
  <si>
    <t>Allocated 
Costs (1)</t>
  </si>
  <si>
    <t>Maximum Day Demand (GJ) (2)</t>
  </si>
  <si>
    <t xml:space="preserve">Particulars </t>
  </si>
  <si>
    <t>Total Dawn to Delivery Area Demand Costs ($000s)</t>
  </si>
  <si>
    <t>Annual demands (GJ) (5)</t>
  </si>
  <si>
    <t>Gas Supply Transportation Charge (line 5 / line 17)</t>
  </si>
  <si>
    <t>Gas Supply Western Transportation Charge (line 20 + line 11)</t>
  </si>
  <si>
    <t>Gas Supply Western Transportation Charge (line 18 + line 11)</t>
  </si>
  <si>
    <t>Gas Supply Transportation Charge (line 13 / line 17)</t>
  </si>
  <si>
    <t>Gas Supply Western Transportation Charge</t>
  </si>
  <si>
    <t>Delivery Charge - Commodity (average)</t>
  </si>
  <si>
    <t>Interruptible Volumes (average)</t>
  </si>
  <si>
    <t>Delivery Commodity Charge (average)</t>
  </si>
  <si>
    <t>Interruptible MAV (average)</t>
  </si>
  <si>
    <t>MAV (average)</t>
  </si>
  <si>
    <t>MAV - Interruptible (average)</t>
  </si>
  <si>
    <t>Interruptible Volumes - Customer Provides Fuel (average)</t>
  </si>
  <si>
    <t>Note (4)</t>
  </si>
  <si>
    <t>Note (5)</t>
  </si>
  <si>
    <t>Rate M12/C1 Parkway/Kirwall to Dawn Demand Charge (6)</t>
  </si>
  <si>
    <t>Monthly Fixed Charges</t>
  </si>
  <si>
    <t>Revenue Requirement</t>
  </si>
  <si>
    <t>DSM Budget (1)</t>
  </si>
  <si>
    <t>Budget (2)</t>
  </si>
  <si>
    <r>
      <t>Forecast Sales Volumes (10</t>
    </r>
    <r>
      <rPr>
        <vertAlign val="superscript"/>
        <sz val="10"/>
        <rFont val="Arial"/>
        <family val="2"/>
      </rPr>
      <t>3</t>
    </r>
    <r>
      <rPr>
        <sz val="10"/>
        <rFont val="Arial"/>
        <family val="2"/>
      </rPr>
      <t>m</t>
    </r>
    <r>
      <rPr>
        <vertAlign val="superscript"/>
        <sz val="10"/>
        <rFont val="Arial"/>
        <family val="2"/>
      </rPr>
      <t>3</t>
    </r>
    <r>
      <rPr>
        <sz val="10"/>
        <rFont val="Arial"/>
        <family val="2"/>
      </rPr>
      <t>) (2)</t>
    </r>
  </si>
  <si>
    <t>Rate 110 Minimum Bill</t>
  </si>
  <si>
    <t>Rate 115 Minimum Bill</t>
  </si>
  <si>
    <t>Rate 135 Minimum Bill</t>
  </si>
  <si>
    <t>Rate 145 Minimum Bill</t>
  </si>
  <si>
    <t>Rate 170 Minimum Bill</t>
  </si>
  <si>
    <t>Rate 200 Minimum Bill</t>
  </si>
  <si>
    <t xml:space="preserve">Rate M12 Dawn to Parkway Facility Carbon Charge </t>
  </si>
  <si>
    <t xml:space="preserve">M12-X </t>
  </si>
  <si>
    <t>- Between Dawn, Kirkwall and Parkway</t>
  </si>
  <si>
    <t>Dawn to St. Clair, Bluewater, &amp; Ojibway</t>
  </si>
  <si>
    <t>St. Clair, Bluewater, &amp; Ojibway to Dawn</t>
  </si>
  <si>
    <t>Unit Rate (1)</t>
  </si>
  <si>
    <t>Total Rate 331</t>
  </si>
  <si>
    <t>Total Rate 332</t>
  </si>
  <si>
    <t>Service Fee</t>
  </si>
  <si>
    <t>Usage</t>
  </si>
  <si>
    <t>Firm Commodity</t>
  </si>
  <si>
    <t>Exhibit 7, Tab 2, Schedule 1, Attachment 8, line 35.</t>
  </si>
  <si>
    <t>Rate M5 (7)</t>
  </si>
  <si>
    <t xml:space="preserve">(8) </t>
  </si>
  <si>
    <t>Exhibit 7, Tab 2, Schedule 1, Attachment 9, line 35.</t>
  </si>
  <si>
    <t>Exhibit 7, Tab 2, Schedule 1, Attachment 10, line 35.</t>
  </si>
  <si>
    <t>PAN_STCLAIR (1)</t>
  </si>
  <si>
    <t>SUPPLY_VOL (2)</t>
  </si>
  <si>
    <r>
      <t>(10</t>
    </r>
    <r>
      <rPr>
        <vertAlign val="superscript"/>
        <sz val="10"/>
        <rFont val="Arial"/>
        <family val="2"/>
      </rPr>
      <t>3</t>
    </r>
    <r>
      <rPr>
        <sz val="10"/>
        <rFont val="Arial"/>
        <family val="2"/>
      </rPr>
      <t>m</t>
    </r>
    <r>
      <rPr>
        <vertAlign val="superscript"/>
        <sz val="10"/>
        <rFont val="Arial"/>
        <family val="2"/>
      </rPr>
      <t>3</t>
    </r>
    <r>
      <rPr>
        <sz val="10"/>
        <rFont val="Arial"/>
        <family val="2"/>
      </rPr>
      <t>)</t>
    </r>
  </si>
  <si>
    <r>
      <t>(10</t>
    </r>
    <r>
      <rPr>
        <vertAlign val="superscript"/>
        <sz val="10"/>
        <rFont val="Arial"/>
        <family val="2"/>
      </rPr>
      <t>3</t>
    </r>
    <r>
      <rPr>
        <sz val="10"/>
        <rFont val="Arial"/>
        <family val="2"/>
      </rPr>
      <t>m</t>
    </r>
    <r>
      <rPr>
        <vertAlign val="superscript"/>
        <sz val="10"/>
        <rFont val="Arial"/>
        <family val="2"/>
      </rPr>
      <t>3</t>
    </r>
    <r>
      <rPr>
        <sz val="10"/>
        <rFont val="Arial"/>
        <family val="2"/>
      </rPr>
      <t>/day)</t>
    </r>
  </si>
  <si>
    <t>Rates 
(1) (2)</t>
  </si>
  <si>
    <t>Firm Transportation Charges</t>
  </si>
  <si>
    <t>Other Charges</t>
  </si>
  <si>
    <t>Total S&amp;T Margin (sum lines 7, 8, 16, 17)</t>
  </si>
  <si>
    <t>Dawn Parkway Easterly</t>
  </si>
  <si>
    <t>Revenue Requirement ($000s)</t>
  </si>
  <si>
    <t>Revenue Requirement ($000s) (line 1 allocated using line 4)</t>
  </si>
  <si>
    <t>Easterly Dawn Parkway Demand Charge ($/GJ) (line 5 x 1000 / line 6)</t>
  </si>
  <si>
    <t xml:space="preserve">Monthly Demand Charge ($/GJ) </t>
  </si>
  <si>
    <t>Easterly Demand Charge</t>
  </si>
  <si>
    <t>Station Charge (line 12)</t>
  </si>
  <si>
    <t>Total Easterly Demand Charge</t>
  </si>
  <si>
    <t>M12-X Monthly Firm Demand Charge</t>
  </si>
  <si>
    <t>F24-T - Firm All Day Demand Charge</t>
  </si>
  <si>
    <t>Particulars ($/GJ)</t>
  </si>
  <si>
    <t>Charges</t>
  </si>
  <si>
    <t>Rate C1 -  St. Clair, Bluewater, Ojibway and Dawn Demand Charge</t>
  </si>
  <si>
    <t>Panhandle/St. Clair Revenue Requirement ($000s) (1)</t>
  </si>
  <si>
    <t>Operating and Maintenance Costs ($000s) (1)</t>
  </si>
  <si>
    <t>Operating and Maintenance Costs ($000s) (3)</t>
  </si>
  <si>
    <t>Number of Large Customer Stations</t>
  </si>
  <si>
    <t>Rate M13/Rate M16 Transmission Commodity Charge</t>
  </si>
  <si>
    <t>Number of RNG Sampling Tests</t>
  </si>
  <si>
    <t>Derivation of Rate M16 Charges</t>
  </si>
  <si>
    <t>Dawn-Parkway Easterly Demand Charge ($/GJ) (2)</t>
  </si>
  <si>
    <t>Derivation of Rate M17 Charges</t>
  </si>
  <si>
    <t>Gas Supply Administration Cost ($000s) (1)</t>
  </si>
  <si>
    <t>DSM Budget Allocation by Rate Class</t>
  </si>
  <si>
    <t>Revenue Before Recovery</t>
  </si>
  <si>
    <t>Revenue After Recovery</t>
  </si>
  <si>
    <t>Total Bundled In-franchise</t>
  </si>
  <si>
    <t>Balancing Charges</t>
  </si>
  <si>
    <t>Rate 125 Authorized Overrun Charge</t>
  </si>
  <si>
    <t>Rate 315 Injection/Withdrawal</t>
  </si>
  <si>
    <t>Daily Balancing Charge - Tier 1</t>
  </si>
  <si>
    <t>Rate 125 Cumulative Balance Charge</t>
  </si>
  <si>
    <t>Rate 125 and Rate 300 Daily Balancing Charges</t>
  </si>
  <si>
    <t>Rate 125 Cumulative Balancing Charge</t>
  </si>
  <si>
    <t>Rate 300 Cumulative Balancing Charge</t>
  </si>
  <si>
    <t>Rate 300 Factor</t>
  </si>
  <si>
    <t>Daily Balancing Charge - Tier 2 (Tier 1 x 120%)</t>
  </si>
  <si>
    <t>Non-Utility Cross Charge Revenue</t>
  </si>
  <si>
    <t>Total EGD Rate Zone</t>
  </si>
  <si>
    <t>Total Union North Rate Zone</t>
  </si>
  <si>
    <t>Total Union South Rate Zone</t>
  </si>
  <si>
    <t>Total In-franchise</t>
  </si>
  <si>
    <t>Ratio</t>
  </si>
  <si>
    <t>Rate M17 Wholesale Transportation Service</t>
  </si>
  <si>
    <t>Firm Demand Charges</t>
  </si>
  <si>
    <t>Rate M12 Demand Charges</t>
  </si>
  <si>
    <t>Rate M12 Commodity Charges</t>
  </si>
  <si>
    <t>Rate C1 Dawn Parkway Demand Charges</t>
  </si>
  <si>
    <t>Rate C1 Dawn Parkway Commodity Charges</t>
  </si>
  <si>
    <t>Total Rate M12/C1 Dawn Parkway</t>
  </si>
  <si>
    <t>From Dawn to St.Clair, Bluewater, and Ojibway</t>
  </si>
  <si>
    <t xml:space="preserve">To Dawn from St.Clair, Bluewater, and Ojibway </t>
  </si>
  <si>
    <t>Dawn to Dawn-Vector</t>
  </si>
  <si>
    <t>Dawn to Dawn-TCPL</t>
  </si>
  <si>
    <t>Gas Supply Commodity Charges</t>
  </si>
  <si>
    <t>Storage and Transportation (S&amp;T) Margin Allocation</t>
  </si>
  <si>
    <t>Rate M12 and Rate C1 allocated costs include an adjustment to recognize S&amp;T margin related to fuel nets to zero.</t>
  </si>
  <si>
    <t>Rate T1/T2/T3 Storage Withdrawal Fuel Ratio</t>
  </si>
  <si>
    <t>From: South BT  To: South BT / T1 / T2 / T3; or</t>
  </si>
  <si>
    <t>From: North West BT  To: North West BT; or</t>
  </si>
  <si>
    <t>From: North East BT To: Ex-Franchise</t>
  </si>
  <si>
    <t>From: North East BT  To: South BT / T1 / T2 / T3 / North East BT / North West BT; or</t>
  </si>
  <si>
    <t>From: South BT  To: North East BT or North West BT; or</t>
  </si>
  <si>
    <t>From: South BT To: Ex-Franchise; or</t>
  </si>
  <si>
    <t>From: North West BT  To: South BT / T1 / T2 / T3 / North East BT</t>
  </si>
  <si>
    <t>From: North West BT To: Ex-Franchise</t>
  </si>
  <si>
    <t>Dawn-Parkway fuel rate calculated by dividing the allocated transmission fuel cost by storage commodity billing units.</t>
  </si>
  <si>
    <t>Parkway to Union NDA fuel rate calculated by dividing the allocated transportation fuel cost by storage commodity billing units.</t>
  </si>
  <si>
    <t>Gas Supply Admin Charge Unit Rate (line 1 / line 2 x 100)</t>
  </si>
  <si>
    <t>Failure to Deliver Adjustment</t>
  </si>
  <si>
    <t>Failure to Deliver</t>
  </si>
  <si>
    <t>Commoditized demand rate at 100% load factor is equal to the respective demand rate multiplied by 12 and divided by 365.</t>
  </si>
  <si>
    <t>Firm Delivery Commodity Charge</t>
  </si>
  <si>
    <t>Transportation Commodity Charge</t>
  </si>
  <si>
    <t>Variable Rate for EGD Minimum Bill Charges</t>
  </si>
  <si>
    <t>Delivery Commodity Charge (Average Tier 1)</t>
  </si>
  <si>
    <t>Minimum Annual Delivery Commodity Charge</t>
  </si>
  <si>
    <t>Rate M5 Interruptible Delivery Commodity Charge (Tier 1)</t>
  </si>
  <si>
    <t>Rate M7 Interruptible/Seasonal Average Rate Change</t>
  </si>
  <si>
    <r>
      <t>Historical Rate (cents/m</t>
    </r>
    <r>
      <rPr>
        <vertAlign val="superscript"/>
        <sz val="10"/>
        <rFont val="Arial"/>
        <family val="2"/>
      </rPr>
      <t>3</t>
    </r>
    <r>
      <rPr>
        <sz val="10"/>
        <rFont val="Arial"/>
        <family val="2"/>
      </rPr>
      <t>)</t>
    </r>
  </si>
  <si>
    <r>
      <t>Rate M1 Delivery Commodity Charge (Tier 1) (cents/m</t>
    </r>
    <r>
      <rPr>
        <vertAlign val="superscript"/>
        <sz val="10"/>
        <rFont val="Arial"/>
        <family val="2"/>
      </rPr>
      <t>3</t>
    </r>
    <r>
      <rPr>
        <sz val="10"/>
        <rFont val="Arial"/>
        <family val="2"/>
      </rPr>
      <t>)</t>
    </r>
  </si>
  <si>
    <t>Delivery Demand Charge (Tier 1) - Commoditized at 50% Load Factor</t>
  </si>
  <si>
    <t>Delivery Demand Charge - Commoditized at 70% Load Factor</t>
  </si>
  <si>
    <t>Delivery Demand Charge - Commoditized at 32.66% Load Factor</t>
  </si>
  <si>
    <t>Rate M7 - at 32.66% Load Factor</t>
  </si>
  <si>
    <t xml:space="preserve">Rate M1 Delivery Commodity Charge (Tier 1) </t>
  </si>
  <si>
    <t>Rate M1 Facility Carbon Charge</t>
  </si>
  <si>
    <t xml:space="preserve">Rate M12 Average Dawn to Parkway (TCPL / EGT) Fuel Rate </t>
  </si>
  <si>
    <t>R20/100 Authorized Storage Overrun Charge ($/GJ)</t>
  </si>
  <si>
    <t>Rate 110 Minimum Bill Charge</t>
  </si>
  <si>
    <t>Rate 115 Minimum Bill Charge</t>
  </si>
  <si>
    <t>Rate 135 Minimum Bill Charge</t>
  </si>
  <si>
    <t>Rate 145 Minimum Bill Charge</t>
  </si>
  <si>
    <t>Rate 170 Minimum Bill Charge</t>
  </si>
  <si>
    <t>Rate 200 Minimum Bill Charge</t>
  </si>
  <si>
    <r>
      <t>Failure to Deliver Charge (cents/m</t>
    </r>
    <r>
      <rPr>
        <vertAlign val="superscript"/>
        <sz val="10"/>
        <rFont val="Arial"/>
        <family val="2"/>
      </rPr>
      <t>3</t>
    </r>
    <r>
      <rPr>
        <sz val="10"/>
        <rFont val="Arial"/>
        <family val="2"/>
      </rPr>
      <t>)</t>
    </r>
  </si>
  <si>
    <t>Heat Value Conversion (GJ/10³m³)</t>
  </si>
  <si>
    <t xml:space="preserve">Delivery </t>
  </si>
  <si>
    <t>Gas Supply Demand Charge - Commoditized at 50% Load Factor</t>
  </si>
  <si>
    <t>Gas Supply</t>
  </si>
  <si>
    <t>Gas Supply Demand Charge - Commoditized at 70% Load Factor</t>
  </si>
  <si>
    <t>Rate M7 Delivery Commissioning and Decommissioning Charge</t>
  </si>
  <si>
    <t xml:space="preserve">Rate T1/T2/T3 Authorized Storage Overrun </t>
  </si>
  <si>
    <t>Rate T1/T2/T3 Authorized Injection/Withdrawal Overrun Charge ($/GJ)</t>
  </si>
  <si>
    <t>Delivery Commissioning and Decommissioning Charge</t>
  </si>
  <si>
    <t>Gas Supply Commissioning and Decommissioning Charge</t>
  </si>
  <si>
    <t>(7)</t>
  </si>
  <si>
    <t>(8)</t>
  </si>
  <si>
    <t>Rate 100 gas supply charges are set equal to Rate 20.</t>
  </si>
  <si>
    <t>Allocated Costs - Delivery ($000s) (1)</t>
  </si>
  <si>
    <t>Allocated Costs - Gas Supply ($000s) (3)</t>
  </si>
  <si>
    <t>Transmission (2)</t>
  </si>
  <si>
    <t>Exhibit 7, Tab 2, Schedule 1, Attachment 9.</t>
  </si>
  <si>
    <t>Exhibit 7, Tab 2, Schedule 1, Attachment 10.</t>
  </si>
  <si>
    <t xml:space="preserve">Difference between the Dawn supply price of $5.267/GJ and the Empress supply price of $4.539/GJ based on the April 2022 QRAM, converted to cents/m³. </t>
  </si>
  <si>
    <t>Empress-Dawn Differential (cents/m³) (4)</t>
  </si>
  <si>
    <t>Panhandle/St. Clair Transportation</t>
  </si>
  <si>
    <t xml:space="preserve">Rate 100 </t>
  </si>
  <si>
    <t>Western Incremental Revenue ($000s) (5)</t>
  </si>
  <si>
    <r>
      <t>Billing Units (10</t>
    </r>
    <r>
      <rPr>
        <u/>
        <vertAlign val="superscript"/>
        <sz val="10"/>
        <rFont val="Arial"/>
        <family val="2"/>
      </rPr>
      <t>3</t>
    </r>
    <r>
      <rPr>
        <u/>
        <sz val="10"/>
        <rFont val="Arial"/>
        <family val="2"/>
      </rPr>
      <t>m</t>
    </r>
    <r>
      <rPr>
        <u/>
        <vertAlign val="superscript"/>
        <sz val="10"/>
        <rFont val="Arial"/>
        <family val="2"/>
      </rPr>
      <t>3</t>
    </r>
    <r>
      <rPr>
        <u/>
        <sz val="10"/>
        <rFont val="Arial"/>
        <family val="2"/>
      </rPr>
      <t>) (6)</t>
    </r>
  </si>
  <si>
    <r>
      <t>Billing Units (10</t>
    </r>
    <r>
      <rPr>
        <vertAlign val="superscript"/>
        <sz val="10"/>
        <rFont val="Arial"/>
        <family val="2"/>
      </rPr>
      <t>3</t>
    </r>
    <r>
      <rPr>
        <sz val="10"/>
        <rFont val="Arial"/>
        <family val="2"/>
      </rPr>
      <t>m</t>
    </r>
    <r>
      <rPr>
        <vertAlign val="superscript"/>
        <sz val="10"/>
        <rFont val="Arial"/>
        <family val="2"/>
      </rPr>
      <t>3</t>
    </r>
    <r>
      <rPr>
        <sz val="10"/>
        <rFont val="Arial"/>
        <family val="2"/>
      </rPr>
      <t>) (7)</t>
    </r>
  </si>
  <si>
    <t>Rate 100 (8)</t>
  </si>
  <si>
    <t>Derivation of 2024 DSM Unit Rates</t>
  </si>
  <si>
    <t>Allocated in proportion to column (a).</t>
  </si>
  <si>
    <t>Allocation Units</t>
  </si>
  <si>
    <t>S&amp;T Margin</t>
  </si>
  <si>
    <t>Allocation</t>
  </si>
  <si>
    <t>Allocated in proportion to column (b).</t>
  </si>
  <si>
    <t>Panhandle/St. Clair Transmission Cost Re-Allocation</t>
  </si>
  <si>
    <t>Panhandle/</t>
  </si>
  <si>
    <t>St. Clair</t>
  </si>
  <si>
    <t>Re-Allocation</t>
  </si>
  <si>
    <t>Total (5)</t>
  </si>
  <si>
    <t>Panhandle/St. Clair</t>
  </si>
  <si>
    <t>Sales Service</t>
  </si>
  <si>
    <t>Credit (3)</t>
  </si>
  <si>
    <t>Charge (4)</t>
  </si>
  <si>
    <t>Transmission</t>
  </si>
  <si>
    <t>Derivation of Gas Supply Transportation and Commodity Charges by Rate Class</t>
  </si>
  <si>
    <t>Rate M4 and Rate M5 allocated costs include an adjustment to recognize pooled rates.</t>
  </si>
  <si>
    <t>Transportation Fuel Cost ($000s) (1)</t>
  </si>
  <si>
    <t>Rate T1/T2/T3 Transportation Fuel Ratio (line 6 / line 7)</t>
  </si>
  <si>
    <t>Rate T1/T2/T3 Transportation Fuel Ratio</t>
  </si>
  <si>
    <t>Exhibit 7, Tab 2, Schedule 1, Attachment 8.</t>
  </si>
  <si>
    <t>Weighted Average Reference Price ($/GJ) (4)</t>
  </si>
  <si>
    <t>(9)</t>
  </si>
  <si>
    <t>Western transportation price differential (cents/m³) (8)</t>
  </si>
  <si>
    <t>Rate ($/GJ) (7)</t>
  </si>
  <si>
    <t>Delivery Demand Charge - Commoditized at 100% Load Factor (6)</t>
  </si>
  <si>
    <t>Firm Demand Charge (Tier 1) - Commoditized at 100% Load Factor (6)</t>
  </si>
  <si>
    <t>Injection/Withdrawal Demand Charge, Commoditized at 100% Load Factor (6)</t>
  </si>
  <si>
    <t>Transportation Demand Charge (Tier 1) - Commoditized at 100% Load Factor (6)</t>
  </si>
  <si>
    <t>Transportation Demand Charge - Commoditized at 100% Load Factor (6)</t>
  </si>
  <si>
    <t>Storage Demand Charge - Commoditized at 100% Load Factor (6)</t>
  </si>
  <si>
    <t>Dawn-Parkway Demand Charge - Commoditized at 100% Load Factor (6)</t>
  </si>
  <si>
    <t>Rate 316 Deliverability Demand Charge - Commoditized at 100% Load Factor (6)</t>
  </si>
  <si>
    <t>Rate 316 Space Demand Charge - Commoditized at 100% Load Factor (6)</t>
  </si>
  <si>
    <t>Empress to Union Parkway Belt - Commoditized at 100% Load Factor (6)</t>
  </si>
  <si>
    <t>Rate M12 Dawn to Parkway Demand Charge - Commoditized @ 100% Load Factor (6)</t>
  </si>
  <si>
    <t>UFG Ratio (5)</t>
  </si>
  <si>
    <t>Distribution Loss Unit Rate (line 9 x line 10)</t>
  </si>
  <si>
    <t>Rate 25 Maximum Interruptible Delivery Commodity Charge (line 42 x line 43)</t>
  </si>
  <si>
    <t>Maximum Charges</t>
  </si>
  <si>
    <t>Rate 25 - 150% of Maximum Interruptible Delivery Commodity Charge (line 44 x 150%)</t>
  </si>
  <si>
    <t>(c) = (a + b)</t>
  </si>
  <si>
    <t>(f) = (d + e)</t>
  </si>
  <si>
    <t>S&amp;T 
Margin (5)</t>
  </si>
  <si>
    <t>Current 
Approved Revenue (1)</t>
  </si>
  <si>
    <t>Allocated 
Cost (3)</t>
  </si>
  <si>
    <t>Panhandle/
St. Clair Reallocation (4)</t>
  </si>
  <si>
    <t>Revenue-
to-Cost</t>
  </si>
  <si>
    <t xml:space="preserve">2024 
Forecast </t>
  </si>
  <si>
    <t>Rate 
Change</t>
  </si>
  <si>
    <t>Rate M12/C1 Dawn to Parkway</t>
  </si>
  <si>
    <t>Gas Supply Administration Charge</t>
  </si>
  <si>
    <t>Semi-Unbundled Transportation Fuel Ratio</t>
  </si>
  <si>
    <t>Minimum Bill Charges</t>
  </si>
  <si>
    <t>Authorized Overrun Charges</t>
  </si>
  <si>
    <t>Unauthorized Overrun Charges</t>
  </si>
  <si>
    <t>Commissioning and Decommissioning Charges</t>
  </si>
  <si>
    <t>Union Rate Zones IFT and EFT Charges ($/GJ)</t>
  </si>
  <si>
    <t>Unauthorized overrun non-compliance charge proposed at Exhibit 8, Tab 4, Schedule 2, Section 3.2.</t>
  </si>
  <si>
    <t>Firm space and deliverability allocation units per Exhibit 7, Tab 2, Schedule 1, Attachment 12, STORAGEXCESS and NETFROMSTOR allocation factors, respectively.</t>
  </si>
  <si>
    <t>Commodity allocation units per the total forecasted storage activity.</t>
  </si>
  <si>
    <t>$/GJ</t>
  </si>
  <si>
    <t>cents/m³</t>
  </si>
  <si>
    <t>Storage Injection/Withdrawal Rate</t>
  </si>
  <si>
    <t>Delivery Revenue Adjustments</t>
  </si>
  <si>
    <t>%</t>
  </si>
  <si>
    <t>$/GJ/d</t>
  </si>
  <si>
    <t>Utility provides deliverability inventory</t>
  </si>
  <si>
    <t>cents/m³/d</t>
  </si>
  <si>
    <t>$</t>
  </si>
  <si>
    <t>Transportation Service Charges</t>
  </si>
  <si>
    <t>Storage Service Charges</t>
  </si>
  <si>
    <t xml:space="preserve">Rate </t>
  </si>
  <si>
    <t xml:space="preserve">Current </t>
  </si>
  <si>
    <t xml:space="preserve">   Injection &amp; Withdrawal Charge</t>
  </si>
  <si>
    <t xml:space="preserve">   Deliverability Demand Charge </t>
  </si>
  <si>
    <t xml:space="preserve">   Space Demand Charge </t>
  </si>
  <si>
    <t xml:space="preserve">   Monthly Customer Charge </t>
  </si>
  <si>
    <t>Rate 316</t>
  </si>
  <si>
    <t>Rate 315</t>
  </si>
  <si>
    <t>Class</t>
  </si>
  <si>
    <t>Components</t>
  </si>
  <si>
    <t>Proposed Unit Rate</t>
  </si>
  <si>
    <t>Summary of Proposed Rate Changes and Unit Rate Component by Rate Class</t>
  </si>
  <si>
    <t>Parkway (TCPL) to Delivery Area or Dawn  (Apr. 1 - Oct. 31)</t>
  </si>
  <si>
    <t>Parkway (TCPL) to Delivery Area or Dawn  (Nov. 1 - Mar. 31)</t>
  </si>
  <si>
    <t>Kirkwall to Delivery Area or Dawn  (Apr. 1 - Oct. 31)</t>
  </si>
  <si>
    <t>Kirkwall to Delivery Area or Dawn  (Nov. 1 - Mar. 31)</t>
  </si>
  <si>
    <t>Dawn to Delivery Area  (Apr. 1 - Oct. 31)</t>
  </si>
  <si>
    <t>Dawn to Delivery Area  (Nov. 1 - Mar. 31)</t>
  </si>
  <si>
    <t xml:space="preserve">  Commodity Charges - Shipper Supplied Fuel</t>
  </si>
  <si>
    <t>Authorized Overrun - Shipper Supplied Fuel</t>
  </si>
  <si>
    <t>Authorized Overrun - Utility Supplied Fuel</t>
  </si>
  <si>
    <t>Commodity charge - Shipper Supplied Fuel</t>
  </si>
  <si>
    <t>Commodity charge - Utility Supplied Fuel</t>
  </si>
  <si>
    <t xml:space="preserve">Dawn to Dawn-TCPL </t>
  </si>
  <si>
    <t xml:space="preserve">Dawn to Dawn-Vector </t>
  </si>
  <si>
    <t xml:space="preserve">St. Clair, Bluewater, &amp; Ojibway to Dawn </t>
  </si>
  <si>
    <t xml:space="preserve">Dawn to St. Clair, Bluewater, &amp; Ojibway </t>
  </si>
  <si>
    <t xml:space="preserve">Kirkwall to Dawn </t>
  </si>
  <si>
    <t xml:space="preserve">Parkway to Kirkwall </t>
  </si>
  <si>
    <t xml:space="preserve">Parkway to Dawn </t>
  </si>
  <si>
    <t xml:space="preserve">Kirkwall to Parkway </t>
  </si>
  <si>
    <t xml:space="preserve">Dawn to Kirkwall </t>
  </si>
  <si>
    <t>Parkway to Dawn</t>
  </si>
  <si>
    <t>Monthly Demand Charge -  Maximum</t>
  </si>
  <si>
    <t xml:space="preserve">Summary of Proposed Rate Changes and Unit Rate Component by Rate Class </t>
  </si>
  <si>
    <t>Gas Purchase Agreements</t>
  </si>
  <si>
    <t>Storage and Transportation (S&amp;T) Margin Summary</t>
  </si>
  <si>
    <t>Dawn Station (line 12)</t>
  </si>
  <si>
    <t>Adjusted Dawn to Parkway Easterly Demand Charge ($/GJ) (line 5 / line 9)</t>
  </si>
  <si>
    <t>(1)(2)</t>
  </si>
  <si>
    <t>Approved Rate Design Methodology</t>
  </si>
  <si>
    <t xml:space="preserve">Derivation of Rate M12/Rate C1 Transportation Demand Charges </t>
  </si>
  <si>
    <t xml:space="preserve">Monthly Firm Demand Charge ($/GJ) </t>
  </si>
  <si>
    <t>(5)(6)(7)</t>
  </si>
  <si>
    <t>(1)(2)(3)(4)</t>
  </si>
  <si>
    <t xml:space="preserve">Derivation of Rate M12/Rate C1 Dawn Parkway Firm Transportation Demand Charges </t>
  </si>
  <si>
    <t>M12-X Firm Demand Charge (line 1 + line 2)</t>
  </si>
  <si>
    <t>Derivation of M12-X and F24-T Firm Transportation Demand Charges</t>
  </si>
  <si>
    <t>Dawn transmission compression-related costs related to the Panhandle transmission system.</t>
  </si>
  <si>
    <t>Exhibit 7, Tab 2, Schedule 1, Attachment 1, p. 4, column (g).</t>
  </si>
  <si>
    <t>Dawn Compression Revenue Requirement  ($000s) (3)</t>
  </si>
  <si>
    <t>Operating and maintence costs of RNG sampling at $10,000/test.</t>
  </si>
  <si>
    <t>Operating and maintence costs of large producer stations.</t>
  </si>
  <si>
    <t>Typical customer station count includes gas purchase agreement stations.</t>
  </si>
  <si>
    <t>Operating and maintence costs of typical producer stations.</t>
  </si>
  <si>
    <t>Dawn to Parkway Demand Charge less Parkway Station ($/GJ/mo) (lines 10 - 11)</t>
  </si>
  <si>
    <t>Parkway Station Demand Charge ($/GJ/mo) (6)</t>
  </si>
  <si>
    <t>Dawn to Parkway Easterly Demand Charge ($/GJ/mo) (5)</t>
  </si>
  <si>
    <t>Operating and Maintenance Costs ($000s) (4)</t>
  </si>
  <si>
    <t>Number of Typical Customer Stations (2)</t>
  </si>
  <si>
    <t>Revenue requirement of Rate M16 stations.</t>
  </si>
  <si>
    <t>Revenue Requirement ($000s) (1)</t>
  </si>
  <si>
    <t>Firm Transportation Demand Charges</t>
  </si>
  <si>
    <t>Monthly Fixed Charge per Station ($/mo) (line 1 / 12)</t>
  </si>
  <si>
    <t>Total Long-Term Storage Operational Contingency</t>
  </si>
  <si>
    <t>Long-Term Storage Operational Contingency (3)</t>
  </si>
  <si>
    <t>Black Creek Pool Storage Charges (2)</t>
  </si>
  <si>
    <t>Dow Moore Pool Storage Charges (2)</t>
  </si>
  <si>
    <t>Tipperary Pool Transportation Charges (1)</t>
  </si>
  <si>
    <t>Heritage Pool Transportation Charges (1)</t>
  </si>
  <si>
    <t xml:space="preserve">Unit Rate </t>
  </si>
  <si>
    <t>Proposed Revenue</t>
  </si>
  <si>
    <t>Calculation of Non-Utility Cross Charge Revenue</t>
  </si>
  <si>
    <t>Storage System Integrity relates to the short-term excess utility storage and long-term storage allocation of storage system integrity per Union's 2013 cost allocation study.</t>
  </si>
  <si>
    <t>Monthly operating charge per agreement between EGD and Union.</t>
  </si>
  <si>
    <t>EB-2022-0133, 2023 Rates at April 2022 QRAM. Unit rates for Heritage and Tipperary Pool transportation using Rate M16 unit rates and unit rates for Dow Moore and Black Creek pool storage using Rate 325 unit rates.</t>
  </si>
  <si>
    <t>Total Non-Utility Cross Charge Revenue</t>
  </si>
  <si>
    <t>Storage System Integrity (3)</t>
  </si>
  <si>
    <t>Operating charges (mo; $/mo) (2)</t>
  </si>
  <si>
    <t>Current Approved Revenue</t>
  </si>
  <si>
    <t xml:space="preserve">   Bundled Direct Purchase Impact DTS</t>
  </si>
  <si>
    <t>Total Bill - Bundled Direct Purchase DTS</t>
  </si>
  <si>
    <t xml:space="preserve">   Bundled Direct Purchase Impact WTS</t>
  </si>
  <si>
    <t>Total Bill - Bundled Direct Purchase WTS</t>
  </si>
  <si>
    <t>Total Bill - Sales Service</t>
  </si>
  <si>
    <t>Gas Supply Transportation</t>
  </si>
  <si>
    <t>Delivery Charges</t>
  </si>
  <si>
    <r>
      <t>Rate 200 - Average Customer</t>
    </r>
    <r>
      <rPr>
        <sz val="10"/>
        <rFont val="Arial"/>
        <family val="2"/>
      </rPr>
      <t xml:space="preserve">  (1)</t>
    </r>
  </si>
  <si>
    <t>Federal Carbon Charge</t>
  </si>
  <si>
    <t>Rate 170 - Large Customer</t>
  </si>
  <si>
    <t>Rate 170 - Average Customer</t>
  </si>
  <si>
    <t>Rate 170 - Small Customer</t>
  </si>
  <si>
    <t>Rate 145 - Large Customer</t>
  </si>
  <si>
    <t>Rate 145 - Small Customer</t>
  </si>
  <si>
    <r>
      <t>Annual Volume 598,567 m</t>
    </r>
    <r>
      <rPr>
        <vertAlign val="superscript"/>
        <sz val="10"/>
        <rFont val="Arial"/>
        <family val="2"/>
      </rPr>
      <t xml:space="preserve">3 </t>
    </r>
  </si>
  <si>
    <t>Rate 135 - Average Customer</t>
  </si>
  <si>
    <t xml:space="preserve">   Bundled Direct Purchase Impact</t>
  </si>
  <si>
    <t>Total Bill - Bundled Direct Purchase</t>
  </si>
  <si>
    <t>Rate 125 - Average Customer</t>
  </si>
  <si>
    <t>Rate 115 - Large Customer</t>
  </si>
  <si>
    <t>Rate 115 - Small Customer</t>
  </si>
  <si>
    <t>Rate 110 - Large Customer</t>
  </si>
  <si>
    <t>Rate 110 - Average Customer</t>
  </si>
  <si>
    <t>Rate 110 - Small Customer</t>
  </si>
  <si>
    <t>Rate 100 - Large Customer</t>
  </si>
  <si>
    <t>Rate 100 - Average Customer</t>
  </si>
  <si>
    <t>Rate 100 - Small Customer</t>
  </si>
  <si>
    <r>
      <t>Annual Volume 339,124 m</t>
    </r>
    <r>
      <rPr>
        <vertAlign val="superscript"/>
        <sz val="10"/>
        <rFont val="Arial"/>
        <family val="2"/>
      </rPr>
      <t xml:space="preserve">3 </t>
    </r>
  </si>
  <si>
    <t>Rate 6 - Large Customer</t>
  </si>
  <si>
    <r>
      <t>Annual Volume 22,606 m</t>
    </r>
    <r>
      <rPr>
        <vertAlign val="superscript"/>
        <sz val="10"/>
        <rFont val="Arial"/>
        <family val="2"/>
      </rPr>
      <t xml:space="preserve">3 </t>
    </r>
  </si>
  <si>
    <t>Rate 6 - Average Customer</t>
  </si>
  <si>
    <r>
      <t>Annual Volume 5,048 m</t>
    </r>
    <r>
      <rPr>
        <vertAlign val="superscript"/>
        <sz val="10"/>
        <rFont val="Arial"/>
        <family val="2"/>
      </rPr>
      <t xml:space="preserve">3 </t>
    </r>
  </si>
  <si>
    <t>Rate 6 - Small Customer</t>
  </si>
  <si>
    <t>Rate 1 - Large Customer</t>
  </si>
  <si>
    <r>
      <t>Annual Volume 2,400 m</t>
    </r>
    <r>
      <rPr>
        <vertAlign val="superscript"/>
        <sz val="10"/>
        <rFont val="Arial"/>
        <family val="2"/>
      </rPr>
      <t xml:space="preserve">3 </t>
    </r>
  </si>
  <si>
    <t>Rate 1 - Small Customer</t>
  </si>
  <si>
    <t>(f) = (e / a)</t>
  </si>
  <si>
    <t>(e) = (c - a)</t>
  </si>
  <si>
    <t>Carbon Charge</t>
  </si>
  <si>
    <t>Total Bill</t>
  </si>
  <si>
    <t xml:space="preserve">Excluding Federal </t>
  </si>
  <si>
    <t>Including Federal</t>
  </si>
  <si>
    <t>Bill Impact</t>
  </si>
  <si>
    <t>EB-2022-0200 - 2024 Proposed</t>
  </si>
  <si>
    <t>EB-2022-0133 - Current Approved  (2)</t>
  </si>
  <si>
    <t xml:space="preserve">   Unbundled Direct Purchase Impact</t>
  </si>
  <si>
    <t>Total Bill - Unbundled Direct Purchase</t>
  </si>
  <si>
    <r>
      <t>Annual Volume 2,275,000 m</t>
    </r>
    <r>
      <rPr>
        <vertAlign val="superscript"/>
        <sz val="10"/>
        <rFont val="Arial"/>
        <family val="2"/>
      </rPr>
      <t xml:space="preserve">3 </t>
    </r>
  </si>
  <si>
    <t>Rate 25 - Average Customer</t>
  </si>
  <si>
    <t>Rate 20 - Large Customer</t>
  </si>
  <si>
    <t>Rate 20 - Small Customer</t>
  </si>
  <si>
    <r>
      <t>Annual Volume 250,000 m</t>
    </r>
    <r>
      <rPr>
        <vertAlign val="superscript"/>
        <sz val="10"/>
        <rFont val="Arial"/>
        <family val="2"/>
      </rPr>
      <t xml:space="preserve">3 </t>
    </r>
  </si>
  <si>
    <t>Rate 10 - Large Customer</t>
  </si>
  <si>
    <r>
      <t>Annual Volume 93,000 m</t>
    </r>
    <r>
      <rPr>
        <vertAlign val="superscript"/>
        <sz val="10"/>
        <rFont val="Arial"/>
        <family val="2"/>
      </rPr>
      <t xml:space="preserve">3 </t>
    </r>
  </si>
  <si>
    <t>Rate 10 - Average Customer</t>
  </si>
  <si>
    <r>
      <t>Annual Volume 60,000 m</t>
    </r>
    <r>
      <rPr>
        <vertAlign val="superscript"/>
        <sz val="10"/>
        <rFont val="Arial"/>
        <family val="2"/>
      </rPr>
      <t xml:space="preserve">3 </t>
    </r>
  </si>
  <si>
    <t>Rate 10 - Small Customer</t>
  </si>
  <si>
    <r>
      <t>Annual Volume 40,000 m</t>
    </r>
    <r>
      <rPr>
        <vertAlign val="superscript"/>
        <sz val="10"/>
        <rFont val="Arial"/>
        <family val="2"/>
      </rPr>
      <t xml:space="preserve">3 </t>
    </r>
  </si>
  <si>
    <t>Rate 01 - Large Customer</t>
  </si>
  <si>
    <r>
      <t>Annual Volume 2,200 m</t>
    </r>
    <r>
      <rPr>
        <vertAlign val="superscript"/>
        <sz val="10"/>
        <rFont val="Arial"/>
        <family val="2"/>
      </rPr>
      <t xml:space="preserve">3 </t>
    </r>
  </si>
  <si>
    <t>Rate 01 - Small Customer</t>
  </si>
  <si>
    <t>Union North Rate Zone (1)</t>
  </si>
  <si>
    <r>
      <t>Rate T3 - Large Customer</t>
    </r>
    <r>
      <rPr>
        <sz val="10"/>
        <rFont val="Arial"/>
        <family val="2"/>
      </rPr>
      <t xml:space="preserve">  (1)</t>
    </r>
  </si>
  <si>
    <t>Rate T2 - Large Customer</t>
  </si>
  <si>
    <t>Rate T2 - Average Customer</t>
  </si>
  <si>
    <t>Rate T2 - Small Customer</t>
  </si>
  <si>
    <t>Rate T1 - Large Customer</t>
  </si>
  <si>
    <t>Rate T1 - Average Customer</t>
  </si>
  <si>
    <t>Rate T1 - Small Customer</t>
  </si>
  <si>
    <r>
      <t>Rate M9 - Large Customer</t>
    </r>
    <r>
      <rPr>
        <sz val="10"/>
        <rFont val="Arial"/>
        <family val="2"/>
      </rPr>
      <t xml:space="preserve">  (1)</t>
    </r>
  </si>
  <si>
    <r>
      <t>Rate M9 - Small Customer</t>
    </r>
    <r>
      <rPr>
        <sz val="10"/>
        <rFont val="Arial"/>
        <family val="2"/>
      </rPr>
      <t xml:space="preserve">  (1)</t>
    </r>
  </si>
  <si>
    <t>Rate M7 - Large Customer</t>
  </si>
  <si>
    <t>Rate M7 - Small Customer</t>
  </si>
  <si>
    <t>Rate M5 - Large Customer</t>
  </si>
  <si>
    <t>Rate M5 - Small Customer</t>
  </si>
  <si>
    <t>Rate M4 - Large Customer</t>
  </si>
  <si>
    <t>Rate M4 - Small Customer</t>
  </si>
  <si>
    <t>Rate M2 - Large Customer</t>
  </si>
  <si>
    <r>
      <t>Annual Volume 73,000 m</t>
    </r>
    <r>
      <rPr>
        <vertAlign val="superscript"/>
        <sz val="10"/>
        <rFont val="Arial"/>
        <family val="2"/>
      </rPr>
      <t xml:space="preserve">3 </t>
    </r>
  </si>
  <si>
    <t>Rate M2 - Average Customer</t>
  </si>
  <si>
    <t>Rate M2 - Small Customer</t>
  </si>
  <si>
    <t>Rate M1 - Large Customer</t>
  </si>
  <si>
    <t>Rate M1 - Small Customer</t>
  </si>
  <si>
    <t>Firm Demand (Commoditized at 22.86%)</t>
  </si>
  <si>
    <t>2024 total revenue deficiency can be found at Exhibit 7, Tab 1, Schedule 1, Attachment 1, column (i), line 15.</t>
  </si>
  <si>
    <t>Revenue requirement by rate class can be found at Exhibit 7, Tab 2, Schedule 1, Attachment 2, line 20.</t>
  </si>
  <si>
    <t>(a) = sum(b to u)</t>
  </si>
  <si>
    <t>EGD Rate Zone (Continued)</t>
  </si>
  <si>
    <t>-</t>
  </si>
  <si>
    <t>Ex-franchise (Continued)</t>
  </si>
  <si>
    <t>Rate C1 (Continued)</t>
  </si>
  <si>
    <r>
      <t>Transportation Billing Units (10</t>
    </r>
    <r>
      <rPr>
        <vertAlign val="superscript"/>
        <sz val="10"/>
        <rFont val="Arial"/>
        <family val="2"/>
      </rPr>
      <t>3</t>
    </r>
    <r>
      <rPr>
        <sz val="10"/>
        <rFont val="Arial"/>
        <family val="2"/>
      </rPr>
      <t>m</t>
    </r>
    <r>
      <rPr>
        <vertAlign val="superscript"/>
        <sz val="10"/>
        <rFont val="Arial"/>
        <family val="2"/>
      </rPr>
      <t>3</t>
    </r>
    <r>
      <rPr>
        <sz val="10"/>
        <rFont val="Arial"/>
        <family val="2"/>
      </rPr>
      <t>) (3)</t>
    </r>
  </si>
  <si>
    <r>
      <t>Transportation Unit Rate (cents/m</t>
    </r>
    <r>
      <rPr>
        <vertAlign val="superscript"/>
        <sz val="10"/>
        <rFont val="Arial"/>
        <family val="2"/>
      </rPr>
      <t>3</t>
    </r>
    <r>
      <rPr>
        <sz val="10"/>
        <rFont val="Arial"/>
        <family val="2"/>
      </rPr>
      <t>) (line 4 / line 5 x 100)</t>
    </r>
  </si>
  <si>
    <t>Minimum Bill Charges (Continued)</t>
  </si>
  <si>
    <t>Calculation of Supplemental Service Charges (Continued)</t>
  </si>
  <si>
    <t>Balancing Charges (Continued)</t>
  </si>
  <si>
    <t>Storage Demand Deliverability costs ($000s) (2)</t>
  </si>
  <si>
    <t>Transmission Demand costs ($000s)</t>
  </si>
  <si>
    <t>Distribution Demand costs ($000s) (3)</t>
  </si>
  <si>
    <t>Derivation of 2024 DSM Unit Rates (Continued)</t>
  </si>
  <si>
    <t>Rate 200 customers are not charged the Federal Carbon Charge.</t>
  </si>
  <si>
    <t>Union North Rate Zone (1) (Continued)</t>
  </si>
  <si>
    <t>Union South Rate Zone (Continued)</t>
  </si>
  <si>
    <t>Note:</t>
  </si>
  <si>
    <t>Long-term storage operational contingency per the 2024 Cost Allocation Study.</t>
  </si>
  <si>
    <t>Exhibit 7, Tab 2, Schedule 1, Attachment 8, column (as), line 10.</t>
  </si>
  <si>
    <t>Dawn to Delivery Area Demand Charge</t>
  </si>
  <si>
    <t>Parkway/Kirkwall to Delivery Area or Dawn Demand Charge</t>
  </si>
  <si>
    <t>Attachment 12, p.1, column (a), line 21.</t>
  </si>
  <si>
    <t>Assumes two full time staff and $100,000 in additional compressor fuel and maintenance costs.</t>
  </si>
  <si>
    <t>Rate M9 and Rate T3 customers are not charged the Federal Carbon Charge.</t>
  </si>
  <si>
    <t>Attachment 2, column (h).</t>
  </si>
  <si>
    <t>Attachment 2, column (a), sum of gas supply commodity billing units.</t>
  </si>
  <si>
    <t>Attachment 1, column (e).</t>
  </si>
  <si>
    <t>Attachment 2, column (b).</t>
  </si>
  <si>
    <t>Attachment 2, column (g).</t>
  </si>
  <si>
    <t>First       30 m³</t>
  </si>
  <si>
    <t>Next       55 m³</t>
  </si>
  <si>
    <t>Next       85 m³</t>
  </si>
  <si>
    <t>Over    170 m³</t>
  </si>
  <si>
    <t>Next     4,500 m³</t>
  </si>
  <si>
    <t>Next     1,050 m³</t>
  </si>
  <si>
    <t>Next     7,000 m³</t>
  </si>
  <si>
    <t>Next   15,250 m³</t>
  </si>
  <si>
    <t>First        500 m³</t>
  </si>
  <si>
    <t xml:space="preserve">   For all over  42,000 m³</t>
  </si>
  <si>
    <t>Attachment 8, column (e).</t>
  </si>
  <si>
    <t>Attachment 7, column (b) and Attachment 11, column (c).</t>
  </si>
  <si>
    <t>Transportation billing units per Attachment 2, column (a), sum of transportation billing units less Western or North West transportation billing units.</t>
  </si>
  <si>
    <t>Western transporation billing units per Attachment 2, column (a), sum of Western and North West transportation billing units.</t>
  </si>
  <si>
    <t>Monthly fuel rates and fuel and commodity ratios per Rate M12 Schedule B.</t>
  </si>
  <si>
    <t>Exhibit 7, Tab 2, Schedule 1, Attachment 5, line 52, column (g) multiplied by ICC% of 6.62%.</t>
  </si>
  <si>
    <t>Inventory Carrying Costs (ICC) (4)</t>
  </si>
  <si>
    <t>ICC derived as the cost of 20% of total firm space units multiplied the ICC% of 6.62%.</t>
  </si>
  <si>
    <t>Exhibit 7, Tab 2, Schedule 1, Attachment 10, Attachment 9 and Attachment 8, column (a), line 9, line 8 and line 11, respectively.</t>
  </si>
  <si>
    <t>Exhibit 7, Tab 2, Schedule 1, Attachment 10 and Attachment 8, line 3, column (a), respectively.</t>
  </si>
  <si>
    <t>Rate derived as costs in columns (a), (b) and (c) divided by allocation units in column (d), respectively. Demand unit rates divided by 12 months.</t>
  </si>
  <si>
    <t>Page 1, line 3</t>
  </si>
  <si>
    <t>Page 1, line 8</t>
  </si>
  <si>
    <t>Page 1, line 6</t>
  </si>
  <si>
    <t>Page 1, line 10</t>
  </si>
  <si>
    <t>Page 1, line 9</t>
  </si>
  <si>
    <t>Rate 315 and Rate 316 injection/withdrawl recovers unaccounted for gas. Fuel ratio recovers storage fuel costs.</t>
  </si>
  <si>
    <t>(Optimization revenue / total transportation costs) x Parkway to Union NDA TCPL toll.</t>
  </si>
  <si>
    <r>
      <t>Weighted Average Reference Price (cents/m</t>
    </r>
    <r>
      <rPr>
        <vertAlign val="superscript"/>
        <sz val="10"/>
        <rFont val="Arial"/>
        <family val="2"/>
      </rPr>
      <t>3</t>
    </r>
    <r>
      <rPr>
        <sz val="10"/>
        <rFont val="Arial"/>
        <family val="2"/>
      </rPr>
      <t>) (4)</t>
    </r>
  </si>
  <si>
    <t xml:space="preserve">Enhanced Title Transfer (ETT) Service Administration Commodity Charge </t>
  </si>
  <si>
    <r>
      <t>ETT Administration Commodity Charge ($/10</t>
    </r>
    <r>
      <rPr>
        <vertAlign val="superscript"/>
        <sz val="10"/>
        <rFont val="Arial"/>
        <family val="2"/>
      </rPr>
      <t>3</t>
    </r>
    <r>
      <rPr>
        <sz val="10"/>
        <rFont val="Arial"/>
        <family val="2"/>
      </rPr>
      <t>m</t>
    </r>
    <r>
      <rPr>
        <vertAlign val="superscript"/>
        <sz val="10"/>
        <rFont val="Arial"/>
        <family val="2"/>
      </rPr>
      <t>3</t>
    </r>
    <r>
      <rPr>
        <sz val="10"/>
        <rFont val="Arial"/>
        <family val="2"/>
      </rPr>
      <t>) (line 117 x 10)</t>
    </r>
  </si>
  <si>
    <t>Attachment 2, column (a).</t>
  </si>
  <si>
    <t>UFG ratio per the 2024 Cost Allocation Study.</t>
  </si>
  <si>
    <t xml:space="preserve">Parkway Delivery Commitment Incentive (PDCI) </t>
  </si>
  <si>
    <t>Exhibit 4, Tab 2, Schedule 2, paragraph 2.</t>
  </si>
  <si>
    <t>Attachment 11, column (c).</t>
  </si>
  <si>
    <t>Exhibit 8, Tab 2, Schedule 2, Table 2, line 5 provides the calculation of the total sales service annual cost for use of the Panhandle and St. Clair systems.</t>
  </si>
  <si>
    <r>
      <t>Contract Demand 2,993 m</t>
    </r>
    <r>
      <rPr>
        <vertAlign val="superscript"/>
        <sz val="10"/>
        <rFont val="Arial"/>
        <family val="2"/>
      </rPr>
      <t>3</t>
    </r>
    <r>
      <rPr>
        <sz val="10"/>
        <rFont val="Arial"/>
        <family val="2"/>
      </rPr>
      <t xml:space="preserve"> Annual Volume 339,188 m</t>
    </r>
    <r>
      <rPr>
        <vertAlign val="superscript"/>
        <sz val="10"/>
        <rFont val="Arial"/>
        <family val="2"/>
      </rPr>
      <t xml:space="preserve">3 </t>
    </r>
  </si>
  <si>
    <r>
      <t>Contract Demand 15,000 m</t>
    </r>
    <r>
      <rPr>
        <vertAlign val="superscript"/>
        <sz val="10"/>
        <rFont val="Arial"/>
        <family val="2"/>
      </rPr>
      <t>3</t>
    </r>
    <r>
      <rPr>
        <sz val="10"/>
        <rFont val="Arial"/>
        <family val="2"/>
      </rPr>
      <t xml:space="preserve"> Annual Volume 598,567 m</t>
    </r>
    <r>
      <rPr>
        <vertAlign val="superscript"/>
        <sz val="10"/>
        <rFont val="Arial"/>
        <family val="2"/>
      </rPr>
      <t xml:space="preserve">3 </t>
    </r>
  </si>
  <si>
    <r>
      <t>Contract Demand 30,000 m</t>
    </r>
    <r>
      <rPr>
        <vertAlign val="superscript"/>
        <sz val="10"/>
        <rFont val="Arial"/>
        <family val="2"/>
      </rPr>
      <t>3</t>
    </r>
    <r>
      <rPr>
        <sz val="10"/>
        <rFont val="Arial"/>
        <family val="2"/>
      </rPr>
      <t xml:space="preserve"> Annual Volume 1,500,000 m</t>
    </r>
    <r>
      <rPr>
        <vertAlign val="superscript"/>
        <sz val="10"/>
        <rFont val="Arial"/>
        <family val="2"/>
      </rPr>
      <t xml:space="preserve">3 </t>
    </r>
  </si>
  <si>
    <r>
      <t>Contract Demand 3,292 m</t>
    </r>
    <r>
      <rPr>
        <vertAlign val="superscript"/>
        <sz val="10"/>
        <rFont val="Arial"/>
        <family val="2"/>
      </rPr>
      <t>3</t>
    </r>
    <r>
      <rPr>
        <sz val="10"/>
        <rFont val="Arial"/>
        <family val="2"/>
      </rPr>
      <t xml:space="preserve"> Annual Volume 598,568 m</t>
    </r>
    <r>
      <rPr>
        <vertAlign val="superscript"/>
        <sz val="10"/>
        <rFont val="Arial"/>
        <family val="2"/>
      </rPr>
      <t xml:space="preserve">3 </t>
    </r>
  </si>
  <si>
    <r>
      <t>Contract Demand 36,413 m</t>
    </r>
    <r>
      <rPr>
        <vertAlign val="superscript"/>
        <sz val="10"/>
        <rFont val="Arial"/>
        <family val="2"/>
      </rPr>
      <t>3</t>
    </r>
    <r>
      <rPr>
        <sz val="10"/>
        <rFont val="Arial"/>
        <family val="2"/>
      </rPr>
      <t xml:space="preserve"> Annual Volume 9,976,120 m</t>
    </r>
    <r>
      <rPr>
        <vertAlign val="superscript"/>
        <sz val="10"/>
        <rFont val="Arial"/>
        <family val="2"/>
      </rPr>
      <t xml:space="preserve">3 </t>
    </r>
  </si>
  <si>
    <r>
      <t>Contract Demand 53,871 m</t>
    </r>
    <r>
      <rPr>
        <vertAlign val="superscript"/>
        <sz val="10"/>
        <rFont val="Arial"/>
        <family val="2"/>
      </rPr>
      <t>3</t>
    </r>
    <r>
      <rPr>
        <sz val="10"/>
        <rFont val="Arial"/>
        <family val="2"/>
      </rPr>
      <t xml:space="preserve"> Annual Volume 9,976,121 m</t>
    </r>
    <r>
      <rPr>
        <vertAlign val="superscript"/>
        <sz val="10"/>
        <rFont val="Arial"/>
        <family val="2"/>
      </rPr>
      <t xml:space="preserve">3 </t>
    </r>
  </si>
  <si>
    <r>
      <t>Contract Demand 15,300 m</t>
    </r>
    <r>
      <rPr>
        <vertAlign val="superscript"/>
        <sz val="10"/>
        <rFont val="Arial"/>
        <family val="2"/>
      </rPr>
      <t>3</t>
    </r>
    <r>
      <rPr>
        <sz val="10"/>
        <rFont val="Arial"/>
        <family val="2"/>
      </rPr>
      <t xml:space="preserve"> Annual Volume 4,471,609 m</t>
    </r>
    <r>
      <rPr>
        <vertAlign val="superscript"/>
        <sz val="10"/>
        <rFont val="Arial"/>
        <family val="2"/>
      </rPr>
      <t xml:space="preserve">3 </t>
    </r>
  </si>
  <si>
    <r>
      <t>Contract Demand 238,928 m</t>
    </r>
    <r>
      <rPr>
        <vertAlign val="superscript"/>
        <sz val="10"/>
        <rFont val="Arial"/>
        <family val="2"/>
      </rPr>
      <t>3</t>
    </r>
    <r>
      <rPr>
        <sz val="10"/>
        <rFont val="Arial"/>
        <family val="2"/>
      </rPr>
      <t xml:space="preserve"> Annual Volume 69,832,850 m</t>
    </r>
    <r>
      <rPr>
        <vertAlign val="superscript"/>
        <sz val="10"/>
        <rFont val="Arial"/>
        <family val="2"/>
      </rPr>
      <t xml:space="preserve">3 </t>
    </r>
  </si>
  <si>
    <r>
      <t>Contract Demand 2,315,000 m</t>
    </r>
    <r>
      <rPr>
        <vertAlign val="superscript"/>
        <sz val="10"/>
        <rFont val="Arial"/>
        <family val="2"/>
      </rPr>
      <t>3</t>
    </r>
    <r>
      <rPr>
        <sz val="10"/>
        <rFont val="Arial"/>
        <family val="2"/>
      </rPr>
      <t xml:space="preserve"> Annual Volume 206,000,000 m</t>
    </r>
    <r>
      <rPr>
        <vertAlign val="superscript"/>
        <sz val="10"/>
        <rFont val="Arial"/>
        <family val="2"/>
      </rPr>
      <t xml:space="preserve">3 </t>
    </r>
  </si>
  <si>
    <r>
      <t>Contract Demand 4,489 m</t>
    </r>
    <r>
      <rPr>
        <vertAlign val="superscript"/>
        <sz val="10"/>
        <rFont val="Arial"/>
        <family val="2"/>
      </rPr>
      <t>3</t>
    </r>
    <r>
      <rPr>
        <sz val="10"/>
        <rFont val="Arial"/>
        <family val="2"/>
      </rPr>
      <t xml:space="preserve"> Annual Volume 598,567 m</t>
    </r>
    <r>
      <rPr>
        <vertAlign val="superscript"/>
        <sz val="10"/>
        <rFont val="Arial"/>
        <family val="2"/>
      </rPr>
      <t xml:space="preserve">3 </t>
    </r>
  </si>
  <si>
    <r>
      <t>Contract Demand 255,089 m</t>
    </r>
    <r>
      <rPr>
        <vertAlign val="superscript"/>
        <sz val="10"/>
        <rFont val="Arial"/>
        <family val="2"/>
      </rPr>
      <t>3</t>
    </r>
    <r>
      <rPr>
        <sz val="10"/>
        <rFont val="Arial"/>
        <family val="2"/>
      </rPr>
      <t xml:space="preserve"> Annual Volume 69,832,850 m</t>
    </r>
    <r>
      <rPr>
        <vertAlign val="superscript"/>
        <sz val="10"/>
        <rFont val="Arial"/>
        <family val="2"/>
      </rPr>
      <t xml:space="preserve">3 </t>
    </r>
  </si>
  <si>
    <r>
      <t>Contract Demand 1,252,000 m</t>
    </r>
    <r>
      <rPr>
        <vertAlign val="superscript"/>
        <sz val="10"/>
        <rFont val="Arial"/>
        <family val="2"/>
      </rPr>
      <t>3</t>
    </r>
    <r>
      <rPr>
        <sz val="10"/>
        <rFont val="Arial"/>
        <family val="2"/>
      </rPr>
      <t xml:space="preserve"> Annual Volume 140,305,600 m</t>
    </r>
    <r>
      <rPr>
        <vertAlign val="superscript"/>
        <sz val="10"/>
        <rFont val="Arial"/>
        <family val="2"/>
      </rPr>
      <t xml:space="preserve">3 </t>
    </r>
  </si>
  <si>
    <r>
      <t>Contract Demand 14,000 m</t>
    </r>
    <r>
      <rPr>
        <vertAlign val="superscript"/>
        <sz val="10"/>
        <rFont val="Arial"/>
        <family val="2"/>
      </rPr>
      <t>3</t>
    </r>
    <r>
      <rPr>
        <sz val="10"/>
        <rFont val="Arial"/>
        <family val="2"/>
      </rPr>
      <t xml:space="preserve">  Annual Volume 3,000,000 m</t>
    </r>
    <r>
      <rPr>
        <vertAlign val="superscript"/>
        <sz val="10"/>
        <rFont val="Arial"/>
        <family val="2"/>
      </rPr>
      <t xml:space="preserve">3 </t>
    </r>
  </si>
  <si>
    <r>
      <t>Contract Demand 60,000 m</t>
    </r>
    <r>
      <rPr>
        <vertAlign val="superscript"/>
        <sz val="10"/>
        <rFont val="Arial"/>
        <family val="2"/>
      </rPr>
      <t>3</t>
    </r>
    <r>
      <rPr>
        <sz val="10"/>
        <rFont val="Arial"/>
        <family val="2"/>
      </rPr>
      <t xml:space="preserve"> Annual Volume 15,000,000 m</t>
    </r>
    <r>
      <rPr>
        <vertAlign val="superscript"/>
        <sz val="10"/>
        <rFont val="Arial"/>
        <family val="2"/>
      </rPr>
      <t xml:space="preserve">3 </t>
    </r>
  </si>
  <si>
    <r>
      <t>Contract Demand 850,000 m</t>
    </r>
    <r>
      <rPr>
        <vertAlign val="superscript"/>
        <sz val="10"/>
        <rFont val="Arial"/>
        <family val="2"/>
      </rPr>
      <t>3</t>
    </r>
    <r>
      <rPr>
        <sz val="10"/>
        <rFont val="Arial"/>
        <family val="2"/>
      </rPr>
      <t xml:space="preserve"> Annual Volume 240,000,000 m</t>
    </r>
    <r>
      <rPr>
        <vertAlign val="superscript"/>
        <sz val="10"/>
        <rFont val="Arial"/>
        <family val="2"/>
      </rPr>
      <t xml:space="preserve">3 </t>
    </r>
  </si>
  <si>
    <r>
      <t>Contract Demand 100,000 m</t>
    </r>
    <r>
      <rPr>
        <vertAlign val="superscript"/>
        <sz val="10"/>
        <rFont val="Arial"/>
        <family val="2"/>
      </rPr>
      <t>3</t>
    </r>
    <r>
      <rPr>
        <sz val="10"/>
        <rFont val="Arial"/>
        <family val="2"/>
      </rPr>
      <t xml:space="preserve"> Annual Volume 27,000,000 m</t>
    </r>
    <r>
      <rPr>
        <vertAlign val="superscript"/>
        <sz val="10"/>
        <rFont val="Arial"/>
        <family val="2"/>
      </rPr>
      <t xml:space="preserve">3 </t>
    </r>
  </si>
  <si>
    <r>
      <t>Contract Demand 4,800 m</t>
    </r>
    <r>
      <rPr>
        <vertAlign val="superscript"/>
        <sz val="10"/>
        <rFont val="Arial"/>
        <family val="2"/>
      </rPr>
      <t>3</t>
    </r>
    <r>
      <rPr>
        <sz val="10"/>
        <rFont val="Arial"/>
        <family val="2"/>
      </rPr>
      <t xml:space="preserve"> Annual Volume 875,000 m</t>
    </r>
    <r>
      <rPr>
        <vertAlign val="superscript"/>
        <sz val="10"/>
        <rFont val="Arial"/>
        <family val="2"/>
      </rPr>
      <t xml:space="preserve">3 </t>
    </r>
  </si>
  <si>
    <r>
      <t>Contract Demand 50,000 m</t>
    </r>
    <r>
      <rPr>
        <vertAlign val="superscript"/>
        <sz val="10"/>
        <rFont val="Arial"/>
        <family val="2"/>
      </rPr>
      <t>3</t>
    </r>
    <r>
      <rPr>
        <sz val="10"/>
        <rFont val="Arial"/>
        <family val="2"/>
      </rPr>
      <t xml:space="preserve"> Annual Volume 12,000,000 m</t>
    </r>
    <r>
      <rPr>
        <vertAlign val="superscript"/>
        <sz val="10"/>
        <rFont val="Arial"/>
        <family val="2"/>
      </rPr>
      <t xml:space="preserve">3 </t>
    </r>
  </si>
  <si>
    <r>
      <t>Contract Demand 7,500 m</t>
    </r>
    <r>
      <rPr>
        <vertAlign val="superscript"/>
        <sz val="10"/>
        <rFont val="Arial"/>
        <family val="2"/>
      </rPr>
      <t>3</t>
    </r>
    <r>
      <rPr>
        <sz val="10"/>
        <rFont val="Arial"/>
        <family val="2"/>
      </rPr>
      <t xml:space="preserve"> Annual Volume 825,000 m</t>
    </r>
    <r>
      <rPr>
        <vertAlign val="superscript"/>
        <sz val="10"/>
        <rFont val="Arial"/>
        <family val="2"/>
      </rPr>
      <t xml:space="preserve">3 </t>
    </r>
  </si>
  <si>
    <r>
      <t>Contract Demand 70,000 m</t>
    </r>
    <r>
      <rPr>
        <vertAlign val="superscript"/>
        <sz val="10"/>
        <rFont val="Arial"/>
        <family val="2"/>
      </rPr>
      <t>3</t>
    </r>
    <r>
      <rPr>
        <sz val="10"/>
        <rFont val="Arial"/>
        <family val="2"/>
      </rPr>
      <t xml:space="preserve"> Annual Volume 6,500,000 m</t>
    </r>
    <r>
      <rPr>
        <vertAlign val="superscript"/>
        <sz val="10"/>
        <rFont val="Arial"/>
        <family val="2"/>
      </rPr>
      <t xml:space="preserve">3 </t>
    </r>
  </si>
  <si>
    <r>
      <t>Contract Demand 165,000 m</t>
    </r>
    <r>
      <rPr>
        <vertAlign val="superscript"/>
        <sz val="10"/>
        <rFont val="Arial"/>
        <family val="2"/>
      </rPr>
      <t>3</t>
    </r>
    <r>
      <rPr>
        <sz val="10"/>
        <rFont val="Arial"/>
        <family val="2"/>
      </rPr>
      <t xml:space="preserve"> Annual Volume 36,000,000 m</t>
    </r>
    <r>
      <rPr>
        <vertAlign val="superscript"/>
        <sz val="10"/>
        <rFont val="Arial"/>
        <family val="2"/>
      </rPr>
      <t xml:space="preserve">3 </t>
    </r>
  </si>
  <si>
    <r>
      <t>Contract Demand 720,000 m</t>
    </r>
    <r>
      <rPr>
        <vertAlign val="superscript"/>
        <sz val="10"/>
        <rFont val="Arial"/>
        <family val="2"/>
      </rPr>
      <t>3</t>
    </r>
    <r>
      <rPr>
        <sz val="10"/>
        <rFont val="Arial"/>
        <family val="2"/>
      </rPr>
      <t xml:space="preserve"> Annual Volume 52,000,000 m</t>
    </r>
    <r>
      <rPr>
        <vertAlign val="superscript"/>
        <sz val="10"/>
        <rFont val="Arial"/>
        <family val="2"/>
      </rPr>
      <t xml:space="preserve">3 </t>
    </r>
  </si>
  <si>
    <r>
      <t>Contract Demand 56,439 m</t>
    </r>
    <r>
      <rPr>
        <vertAlign val="superscript"/>
        <sz val="10"/>
        <rFont val="Arial"/>
        <family val="2"/>
      </rPr>
      <t>3</t>
    </r>
    <r>
      <rPr>
        <sz val="10"/>
        <rFont val="Arial"/>
        <family val="2"/>
      </rPr>
      <t xml:space="preserve"> Annual Volume 6,950,000 m</t>
    </r>
    <r>
      <rPr>
        <vertAlign val="superscript"/>
        <sz val="10"/>
        <rFont val="Arial"/>
        <family val="2"/>
      </rPr>
      <t xml:space="preserve">3 </t>
    </r>
  </si>
  <si>
    <r>
      <t>Contract Demand 168,100 m</t>
    </r>
    <r>
      <rPr>
        <vertAlign val="superscript"/>
        <sz val="10"/>
        <rFont val="Arial"/>
        <family val="2"/>
      </rPr>
      <t>3</t>
    </r>
    <r>
      <rPr>
        <sz val="10"/>
        <rFont val="Arial"/>
        <family val="2"/>
      </rPr>
      <t xml:space="preserve"> Annual Volume 20,178,000 m</t>
    </r>
    <r>
      <rPr>
        <vertAlign val="superscript"/>
        <sz val="10"/>
        <rFont val="Arial"/>
        <family val="2"/>
      </rPr>
      <t xml:space="preserve">3 </t>
    </r>
  </si>
  <si>
    <r>
      <t>Contract Demand 25,750 m</t>
    </r>
    <r>
      <rPr>
        <vertAlign val="superscript"/>
        <sz val="10"/>
        <rFont val="Arial"/>
        <family val="2"/>
      </rPr>
      <t>3</t>
    </r>
    <r>
      <rPr>
        <sz val="10"/>
        <rFont val="Arial"/>
        <family val="2"/>
      </rPr>
      <t xml:space="preserve"> Annual Volume 7,537,000 m</t>
    </r>
    <r>
      <rPr>
        <vertAlign val="superscript"/>
        <sz val="10"/>
        <rFont val="Arial"/>
        <family val="2"/>
      </rPr>
      <t xml:space="preserve">3 </t>
    </r>
  </si>
  <si>
    <r>
      <t>Contract Demand 48,750 m</t>
    </r>
    <r>
      <rPr>
        <vertAlign val="superscript"/>
        <sz val="10"/>
        <rFont val="Arial"/>
        <family val="2"/>
      </rPr>
      <t>3</t>
    </r>
    <r>
      <rPr>
        <sz val="10"/>
        <rFont val="Arial"/>
        <family val="2"/>
      </rPr>
      <t xml:space="preserve"> Annual Volume 11,565,938 m</t>
    </r>
    <r>
      <rPr>
        <vertAlign val="superscript"/>
        <sz val="10"/>
        <rFont val="Arial"/>
        <family val="2"/>
      </rPr>
      <t xml:space="preserve">3 </t>
    </r>
  </si>
  <si>
    <r>
      <t>Contract Demand 133,000 m</t>
    </r>
    <r>
      <rPr>
        <vertAlign val="superscript"/>
        <sz val="10"/>
        <rFont val="Arial"/>
        <family val="2"/>
      </rPr>
      <t>3</t>
    </r>
    <r>
      <rPr>
        <sz val="10"/>
        <rFont val="Arial"/>
        <family val="2"/>
      </rPr>
      <t xml:space="preserve"> Annual Volume 25,624,080 m</t>
    </r>
    <r>
      <rPr>
        <vertAlign val="superscript"/>
        <sz val="10"/>
        <rFont val="Arial"/>
        <family val="2"/>
      </rPr>
      <t xml:space="preserve">3 </t>
    </r>
  </si>
  <si>
    <r>
      <t>Contract Demand 190,000 m</t>
    </r>
    <r>
      <rPr>
        <vertAlign val="superscript"/>
        <sz val="10"/>
        <rFont val="Arial"/>
        <family val="2"/>
      </rPr>
      <t>3</t>
    </r>
    <r>
      <rPr>
        <sz val="10"/>
        <rFont val="Arial"/>
        <family val="2"/>
      </rPr>
      <t xml:space="preserve"> Annual Volume 59,256,000 m</t>
    </r>
    <r>
      <rPr>
        <vertAlign val="superscript"/>
        <sz val="10"/>
        <rFont val="Arial"/>
        <family val="2"/>
      </rPr>
      <t xml:space="preserve">3 </t>
    </r>
  </si>
  <si>
    <r>
      <t>Contract Demand 669,000 m</t>
    </r>
    <r>
      <rPr>
        <vertAlign val="superscript"/>
        <sz val="10"/>
        <rFont val="Arial"/>
        <family val="2"/>
      </rPr>
      <t>3</t>
    </r>
    <r>
      <rPr>
        <sz val="10"/>
        <rFont val="Arial"/>
        <family val="2"/>
      </rPr>
      <t xml:space="preserve"> Annual Volume 197,789,850 m</t>
    </r>
    <r>
      <rPr>
        <vertAlign val="superscript"/>
        <sz val="10"/>
        <rFont val="Arial"/>
        <family val="2"/>
      </rPr>
      <t xml:space="preserve">3 </t>
    </r>
  </si>
  <si>
    <r>
      <t>Contract Demand 1,200,000 m</t>
    </r>
    <r>
      <rPr>
        <vertAlign val="superscript"/>
        <sz val="10"/>
        <rFont val="Arial"/>
        <family val="2"/>
      </rPr>
      <t>3</t>
    </r>
    <r>
      <rPr>
        <sz val="10"/>
        <rFont val="Arial"/>
        <family val="2"/>
      </rPr>
      <t xml:space="preserve"> Annual Volume 370,089,000 m</t>
    </r>
    <r>
      <rPr>
        <vertAlign val="superscript"/>
        <sz val="10"/>
        <rFont val="Arial"/>
        <family val="2"/>
      </rPr>
      <t xml:space="preserve">3 </t>
    </r>
  </si>
  <si>
    <r>
      <t>Contract Demand 2,350,000 m</t>
    </r>
    <r>
      <rPr>
        <vertAlign val="superscript"/>
        <sz val="10"/>
        <rFont val="Arial"/>
        <family val="2"/>
      </rPr>
      <t>3</t>
    </r>
    <r>
      <rPr>
        <sz val="10"/>
        <rFont val="Arial"/>
        <family val="2"/>
      </rPr>
      <t xml:space="preserve"> Annual Volume 272,712,000 m</t>
    </r>
    <r>
      <rPr>
        <vertAlign val="superscript"/>
        <sz val="10"/>
        <rFont val="Arial"/>
        <family val="2"/>
      </rPr>
      <t xml:space="preserve">3 </t>
    </r>
  </si>
  <si>
    <t>Dawn Station revenue requirement per Exhibit 7, Tab 2, Schedule 1, Attachment 8, columns (an) and (ap), line 13.</t>
  </si>
  <si>
    <t>Kirkwall Station revenue requirement per Exhibit 7, Tab 2, Schedule 1, Attachment 8, columns (an) and (ap), line 14.</t>
  </si>
  <si>
    <t>Parkway Station revenue requirement per Exhibit 7, Tab 2, Schedule 1, Attachment 8, columns (an) and (ap), line 15.</t>
  </si>
  <si>
    <t>Panhandle System and St. Clair System maximum design capacity.</t>
  </si>
  <si>
    <t>Less: Distribution Loss Unit Rate (line 11)</t>
  </si>
  <si>
    <t>Rate M7 Maximum Seasonal Charge</t>
  </si>
  <si>
    <t>Equal to Rate M7 Maximum Interruptible Charge</t>
  </si>
  <si>
    <t>Rate T1 Maximum Interruptible Charge</t>
  </si>
  <si>
    <t>Rate T2 Maximum Interruptible Charge</t>
  </si>
  <si>
    <t>Short-term Transportation - Utility Supplied Fuel</t>
  </si>
  <si>
    <t>Commodity - Utility Supplied Fuel</t>
  </si>
  <si>
    <t xml:space="preserve">  Utility Supplied Fuel to Dawn</t>
  </si>
  <si>
    <t xml:space="preserve">  Utility Supplied Fuel to Pool</t>
  </si>
  <si>
    <t xml:space="preserve">  Shipper Supplied Fuel to Dawn</t>
  </si>
  <si>
    <t xml:space="preserve">  Shipper Supplied Fuel to Pool</t>
  </si>
  <si>
    <t>Commodity - Shipper Supplied Fuel</t>
  </si>
  <si>
    <t>Westerly - Shipper Supplied Fuel</t>
  </si>
  <si>
    <t>Easterly - Shipper Supplied Fuel</t>
  </si>
  <si>
    <t>Customer Provides Fuel - Commodity</t>
  </si>
  <si>
    <t>Shipper Supplied Fuel</t>
  </si>
  <si>
    <t>Shipper Supplied Fuel Dawn to Delivery Area</t>
  </si>
  <si>
    <t>Adjustment made to Union South and Union North East commodity rates, per Exhibit 3, Tab 2, Schedule 1, paragraph 2.</t>
  </si>
  <si>
    <t>In-franchise</t>
  </si>
  <si>
    <t>In-franchise (Continued)</t>
  </si>
  <si>
    <t>Storage ($/GJ)</t>
  </si>
  <si>
    <t>One adjustment made to Union South and Union North East commodity rates, per Exhibit 3, Tab 2, Schedule 1, paragraph 2.</t>
  </si>
  <si>
    <t>Storage Service Charges ($/GJ)</t>
  </si>
  <si>
    <t>Ibid, line 20.</t>
  </si>
  <si>
    <t>Ibid, Attachment 12.</t>
  </si>
  <si>
    <t>Ibid, line 51.</t>
  </si>
  <si>
    <t>Transmission costs for Rate 01 and Rate 10 in the Union North rate zones are included in the gas supply transportation charge.</t>
  </si>
  <si>
    <t>EB-2022-0133, Exhibit D, Tab 2, Appendix A.</t>
  </si>
  <si>
    <t>EB-2022-0133, Exhibit D, Tab 1, Appendix A.</t>
  </si>
  <si>
    <t>Attachment 2, p.14, column (h), line 7.</t>
  </si>
  <si>
    <t>Exhibit 7, Tab 2, Schedule 1, Attachment 12, pp.11-13, line 19.</t>
  </si>
  <si>
    <t>Exhibit 7, Tab 2, Schedule 1, Attachment 12, pp.14-16, line 41.</t>
  </si>
  <si>
    <t>Exhibit 7, Tab 2, Schedule 1, Attachment 12, pp.11-13, lines 21 and 23.</t>
  </si>
  <si>
    <t>Gas Supply charges based on Union North East rate zone.</t>
  </si>
  <si>
    <t>Attachment 2, pp.14-15, columns (g), (e), and (f), respectively.</t>
  </si>
  <si>
    <t>Rate C1 - Dawn to Dawn-Vector and Dawn to Dawn-TCPL Demand Charge</t>
  </si>
  <si>
    <t>Total In-Franchise</t>
  </si>
  <si>
    <t>Total (4) (5)</t>
  </si>
  <si>
    <t>Dawn Parkway revenue requirement per Exhibit 7, Tab 2, Schedule 1, Attachment 8, columns (an) and (ap), line 10 + line 16, less F24-T revenue.</t>
  </si>
  <si>
    <t>Attachment 9, p.1, column (a).</t>
  </si>
  <si>
    <t>Attachment 12, p.1, line 22, column (a).</t>
  </si>
  <si>
    <t>EB-2022-0133, Exhibit D, Tab 1, Appendix A for the EGD rate zone; and Exhibit D, Tab 2, Appendix A for the Union rate zones.</t>
  </si>
  <si>
    <t>Rates T3 Unauthorized Injections/Withdrawals</t>
  </si>
  <si>
    <t>Rate M12 Parkway to Dawn commodity charge (9)</t>
  </si>
  <si>
    <t>Western incremental revenue calculated as line 11 x line 16 / 100.</t>
  </si>
  <si>
    <t>Transportation Service Charges (cents/m3)</t>
  </si>
  <si>
    <t>Dawn to Parkway easterly demands per Attachment 2, p.14, column (a), line 7 + line 12 + line 13.</t>
  </si>
  <si>
    <t>Dawn to Kirkwall easterly demands per Attachment 2, p.14, column (a), line 9.</t>
  </si>
  <si>
    <t>Kirkwall to Parkway easterly demands per Attachment 2, p.14, column (a), line 11.</t>
  </si>
  <si>
    <t>Parkway to Dawn westerly demands in column (d) per Attachment 2, p.14, column (a), line 12 + line 16 x 12 / 365 x 100 days.</t>
  </si>
  <si>
    <t>Kirkwall to Dawn westerly demands in column (d) per Attachment 2, p.14, column (a), line 17 x 12 / 365 x 214 days, distance weighted.</t>
  </si>
  <si>
    <t>Distance weighted TJ/km (line 2 x line 3 / 1000)</t>
  </si>
  <si>
    <t>Adjusted Easterly Demand Charge ($/GJ) (line 5 x 1000 / line 11)</t>
  </si>
  <si>
    <t>Westerly Revenue Adjustment ($000s) ((line 9 + line 10) x line 13 / 1000)</t>
  </si>
  <si>
    <t>Dawn, Parkway and Kirkwall Station 
Demand Charges ($/GJ) (line 1 x 1000 / line 11)</t>
  </si>
  <si>
    <t>Easterly Demands (from p.1, line 2)</t>
  </si>
  <si>
    <t>Adjusted Westerly Demands Recovered over 100 days (from p.1, line 9)</t>
  </si>
  <si>
    <t>Adjusted Westerly Demands Recovered over 214 days (from p.1, line 10)</t>
  </si>
  <si>
    <t>Rate M12 Dawn to Parkway Firm Demand Charge (from p.1, column (a), line 21)</t>
  </si>
  <si>
    <t>Rate C1 Parkway to Dawn Firm Demand Charge (from p.1, column (a), line 22)</t>
  </si>
  <si>
    <t>Operating &amp; Maintenance Costs ($000s) (1)</t>
  </si>
  <si>
    <t>F24-T Demand (GJ/d) (2)</t>
  </si>
  <si>
    <t>F24-T Firm Demand Charge (line 5 x 1000 / (line 6 x 12))</t>
  </si>
  <si>
    <t>Attachment 2, pp.14-15, column (e), line 8 + line 10 + line 26.</t>
  </si>
  <si>
    <t>From Dawn to St. Clair, Bluewater and Ojibway Demand Charge ($/GJ/mo) (line 6 x 1000 / (line 7 x 12))</t>
  </si>
  <si>
    <t>To Dawn from St. Clair, Bluewater and Ojibway Demand Charge ($/GJ/mo) (line 8 x 100/365)</t>
  </si>
  <si>
    <t>Monthly Demand per Unit ($/GJ)  (line 10 x 1000 / (line 11 x 12))</t>
  </si>
  <si>
    <t>Monthly Fixed Charge Per Typical Customer Station ($/mo) (line 1 / line 2 x 12 x 1000)</t>
  </si>
  <si>
    <t>Monthly Fixed Charge Per Large Customer Station ($/mo) (line 4 / line 5 x 12 x 1000)</t>
  </si>
  <si>
    <t>RNG Sampling Charge ($/test) (line 7 / line 8 x 1000)</t>
  </si>
  <si>
    <t>Rate M13/Rate M16 Transmission Commodity Charge ($/GJ) (line 13 x 12 / 365 x 50%)</t>
  </si>
  <si>
    <t>Dawn to Dawn-Vector Demand Charge ($/GJ/mo) (line 12 x 60 / 365)</t>
  </si>
  <si>
    <t>Dawn to Dawn-TCPL Demand Charge ($/GJ/mo) (line 12 x 90 / 365)</t>
  </si>
  <si>
    <t>Distance adjusted Dawn to Parkway Demand Charge ($/GJ) (line 4 x (line 5 / line 6))</t>
  </si>
  <si>
    <t>East of Dawn Demand Charge - Adjusted for Easterly Flow ($/GJ) (line 7 x 214 / 365)</t>
  </si>
  <si>
    <t>Monthly Fixed Charge Per Customer Station ($/mo) (line 1 / (line 2 x 12) x 1000)</t>
  </si>
  <si>
    <t>Total Dawn to Delivery Area Demand Charge ($/GJ/mo) (line 6 x 1000 / line 7)</t>
  </si>
  <si>
    <t>Distribution Demand average unit rate ((line 3 + line 5) x 1000 / line 7)</t>
  </si>
  <si>
    <t>Total Parkway/Kirkwall to Delivery Area or Dawn Demand Charge ($/GJ/mo) (line 9 + line 10)</t>
  </si>
  <si>
    <t>Ibid, line 13 + line 16.</t>
  </si>
  <si>
    <t>Ibid, line 21.</t>
  </si>
  <si>
    <t xml:space="preserve">Unit rates for Heritage and Tipperary Pool transportation per Rate M16 charges provided at Attachment 2, p.14, column (h), lines 46, 48 and 49, and lines 46, 53 and 54, respectively. </t>
  </si>
  <si>
    <t xml:space="preserve">Dawn Parkway revenue requirement includes Dawn Parkway, Kirkwall Station and Parkway Station. Total revenue requirement from p.1, line 1. </t>
  </si>
  <si>
    <t xml:space="preserve">Dawn Station includes measuring and regulating costs as proposed at Exhibit 7, Tab 1, Schedule 4. Dawn Station revenue requirement from p.1, line 1. </t>
  </si>
  <si>
    <t>Total Revenue Requirement (sum of lines 2 to 5)</t>
  </si>
  <si>
    <t>Rates T1, T2 Unauthorized Injections/Withdrawals ($/GJ) (line 79 / line 80 x 10)</t>
  </si>
  <si>
    <t>Rate T3 Unauthorized Injections/Withdrawals ($/GJ) (line 82 / line 83 x 10)</t>
  </si>
  <si>
    <r>
      <t>Unauthorized Overrun Non-Compliance (cents/m</t>
    </r>
    <r>
      <rPr>
        <vertAlign val="superscript"/>
        <sz val="10"/>
        <rFont val="Arial"/>
        <family val="2"/>
      </rPr>
      <t>3</t>
    </r>
    <r>
      <rPr>
        <sz val="10"/>
        <rFont val="Arial"/>
        <family val="2"/>
      </rPr>
      <t>) (line 85 x line 86 / 10)</t>
    </r>
  </si>
  <si>
    <t>Total Rate 20 Commissioning and Decommissioning Charge (line 90 + line 93)</t>
  </si>
  <si>
    <t>Total Rate 100 Commissioning and Decommissioning Charge (line 97 + line 100)</t>
  </si>
  <si>
    <t>Rate 300 Cumulative Balance Charge ((line 112 + line 113) / line 114)</t>
  </si>
  <si>
    <t>Adjustment (line 116 / 2)</t>
  </si>
  <si>
    <t>Storage Withdrawal Charge (line 119 x line 120)</t>
  </si>
  <si>
    <t>Storage Withdrawal Charge (line 122 x line 123)</t>
  </si>
  <si>
    <t>Transportation Charge (line 125 / line 126 x 10)</t>
  </si>
  <si>
    <t>Total (line 124 + line 127)</t>
  </si>
  <si>
    <t>Storage Withdrawal Charge (line 129 x line 130)</t>
  </si>
  <si>
    <t>Parkway to Dawn Commodity (line 132 x line 133)</t>
  </si>
  <si>
    <t>Total (line 131 + line 134 + line 135)</t>
  </si>
  <si>
    <t>Failure to Deliver Charge ($/GJ) (line 140 / line 141 x 10)</t>
  </si>
  <si>
    <t>Total (line 143 + line 144 + line 145) x (-1)</t>
  </si>
  <si>
    <t>Gas Supply Charge Including Transportation (average)</t>
  </si>
  <si>
    <t xml:space="preserve">Unit rates for Dow Moore and Black Creek pool storage space and deliverability calculated as the capital component of storage space and deliverability demand charges provided at Attachment 5. Dow Moore and Black Creek pool storage unit rate charge for commodity per Attachment 5, line 10. </t>
  </si>
  <si>
    <t>Rate M12/C1 Dawn-Parkway (8)</t>
  </si>
  <si>
    <t>Rate C1 (8)</t>
  </si>
  <si>
    <t>Rates (1) (2)</t>
  </si>
  <si>
    <t>Rates (3)</t>
  </si>
  <si>
    <t>Union North Rate Zone (Continued)</t>
  </si>
  <si>
    <t>Calculation of Sales Service and Direct Purchase Bill Impacts for Typical Small and Large Customers</t>
  </si>
  <si>
    <t>Dawn Parkway (line 13, line 15)</t>
  </si>
  <si>
    <t>Westerly Firm Demand Charges (line 21 x 100 / 365)</t>
  </si>
  <si>
    <t>Westerly Demand Charge ((lines 16+19) x 214/365) + (line 18 x 100/365)</t>
  </si>
  <si>
    <t>Total Easterly Demand Charge (line 16 + line 17)</t>
  </si>
  <si>
    <t>Westerly Demand Charge (line 18 x 100 / 365)</t>
  </si>
  <si>
    <t>Westerly Demand Charge (line 18 x 214 / 365)</t>
  </si>
  <si>
    <t>Dawn Parkway (line 13; (line 5 - line 14) x 1000 / line 6)</t>
  </si>
  <si>
    <t>Attachment 2, p.15, column (a), line 57 x 12 months.</t>
  </si>
  <si>
    <t>Operating and maintenance costs for Rate M17 station.</t>
  </si>
  <si>
    <t>Dawn Station Demand Charges ($/GJ) (line 1 x 1000 / line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</si>
</sst>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quot;$&quot;* #,##0.00_);_(&quot;$&quot;* \(#,##0.00\);_(&quot;$&quot;* &quot;-&quot;??_);_(@_)"/>
    <numFmt numFmtId="43" formatCode="_(* #,##0.00_);_(* \(#,##0.00\);_(* &quot;-&quot;??_);_(@_)"/>
    <numFmt numFmtId="164" formatCode="_(* #,##0_);_(* \(#,##0\);_(* &quot;-&quot;??_);_(@_)"/>
    <numFmt numFmtId="165" formatCode="#,##0_);\(#,##0\);\-"/>
    <numFmt numFmtId="166" formatCode="#,##0.000_);\(#,##0.000\)"/>
    <numFmt numFmtId="167" formatCode="#,##0.0000_);\(#,##0.0000\);\-"/>
    <numFmt numFmtId="168" formatCode="0.0%"/>
    <numFmt numFmtId="169" formatCode="&quot;$&quot;#,##0.00"/>
    <numFmt numFmtId="170" formatCode="0.000"/>
    <numFmt numFmtId="171" formatCode="#,##0.000_);\(#,##0.000\);\-"/>
    <numFmt numFmtId="172" formatCode="&quot;$&quot;#,##0.000"/>
    <numFmt numFmtId="173" formatCode="_-* #,##0_-;\-* #,##0_-;_-* &quot;-&quot;??_-;_-@_-"/>
    <numFmt numFmtId="174" formatCode="0.000%"/>
    <numFmt numFmtId="175" formatCode="&quot;$&quot;#,##0.00_);\(&quot;$&quot;#,##0.00\);\-"/>
    <numFmt numFmtId="176" formatCode="0.000%;\(0.000%\);\-"/>
    <numFmt numFmtId="177" formatCode="_(* #,##0.000_);_(* \(#,##0.000\);_(* &quot;-&quot;??_);_(@_)"/>
    <numFmt numFmtId="178" formatCode="#,##0;[Red]\(#,##0\);\-"/>
    <numFmt numFmtId="179" formatCode="_(* #,##0.0000_);_(* \(#,##0.0000\);_(* &quot;-&quot;??_);_(@_)"/>
    <numFmt numFmtId="180" formatCode="#,##0.00_);\(#,##0.00\);\-"/>
    <numFmt numFmtId="181" formatCode="#,##0.0000_-;\(#,##0.0000\);_(* &quot;-&quot;??_)"/>
    <numFmt numFmtId="182" formatCode="#,##0.000_-;\(#,##0.000\);_(* &quot;-&quot;??_)"/>
    <numFmt numFmtId="183" formatCode="0.0000"/>
    <numFmt numFmtId="184" formatCode="#,##0.0000_);\(#,##0.0000\)"/>
    <numFmt numFmtId="185" formatCode="_-* #,##0.00_-;\-* #,##0.00_-;_-* &quot;-&quot;??_-;_-@_-"/>
    <numFmt numFmtId="186" formatCode="_-* #,##0.000_-;\-* #,##0.000_-;_-* &quot;-&quot;??_-;_-@_-"/>
    <numFmt numFmtId="187" formatCode="_(&quot;$&quot;* #,##0_);_(&quot;$&quot;* \(#,##0\);_(&quot;$&quot;* &quot;-&quot;??_);_(@_)"/>
    <numFmt numFmtId="188" formatCode="0_)"/>
    <numFmt numFmtId="189" formatCode="#,##0.0_);\(#,##0.0\);\-"/>
    <numFmt numFmtId="190" formatCode="###0.0%;\(###0.0%\)\ "/>
    <numFmt numFmtId="191" formatCode="###0%;\(###0%\)\ "/>
    <numFmt numFmtId="192" formatCode="#,##0_-;\(#,##0\);_(* &quot;-&quot;??_)"/>
    <numFmt numFmtId="193" formatCode="#,##0.00000000_);\(#,##0.00000000\);\-"/>
    <numFmt numFmtId="194" formatCode="0.00_)"/>
    <numFmt numFmtId="195" formatCode="_(&quot;$&quot;* #,##0.000_);_(&quot;$&quot;* \(#,##0.000\);_(&quot;$&quot;* &quot;-&quot;??_);_(@_)"/>
    <numFmt numFmtId="196" formatCode="0.00_);\(0.00\)"/>
    <numFmt numFmtId="197" formatCode="#,##0.0000"/>
    <numFmt numFmtId="198" formatCode="0.0000%"/>
  </numFmts>
  <fonts count="14" x14ac:knownFonts="1">
    <font>
      <sz val="11"/>
      <color theme="1"/>
      <name val="Calibri"/>
      <family val="2"/>
      <scheme val="minor"/>
    </font>
    <font>
      <sz val="11"/>
      <color theme="1"/>
      <name val="Arial"/>
      <family val="2"/>
    </font>
    <font>
      <sz val="11"/>
      <color theme="1"/>
      <name val="Calibri"/>
      <family val="2"/>
      <scheme val="minor"/>
    </font>
    <font>
      <sz val="10"/>
      <name val="Times New Roman"/>
      <family val="1"/>
    </font>
    <font>
      <sz val="10"/>
      <name val="Arial"/>
      <family val="2"/>
    </font>
    <font>
      <u/>
      <sz val="10"/>
      <name val="Arial"/>
      <family val="2"/>
    </font>
    <font>
      <b/>
      <sz val="10"/>
      <name val="Arial"/>
      <family val="2"/>
    </font>
    <font>
      <vertAlign val="superscript"/>
      <sz val="10"/>
      <name val="Arial"/>
      <family val="2"/>
    </font>
    <font>
      <sz val="10"/>
      <color theme="1"/>
      <name val="Arial"/>
      <family val="2"/>
    </font>
    <font>
      <u/>
      <vertAlign val="superscript"/>
      <sz val="10"/>
      <name val="Arial"/>
      <family val="2"/>
    </font>
    <font>
      <u/>
      <sz val="10"/>
      <color theme="1"/>
      <name val="Arial"/>
      <family val="2"/>
    </font>
    <font>
      <sz val="12"/>
      <name val="Arial"/>
      <family val="2"/>
    </font>
    <font>
      <sz val="12"/>
      <color theme="1"/>
      <name val="Times New Roman"/>
      <family val="2"/>
    </font>
    <font>
      <sz val="10"/>
      <name val="Courier"/>
      <family val="3"/>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right/>
      <top/>
      <bottom style="double">
        <color indexed="64"/>
      </bottom>
      <diagonal/>
    </border>
    <border>
      <left/>
      <right/>
      <top/>
      <bottom style="thin">
        <color indexed="8"/>
      </bottom>
      <diagonal/>
    </border>
    <border>
      <left/>
      <right style="thin">
        <color indexed="64"/>
      </right>
      <top style="thin">
        <color indexed="64"/>
      </top>
      <bottom style="thin">
        <color indexed="64"/>
      </bottom>
      <diagonal/>
    </border>
  </borders>
  <cellStyleXfs count="27">
    <xf numFmtId="0" fontId="0" fillId="0" borderId="0"/>
    <xf numFmtId="9" fontId="2"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0" fontId="4"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3" fontId="4" fillId="0" borderId="0" applyFont="0" applyFill="0" applyBorder="0" applyAlignment="0" applyProtection="0"/>
    <xf numFmtId="9" fontId="4" fillId="0" borderId="0" applyFont="0" applyFill="0" applyBorder="0" applyAlignment="0" applyProtection="0"/>
    <xf numFmtId="37" fontId="11" fillId="0" borderId="0"/>
    <xf numFmtId="0" fontId="2" fillId="0" borderId="0"/>
    <xf numFmtId="185" fontId="12" fillId="0" borderId="0" applyFont="0" applyFill="0" applyBorder="0" applyAlignment="0" applyProtection="0"/>
    <xf numFmtId="37" fontId="11" fillId="0" borderId="0"/>
    <xf numFmtId="37" fontId="11" fillId="0" borderId="0"/>
    <xf numFmtId="43" fontId="2" fillId="0" borderId="0" applyFont="0" applyFill="0" applyBorder="0" applyAlignment="0" applyProtection="0"/>
    <xf numFmtId="0" fontId="12" fillId="0" borderId="0"/>
    <xf numFmtId="0" fontId="4" fillId="0" borderId="0"/>
    <xf numFmtId="185" fontId="1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44"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94" fontId="13" fillId="0" borderId="0"/>
  </cellStyleXfs>
  <cellXfs count="576">
    <xf numFmtId="0" fontId="0" fillId="0" borderId="0" xfId="0"/>
    <xf numFmtId="0" fontId="4" fillId="0" borderId="0" xfId="2" applyFont="1"/>
    <xf numFmtId="0" fontId="4" fillId="0" borderId="0" xfId="3" applyFont="1" applyAlignment="1">
      <alignment horizontal="centerContinuous"/>
    </xf>
    <xf numFmtId="0" fontId="4" fillId="0" borderId="0" xfId="2" applyFont="1" applyAlignment="1">
      <alignment horizontal="centerContinuous"/>
    </xf>
    <xf numFmtId="0" fontId="5" fillId="0" borderId="0" xfId="2" applyFont="1" applyAlignment="1">
      <alignment horizontal="centerContinuous"/>
    </xf>
    <xf numFmtId="0" fontId="5" fillId="0" borderId="0" xfId="2" applyFont="1"/>
    <xf numFmtId="0" fontId="4" fillId="0" borderId="0" xfId="3" applyFont="1" applyAlignment="1">
      <alignment horizontal="center"/>
    </xf>
    <xf numFmtId="0" fontId="6" fillId="0" borderId="0" xfId="3" applyFont="1" applyAlignment="1">
      <alignment horizontal="center"/>
    </xf>
    <xf numFmtId="0" fontId="4" fillId="0" borderId="0" xfId="2" applyFont="1" applyAlignment="1">
      <alignment horizontal="center"/>
    </xf>
    <xf numFmtId="0" fontId="4" fillId="0" borderId="0" xfId="3" applyFont="1"/>
    <xf numFmtId="0" fontId="4" fillId="0" borderId="1" xfId="3" applyFont="1" applyBorder="1"/>
    <xf numFmtId="0" fontId="4" fillId="0" borderId="0" xfId="3" quotePrefix="1" applyFont="1" applyAlignment="1">
      <alignment horizontal="center"/>
    </xf>
    <xf numFmtId="164" fontId="4" fillId="0" borderId="0" xfId="4" applyNumberFormat="1" applyFont="1" applyFill="1" applyBorder="1"/>
    <xf numFmtId="164" fontId="6" fillId="0" borderId="0" xfId="4" applyNumberFormat="1" applyFont="1" applyFill="1" applyBorder="1"/>
    <xf numFmtId="0" fontId="4" fillId="0" borderId="0" xfId="2" applyFont="1" applyAlignment="1">
      <alignment horizontal="left" indent="1"/>
    </xf>
    <xf numFmtId="165" fontId="4" fillId="0" borderId="0" xfId="3" applyNumberFormat="1" applyFont="1" applyAlignment="1">
      <alignment horizontal="center"/>
    </xf>
    <xf numFmtId="165" fontId="4" fillId="0" borderId="0" xfId="4" applyNumberFormat="1" applyFont="1" applyFill="1" applyBorder="1" applyAlignment="1">
      <alignment horizontal="center"/>
    </xf>
    <xf numFmtId="165" fontId="6" fillId="0" borderId="0" xfId="3" applyNumberFormat="1" applyFont="1" applyAlignment="1">
      <alignment horizontal="center"/>
    </xf>
    <xf numFmtId="166" fontId="4" fillId="0" borderId="0" xfId="3" applyNumberFormat="1" applyFont="1" applyAlignment="1">
      <alignment horizontal="center"/>
    </xf>
    <xf numFmtId="0" fontId="4" fillId="0" borderId="0" xfId="3" applyFont="1" applyAlignment="1">
      <alignment horizontal="left" indent="1"/>
    </xf>
    <xf numFmtId="0" fontId="4" fillId="0" borderId="0" xfId="2" applyFont="1" applyAlignment="1">
      <alignment horizontal="left"/>
    </xf>
    <xf numFmtId="0" fontId="4" fillId="0" borderId="0" xfId="3" applyFont="1" applyAlignment="1">
      <alignment horizontal="left"/>
    </xf>
    <xf numFmtId="0" fontId="5" fillId="0" borderId="0" xfId="5" applyFont="1"/>
    <xf numFmtId="0" fontId="4" fillId="0" borderId="0" xfId="5" quotePrefix="1" applyFont="1" applyAlignment="1">
      <alignment horizontal="center" vertical="top"/>
    </xf>
    <xf numFmtId="0" fontId="4" fillId="0" borderId="0" xfId="3" applyFont="1" applyAlignment="1">
      <alignment horizontal="center" wrapText="1"/>
    </xf>
    <xf numFmtId="0" fontId="4" fillId="0" borderId="1" xfId="3" applyFont="1" applyBorder="1" applyAlignment="1">
      <alignment horizontal="centerContinuous"/>
    </xf>
    <xf numFmtId="0" fontId="4" fillId="0" borderId="0" xfId="2" applyFont="1" applyFill="1" applyAlignment="1">
      <alignment horizontal="left" indent="1"/>
    </xf>
    <xf numFmtId="0" fontId="4" fillId="0" borderId="0" xfId="2" applyFont="1" applyFill="1" applyAlignment="1">
      <alignment horizontal="left" indent="2"/>
    </xf>
    <xf numFmtId="0" fontId="4" fillId="0" borderId="0" xfId="2" applyFont="1" applyFill="1"/>
    <xf numFmtId="0" fontId="4" fillId="0" borderId="0" xfId="2" applyFont="1" applyFill="1" applyBorder="1"/>
    <xf numFmtId="0" fontId="4" fillId="0" borderId="0" xfId="3" applyFont="1" applyFill="1" applyBorder="1"/>
    <xf numFmtId="0" fontId="5" fillId="0" borderId="0" xfId="2" applyFont="1" applyFill="1"/>
    <xf numFmtId="0" fontId="4" fillId="0" borderId="0" xfId="3" applyFont="1" applyFill="1" applyBorder="1" applyAlignment="1">
      <alignment horizontal="left"/>
    </xf>
    <xf numFmtId="0" fontId="4" fillId="0" borderId="0" xfId="3" applyFont="1" applyFill="1"/>
    <xf numFmtId="165" fontId="4" fillId="0" borderId="0" xfId="2" applyNumberFormat="1" applyFont="1"/>
    <xf numFmtId="0" fontId="4" fillId="0" borderId="0" xfId="2" applyFont="1" applyFill="1" applyAlignment="1">
      <alignment horizontal="left"/>
    </xf>
    <xf numFmtId="0" fontId="5" fillId="0" borderId="0" xfId="2" applyFont="1" applyFill="1" applyAlignment="1">
      <alignment horizontal="left"/>
    </xf>
    <xf numFmtId="0" fontId="4" fillId="0" borderId="1" xfId="3" applyFont="1" applyBorder="1" applyAlignment="1">
      <alignment horizontal="center" wrapText="1"/>
    </xf>
    <xf numFmtId="0" fontId="4" fillId="0" borderId="0" xfId="2" applyFont="1" applyAlignment="1">
      <alignment horizontal="left" indent="2"/>
    </xf>
    <xf numFmtId="0" fontId="4" fillId="0" borderId="0" xfId="2" applyFont="1" applyAlignment="1">
      <alignment horizontal="left" indent="3"/>
    </xf>
    <xf numFmtId="0" fontId="5" fillId="0" borderId="0" xfId="3" applyFont="1"/>
    <xf numFmtId="0" fontId="8" fillId="0" borderId="0" xfId="0" applyFont="1" applyAlignment="1">
      <alignment horizontal="center"/>
    </xf>
    <xf numFmtId="0" fontId="8" fillId="0" borderId="0" xfId="0" applyFont="1" applyAlignment="1">
      <alignment horizontal="left" indent="2"/>
    </xf>
    <xf numFmtId="167" fontId="4" fillId="0" borderId="0" xfId="4" applyNumberFormat="1" applyFont="1" applyFill="1" applyBorder="1" applyAlignment="1">
      <alignment horizontal="center"/>
    </xf>
    <xf numFmtId="0" fontId="8" fillId="0" borderId="0" xfId="0" applyFont="1" applyAlignment="1">
      <alignment horizontal="left" indent="1"/>
    </xf>
    <xf numFmtId="0" fontId="4" fillId="0" borderId="0" xfId="2" applyFont="1" applyFill="1" applyAlignment="1">
      <alignment horizontal="center" wrapText="1"/>
    </xf>
    <xf numFmtId="0" fontId="8" fillId="0" borderId="0" xfId="0" applyFont="1"/>
    <xf numFmtId="0" fontId="10" fillId="0" borderId="0" xfId="0" applyFont="1" applyAlignment="1">
      <alignment horizontal="centerContinuous"/>
    </xf>
    <xf numFmtId="0" fontId="8" fillId="0" borderId="1" xfId="0" applyFont="1" applyBorder="1" applyAlignment="1">
      <alignment horizontal="center" wrapText="1"/>
    </xf>
    <xf numFmtId="0" fontId="10" fillId="0" borderId="0" xfId="0" applyFont="1"/>
    <xf numFmtId="0" fontId="8" fillId="0" borderId="0" xfId="0" quotePrefix="1" applyFont="1" applyAlignment="1">
      <alignment horizontal="center"/>
    </xf>
    <xf numFmtId="0" fontId="8" fillId="0" borderId="0" xfId="0" applyFont="1" applyAlignment="1">
      <alignment horizontal="left"/>
    </xf>
    <xf numFmtId="164" fontId="8" fillId="0" borderId="0" xfId="7" applyNumberFormat="1" applyFont="1" applyFill="1"/>
    <xf numFmtId="0" fontId="10" fillId="0" borderId="0" xfId="0" applyFont="1" applyAlignment="1">
      <alignment horizontal="left"/>
    </xf>
    <xf numFmtId="37" fontId="5" fillId="0" borderId="0" xfId="11" applyFont="1"/>
    <xf numFmtId="37" fontId="4" fillId="0" borderId="0" xfId="11" applyFont="1"/>
    <xf numFmtId="37" fontId="4" fillId="0" borderId="0" xfId="11" applyFont="1" applyAlignment="1">
      <alignment horizontal="left" indent="1"/>
    </xf>
    <xf numFmtId="37" fontId="4" fillId="0" borderId="0" xfId="11" applyFont="1" applyAlignment="1">
      <alignment horizontal="left" indent="2"/>
    </xf>
    <xf numFmtId="0" fontId="4" fillId="0" borderId="0" xfId="2" quotePrefix="1" applyFont="1" applyAlignment="1">
      <alignment horizontal="left" indent="4"/>
    </xf>
    <xf numFmtId="37" fontId="4" fillId="0" borderId="0" xfId="11" applyFont="1" applyAlignment="1">
      <alignment horizontal="left" indent="3"/>
    </xf>
    <xf numFmtId="0" fontId="4" fillId="0" borderId="0" xfId="3" applyFont="1" applyFill="1" applyBorder="1" applyAlignment="1">
      <alignment horizontal="center"/>
    </xf>
    <xf numFmtId="0" fontId="4" fillId="0" borderId="0" xfId="2" applyFont="1" applyFill="1" applyBorder="1" applyAlignment="1">
      <alignment horizontal="left" indent="1"/>
    </xf>
    <xf numFmtId="0" fontId="4" fillId="0" borderId="0" xfId="2" applyFont="1" applyFill="1" applyBorder="1" applyAlignment="1">
      <alignment horizontal="center"/>
    </xf>
    <xf numFmtId="0" fontId="4" fillId="0" borderId="0" xfId="2" applyFont="1" applyFill="1" applyAlignment="1">
      <alignment horizontal="center"/>
    </xf>
    <xf numFmtId="0" fontId="4" fillId="0" borderId="0" xfId="3" applyFont="1" applyFill="1" applyAlignment="1">
      <alignment horizontal="center"/>
    </xf>
    <xf numFmtId="37" fontId="4" fillId="0" borderId="0" xfId="11" applyFont="1" applyAlignment="1">
      <alignment horizontal="center"/>
    </xf>
    <xf numFmtId="0" fontId="4" fillId="0" borderId="0" xfId="0" applyFont="1"/>
    <xf numFmtId="0" fontId="4" fillId="0" borderId="0" xfId="0" applyFont="1" applyAlignment="1" applyProtection="1">
      <alignment horizontal="center"/>
      <protection locked="0"/>
    </xf>
    <xf numFmtId="0" fontId="8" fillId="0" borderId="0" xfId="0" applyFont="1" applyAlignment="1">
      <alignment horizontal="centerContinuous"/>
    </xf>
    <xf numFmtId="0" fontId="4" fillId="0" borderId="0" xfId="0" quotePrefix="1" applyFont="1" applyAlignment="1" applyProtection="1">
      <alignment horizontal="center"/>
      <protection locked="0"/>
    </xf>
    <xf numFmtId="0" fontId="4" fillId="0" borderId="1" xfId="0" applyFont="1" applyBorder="1" applyAlignment="1" applyProtection="1">
      <alignment horizontal="center"/>
      <protection locked="0"/>
    </xf>
    <xf numFmtId="0" fontId="4" fillId="0" borderId="0" xfId="0" applyFont="1" applyProtection="1">
      <protection locked="0"/>
    </xf>
    <xf numFmtId="0" fontId="4" fillId="0" borderId="0" xfId="0" quotePrefix="1" applyFont="1" applyFill="1" applyBorder="1" applyAlignment="1" applyProtection="1">
      <alignment horizontal="center"/>
      <protection locked="0"/>
    </xf>
    <xf numFmtId="0" fontId="4" fillId="0" borderId="1" xfId="0" applyFont="1" applyBorder="1" applyAlignment="1" applyProtection="1">
      <alignment horizontal="left"/>
      <protection locked="0"/>
    </xf>
    <xf numFmtId="183" fontId="4" fillId="0" borderId="0" xfId="2" applyNumberFormat="1" applyFont="1" applyAlignment="1">
      <alignment horizontal="center"/>
    </xf>
    <xf numFmtId="0" fontId="4" fillId="0" borderId="1" xfId="0" applyFont="1" applyBorder="1"/>
    <xf numFmtId="0" fontId="5" fillId="0" borderId="0" xfId="0" applyFont="1"/>
    <xf numFmtId="0" fontId="4" fillId="0" borderId="0" xfId="0" quotePrefix="1" applyFont="1" applyAlignment="1">
      <alignment horizontal="center"/>
    </xf>
    <xf numFmtId="173" fontId="4" fillId="0" borderId="0" xfId="13" applyNumberFormat="1" applyFont="1" applyFill="1"/>
    <xf numFmtId="173" fontId="6" fillId="0" borderId="0" xfId="13" applyNumberFormat="1" applyFont="1" applyFill="1"/>
    <xf numFmtId="173" fontId="4" fillId="0" borderId="1" xfId="13" applyNumberFormat="1" applyFont="1" applyFill="1" applyBorder="1"/>
    <xf numFmtId="9" fontId="4" fillId="0" borderId="0" xfId="1" applyFont="1"/>
    <xf numFmtId="173" fontId="4" fillId="0" borderId="0" xfId="0" applyNumberFormat="1" applyFont="1"/>
    <xf numFmtId="186" fontId="4" fillId="0" borderId="2" xfId="13" applyNumberFormat="1" applyFont="1" applyFill="1" applyBorder="1"/>
    <xf numFmtId="173" fontId="4" fillId="0" borderId="0" xfId="13" applyNumberFormat="1" applyFont="1" applyFill="1" applyBorder="1"/>
    <xf numFmtId="173" fontId="4" fillId="0" borderId="1" xfId="0" applyNumberFormat="1" applyFont="1" applyBorder="1"/>
    <xf numFmtId="0" fontId="4" fillId="0" borderId="0" xfId="0" applyFont="1" applyAlignment="1">
      <alignment horizontal="center" vertical="top"/>
    </xf>
    <xf numFmtId="0" fontId="4" fillId="0" borderId="0" xfId="0" applyFont="1" applyAlignment="1">
      <alignment wrapText="1"/>
    </xf>
    <xf numFmtId="186" fontId="4" fillId="0" borderId="3" xfId="13" applyNumberFormat="1" applyFont="1" applyFill="1" applyBorder="1"/>
    <xf numFmtId="186" fontId="4" fillId="0" borderId="0" xfId="13" applyNumberFormat="1" applyFont="1" applyFill="1" applyBorder="1"/>
    <xf numFmtId="185" fontId="4" fillId="0" borderId="0" xfId="0" applyNumberFormat="1" applyFont="1"/>
    <xf numFmtId="174" fontId="4" fillId="0" borderId="0" xfId="1" applyNumberFormat="1" applyFont="1" applyFill="1"/>
    <xf numFmtId="174" fontId="4" fillId="0" borderId="0" xfId="1" applyNumberFormat="1" applyFont="1" applyFill="1" applyBorder="1"/>
    <xf numFmtId="186" fontId="4" fillId="0" borderId="0" xfId="13" applyNumberFormat="1" applyFont="1" applyFill="1"/>
    <xf numFmtId="173" fontId="4" fillId="0" borderId="0" xfId="7" applyNumberFormat="1" applyFont="1" applyFill="1"/>
    <xf numFmtId="186" fontId="4" fillId="0" borderId="0" xfId="0" applyNumberFormat="1" applyFont="1"/>
    <xf numFmtId="0" fontId="4" fillId="0" borderId="0" xfId="0" applyFont="1" applyAlignment="1">
      <alignment horizontal="left" indent="1"/>
    </xf>
    <xf numFmtId="186" fontId="4" fillId="0" borderId="5" xfId="0" applyNumberFormat="1" applyFont="1" applyBorder="1"/>
    <xf numFmtId="37" fontId="4" fillId="0" borderId="0" xfId="14" applyFont="1" applyAlignment="1">
      <alignment horizontal="center"/>
    </xf>
    <xf numFmtId="37" fontId="4" fillId="0" borderId="0" xfId="14" applyFont="1"/>
    <xf numFmtId="37" fontId="4" fillId="0" borderId="6" xfId="14" applyFont="1" applyBorder="1" applyAlignment="1">
      <alignment horizontal="center"/>
    </xf>
    <xf numFmtId="37" fontId="4" fillId="0" borderId="6" xfId="14" applyFont="1" applyBorder="1"/>
    <xf numFmtId="37" fontId="5" fillId="0" borderId="0" xfId="14" applyFont="1"/>
    <xf numFmtId="188" fontId="4" fillId="0" borderId="0" xfId="14" applyNumberFormat="1" applyFont="1" applyAlignment="1">
      <alignment horizontal="center"/>
    </xf>
    <xf numFmtId="37" fontId="4" fillId="0" borderId="0" xfId="15" applyFont="1"/>
    <xf numFmtId="164" fontId="4" fillId="0" borderId="0" xfId="16" applyNumberFormat="1" applyFont="1"/>
    <xf numFmtId="164" fontId="4" fillId="0" borderId="0" xfId="16" applyNumberFormat="1" applyFont="1" applyFill="1" applyAlignment="1">
      <alignment horizontal="center"/>
    </xf>
    <xf numFmtId="188" fontId="4" fillId="0" borderId="0" xfId="0" applyNumberFormat="1" applyFont="1" applyAlignment="1">
      <alignment horizontal="center"/>
    </xf>
    <xf numFmtId="164" fontId="4" fillId="0" borderId="1" xfId="16" applyNumberFormat="1" applyFont="1" applyFill="1" applyBorder="1" applyAlignment="1">
      <alignment horizontal="center"/>
    </xf>
    <xf numFmtId="188" fontId="4" fillId="0" borderId="0" xfId="17" applyNumberFormat="1" applyFont="1" applyAlignment="1">
      <alignment horizontal="center"/>
    </xf>
    <xf numFmtId="164" fontId="4" fillId="0" borderId="0" xfId="16" applyNumberFormat="1" applyFont="1" applyFill="1"/>
    <xf numFmtId="177" fontId="4" fillId="0" borderId="0" xfId="16" applyNumberFormat="1" applyFont="1"/>
    <xf numFmtId="164" fontId="4" fillId="0" borderId="5" xfId="16" applyNumberFormat="1" applyFont="1" applyBorder="1" applyAlignment="1">
      <alignment horizontal="center"/>
    </xf>
    <xf numFmtId="164" fontId="4" fillId="0" borderId="0" xfId="16" applyNumberFormat="1" applyFont="1" applyAlignment="1">
      <alignment horizontal="center"/>
    </xf>
    <xf numFmtId="177" fontId="4" fillId="0" borderId="0" xfId="16" applyNumberFormat="1" applyFont="1" applyAlignment="1">
      <alignment horizontal="center"/>
    </xf>
    <xf numFmtId="177" fontId="4" fillId="0" borderId="0" xfId="16" applyNumberFormat="1" applyFont="1" applyFill="1" applyAlignment="1">
      <alignment horizontal="center"/>
    </xf>
    <xf numFmtId="0" fontId="4" fillId="0" borderId="0" xfId="17" applyFont="1"/>
    <xf numFmtId="177" fontId="4" fillId="0" borderId="0" xfId="16" applyNumberFormat="1" applyFont="1" applyFill="1"/>
    <xf numFmtId="164" fontId="4" fillId="0" borderId="3" xfId="16" applyNumberFormat="1" applyFont="1" applyFill="1" applyBorder="1" applyAlignment="1">
      <alignment horizontal="center"/>
    </xf>
    <xf numFmtId="164" fontId="4" fillId="0" borderId="0" xfId="16" applyNumberFormat="1" applyFont="1" applyFill="1" applyBorder="1" applyAlignment="1">
      <alignment horizontal="center"/>
    </xf>
    <xf numFmtId="168" fontId="4" fillId="0" borderId="0" xfId="1" applyNumberFormat="1" applyFont="1" applyFill="1" applyAlignment="1">
      <alignment horizontal="right"/>
    </xf>
    <xf numFmtId="165" fontId="4" fillId="0" borderId="0" xfId="3" applyNumberFormat="1" applyFont="1" applyAlignment="1">
      <alignment horizontal="right"/>
    </xf>
    <xf numFmtId="165" fontId="4" fillId="0" borderId="0" xfId="4" applyNumberFormat="1" applyFont="1" applyFill="1" applyBorder="1" applyAlignment="1">
      <alignment horizontal="right"/>
    </xf>
    <xf numFmtId="165" fontId="4" fillId="0" borderId="0" xfId="2" applyNumberFormat="1" applyFont="1" applyAlignment="1">
      <alignment horizontal="right"/>
    </xf>
    <xf numFmtId="166" fontId="4" fillId="0" borderId="0" xfId="4" applyNumberFormat="1" applyFont="1" applyFill="1" applyBorder="1" applyAlignment="1">
      <alignment horizontal="right"/>
    </xf>
    <xf numFmtId="0" fontId="4" fillId="0" borderId="0" xfId="2" applyFont="1" applyAlignment="1">
      <alignment horizontal="right"/>
    </xf>
    <xf numFmtId="165" fontId="6" fillId="0" borderId="0" xfId="3" applyNumberFormat="1" applyFont="1" applyAlignment="1">
      <alignment horizontal="right"/>
    </xf>
    <xf numFmtId="165" fontId="4" fillId="0" borderId="2" xfId="3" applyNumberFormat="1" applyFont="1" applyBorder="1" applyAlignment="1">
      <alignment horizontal="right"/>
    </xf>
    <xf numFmtId="166" fontId="4" fillId="0" borderId="2" xfId="3" applyNumberFormat="1" applyFont="1" applyBorder="1" applyAlignment="1">
      <alignment horizontal="right"/>
    </xf>
    <xf numFmtId="166" fontId="4" fillId="0" borderId="0" xfId="3" applyNumberFormat="1" applyFont="1" applyAlignment="1">
      <alignment horizontal="right"/>
    </xf>
    <xf numFmtId="189" fontId="4" fillId="0" borderId="2" xfId="3" applyNumberFormat="1" applyFont="1" applyBorder="1" applyAlignment="1">
      <alignment horizontal="right"/>
    </xf>
    <xf numFmtId="165" fontId="4" fillId="0" borderId="3" xfId="3" applyNumberFormat="1" applyFont="1" applyBorder="1" applyAlignment="1">
      <alignment horizontal="right"/>
    </xf>
    <xf numFmtId="166" fontId="4" fillId="0" borderId="3" xfId="3" applyNumberFormat="1" applyFont="1" applyBorder="1" applyAlignment="1">
      <alignment horizontal="right"/>
    </xf>
    <xf numFmtId="190" fontId="4" fillId="0" borderId="0" xfId="1" applyNumberFormat="1" applyFont="1" applyFill="1" applyBorder="1" applyAlignment="1">
      <alignment horizontal="right"/>
    </xf>
    <xf numFmtId="190" fontId="6" fillId="0" borderId="0" xfId="3" applyNumberFormat="1" applyFont="1" applyAlignment="1">
      <alignment horizontal="right"/>
    </xf>
    <xf numFmtId="190" fontId="4" fillId="0" borderId="0" xfId="3" applyNumberFormat="1" applyFont="1" applyAlignment="1">
      <alignment horizontal="right"/>
    </xf>
    <xf numFmtId="190" fontId="4" fillId="0" borderId="3" xfId="1" applyNumberFormat="1" applyFont="1" applyFill="1" applyBorder="1" applyAlignment="1">
      <alignment horizontal="right"/>
    </xf>
    <xf numFmtId="0" fontId="4" fillId="0" borderId="0" xfId="3" applyFont="1" applyAlignment="1">
      <alignment horizontal="right"/>
    </xf>
    <xf numFmtId="168" fontId="4" fillId="0" borderId="0" xfId="1" applyNumberFormat="1" applyFont="1" applyFill="1" applyBorder="1" applyAlignment="1">
      <alignment horizontal="right"/>
    </xf>
    <xf numFmtId="167" fontId="4" fillId="0" borderId="2" xfId="4" applyNumberFormat="1" applyFont="1" applyFill="1" applyBorder="1" applyAlignment="1">
      <alignment horizontal="right"/>
    </xf>
    <xf numFmtId="167" fontId="4" fillId="0" borderId="3" xfId="4" applyNumberFormat="1" applyFont="1" applyFill="1" applyBorder="1" applyAlignment="1">
      <alignment horizontal="right"/>
    </xf>
    <xf numFmtId="165" fontId="4" fillId="0" borderId="0" xfId="3" applyNumberFormat="1" applyFont="1" applyBorder="1" applyAlignment="1">
      <alignment horizontal="right"/>
    </xf>
    <xf numFmtId="166" fontId="4" fillId="0" borderId="0" xfId="3" applyNumberFormat="1" applyFont="1" applyBorder="1" applyAlignment="1">
      <alignment horizontal="right"/>
    </xf>
    <xf numFmtId="0" fontId="6" fillId="0" borderId="0" xfId="3" applyFont="1" applyAlignment="1">
      <alignment horizontal="right"/>
    </xf>
    <xf numFmtId="164" fontId="6" fillId="0" borderId="0" xfId="4" applyNumberFormat="1" applyFont="1" applyFill="1" applyBorder="1" applyAlignment="1">
      <alignment horizontal="right"/>
    </xf>
    <xf numFmtId="164" fontId="4" fillId="0" borderId="0" xfId="4" applyNumberFormat="1" applyFont="1" applyFill="1" applyBorder="1" applyAlignment="1">
      <alignment horizontal="right"/>
    </xf>
    <xf numFmtId="165" fontId="4" fillId="0" borderId="2" xfId="3" applyNumberFormat="1" applyFont="1" applyFill="1" applyBorder="1" applyAlignment="1">
      <alignment horizontal="right"/>
    </xf>
    <xf numFmtId="167" fontId="4" fillId="0" borderId="0" xfId="4" applyNumberFormat="1" applyFont="1" applyFill="1" applyBorder="1" applyAlignment="1">
      <alignment horizontal="right"/>
    </xf>
    <xf numFmtId="0" fontId="4" fillId="0" borderId="0" xfId="2" applyFont="1" applyFill="1" applyAlignment="1">
      <alignment horizontal="right"/>
    </xf>
    <xf numFmtId="171" fontId="4" fillId="0" borderId="2" xfId="4" applyNumberFormat="1" applyFont="1" applyFill="1" applyBorder="1" applyAlignment="1">
      <alignment horizontal="right"/>
    </xf>
    <xf numFmtId="171" fontId="4" fillId="0" borderId="0" xfId="2" applyNumberFormat="1" applyFont="1" applyFill="1" applyAlignment="1">
      <alignment horizontal="right"/>
    </xf>
    <xf numFmtId="0" fontId="4" fillId="0" borderId="0" xfId="2" applyFont="1" applyFill="1" applyBorder="1" applyAlignment="1">
      <alignment horizontal="right"/>
    </xf>
    <xf numFmtId="0" fontId="4" fillId="0" borderId="0" xfId="2" applyFont="1" applyFill="1" applyBorder="1" applyAlignment="1">
      <alignment horizontal="right" wrapText="1"/>
    </xf>
    <xf numFmtId="0" fontId="4" fillId="0" borderId="0" xfId="3" applyFont="1" applyFill="1" applyBorder="1" applyAlignment="1">
      <alignment horizontal="right"/>
    </xf>
    <xf numFmtId="0" fontId="4" fillId="0" borderId="0" xfId="3" applyFont="1" applyFill="1" applyAlignment="1">
      <alignment horizontal="center" wrapText="1"/>
    </xf>
    <xf numFmtId="190" fontId="4" fillId="0" borderId="0" xfId="2" applyNumberFormat="1" applyFont="1" applyFill="1" applyAlignment="1">
      <alignment horizontal="right"/>
    </xf>
    <xf numFmtId="0" fontId="4" fillId="0" borderId="0" xfId="2" applyFont="1" applyFill="1" applyAlignment="1">
      <alignment horizontal="left" wrapText="1" indent="1"/>
    </xf>
    <xf numFmtId="0" fontId="4" fillId="0" borderId="0" xfId="0" applyFont="1" applyFill="1" applyAlignment="1">
      <alignment horizontal="left"/>
    </xf>
    <xf numFmtId="171" fontId="4" fillId="0" borderId="0" xfId="4" applyNumberFormat="1" applyFont="1" applyFill="1" applyBorder="1" applyAlignment="1">
      <alignment horizontal="right"/>
    </xf>
    <xf numFmtId="165" fontId="4" fillId="0" borderId="3" xfId="3" applyNumberFormat="1" applyFont="1" applyFill="1" applyBorder="1" applyAlignment="1">
      <alignment horizontal="right"/>
    </xf>
    <xf numFmtId="9" fontId="4" fillId="0" borderId="0" xfId="1" applyFont="1" applyFill="1" applyBorder="1" applyAlignment="1">
      <alignment horizontal="right"/>
    </xf>
    <xf numFmtId="9" fontId="6" fillId="0" borderId="0" xfId="1" applyFont="1" applyAlignment="1">
      <alignment horizontal="right"/>
    </xf>
    <xf numFmtId="9" fontId="4" fillId="0" borderId="2" xfId="1" applyFont="1" applyFill="1" applyBorder="1" applyAlignment="1">
      <alignment horizontal="right"/>
    </xf>
    <xf numFmtId="9" fontId="4" fillId="0" borderId="0" xfId="1" applyFont="1" applyAlignment="1">
      <alignment horizontal="right"/>
    </xf>
    <xf numFmtId="9" fontId="4" fillId="0" borderId="3" xfId="1" applyFont="1" applyFill="1" applyBorder="1" applyAlignment="1">
      <alignment horizontal="right"/>
    </xf>
    <xf numFmtId="0" fontId="5" fillId="0" borderId="0" xfId="3" applyFont="1" applyAlignment="1">
      <alignment horizontal="centerContinuous"/>
    </xf>
    <xf numFmtId="0" fontId="5" fillId="0" borderId="0" xfId="2" applyFont="1" applyFill="1" applyAlignment="1">
      <alignment horizontal="centerContinuous"/>
    </xf>
    <xf numFmtId="0" fontId="4" fillId="0" borderId="0" xfId="5" quotePrefix="1" applyFont="1" applyFill="1" applyAlignment="1">
      <alignment horizontal="center" vertical="top"/>
    </xf>
    <xf numFmtId="0" fontId="4" fillId="0" borderId="0" xfId="3" applyFont="1" applyFill="1" applyAlignment="1">
      <alignment horizontal="centerContinuous"/>
    </xf>
    <xf numFmtId="0" fontId="4" fillId="0" borderId="0" xfId="2" applyFont="1" applyFill="1" applyAlignment="1">
      <alignment horizontal="centerContinuous"/>
    </xf>
    <xf numFmtId="0" fontId="4" fillId="0" borderId="0" xfId="3" applyFont="1" applyFill="1" applyAlignment="1">
      <alignment horizontal="left"/>
    </xf>
    <xf numFmtId="0" fontId="5" fillId="0" borderId="0" xfId="5" applyFont="1" applyFill="1"/>
    <xf numFmtId="166" fontId="4" fillId="0" borderId="0" xfId="3" applyNumberFormat="1" applyFont="1" applyFill="1" applyBorder="1" applyAlignment="1">
      <alignment horizontal="right"/>
    </xf>
    <xf numFmtId="0" fontId="4" fillId="0" borderId="1" xfId="3" applyFont="1" applyFill="1" applyBorder="1" applyAlignment="1">
      <alignment horizontal="centerContinuous"/>
    </xf>
    <xf numFmtId="0" fontId="4" fillId="0" borderId="1" xfId="2" applyFont="1" applyFill="1" applyBorder="1" applyAlignment="1">
      <alignment horizontal="centerContinuous"/>
    </xf>
    <xf numFmtId="0" fontId="4" fillId="0" borderId="0" xfId="3" quotePrefix="1" applyFont="1" applyFill="1" applyAlignment="1">
      <alignment horizontal="center"/>
    </xf>
    <xf numFmtId="165" fontId="4" fillId="0" borderId="1" xfId="4" applyNumberFormat="1" applyFont="1" applyFill="1" applyBorder="1" applyAlignment="1">
      <alignment horizontal="right"/>
    </xf>
    <xf numFmtId="191" fontId="4" fillId="0" borderId="2" xfId="1" applyNumberFormat="1" applyFont="1" applyFill="1" applyBorder="1" applyAlignment="1">
      <alignment horizontal="right"/>
    </xf>
    <xf numFmtId="191" fontId="4" fillId="0" borderId="0" xfId="1" applyNumberFormat="1" applyFont="1" applyFill="1" applyBorder="1" applyAlignment="1">
      <alignment horizontal="right"/>
    </xf>
    <xf numFmtId="191" fontId="4" fillId="0" borderId="3" xfId="1" applyNumberFormat="1" applyFont="1" applyFill="1" applyBorder="1" applyAlignment="1">
      <alignment horizontal="right"/>
    </xf>
    <xf numFmtId="191" fontId="4" fillId="0" borderId="0" xfId="2" applyNumberFormat="1" applyFont="1" applyFill="1" applyAlignment="1">
      <alignment horizontal="right"/>
    </xf>
    <xf numFmtId="37" fontId="4" fillId="0" borderId="0" xfId="15" applyFont="1" applyAlignment="1">
      <alignment horizontal="left" indent="1"/>
    </xf>
    <xf numFmtId="177" fontId="4" fillId="0" borderId="0" xfId="7" applyNumberFormat="1" applyFont="1" applyFill="1" applyBorder="1"/>
    <xf numFmtId="174" fontId="4" fillId="0" borderId="0" xfId="1" applyNumberFormat="1" applyFont="1" applyFill="1" applyAlignment="1">
      <alignment horizontal="right"/>
    </xf>
    <xf numFmtId="0" fontId="4" fillId="0" borderId="0" xfId="2" quotePrefix="1" applyFont="1"/>
    <xf numFmtId="0" fontId="4" fillId="0" borderId="1" xfId="3" applyFont="1" applyFill="1" applyBorder="1"/>
    <xf numFmtId="0" fontId="6" fillId="0" borderId="0" xfId="3" applyFont="1" applyFill="1" applyAlignment="1">
      <alignment horizontal="center"/>
    </xf>
    <xf numFmtId="165" fontId="4" fillId="0" borderId="0" xfId="2" applyNumberFormat="1" applyFont="1" applyFill="1" applyAlignment="1">
      <alignment horizontal="center"/>
    </xf>
    <xf numFmtId="165" fontId="4" fillId="0" borderId="0" xfId="3" applyNumberFormat="1" applyFont="1" applyFill="1" applyAlignment="1">
      <alignment horizontal="center"/>
    </xf>
    <xf numFmtId="165" fontId="6" fillId="0" borderId="0" xfId="3" applyNumberFormat="1" applyFont="1" applyFill="1" applyAlignment="1">
      <alignment horizontal="center"/>
    </xf>
    <xf numFmtId="0" fontId="4" fillId="0" borderId="0" xfId="3" applyFont="1" applyFill="1" applyAlignment="1">
      <alignment horizontal="left" indent="1"/>
    </xf>
    <xf numFmtId="165" fontId="6" fillId="0" borderId="0" xfId="3" applyNumberFormat="1" applyFont="1" applyFill="1" applyBorder="1" applyAlignment="1">
      <alignment horizontal="center"/>
    </xf>
    <xf numFmtId="165" fontId="4" fillId="0" borderId="0" xfId="3" applyNumberFormat="1" applyFont="1" applyFill="1" applyBorder="1" applyAlignment="1">
      <alignment horizontal="center"/>
    </xf>
    <xf numFmtId="0" fontId="4" fillId="0" borderId="0" xfId="2" applyFont="1" applyFill="1" applyBorder="1" applyAlignment="1">
      <alignment horizontal="left"/>
    </xf>
    <xf numFmtId="0" fontId="5" fillId="0" borderId="0" xfId="3" applyFont="1" applyFill="1" applyAlignment="1">
      <alignment horizontal="centerContinuous"/>
    </xf>
    <xf numFmtId="164" fontId="4" fillId="0" borderId="2" xfId="3" applyNumberFormat="1" applyFont="1" applyFill="1" applyBorder="1" applyAlignment="1">
      <alignment horizontal="center"/>
    </xf>
    <xf numFmtId="164" fontId="4" fillId="0" borderId="5" xfId="3" applyNumberFormat="1" applyFont="1" applyFill="1" applyBorder="1" applyAlignment="1">
      <alignment horizontal="center"/>
    </xf>
    <xf numFmtId="0" fontId="4" fillId="0" borderId="0" xfId="5" quotePrefix="1" applyFont="1" applyFill="1" applyAlignment="1">
      <alignment horizontal="left" vertical="top"/>
    </xf>
    <xf numFmtId="180" fontId="4" fillId="0" borderId="0" xfId="4" applyNumberFormat="1" applyFont="1" applyFill="1" applyBorder="1" applyAlignment="1">
      <alignment horizontal="right"/>
    </xf>
    <xf numFmtId="171" fontId="4" fillId="0" borderId="3" xfId="4" applyNumberFormat="1" applyFont="1" applyFill="1" applyBorder="1" applyAlignment="1">
      <alignment horizontal="right"/>
    </xf>
    <xf numFmtId="166" fontId="4" fillId="0" borderId="3" xfId="4" applyNumberFormat="1" applyFont="1" applyFill="1" applyBorder="1" applyAlignment="1">
      <alignment horizontal="right"/>
    </xf>
    <xf numFmtId="9" fontId="4" fillId="0" borderId="0" xfId="1" applyNumberFormat="1" applyFont="1" applyFill="1" applyBorder="1" applyAlignment="1">
      <alignment horizontal="right"/>
    </xf>
    <xf numFmtId="9" fontId="6" fillId="0" borderId="0" xfId="3" applyNumberFormat="1" applyFont="1" applyAlignment="1">
      <alignment horizontal="right"/>
    </xf>
    <xf numFmtId="9" fontId="4" fillId="0" borderId="2" xfId="1" applyNumberFormat="1" applyFont="1" applyFill="1" applyBorder="1" applyAlignment="1">
      <alignment horizontal="right"/>
    </xf>
    <xf numFmtId="9" fontId="4" fillId="0" borderId="0" xfId="3" applyNumberFormat="1" applyFont="1" applyAlignment="1">
      <alignment horizontal="right"/>
    </xf>
    <xf numFmtId="9" fontId="4" fillId="0" borderId="0" xfId="4" applyNumberFormat="1" applyFont="1" applyFill="1" applyBorder="1" applyAlignment="1">
      <alignment horizontal="right"/>
    </xf>
    <xf numFmtId="9" fontId="6" fillId="0" borderId="0" xfId="3" applyNumberFormat="1" applyFont="1" applyAlignment="1">
      <alignment horizontal="center"/>
    </xf>
    <xf numFmtId="9" fontId="4" fillId="0" borderId="0" xfId="3" applyNumberFormat="1" applyFont="1" applyAlignment="1">
      <alignment horizontal="center"/>
    </xf>
    <xf numFmtId="9" fontId="4" fillId="0" borderId="0" xfId="2" applyNumberFormat="1" applyFont="1" applyAlignment="1">
      <alignment horizontal="right"/>
    </xf>
    <xf numFmtId="9" fontId="4" fillId="0" borderId="3" xfId="1" applyNumberFormat="1" applyFont="1" applyFill="1" applyBorder="1" applyAlignment="1">
      <alignment horizontal="right"/>
    </xf>
    <xf numFmtId="0" fontId="4" fillId="0" borderId="1" xfId="2" applyFont="1" applyBorder="1" applyAlignment="1">
      <alignment horizontal="center"/>
    </xf>
    <xf numFmtId="0" fontId="4" fillId="0" borderId="0" xfId="2" quotePrefix="1" applyFont="1" applyAlignment="1">
      <alignment horizontal="center"/>
    </xf>
    <xf numFmtId="0" fontId="8" fillId="0" borderId="0" xfId="0" applyFont="1" applyAlignment="1">
      <alignment horizontal="center" wrapText="1"/>
    </xf>
    <xf numFmtId="164" fontId="8" fillId="0" borderId="0" xfId="7" applyNumberFormat="1" applyFont="1"/>
    <xf numFmtId="37" fontId="8" fillId="0" borderId="0" xfId="0" applyNumberFormat="1" applyFont="1"/>
    <xf numFmtId="43" fontId="8" fillId="0" borderId="0" xfId="7" applyFont="1"/>
    <xf numFmtId="37" fontId="8" fillId="0" borderId="2" xfId="0" applyNumberFormat="1" applyFont="1" applyBorder="1"/>
    <xf numFmtId="164" fontId="8" fillId="0" borderId="0" xfId="7" applyNumberFormat="1" applyFont="1" applyAlignment="1">
      <alignment horizontal="left"/>
    </xf>
    <xf numFmtId="37" fontId="8" fillId="0" borderId="3" xfId="0" applyNumberFormat="1" applyFont="1" applyBorder="1"/>
    <xf numFmtId="164" fontId="8" fillId="0" borderId="2" xfId="7" applyNumberFormat="1" applyFont="1" applyBorder="1"/>
    <xf numFmtId="37" fontId="5" fillId="0" borderId="0" xfId="14" applyFont="1" applyAlignment="1">
      <alignment horizontal="centerContinuous"/>
    </xf>
    <xf numFmtId="0" fontId="5" fillId="0" borderId="0" xfId="5" applyFont="1" applyAlignment="1">
      <alignment horizontal="left"/>
    </xf>
    <xf numFmtId="37" fontId="4" fillId="0" borderId="0" xfId="14" applyFont="1" applyAlignment="1">
      <alignment horizontal="left" indent="1"/>
    </xf>
    <xf numFmtId="37" fontId="4" fillId="0" borderId="0" xfId="14" applyFont="1" applyAlignment="1">
      <alignment horizontal="left"/>
    </xf>
    <xf numFmtId="177" fontId="4" fillId="0" borderId="2" xfId="7" applyNumberFormat="1" applyFont="1" applyFill="1" applyBorder="1" applyAlignment="1">
      <alignment horizontal="center"/>
    </xf>
    <xf numFmtId="37" fontId="4" fillId="0" borderId="0" xfId="15" applyFont="1" applyAlignment="1">
      <alignment horizontal="center"/>
    </xf>
    <xf numFmtId="37" fontId="4" fillId="0" borderId="6" xfId="15" applyFont="1" applyBorder="1" applyAlignment="1">
      <alignment horizontal="center"/>
    </xf>
    <xf numFmtId="37" fontId="4" fillId="0" borderId="6" xfId="15" applyFont="1" applyBorder="1"/>
    <xf numFmtId="177" fontId="4" fillId="0" borderId="1" xfId="19" applyNumberFormat="1" applyFont="1" applyFill="1" applyBorder="1"/>
    <xf numFmtId="0" fontId="4" fillId="0" borderId="0" xfId="0" applyFont="1" applyAlignment="1">
      <alignment horizontal="centerContinuous"/>
    </xf>
    <xf numFmtId="0" fontId="4" fillId="0" borderId="0" xfId="0" applyFont="1" applyAlignment="1">
      <alignment horizontal="right"/>
    </xf>
    <xf numFmtId="0" fontId="4" fillId="0" borderId="0" xfId="17" applyFont="1" applyAlignment="1">
      <alignment horizontal="left"/>
    </xf>
    <xf numFmtId="0" fontId="4" fillId="0" borderId="1" xfId="2" applyFont="1" applyFill="1" applyBorder="1" applyAlignment="1">
      <alignment horizontal="center"/>
    </xf>
    <xf numFmtId="0" fontId="4" fillId="0" borderId="0" xfId="0" applyFont="1" applyFill="1" applyBorder="1" applyAlignment="1">
      <alignment horizontal="left" indent="1"/>
    </xf>
    <xf numFmtId="0" fontId="4" fillId="0" borderId="0" xfId="2" quotePrefix="1" applyFont="1" applyFill="1" applyAlignment="1">
      <alignment horizontal="left"/>
    </xf>
    <xf numFmtId="177" fontId="4" fillId="0" borderId="0" xfId="4" applyNumberFormat="1" applyFont="1" applyFill="1" applyBorder="1"/>
    <xf numFmtId="182" fontId="4" fillId="0" borderId="2" xfId="0" applyNumberFormat="1" applyFont="1" applyFill="1" applyBorder="1"/>
    <xf numFmtId="177" fontId="4" fillId="0" borderId="2" xfId="4" applyNumberFormat="1" applyFont="1" applyFill="1" applyBorder="1"/>
    <xf numFmtId="165" fontId="4" fillId="0" borderId="0" xfId="2" applyNumberFormat="1" applyFont="1" applyFill="1" applyAlignment="1">
      <alignment horizontal="right"/>
    </xf>
    <xf numFmtId="165" fontId="4" fillId="0" borderId="0" xfId="3" applyNumberFormat="1" applyFont="1" applyFill="1" applyAlignment="1">
      <alignment horizontal="right"/>
    </xf>
    <xf numFmtId="165" fontId="6" fillId="0" borderId="0" xfId="3" applyNumberFormat="1" applyFont="1" applyFill="1" applyAlignment="1">
      <alignment horizontal="right"/>
    </xf>
    <xf numFmtId="179" fontId="4" fillId="0" borderId="1" xfId="4" applyNumberFormat="1" applyFont="1" applyFill="1" applyBorder="1"/>
    <xf numFmtId="179" fontId="4" fillId="0" borderId="0" xfId="4" applyNumberFormat="1" applyFont="1" applyFill="1" applyBorder="1"/>
    <xf numFmtId="0" fontId="4" fillId="0" borderId="0" xfId="2" quotePrefix="1" applyFont="1" applyAlignment="1">
      <alignment horizontal="center" vertical="top" wrapText="1"/>
    </xf>
    <xf numFmtId="165" fontId="4" fillId="0" borderId="0" xfId="2" applyNumberFormat="1" applyFont="1" applyFill="1"/>
    <xf numFmtId="0" fontId="4" fillId="0" borderId="0" xfId="2" quotePrefix="1" applyFont="1" applyAlignment="1">
      <alignment horizontal="left" vertical="top" wrapText="1"/>
    </xf>
    <xf numFmtId="193" fontId="4" fillId="0" borderId="3" xfId="3" applyNumberFormat="1" applyFont="1" applyBorder="1" applyAlignment="1">
      <alignment horizontal="right"/>
    </xf>
    <xf numFmtId="0" fontId="4" fillId="0" borderId="0" xfId="2" quotePrefix="1" applyFont="1" applyAlignment="1">
      <alignment vertical="top" wrapText="1"/>
    </xf>
    <xf numFmtId="176" fontId="4" fillId="0" borderId="0" xfId="20" applyNumberFormat="1" applyFont="1" applyFill="1" applyBorder="1" applyAlignment="1">
      <alignment horizontal="center"/>
    </xf>
    <xf numFmtId="176" fontId="4" fillId="0" borderId="0" xfId="20" applyNumberFormat="1" applyFont="1" applyFill="1" applyBorder="1" applyAlignment="1">
      <alignment horizontal="right"/>
    </xf>
    <xf numFmtId="174" fontId="4" fillId="0" borderId="0" xfId="20" applyNumberFormat="1" applyFont="1" applyFill="1" applyBorder="1" applyAlignment="1">
      <alignment horizontal="center"/>
    </xf>
    <xf numFmtId="174" fontId="4" fillId="0" borderId="0" xfId="20" applyNumberFormat="1" applyFont="1" applyFill="1" applyBorder="1" applyAlignment="1">
      <alignment horizontal="right"/>
    </xf>
    <xf numFmtId="0" fontId="4" fillId="0" borderId="0" xfId="22" applyFont="1" applyAlignment="1">
      <alignment horizontal="center"/>
    </xf>
    <xf numFmtId="175" fontId="4" fillId="0" borderId="0" xfId="23" applyNumberFormat="1" applyFont="1" applyFill="1" applyBorder="1" applyAlignment="1">
      <alignment horizontal="right"/>
    </xf>
    <xf numFmtId="0" fontId="4" fillId="0" borderId="0" xfId="2" quotePrefix="1" applyFont="1" applyAlignment="1">
      <alignment vertical="top"/>
    </xf>
    <xf numFmtId="0" fontId="4" fillId="0" borderId="0" xfId="22" applyFont="1" applyAlignment="1">
      <alignment horizontal="left"/>
    </xf>
    <xf numFmtId="179" fontId="4" fillId="0" borderId="0" xfId="24" applyNumberFormat="1" applyFont="1" applyFill="1" applyBorder="1" applyAlignment="1">
      <alignment horizontal="center"/>
    </xf>
    <xf numFmtId="179" fontId="4" fillId="0" borderId="0" xfId="24" applyNumberFormat="1" applyFont="1" applyAlignment="1">
      <alignment horizontal="center"/>
    </xf>
    <xf numFmtId="179" fontId="4" fillId="0" borderId="0" xfId="24" applyNumberFormat="1" applyFont="1"/>
    <xf numFmtId="179" fontId="4" fillId="0" borderId="0" xfId="24" applyNumberFormat="1" applyFont="1" applyFill="1"/>
    <xf numFmtId="179" fontId="4" fillId="0" borderId="0" xfId="24" applyNumberFormat="1" applyFont="1" applyFill="1" applyBorder="1" applyAlignment="1">
      <alignment horizontal="right"/>
    </xf>
    <xf numFmtId="179" fontId="4" fillId="0" borderId="0" xfId="24" applyNumberFormat="1" applyFont="1" applyFill="1" applyAlignment="1">
      <alignment horizontal="center"/>
    </xf>
    <xf numFmtId="179" fontId="4" fillId="0" borderId="0" xfId="24" applyNumberFormat="1" applyFont="1" applyFill="1" applyAlignment="1">
      <alignment horizontal="right"/>
    </xf>
    <xf numFmtId="0" fontId="4" fillId="0" borderId="0" xfId="22" applyFont="1"/>
    <xf numFmtId="194" fontId="4" fillId="0" borderId="0" xfId="26" applyFont="1"/>
    <xf numFmtId="195" fontId="4" fillId="0" borderId="0" xfId="25" applyNumberFormat="1" applyFont="1" applyFill="1" applyBorder="1" applyAlignment="1">
      <alignment horizontal="center"/>
    </xf>
    <xf numFmtId="0" fontId="5" fillId="0" borderId="0" xfId="3" applyFont="1" applyAlignment="1">
      <alignment horizontal="center" wrapText="1"/>
    </xf>
    <xf numFmtId="183" fontId="4" fillId="0" borderId="0" xfId="2" applyNumberFormat="1" applyFont="1" applyAlignment="1">
      <alignment horizontal="right"/>
    </xf>
    <xf numFmtId="0" fontId="4" fillId="0" borderId="0" xfId="21" quotePrefix="1" applyFont="1"/>
    <xf numFmtId="0" fontId="4" fillId="0" borderId="0" xfId="21" applyFont="1" applyAlignment="1">
      <alignment horizontal="left" indent="1"/>
    </xf>
    <xf numFmtId="0" fontId="4" fillId="0" borderId="0" xfId="21" applyFont="1" applyAlignment="1">
      <alignment horizontal="left" indent="2"/>
    </xf>
    <xf numFmtId="171" fontId="4" fillId="0" borderId="0" xfId="21" applyNumberFormat="1" applyFont="1" applyAlignment="1">
      <alignment horizontal="right"/>
    </xf>
    <xf numFmtId="166" fontId="4" fillId="0" borderId="0" xfId="11" applyNumberFormat="1" applyFont="1" applyAlignment="1">
      <alignment horizontal="right"/>
    </xf>
    <xf numFmtId="0" fontId="4" fillId="0" borderId="0" xfId="2" quotePrefix="1" applyFont="1" applyAlignment="1">
      <alignment horizontal="left" indent="2"/>
    </xf>
    <xf numFmtId="0" fontId="4" fillId="0" borderId="0" xfId="21" applyFont="1" applyAlignment="1">
      <alignment horizontal="left" indent="3"/>
    </xf>
    <xf numFmtId="166" fontId="4" fillId="0" borderId="0" xfId="11" quotePrefix="1" applyNumberFormat="1" applyFont="1" applyAlignment="1" applyProtection="1">
      <alignment horizontal="right"/>
      <protection locked="0"/>
    </xf>
    <xf numFmtId="166" fontId="4" fillId="0" borderId="0" xfId="11" applyNumberFormat="1" applyFont="1" applyAlignment="1" applyProtection="1">
      <alignment horizontal="right"/>
      <protection locked="0"/>
    </xf>
    <xf numFmtId="0" fontId="8" fillId="0" borderId="0" xfId="0" applyFont="1" applyAlignment="1">
      <alignment horizontal="left" wrapText="1"/>
    </xf>
    <xf numFmtId="0" fontId="6" fillId="0" borderId="0" xfId="0" applyFont="1"/>
    <xf numFmtId="186" fontId="4" fillId="0" borderId="0" xfId="7" applyNumberFormat="1" applyFont="1" applyFill="1" applyBorder="1"/>
    <xf numFmtId="186" fontId="4" fillId="0" borderId="3" xfId="7" applyNumberFormat="1" applyFont="1" applyFill="1" applyBorder="1"/>
    <xf numFmtId="186" fontId="4" fillId="0" borderId="0" xfId="7" applyNumberFormat="1" applyFont="1" applyFill="1"/>
    <xf numFmtId="173" fontId="4" fillId="0" borderId="0" xfId="7" applyNumberFormat="1" applyFont="1" applyFill="1" applyBorder="1"/>
    <xf numFmtId="186" fontId="4" fillId="0" borderId="2" xfId="7" applyNumberFormat="1" applyFont="1" applyFill="1" applyBorder="1"/>
    <xf numFmtId="173" fontId="4" fillId="0" borderId="4" xfId="7" applyNumberFormat="1" applyFont="1" applyFill="1" applyBorder="1"/>
    <xf numFmtId="173" fontId="6" fillId="0" borderId="0" xfId="7" applyNumberFormat="1" applyFont="1" applyFill="1"/>
    <xf numFmtId="164" fontId="4" fillId="0" borderId="0" xfId="13" applyNumberFormat="1" applyFont="1" applyFill="1" applyBorder="1"/>
    <xf numFmtId="2" fontId="5" fillId="0" borderId="0" xfId="13" applyNumberFormat="1" applyFont="1" applyFill="1" applyBorder="1"/>
    <xf numFmtId="0" fontId="5" fillId="0" borderId="0" xfId="13" applyNumberFormat="1" applyFont="1" applyFill="1" applyBorder="1"/>
    <xf numFmtId="170" fontId="4" fillId="0" borderId="0" xfId="0" applyNumberFormat="1" applyFont="1"/>
    <xf numFmtId="0" fontId="8" fillId="0" borderId="0" xfId="0" quotePrefix="1" applyFont="1" applyAlignment="1">
      <alignment horizontal="center" vertical="top"/>
    </xf>
    <xf numFmtId="0" fontId="4" fillId="0" borderId="0" xfId="0" quotePrefix="1" applyFont="1" applyAlignment="1">
      <alignment horizontal="center" vertical="top" wrapText="1"/>
    </xf>
    <xf numFmtId="37" fontId="5" fillId="0" borderId="0" xfId="15" applyFont="1"/>
    <xf numFmtId="164" fontId="4" fillId="0" borderId="0" xfId="7" applyNumberFormat="1" applyFont="1" applyFill="1" applyAlignment="1">
      <alignment horizontal="center"/>
    </xf>
    <xf numFmtId="0" fontId="4" fillId="0" borderId="0" xfId="0" applyFont="1" applyAlignment="1">
      <alignment vertical="top"/>
    </xf>
    <xf numFmtId="164" fontId="4" fillId="0" borderId="0" xfId="7" applyNumberFormat="1" applyFont="1" applyFill="1" applyBorder="1" applyAlignment="1">
      <alignment horizontal="center"/>
    </xf>
    <xf numFmtId="179" fontId="4" fillId="0" borderId="0" xfId="7" applyNumberFormat="1" applyFont="1" applyFill="1" applyBorder="1" applyAlignment="1">
      <alignment horizontal="center"/>
    </xf>
    <xf numFmtId="187" fontId="4" fillId="0" borderId="0" xfId="6" applyNumberFormat="1" applyFont="1" applyFill="1"/>
    <xf numFmtId="177" fontId="4" fillId="0" borderId="0" xfId="7" applyNumberFormat="1" applyFont="1" applyFill="1" applyBorder="1" applyAlignment="1">
      <alignment horizontal="center"/>
    </xf>
    <xf numFmtId="164" fontId="4" fillId="0" borderId="2" xfId="7" applyNumberFormat="1" applyFont="1" applyBorder="1" applyAlignment="1">
      <alignment horizontal="center"/>
    </xf>
    <xf numFmtId="164" fontId="4" fillId="0" borderId="0" xfId="7" applyNumberFormat="1" applyFont="1" applyBorder="1" applyAlignment="1">
      <alignment horizontal="center"/>
    </xf>
    <xf numFmtId="0" fontId="4" fillId="0" borderId="0" xfId="0" quotePrefix="1" applyFont="1"/>
    <xf numFmtId="0" fontId="5" fillId="0" borderId="0" xfId="0" applyFont="1" applyAlignment="1">
      <alignment horizontal="right"/>
    </xf>
    <xf numFmtId="168" fontId="4" fillId="0" borderId="0" xfId="0" applyNumberFormat="1" applyFont="1"/>
    <xf numFmtId="164" fontId="4" fillId="0" borderId="0" xfId="0" applyNumberFormat="1" applyFont="1"/>
    <xf numFmtId="183" fontId="4" fillId="0" borderId="0" xfId="0" applyNumberFormat="1" applyFont="1"/>
    <xf numFmtId="3" fontId="4" fillId="0" borderId="0" xfId="0" applyNumberFormat="1" applyFont="1"/>
    <xf numFmtId="3" fontId="4" fillId="0" borderId="0" xfId="0" quotePrefix="1" applyNumberFormat="1" applyFont="1"/>
    <xf numFmtId="43" fontId="4" fillId="0" borderId="0" xfId="0" applyNumberFormat="1" applyFont="1"/>
    <xf numFmtId="168" fontId="4" fillId="0" borderId="4" xfId="0" applyNumberFormat="1" applyFont="1" applyBorder="1"/>
    <xf numFmtId="164" fontId="4" fillId="0" borderId="2" xfId="0" applyNumberFormat="1" applyFont="1" applyBorder="1"/>
    <xf numFmtId="183" fontId="4" fillId="0" borderId="2" xfId="0" applyNumberFormat="1" applyFont="1" applyBorder="1"/>
    <xf numFmtId="3" fontId="4" fillId="0" borderId="2" xfId="0" applyNumberFormat="1" applyFont="1" applyBorder="1"/>
    <xf numFmtId="168" fontId="4" fillId="0" borderId="2" xfId="0" applyNumberFormat="1" applyFont="1" applyBorder="1"/>
    <xf numFmtId="197" fontId="4" fillId="0" borderId="2" xfId="0" applyNumberFormat="1" applyFont="1" applyBorder="1"/>
    <xf numFmtId="168" fontId="4" fillId="0" borderId="0" xfId="1" applyNumberFormat="1" applyFont="1" applyFill="1"/>
    <xf numFmtId="168" fontId="4" fillId="0" borderId="0" xfId="1" applyNumberFormat="1" applyFont="1" applyFill="1" applyBorder="1"/>
    <xf numFmtId="197" fontId="4" fillId="0" borderId="0" xfId="0" applyNumberFormat="1" applyFont="1"/>
    <xf numFmtId="4" fontId="4" fillId="0" borderId="0" xfId="0" applyNumberFormat="1" applyFont="1"/>
    <xf numFmtId="179" fontId="4" fillId="0" borderId="0" xfId="7" applyNumberFormat="1" applyFont="1" applyFill="1"/>
    <xf numFmtId="164" fontId="4" fillId="0" borderId="0" xfId="7" applyNumberFormat="1" applyFont="1" applyFill="1"/>
    <xf numFmtId="43" fontId="4" fillId="0" borderId="0" xfId="0" applyNumberFormat="1" applyFont="1" applyAlignment="1">
      <alignment horizontal="center"/>
    </xf>
    <xf numFmtId="164" fontId="4" fillId="0" borderId="0" xfId="0" applyNumberFormat="1" applyFont="1" applyAlignment="1">
      <alignment horizontal="center"/>
    </xf>
    <xf numFmtId="3" fontId="4" fillId="0" borderId="0" xfId="0" applyNumberFormat="1" applyFont="1" applyAlignment="1">
      <alignment horizontal="center"/>
    </xf>
    <xf numFmtId="0" fontId="5" fillId="0" borderId="0" xfId="0" applyFont="1" applyAlignment="1">
      <alignment horizontal="centerContinuous"/>
    </xf>
    <xf numFmtId="196" fontId="4" fillId="0" borderId="0" xfId="0" applyNumberFormat="1" applyFont="1" applyAlignment="1">
      <alignment horizontal="right"/>
    </xf>
    <xf numFmtId="198" fontId="4" fillId="0" borderId="0" xfId="1" applyNumberFormat="1" applyFont="1" applyFill="1"/>
    <xf numFmtId="168" fontId="4" fillId="0" borderId="2" xfId="1" applyNumberFormat="1" applyFont="1" applyFill="1" applyBorder="1"/>
    <xf numFmtId="43" fontId="4" fillId="0" borderId="0" xfId="7" applyFont="1" applyFill="1"/>
    <xf numFmtId="191" fontId="4" fillId="2" borderId="0" xfId="1" applyNumberFormat="1" applyFont="1" applyFill="1" applyAlignment="1">
      <alignment horizontal="right"/>
    </xf>
    <xf numFmtId="191" fontId="4" fillId="0" borderId="0" xfId="1" applyNumberFormat="1" applyFont="1" applyFill="1" applyAlignment="1">
      <alignment horizontal="right"/>
    </xf>
    <xf numFmtId="169" fontId="4" fillId="0" borderId="0" xfId="6" applyNumberFormat="1" applyFont="1" applyFill="1" applyBorder="1" applyAlignment="1">
      <alignment horizontal="right"/>
    </xf>
    <xf numFmtId="174" fontId="4" fillId="0" borderId="0" xfId="1" applyNumberFormat="1" applyFont="1" applyFill="1" applyBorder="1" applyAlignment="1">
      <alignment horizontal="right"/>
    </xf>
    <xf numFmtId="190" fontId="4" fillId="0" borderId="0" xfId="4" applyNumberFormat="1" applyFont="1" applyFill="1" applyBorder="1" applyAlignment="1">
      <alignment horizontal="right"/>
    </xf>
    <xf numFmtId="0" fontId="5" fillId="0" borderId="0" xfId="0" applyFont="1" applyAlignment="1">
      <alignment horizontal="left"/>
    </xf>
    <xf numFmtId="0" fontId="4" fillId="0" borderId="0" xfId="0" applyFont="1" applyFill="1" applyAlignment="1">
      <alignment horizontal="left" wrapText="1" indent="3"/>
    </xf>
    <xf numFmtId="0" fontId="4" fillId="0" borderId="0" xfId="0" applyFont="1" applyFill="1" applyAlignment="1">
      <alignment horizontal="left" indent="3"/>
    </xf>
    <xf numFmtId="173" fontId="4" fillId="0" borderId="0" xfId="0" applyNumberFormat="1" applyFont="1" applyFill="1" applyAlignment="1">
      <alignment horizontal="right"/>
    </xf>
    <xf numFmtId="170" fontId="4" fillId="0" borderId="0" xfId="0" applyNumberFormat="1" applyFont="1" applyFill="1" applyAlignment="1">
      <alignment horizontal="right"/>
    </xf>
    <xf numFmtId="0" fontId="5" fillId="0" borderId="0" xfId="0" applyFont="1" applyFill="1" applyBorder="1" applyAlignment="1">
      <alignment horizontal="centerContinuous"/>
    </xf>
    <xf numFmtId="0" fontId="4" fillId="0" borderId="0" xfId="3" applyFont="1" applyFill="1" applyBorder="1" applyAlignment="1">
      <alignment horizontal="centerContinuous"/>
    </xf>
    <xf numFmtId="0" fontId="4" fillId="0" borderId="0" xfId="3" applyFont="1" applyFill="1" applyAlignment="1">
      <alignment horizontal="right"/>
    </xf>
    <xf numFmtId="166" fontId="4" fillId="0" borderId="2" xfId="3" applyNumberFormat="1" applyFont="1" applyFill="1" applyBorder="1" applyAlignment="1">
      <alignment horizontal="right"/>
    </xf>
    <xf numFmtId="191" fontId="6" fillId="0" borderId="0" xfId="3" applyNumberFormat="1" applyFont="1" applyFill="1" applyAlignment="1">
      <alignment horizontal="right"/>
    </xf>
    <xf numFmtId="166" fontId="4" fillId="0" borderId="0" xfId="3" applyNumberFormat="1" applyFont="1" applyFill="1" applyAlignment="1">
      <alignment horizontal="right"/>
    </xf>
    <xf numFmtId="166" fontId="4" fillId="0" borderId="3" xfId="3" applyNumberFormat="1" applyFont="1" applyFill="1" applyBorder="1" applyAlignment="1">
      <alignment horizontal="right"/>
    </xf>
    <xf numFmtId="165" fontId="4" fillId="0" borderId="0" xfId="3" applyNumberFormat="1" applyFont="1" applyFill="1" applyBorder="1" applyAlignment="1">
      <alignment horizontal="right"/>
    </xf>
    <xf numFmtId="165" fontId="6" fillId="0" borderId="0" xfId="3" applyNumberFormat="1" applyFont="1" applyFill="1" applyBorder="1" applyAlignment="1">
      <alignment horizontal="right"/>
    </xf>
    <xf numFmtId="165" fontId="4" fillId="0" borderId="0" xfId="2" applyNumberFormat="1" applyFont="1" applyFill="1" applyBorder="1" applyAlignment="1">
      <alignment horizontal="right"/>
    </xf>
    <xf numFmtId="191" fontId="6" fillId="0" borderId="0" xfId="3" applyNumberFormat="1" applyFont="1" applyFill="1" applyBorder="1" applyAlignment="1">
      <alignment horizontal="right"/>
    </xf>
    <xf numFmtId="0" fontId="6" fillId="0" borderId="0" xfId="3" applyFont="1" applyFill="1" applyAlignment="1">
      <alignment horizontal="right"/>
    </xf>
    <xf numFmtId="191" fontId="4" fillId="0" borderId="0" xfId="3" applyNumberFormat="1" applyFont="1" applyFill="1" applyAlignment="1">
      <alignment horizontal="right"/>
    </xf>
    <xf numFmtId="190" fontId="6" fillId="0" borderId="0" xfId="3" applyNumberFormat="1" applyFont="1" applyFill="1" applyAlignment="1">
      <alignment horizontal="right"/>
    </xf>
    <xf numFmtId="166" fontId="4" fillId="0" borderId="0" xfId="3" applyNumberFormat="1" applyFont="1" applyFill="1" applyBorder="1" applyAlignment="1">
      <alignment horizontal="center"/>
    </xf>
    <xf numFmtId="164" fontId="4" fillId="0" borderId="0" xfId="3" applyNumberFormat="1" applyFont="1" applyFill="1" applyAlignment="1">
      <alignment horizontal="center"/>
    </xf>
    <xf numFmtId="164" fontId="4" fillId="0" borderId="0" xfId="3" applyNumberFormat="1" applyFont="1" applyFill="1" applyAlignment="1">
      <alignment horizontal="right"/>
    </xf>
    <xf numFmtId="0" fontId="4" fillId="0" borderId="0" xfId="0" applyFont="1" applyFill="1" applyAlignment="1">
      <alignment horizontal="left" indent="1"/>
    </xf>
    <xf numFmtId="190" fontId="4" fillId="0" borderId="0" xfId="3" applyNumberFormat="1" applyFont="1" applyFill="1" applyAlignment="1">
      <alignment horizontal="right"/>
    </xf>
    <xf numFmtId="0" fontId="5" fillId="0" borderId="0" xfId="0" applyFont="1" applyFill="1" applyAlignment="1">
      <alignment horizontal="left"/>
    </xf>
    <xf numFmtId="0" fontId="4" fillId="0" borderId="0" xfId="0" applyFont="1" applyFill="1" applyAlignment="1">
      <alignment horizontal="left" indent="2"/>
    </xf>
    <xf numFmtId="0" fontId="4" fillId="0" borderId="0" xfId="0" applyFont="1" applyFill="1" applyAlignment="1">
      <alignment horizontal="center"/>
    </xf>
    <xf numFmtId="191" fontId="4" fillId="0" borderId="0" xfId="2" applyNumberFormat="1" applyFont="1" applyFill="1" applyAlignment="1">
      <alignment horizontal="centerContinuous"/>
    </xf>
    <xf numFmtId="191" fontId="4" fillId="0" borderId="1" xfId="2" applyNumberFormat="1" applyFont="1" applyFill="1" applyBorder="1" applyAlignment="1">
      <alignment horizontal="centerContinuous"/>
    </xf>
    <xf numFmtId="191" fontId="4" fillId="0" borderId="1" xfId="3" applyNumberFormat="1" applyFont="1" applyFill="1" applyBorder="1" applyAlignment="1">
      <alignment horizontal="center"/>
    </xf>
    <xf numFmtId="191" fontId="4" fillId="0" borderId="0" xfId="3" quotePrefix="1" applyNumberFormat="1" applyFont="1" applyFill="1" applyAlignment="1">
      <alignment horizontal="center"/>
    </xf>
    <xf numFmtId="190" fontId="6" fillId="0" borderId="0" xfId="3" applyNumberFormat="1" applyFont="1" applyFill="1" applyBorder="1" applyAlignment="1">
      <alignment horizontal="right"/>
    </xf>
    <xf numFmtId="0" fontId="4" fillId="0" borderId="0" xfId="0" applyFont="1" applyFill="1"/>
    <xf numFmtId="0" fontId="4" fillId="0" borderId="0" xfId="0" applyFont="1" applyFill="1" applyAlignment="1">
      <alignment horizontal="right"/>
    </xf>
    <xf numFmtId="3" fontId="4" fillId="0" borderId="0" xfId="0" applyNumberFormat="1" applyFont="1" applyFill="1" applyAlignment="1">
      <alignment horizontal="right"/>
    </xf>
    <xf numFmtId="164" fontId="4" fillId="0" borderId="0" xfId="7" applyNumberFormat="1" applyFont="1" applyFill="1" applyAlignment="1">
      <alignment horizontal="right"/>
    </xf>
    <xf numFmtId="0" fontId="4" fillId="0" borderId="0" xfId="8" applyFont="1" applyFill="1" applyAlignment="1">
      <alignment horizontal="left" indent="3"/>
    </xf>
    <xf numFmtId="172" fontId="4" fillId="0" borderId="0" xfId="0" applyNumberFormat="1" applyFont="1" applyFill="1" applyAlignment="1">
      <alignment horizontal="right"/>
    </xf>
    <xf numFmtId="0" fontId="6" fillId="0" borderId="0" xfId="2" applyFont="1" applyFill="1"/>
    <xf numFmtId="0" fontId="4" fillId="0" borderId="0" xfId="8" applyFont="1" applyFill="1" applyAlignment="1">
      <alignment horizontal="left" indent="1"/>
    </xf>
    <xf numFmtId="3" fontId="4" fillId="0" borderId="0" xfId="2" applyNumberFormat="1" applyFont="1" applyFill="1" applyAlignment="1">
      <alignment horizontal="right"/>
    </xf>
    <xf numFmtId="164" fontId="4" fillId="0" borderId="0" xfId="0" applyNumberFormat="1" applyFont="1" applyFill="1" applyAlignment="1">
      <alignment horizontal="right"/>
    </xf>
    <xf numFmtId="0" fontId="5" fillId="0" borderId="0" xfId="0" applyFont="1" applyFill="1"/>
    <xf numFmtId="0" fontId="4" fillId="0" borderId="0" xfId="2" quotePrefix="1" applyFont="1" applyFill="1" applyAlignment="1">
      <alignment horizontal="left" indent="3"/>
    </xf>
    <xf numFmtId="0" fontId="4" fillId="0" borderId="0" xfId="2" applyFont="1" applyFill="1" applyAlignment="1">
      <alignment horizontal="left" indent="3"/>
    </xf>
    <xf numFmtId="0" fontId="5" fillId="0" borderId="0" xfId="2" applyFont="1" applyFill="1" applyAlignment="1"/>
    <xf numFmtId="0" fontId="4" fillId="0" borderId="0" xfId="0" applyFont="1" applyFill="1" applyAlignment="1">
      <alignment horizontal="left" wrapText="1" indent="2"/>
    </xf>
    <xf numFmtId="0" fontId="4" fillId="0" borderId="0" xfId="0" applyFont="1" applyFill="1" applyAlignment="1">
      <alignment horizontal="left" indent="4"/>
    </xf>
    <xf numFmtId="37" fontId="4" fillId="0" borderId="3" xfId="3" applyNumberFormat="1" applyFont="1" applyFill="1" applyBorder="1" applyAlignment="1">
      <alignment horizontal="right"/>
    </xf>
    <xf numFmtId="37" fontId="4" fillId="0" borderId="0" xfId="3" applyNumberFormat="1" applyFont="1" applyFill="1" applyAlignment="1">
      <alignment horizontal="right"/>
    </xf>
    <xf numFmtId="37" fontId="4" fillId="0" borderId="0" xfId="2" applyNumberFormat="1" applyFont="1" applyFill="1" applyAlignment="1">
      <alignment horizontal="right"/>
    </xf>
    <xf numFmtId="0" fontId="5" fillId="0" borderId="0" xfId="2" applyFont="1" applyFill="1" applyAlignment="1">
      <alignment horizontal="left" wrapText="1"/>
    </xf>
    <xf numFmtId="43" fontId="4" fillId="0" borderId="0" xfId="7" applyFont="1" applyFill="1" applyAlignment="1">
      <alignment horizontal="right"/>
    </xf>
    <xf numFmtId="0" fontId="4" fillId="0" borderId="0" xfId="2" applyFont="1" applyFill="1" applyAlignment="1">
      <alignment horizontal="left" wrapText="1"/>
    </xf>
    <xf numFmtId="173" fontId="4" fillId="0" borderId="0" xfId="7" applyNumberFormat="1" applyFont="1" applyFill="1" applyBorder="1" applyAlignment="1">
      <alignment horizontal="right"/>
    </xf>
    <xf numFmtId="169" fontId="4" fillId="0" borderId="0" xfId="0" applyNumberFormat="1" applyFont="1" applyFill="1" applyAlignment="1">
      <alignment horizontal="right"/>
    </xf>
    <xf numFmtId="191" fontId="4" fillId="0" borderId="0" xfId="0" applyNumberFormat="1" applyFont="1" applyFill="1" applyAlignment="1">
      <alignment horizontal="right"/>
    </xf>
    <xf numFmtId="0" fontId="4" fillId="0" borderId="0" xfId="0" applyFont="1" applyFill="1" applyAlignment="1"/>
    <xf numFmtId="0" fontId="4" fillId="0" borderId="0" xfId="0" applyFont="1" applyFill="1" applyAlignment="1">
      <alignment horizontal="left" vertical="center"/>
    </xf>
    <xf numFmtId="0" fontId="4" fillId="0" borderId="0" xfId="0" quotePrefix="1" applyFont="1" applyFill="1"/>
    <xf numFmtId="0" fontId="4" fillId="0" borderId="0" xfId="2" quotePrefix="1" applyFont="1" applyFill="1" applyAlignment="1">
      <alignment horizontal="right"/>
    </xf>
    <xf numFmtId="0" fontId="4" fillId="0" borderId="0" xfId="0" quotePrefix="1" applyFont="1" applyFill="1" applyAlignment="1">
      <alignment horizontal="right"/>
    </xf>
    <xf numFmtId="0" fontId="4" fillId="0" borderId="0" xfId="2" quotePrefix="1" applyFont="1" applyFill="1"/>
    <xf numFmtId="0" fontId="4" fillId="0" borderId="1" xfId="3" applyFont="1" applyFill="1" applyBorder="1" applyAlignment="1">
      <alignment horizontal="left" wrapText="1"/>
    </xf>
    <xf numFmtId="0" fontId="4" fillId="0" borderId="7" xfId="3" applyFont="1" applyFill="1" applyBorder="1" applyAlignment="1">
      <alignment horizontal="center" wrapText="1"/>
    </xf>
    <xf numFmtId="169" fontId="4" fillId="0" borderId="0" xfId="23" applyNumberFormat="1" applyFont="1" applyFill="1" applyBorder="1" applyAlignment="1">
      <alignment horizontal="right"/>
    </xf>
    <xf numFmtId="0" fontId="4" fillId="0" borderId="0" xfId="3" applyFont="1" applyAlignment="1">
      <alignment horizontal="left" wrapText="1"/>
    </xf>
    <xf numFmtId="0" fontId="4" fillId="0" borderId="1" xfId="3" applyFont="1" applyBorder="1" applyAlignment="1">
      <alignment horizontal="left"/>
    </xf>
    <xf numFmtId="0" fontId="4" fillId="0" borderId="0" xfId="3" quotePrefix="1" applyFont="1"/>
    <xf numFmtId="0" fontId="4" fillId="0" borderId="0" xfId="3" quotePrefix="1" applyFont="1" applyAlignment="1">
      <alignment horizontal="right"/>
    </xf>
    <xf numFmtId="171" fontId="4" fillId="0" borderId="0" xfId="21" applyNumberFormat="1" applyFont="1"/>
    <xf numFmtId="0" fontId="4" fillId="0" borderId="0" xfId="21" quotePrefix="1" applyFont="1" applyAlignment="1">
      <alignment horizontal="right"/>
    </xf>
    <xf numFmtId="0" fontId="4" fillId="0" borderId="0" xfId="21" quotePrefix="1" applyFont="1" applyAlignment="1">
      <alignment horizontal="center"/>
    </xf>
    <xf numFmtId="0" fontId="5" fillId="0" borderId="0" xfId="0" applyFont="1" applyFill="1" applyAlignment="1">
      <alignment horizontal="centerContinuous"/>
    </xf>
    <xf numFmtId="0" fontId="4" fillId="0" borderId="1" xfId="0" applyFont="1" applyFill="1" applyBorder="1" applyAlignment="1">
      <alignment horizontal="centerContinuous"/>
    </xf>
    <xf numFmtId="0" fontId="4" fillId="0" borderId="0" xfId="0" applyFont="1" applyFill="1" applyAlignment="1">
      <alignment horizontal="centerContinuous"/>
    </xf>
    <xf numFmtId="0" fontId="4" fillId="0" borderId="1" xfId="0" applyFont="1" applyBorder="1" applyAlignment="1">
      <alignment horizontal="center" wrapText="1"/>
    </xf>
    <xf numFmtId="0" fontId="4" fillId="0" borderId="0" xfId="0" quotePrefix="1" applyFont="1" applyFill="1" applyAlignment="1">
      <alignment horizontal="center"/>
    </xf>
    <xf numFmtId="178" fontId="4" fillId="0" borderId="0" xfId="0" applyNumberFormat="1" applyFont="1" applyFill="1" applyAlignment="1">
      <alignment horizontal="center"/>
    </xf>
    <xf numFmtId="178" fontId="4" fillId="0" borderId="0" xfId="0" applyNumberFormat="1" applyFont="1" applyFill="1" applyAlignment="1">
      <alignment horizontal="right"/>
    </xf>
    <xf numFmtId="177" fontId="4" fillId="0" borderId="0" xfId="7" applyNumberFormat="1" applyFont="1" applyFill="1" applyAlignment="1">
      <alignment horizontal="center"/>
    </xf>
    <xf numFmtId="164" fontId="4" fillId="0" borderId="1" xfId="7" applyNumberFormat="1" applyFont="1" applyFill="1" applyBorder="1" applyAlignment="1">
      <alignment horizontal="center"/>
    </xf>
    <xf numFmtId="164" fontId="4" fillId="0" borderId="3" xfId="7" applyNumberFormat="1" applyFont="1" applyFill="1" applyBorder="1" applyAlignment="1">
      <alignment horizontal="center"/>
    </xf>
    <xf numFmtId="0" fontId="4" fillId="0" borderId="1" xfId="0" applyFont="1" applyFill="1" applyBorder="1"/>
    <xf numFmtId="0" fontId="4" fillId="0" borderId="1" xfId="0" quotePrefix="1" applyFont="1" applyFill="1" applyBorder="1" applyAlignment="1">
      <alignment horizontal="center"/>
    </xf>
    <xf numFmtId="179" fontId="4" fillId="0" borderId="0" xfId="7" applyNumberFormat="1" applyFont="1" applyFill="1" applyAlignment="1">
      <alignment horizontal="center"/>
    </xf>
    <xf numFmtId="179" fontId="4" fillId="0" borderId="0" xfId="0" applyNumberFormat="1" applyFont="1" applyFill="1"/>
    <xf numFmtId="179" fontId="4" fillId="0" borderId="0" xfId="0" applyNumberFormat="1" applyFont="1" applyFill="1" applyAlignment="1">
      <alignment horizontal="center"/>
    </xf>
    <xf numFmtId="177" fontId="4" fillId="0" borderId="1" xfId="7" applyNumberFormat="1" applyFont="1" applyFill="1" applyBorder="1" applyAlignment="1">
      <alignment horizontal="center"/>
    </xf>
    <xf numFmtId="179" fontId="4" fillId="0" borderId="1" xfId="7" applyNumberFormat="1" applyFont="1" applyFill="1" applyBorder="1" applyAlignment="1">
      <alignment horizontal="center"/>
    </xf>
    <xf numFmtId="179" fontId="4" fillId="0" borderId="1" xfId="0" applyNumberFormat="1" applyFont="1" applyFill="1" applyBorder="1"/>
    <xf numFmtId="179" fontId="4" fillId="0" borderId="1" xfId="0" applyNumberFormat="1" applyFont="1" applyFill="1" applyBorder="1" applyAlignment="1">
      <alignment horizontal="center"/>
    </xf>
    <xf numFmtId="177" fontId="4" fillId="0" borderId="0" xfId="0" applyNumberFormat="1" applyFont="1" applyFill="1" applyAlignment="1">
      <alignment horizontal="center"/>
    </xf>
    <xf numFmtId="178" fontId="4" fillId="0" borderId="0" xfId="0" applyNumberFormat="1" applyFont="1" applyFill="1" applyAlignment="1">
      <alignment horizontal="left"/>
    </xf>
    <xf numFmtId="178" fontId="4" fillId="0" borderId="0" xfId="0" applyNumberFormat="1" applyFont="1" applyFill="1" applyAlignment="1">
      <alignment horizontal="left" indent="1"/>
    </xf>
    <xf numFmtId="0" fontId="5" fillId="0" borderId="0" xfId="3" applyFont="1" applyFill="1" applyAlignment="1">
      <alignment horizontal="left"/>
    </xf>
    <xf numFmtId="181" fontId="4" fillId="0" borderId="0" xfId="0" applyNumberFormat="1" applyFont="1" applyFill="1"/>
    <xf numFmtId="192" fontId="4" fillId="0" borderId="0" xfId="0" applyNumberFormat="1" applyFont="1" applyFill="1"/>
    <xf numFmtId="181" fontId="4" fillId="0" borderId="4" xfId="0" applyNumberFormat="1" applyFont="1" applyFill="1" applyBorder="1"/>
    <xf numFmtId="181" fontId="4" fillId="0" borderId="1" xfId="0" applyNumberFormat="1" applyFont="1" applyFill="1" applyBorder="1"/>
    <xf numFmtId="181" fontId="4" fillId="0" borderId="0" xfId="0" applyNumberFormat="1" applyFont="1" applyFill="1" applyBorder="1"/>
    <xf numFmtId="181" fontId="4" fillId="0" borderId="2" xfId="0" applyNumberFormat="1" applyFont="1" applyFill="1" applyBorder="1"/>
    <xf numFmtId="182" fontId="4" fillId="0" borderId="0" xfId="2" applyNumberFormat="1" applyFont="1" applyFill="1"/>
    <xf numFmtId="0" fontId="5" fillId="0" borderId="0" xfId="0" applyFont="1" applyFill="1" applyAlignment="1">
      <alignment horizontal="left" indent="1"/>
    </xf>
    <xf numFmtId="177" fontId="4" fillId="0" borderId="0" xfId="3" applyNumberFormat="1" applyFont="1" applyFill="1"/>
    <xf numFmtId="0" fontId="4" fillId="0" borderId="0" xfId="2" quotePrefix="1" applyFont="1" applyFill="1" applyAlignment="1">
      <alignment horizontal="center"/>
    </xf>
    <xf numFmtId="0" fontId="4" fillId="0" borderId="0" xfId="0" applyFont="1" applyFill="1" applyBorder="1"/>
    <xf numFmtId="0" fontId="4" fillId="0" borderId="0" xfId="0" applyFont="1" applyFill="1" applyBorder="1" applyAlignment="1">
      <alignment horizontal="center"/>
    </xf>
    <xf numFmtId="164" fontId="4" fillId="0" borderId="1" xfId="4" applyNumberFormat="1" applyFont="1" applyFill="1" applyBorder="1"/>
    <xf numFmtId="174" fontId="4" fillId="0" borderId="2" xfId="1" applyNumberFormat="1" applyFont="1" applyFill="1" applyBorder="1"/>
    <xf numFmtId="9" fontId="4" fillId="0" borderId="0" xfId="1" applyFont="1" applyFill="1"/>
    <xf numFmtId="9" fontId="4" fillId="0" borderId="0" xfId="1" applyFont="1" applyFill="1" applyBorder="1"/>
    <xf numFmtId="182" fontId="4" fillId="0" borderId="0" xfId="0" applyNumberFormat="1" applyFont="1" applyFill="1"/>
    <xf numFmtId="182" fontId="4" fillId="0" borderId="4" xfId="0" applyNumberFormat="1" applyFont="1" applyFill="1" applyBorder="1"/>
    <xf numFmtId="182" fontId="4" fillId="0" borderId="0" xfId="0" applyNumberFormat="1" applyFont="1" applyFill="1" applyBorder="1"/>
    <xf numFmtId="43" fontId="4" fillId="0" borderId="1" xfId="4" applyFont="1" applyFill="1" applyBorder="1" applyAlignment="1">
      <alignment vertical="center"/>
    </xf>
    <xf numFmtId="177" fontId="4" fillId="0" borderId="1" xfId="4" applyNumberFormat="1" applyFont="1" applyFill="1" applyBorder="1" applyAlignment="1">
      <alignment vertical="center"/>
    </xf>
    <xf numFmtId="177" fontId="4" fillId="0" borderId="1" xfId="4" applyNumberFormat="1" applyFont="1" applyFill="1" applyBorder="1"/>
    <xf numFmtId="0" fontId="4" fillId="0" borderId="0" xfId="2" quotePrefix="1" applyFont="1" applyFill="1" applyAlignment="1">
      <alignment horizontal="center" vertical="top"/>
    </xf>
    <xf numFmtId="0" fontId="5" fillId="0" borderId="0" xfId="0" applyFont="1" applyFill="1" applyAlignment="1">
      <alignment horizontal="centerContinuous" vertical="center"/>
    </xf>
    <xf numFmtId="0" fontId="4" fillId="0" borderId="0" xfId="0" applyFont="1" applyAlignment="1">
      <alignment horizontal="center"/>
    </xf>
    <xf numFmtId="0" fontId="4" fillId="0" borderId="0" xfId="18" applyFont="1"/>
    <xf numFmtId="0" fontId="4" fillId="0" borderId="0" xfId="18" quotePrefix="1" applyFont="1" applyAlignment="1">
      <alignment horizontal="center"/>
    </xf>
    <xf numFmtId="0" fontId="5" fillId="0" borderId="0" xfId="18" applyFont="1"/>
    <xf numFmtId="173" fontId="4" fillId="0" borderId="1" xfId="7" applyNumberFormat="1" applyFont="1" applyFill="1" applyBorder="1"/>
    <xf numFmtId="44" fontId="4" fillId="0" borderId="3" xfId="6" applyFont="1" applyFill="1" applyBorder="1"/>
    <xf numFmtId="0" fontId="4" fillId="0" borderId="0" xfId="18" applyFont="1" applyAlignment="1">
      <alignment horizontal="left"/>
    </xf>
    <xf numFmtId="0" fontId="4" fillId="0" borderId="0" xfId="18" applyFont="1" applyAlignment="1">
      <alignment horizontal="left" indent="1"/>
    </xf>
    <xf numFmtId="164" fontId="4" fillId="0" borderId="0" xfId="19" applyNumberFormat="1" applyFont="1" applyFill="1"/>
    <xf numFmtId="164" fontId="4" fillId="0" borderId="1" xfId="19" applyNumberFormat="1" applyFont="1" applyFill="1" applyBorder="1"/>
    <xf numFmtId="164" fontId="4" fillId="0" borderId="1" xfId="7" applyNumberFormat="1" applyFont="1" applyFill="1" applyBorder="1"/>
    <xf numFmtId="177" fontId="4" fillId="0" borderId="3" xfId="19" applyNumberFormat="1" applyFont="1" applyFill="1" applyBorder="1"/>
    <xf numFmtId="177" fontId="4" fillId="0" borderId="0" xfId="19" applyNumberFormat="1" applyFont="1" applyFill="1"/>
    <xf numFmtId="177" fontId="4" fillId="0" borderId="3" xfId="0" applyNumberFormat="1" applyFont="1" applyBorder="1"/>
    <xf numFmtId="0" fontId="5" fillId="0" borderId="0" xfId="18" applyFont="1" applyAlignment="1">
      <alignment horizontal="left"/>
    </xf>
    <xf numFmtId="0" fontId="4" fillId="0" borderId="0" xfId="18" quotePrefix="1" applyFont="1" applyAlignment="1">
      <alignment horizontal="left"/>
    </xf>
    <xf numFmtId="0" fontId="5" fillId="0" borderId="0" xfId="0" applyFont="1" applyAlignment="1">
      <alignment horizontal="centerContinuous" vertical="center"/>
    </xf>
    <xf numFmtId="0" fontId="4" fillId="0" borderId="0" xfId="0" quotePrefix="1" applyFont="1" applyAlignment="1">
      <alignment horizontal="center" vertical="center"/>
    </xf>
    <xf numFmtId="164" fontId="4" fillId="0" borderId="4" xfId="7" applyNumberFormat="1" applyFont="1" applyBorder="1" applyAlignment="1">
      <alignment horizontal="center"/>
    </xf>
    <xf numFmtId="164" fontId="4" fillId="0" borderId="0" xfId="7" applyNumberFormat="1" applyFont="1"/>
    <xf numFmtId="164" fontId="4" fillId="0" borderId="3" xfId="7" applyNumberFormat="1" applyFont="1" applyBorder="1" applyAlignment="1">
      <alignment horizontal="center"/>
    </xf>
    <xf numFmtId="165" fontId="4" fillId="0" borderId="2" xfId="0" applyNumberFormat="1" applyFont="1" applyBorder="1" applyAlignment="1">
      <alignment horizontal="right"/>
    </xf>
    <xf numFmtId="165" fontId="4" fillId="0" borderId="2" xfId="4" applyNumberFormat="1" applyFont="1" applyFill="1" applyBorder="1" applyAlignment="1">
      <alignment horizontal="right"/>
    </xf>
    <xf numFmtId="167" fontId="4" fillId="0" borderId="2" xfId="0" applyNumberFormat="1" applyFont="1" applyBorder="1" applyAlignment="1">
      <alignment horizontal="right"/>
    </xf>
    <xf numFmtId="165" fontId="4" fillId="0" borderId="2" xfId="0" applyNumberFormat="1" applyFont="1" applyFill="1" applyBorder="1" applyAlignment="1">
      <alignment horizontal="right"/>
    </xf>
    <xf numFmtId="0" fontId="4" fillId="0" borderId="1" xfId="0" applyFont="1" applyBorder="1" applyAlignment="1">
      <alignment horizontal="left"/>
    </xf>
    <xf numFmtId="165" fontId="4" fillId="0" borderId="0" xfId="0" applyNumberFormat="1" applyFont="1" applyBorder="1" applyAlignment="1">
      <alignment horizontal="center"/>
    </xf>
    <xf numFmtId="167" fontId="4" fillId="0" borderId="2" xfId="0" applyNumberFormat="1" applyFont="1" applyFill="1" applyBorder="1" applyAlignment="1">
      <alignment horizontal="right"/>
    </xf>
    <xf numFmtId="0" fontId="4" fillId="0" borderId="0" xfId="0" applyFont="1" applyAlignment="1">
      <alignment horizontal="left" indent="2"/>
    </xf>
    <xf numFmtId="0" fontId="4" fillId="0" borderId="0" xfId="0" quotePrefix="1" applyFont="1" applyAlignment="1">
      <alignment wrapText="1"/>
    </xf>
    <xf numFmtId="165" fontId="4" fillId="0" borderId="0" xfId="0" applyNumberFormat="1" applyFont="1"/>
    <xf numFmtId="165" fontId="4" fillId="0" borderId="0" xfId="0" applyNumberFormat="1" applyFont="1" applyBorder="1" applyAlignment="1">
      <alignment horizontal="right"/>
    </xf>
    <xf numFmtId="167" fontId="4" fillId="0" borderId="0" xfId="0" applyNumberFormat="1" applyFont="1" applyBorder="1" applyAlignment="1">
      <alignment horizontal="right"/>
    </xf>
    <xf numFmtId="165" fontId="4" fillId="0" borderId="0" xfId="0" applyNumberFormat="1" applyFont="1" applyFill="1" applyBorder="1" applyAlignment="1">
      <alignment horizontal="right"/>
    </xf>
    <xf numFmtId="37" fontId="5" fillId="0" borderId="0" xfId="0" applyNumberFormat="1" applyFont="1"/>
    <xf numFmtId="37" fontId="4" fillId="0" borderId="0" xfId="0" applyNumberFormat="1" applyFont="1"/>
    <xf numFmtId="171" fontId="4" fillId="0" borderId="1" xfId="4" applyNumberFormat="1" applyFont="1" applyFill="1" applyBorder="1" applyAlignment="1">
      <alignment horizontal="right"/>
    </xf>
    <xf numFmtId="37" fontId="4" fillId="0" borderId="0" xfId="0" applyNumberFormat="1" applyFont="1" applyAlignment="1">
      <alignment horizontal="left"/>
    </xf>
    <xf numFmtId="0" fontId="4" fillId="0" borderId="0" xfId="0" applyFont="1" applyAlignment="1">
      <alignment vertical="top" wrapText="1"/>
    </xf>
    <xf numFmtId="37" fontId="4" fillId="0" borderId="2" xfId="0" applyNumberFormat="1" applyFont="1" applyBorder="1" applyAlignment="1">
      <alignment horizontal="right"/>
    </xf>
    <xf numFmtId="177" fontId="4" fillId="0" borderId="2" xfId="7" applyNumberFormat="1" applyFont="1" applyFill="1" applyBorder="1" applyAlignment="1">
      <alignment horizontal="right"/>
    </xf>
    <xf numFmtId="177" fontId="4" fillId="0" borderId="0" xfId="7" applyNumberFormat="1" applyFont="1" applyFill="1" applyAlignment="1">
      <alignment horizontal="right"/>
    </xf>
    <xf numFmtId="0" fontId="4" fillId="0" borderId="0" xfId="0" quotePrefix="1" applyFont="1" applyAlignment="1">
      <alignment horizontal="center" vertical="top"/>
    </xf>
    <xf numFmtId="0" fontId="4" fillId="0" borderId="0" xfId="0" applyFont="1" applyAlignment="1">
      <alignment horizontal="right" vertical="top" wrapText="1"/>
    </xf>
    <xf numFmtId="44" fontId="4" fillId="0" borderId="3" xfId="6" applyFont="1" applyFill="1" applyBorder="1" applyAlignment="1">
      <alignment horizontal="right"/>
    </xf>
    <xf numFmtId="44" fontId="4" fillId="0" borderId="0" xfId="6" applyFont="1" applyFill="1" applyBorder="1" applyAlignment="1">
      <alignment horizontal="right"/>
    </xf>
    <xf numFmtId="44" fontId="4" fillId="0" borderId="3" xfId="6" applyFont="1" applyBorder="1" applyAlignment="1">
      <alignment horizontal="right"/>
    </xf>
    <xf numFmtId="44" fontId="4" fillId="0" borderId="0" xfId="6" applyFont="1" applyBorder="1" applyAlignment="1">
      <alignment horizontal="right"/>
    </xf>
    <xf numFmtId="177" fontId="4" fillId="0" borderId="0" xfId="7" applyNumberFormat="1" applyFont="1"/>
    <xf numFmtId="177" fontId="4" fillId="0" borderId="3" xfId="7" applyNumberFormat="1" applyFont="1" applyBorder="1" applyAlignment="1">
      <alignment horizontal="right"/>
    </xf>
    <xf numFmtId="164" fontId="4" fillId="0" borderId="0" xfId="7" applyNumberFormat="1" applyFont="1" applyFill="1" applyBorder="1" applyAlignment="1">
      <alignment horizontal="right"/>
    </xf>
    <xf numFmtId="170" fontId="4" fillId="0" borderId="0" xfId="0" applyNumberFormat="1" applyFont="1" applyAlignment="1">
      <alignment horizontal="right"/>
    </xf>
    <xf numFmtId="177" fontId="4" fillId="0" borderId="0" xfId="7" applyNumberFormat="1" applyFont="1" applyAlignment="1">
      <alignment horizontal="right"/>
    </xf>
    <xf numFmtId="43" fontId="4" fillId="0" borderId="1" xfId="0" applyNumberFormat="1" applyFont="1" applyBorder="1"/>
    <xf numFmtId="177" fontId="4" fillId="0" borderId="2" xfId="7" applyNumberFormat="1" applyFont="1" applyBorder="1" applyAlignment="1">
      <alignment horizontal="right"/>
    </xf>
    <xf numFmtId="191" fontId="4" fillId="2" borderId="2" xfId="1" applyNumberFormat="1" applyFont="1" applyFill="1" applyBorder="1" applyAlignment="1">
      <alignment horizontal="right"/>
    </xf>
    <xf numFmtId="165" fontId="4" fillId="0" borderId="3" xfId="0" applyNumberFormat="1" applyFont="1" applyFill="1" applyBorder="1"/>
    <xf numFmtId="0" fontId="4" fillId="0" borderId="0" xfId="0" applyFont="1" applyFill="1" applyProtection="1">
      <protection locked="0"/>
    </xf>
    <xf numFmtId="0" fontId="4" fillId="0" borderId="0" xfId="0" quotePrefix="1" applyFont="1" applyFill="1" applyAlignment="1" applyProtection="1">
      <alignment horizontal="center"/>
      <protection locked="0"/>
    </xf>
    <xf numFmtId="190" fontId="4" fillId="0" borderId="1" xfId="1" applyNumberFormat="1" applyFont="1" applyFill="1" applyBorder="1" applyAlignment="1">
      <alignment horizontal="right"/>
    </xf>
    <xf numFmtId="190" fontId="4" fillId="0" borderId="2" xfId="1" applyNumberFormat="1" applyFont="1" applyFill="1" applyBorder="1" applyAlignment="1">
      <alignment horizontal="right"/>
    </xf>
    <xf numFmtId="179" fontId="4" fillId="0" borderId="0" xfId="24" applyNumberFormat="1" applyFont="1" applyAlignment="1">
      <alignment horizontal="right"/>
    </xf>
    <xf numFmtId="170" fontId="4" fillId="0" borderId="0" xfId="2" applyNumberFormat="1" applyFont="1" applyAlignment="1">
      <alignment horizontal="right"/>
    </xf>
    <xf numFmtId="184" fontId="4" fillId="0" borderId="0" xfId="2" applyNumberFormat="1" applyFont="1" applyAlignment="1">
      <alignment horizontal="right"/>
    </xf>
    <xf numFmtId="181" fontId="4" fillId="0" borderId="1" xfId="2" applyNumberFormat="1" applyFont="1" applyFill="1" applyBorder="1"/>
    <xf numFmtId="0" fontId="4" fillId="0" borderId="1" xfId="3" applyFont="1" applyBorder="1" applyAlignment="1">
      <alignment horizontal="center"/>
    </xf>
    <xf numFmtId="0" fontId="4" fillId="0" borderId="1" xfId="3" applyFont="1" applyFill="1" applyBorder="1" applyAlignment="1">
      <alignment horizontal="center"/>
    </xf>
    <xf numFmtId="0" fontId="5" fillId="0" borderId="0" xfId="0" applyFont="1" applyFill="1" applyBorder="1" applyAlignment="1">
      <alignment horizontal="center"/>
    </xf>
    <xf numFmtId="0" fontId="4" fillId="0" borderId="1" xfId="3" applyFont="1" applyFill="1" applyBorder="1" applyAlignment="1">
      <alignment horizontal="center" wrapText="1"/>
    </xf>
    <xf numFmtId="0" fontId="4" fillId="0" borderId="0" xfId="2" applyFont="1" applyAlignment="1">
      <alignment horizontal="center" wrapText="1"/>
    </xf>
    <xf numFmtId="0" fontId="4" fillId="0" borderId="1" xfId="2" applyFont="1" applyBorder="1" applyAlignment="1">
      <alignment horizontal="center" wrapText="1"/>
    </xf>
    <xf numFmtId="0" fontId="5" fillId="0" borderId="0" xfId="2" applyFont="1" applyAlignment="1">
      <alignment horizontal="center"/>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1" xfId="0" applyFont="1" applyFill="1" applyBorder="1" applyAlignment="1">
      <alignment horizontal="center" wrapText="1"/>
    </xf>
    <xf numFmtId="0" fontId="4" fillId="0" borderId="0" xfId="2" applyFont="1" applyAlignment="1">
      <alignment horizontal="left" vertical="top" wrapText="1"/>
    </xf>
    <xf numFmtId="0" fontId="4" fillId="0" borderId="0" xfId="0" quotePrefix="1" applyFont="1" applyAlignment="1">
      <alignment horizontal="left" wrapText="1"/>
    </xf>
    <xf numFmtId="0" fontId="4" fillId="0" borderId="0" xfId="0" quotePrefix="1" applyFont="1" applyAlignment="1">
      <alignment horizontal="left"/>
    </xf>
    <xf numFmtId="0" fontId="4" fillId="0" borderId="0" xfId="0" applyFont="1" applyAlignment="1">
      <alignment horizontal="left"/>
    </xf>
    <xf numFmtId="0" fontId="5" fillId="0" borderId="0" xfId="0" applyFont="1" applyAlignment="1">
      <alignment horizontal="center"/>
    </xf>
    <xf numFmtId="0" fontId="4" fillId="0" borderId="1" xfId="0" applyFont="1" applyBorder="1" applyAlignment="1">
      <alignment horizontal="center"/>
    </xf>
    <xf numFmtId="15" fontId="5" fillId="0" borderId="0" xfId="0" applyNumberFormat="1" applyFont="1" applyAlignment="1">
      <alignment horizontal="center"/>
    </xf>
    <xf numFmtId="0" fontId="4" fillId="0" borderId="0" xfId="18" applyFont="1" applyAlignment="1">
      <alignment horizontal="center"/>
    </xf>
    <xf numFmtId="0" fontId="4" fillId="0" borderId="0" xfId="21" applyFont="1" applyAlignment="1">
      <alignment horizontal="centerContinuous"/>
    </xf>
    <xf numFmtId="0" fontId="4" fillId="0" borderId="0" xfId="21" applyFont="1"/>
    <xf numFmtId="0" fontId="4" fillId="0" borderId="0" xfId="21" applyFont="1" applyAlignment="1">
      <alignment horizontal="center"/>
    </xf>
    <xf numFmtId="0" fontId="4" fillId="0" borderId="0" xfId="21" applyFont="1" applyAlignment="1">
      <alignment horizontal="right"/>
    </xf>
    <xf numFmtId="0" fontId="5" fillId="0" borderId="0" xfId="21" applyFont="1" applyAlignment="1">
      <alignment horizontal="centerContinuous"/>
    </xf>
    <xf numFmtId="196" fontId="4" fillId="0" borderId="0" xfId="5" applyNumberFormat="1" applyFont="1" applyAlignment="1">
      <alignment horizontal="right"/>
    </xf>
    <xf numFmtId="0" fontId="4" fillId="0" borderId="0" xfId="0" quotePrefix="1" applyFont="1" applyFill="1" applyAlignment="1">
      <alignment horizontal="left"/>
    </xf>
    <xf numFmtId="0" fontId="4" fillId="0" borderId="0" xfId="0" quotePrefix="1" applyFont="1" applyFill="1" applyAlignment="1">
      <alignment vertical="top"/>
    </xf>
    <xf numFmtId="0" fontId="4" fillId="0" borderId="0" xfId="18" quotePrefix="1" applyFont="1" applyFill="1" applyAlignment="1">
      <alignment horizontal="left"/>
    </xf>
    <xf numFmtId="37" fontId="4" fillId="0" borderId="0" xfId="14" applyFont="1" applyFill="1" applyAlignment="1">
      <alignment horizontal="left"/>
    </xf>
    <xf numFmtId="0" fontId="4" fillId="0" borderId="1" xfId="3" applyFont="1" applyBorder="1" applyAlignment="1">
      <alignment horizontal="center"/>
    </xf>
    <xf numFmtId="0" fontId="4" fillId="0" borderId="1" xfId="3" applyFont="1" applyFill="1" applyBorder="1" applyAlignment="1">
      <alignment horizontal="center"/>
    </xf>
    <xf numFmtId="0" fontId="5" fillId="0" borderId="0" xfId="0" applyFont="1" applyFill="1" applyBorder="1" applyAlignment="1">
      <alignment horizontal="center"/>
    </xf>
    <xf numFmtId="0" fontId="5" fillId="0" borderId="0" xfId="2" applyFont="1" applyFill="1" applyAlignment="1">
      <alignment horizontal="center"/>
    </xf>
    <xf numFmtId="0" fontId="4" fillId="0" borderId="0" xfId="3" applyFont="1" applyFill="1" applyBorder="1" applyAlignment="1">
      <alignment horizontal="center" wrapText="1"/>
    </xf>
    <xf numFmtId="0" fontId="4" fillId="0" borderId="1" xfId="3" applyFont="1" applyFill="1" applyBorder="1" applyAlignment="1">
      <alignment horizontal="center" wrapText="1"/>
    </xf>
    <xf numFmtId="0" fontId="4" fillId="0" borderId="0" xfId="2" applyFont="1" applyAlignment="1">
      <alignment horizontal="center" wrapText="1"/>
    </xf>
    <xf numFmtId="0" fontId="4" fillId="0" borderId="1" xfId="2" applyFont="1" applyBorder="1" applyAlignment="1">
      <alignment horizontal="center" wrapText="1"/>
    </xf>
    <xf numFmtId="0" fontId="5" fillId="0" borderId="0" xfId="2" applyFont="1" applyAlignment="1">
      <alignment horizontal="center"/>
    </xf>
    <xf numFmtId="0" fontId="4" fillId="0" borderId="1" xfId="0" applyFont="1" applyFill="1" applyBorder="1" applyAlignment="1">
      <alignment horizontal="center"/>
    </xf>
    <xf numFmtId="0" fontId="5" fillId="0" borderId="0" xfId="0" applyFont="1" applyFill="1" applyAlignment="1">
      <alignment horizontal="center"/>
    </xf>
    <xf numFmtId="0" fontId="4" fillId="0" borderId="0" xfId="0" applyFont="1" applyFill="1" applyAlignment="1">
      <alignment horizontal="center" wrapText="1"/>
    </xf>
    <xf numFmtId="0" fontId="4" fillId="0" borderId="1" xfId="0" applyFont="1" applyFill="1" applyBorder="1" applyAlignment="1">
      <alignment horizontal="center" wrapText="1"/>
    </xf>
    <xf numFmtId="0" fontId="4" fillId="0" borderId="2" xfId="0" applyFont="1" applyFill="1" applyBorder="1" applyAlignment="1">
      <alignment horizontal="center"/>
    </xf>
    <xf numFmtId="0" fontId="4" fillId="0" borderId="0" xfId="0" applyFont="1" applyFill="1" applyAlignment="1">
      <alignment horizontal="left" wrapText="1"/>
    </xf>
    <xf numFmtId="0" fontId="4" fillId="0" borderId="0" xfId="2" quotePrefix="1" applyFont="1" applyFill="1" applyAlignment="1">
      <alignment horizontal="left" wrapText="1"/>
    </xf>
    <xf numFmtId="0" fontId="4" fillId="0" borderId="0" xfId="2" applyFont="1" applyAlignment="1">
      <alignment horizontal="left" vertical="top" wrapText="1"/>
    </xf>
    <xf numFmtId="0" fontId="4" fillId="0" borderId="0" xfId="0" quotePrefix="1" applyFont="1" applyAlignment="1">
      <alignment horizontal="left" wrapText="1"/>
    </xf>
    <xf numFmtId="0" fontId="4" fillId="0" borderId="0" xfId="0" quotePrefix="1" applyFont="1" applyAlignment="1">
      <alignment horizontal="left"/>
    </xf>
    <xf numFmtId="0" fontId="5" fillId="0" borderId="0" xfId="0" applyFont="1" applyAlignment="1">
      <alignment horizontal="center"/>
    </xf>
    <xf numFmtId="0" fontId="4" fillId="0" borderId="1" xfId="0" applyFont="1" applyBorder="1" applyAlignment="1">
      <alignment horizontal="center"/>
    </xf>
    <xf numFmtId="0" fontId="4" fillId="0" borderId="0" xfId="0" applyFont="1" applyAlignment="1">
      <alignment horizontal="left"/>
    </xf>
    <xf numFmtId="0" fontId="4" fillId="0" borderId="0" xfId="0" quotePrefix="1" applyFont="1" applyAlignment="1">
      <alignment horizontal="left" vertical="top" wrapText="1"/>
    </xf>
    <xf numFmtId="0" fontId="4" fillId="0" borderId="0" xfId="0" applyFont="1" applyAlignment="1">
      <alignment horizontal="left" vertical="top" wrapText="1"/>
    </xf>
    <xf numFmtId="15" fontId="5" fillId="0" borderId="0" xfId="0" applyNumberFormat="1" applyFont="1" applyAlignment="1">
      <alignment horizontal="center"/>
    </xf>
    <xf numFmtId="0" fontId="4" fillId="0" borderId="0" xfId="18" applyFont="1" applyAlignment="1">
      <alignment horizontal="center"/>
    </xf>
    <xf numFmtId="0" fontId="5" fillId="0" borderId="0" xfId="18" applyFont="1" applyAlignment="1">
      <alignment horizontal="center"/>
    </xf>
    <xf numFmtId="15" fontId="5" fillId="0" borderId="0" xfId="18" applyNumberFormat="1" applyFont="1" applyAlignment="1">
      <alignment horizontal="center"/>
    </xf>
    <xf numFmtId="0" fontId="4" fillId="0" borderId="0" xfId="0" quotePrefix="1" applyFont="1" applyFill="1" applyAlignment="1">
      <alignment horizontal="left" vertical="top" wrapText="1"/>
    </xf>
  </cellXfs>
  <cellStyles count="27">
    <cellStyle name="Comma" xfId="7" builtinId="3"/>
    <cellStyle name="Comma 10" xfId="4" xr:uid="{79B42F33-AD9D-45F1-A1D5-CF9D02C96880}"/>
    <cellStyle name="Comma 10 2 2" xfId="16" xr:uid="{EF9B46E7-963B-41BA-9F9C-F32FF3BDEE1C}"/>
    <cellStyle name="Comma 2" xfId="19" xr:uid="{0FA1B26D-1B10-40CB-AD5C-B5477D6B090E}"/>
    <cellStyle name="Comma 3" xfId="9" xr:uid="{C226BEE4-C46B-4016-B7A3-481487A94790}"/>
    <cellStyle name="Comma 4" xfId="24" xr:uid="{3E0EF15A-C4C3-4373-9C58-0CB69E0F62E1}"/>
    <cellStyle name="Comma 5 36" xfId="13" xr:uid="{7CCAF56C-5EAD-4ABC-8123-C10978242D0A}"/>
    <cellStyle name="Currency" xfId="6" builtinId="4"/>
    <cellStyle name="Currency 2" xfId="23" xr:uid="{A07B3587-6CDF-4922-BF63-93D94315EA2F}"/>
    <cellStyle name="Currency 3" xfId="25" xr:uid="{43A4BF93-68AE-4AA8-BBC2-A8C2F08FA750}"/>
    <cellStyle name="Normal" xfId="0" builtinId="0"/>
    <cellStyle name="Normal 10" xfId="5" xr:uid="{9A806827-BD73-4923-9066-BB23D0D9AEE5}"/>
    <cellStyle name="Normal 2" xfId="18" xr:uid="{A1412A93-2E40-46E8-BAD6-E7081DB3F662}"/>
    <cellStyle name="Normal 2 2" xfId="21" xr:uid="{AFD509B6-7182-4C61-8926-D849E5A57B66}"/>
    <cellStyle name="Normal 3" xfId="22" xr:uid="{0FA92ED5-9082-4A2E-A0D7-F6533542B7CA}"/>
    <cellStyle name="Normal 4 3" xfId="2" xr:uid="{F40D9BFE-D5FE-49AD-8C14-BE06707E12BB}"/>
    <cellStyle name="Normal 59" xfId="8" xr:uid="{440686CB-F0F7-4364-B3A0-3AA8B22C5793}"/>
    <cellStyle name="Normal 60" xfId="3" xr:uid="{DC98C82D-F7E8-41CD-B6FA-3CF744F91E73}"/>
    <cellStyle name="Normal 7 3 4" xfId="17" xr:uid="{85CFF354-51FE-4588-9CD7-DE4FD9A30963}"/>
    <cellStyle name="Normal 8" xfId="12" xr:uid="{7D96FD10-5629-476A-B5EE-E75A018D76E8}"/>
    <cellStyle name="Normal_C 1" xfId="14" xr:uid="{66468851-EF49-4388-B6E5-801ED46EE202}"/>
    <cellStyle name="Normal_EXH-H" xfId="26" xr:uid="{342448F3-E9C2-4AF6-B0A0-BB4D3B48D46C}"/>
    <cellStyle name="Normal_H3T2S4+S6_1" xfId="11" xr:uid="{20FBC598-CFCF-40D8-8EF6-B6C4A2E13FB0}"/>
    <cellStyle name="Normal_M 13" xfId="15" xr:uid="{3C27F8FC-3B3F-423E-926C-6C028BB6D973}"/>
    <cellStyle name="Percent" xfId="1" builtinId="5"/>
    <cellStyle name="Percent 2" xfId="10" xr:uid="{58881ED6-866D-4F72-BA49-9A2F1F21B89F}"/>
    <cellStyle name="Percent 2 2" xfId="20" xr:uid="{268E40D6-77A9-4F7E-B86D-E8FE5501DA1B}"/>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sites.enbridge.com/Rates/Annual%20Rates/2023/Union%20RZ/2023%20Rates%20DM%20(Apr%2022%20QRA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sites.enbridge.com/2024%20Rebasing/2024%20Cost%20of%20Service/1.%20Prefiled%20Evidence%20-%20Nov%202022/11.%20Nov%2030%20Filing%20-%20Models/2022-11-15%202024%20Exfran%20Model%20-%20Work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Detail Model"/>
      <sheetName val="DSM UR"/>
      <sheetName val="PDO UR"/>
      <sheetName val="ICM Rider"/>
      <sheetName val="Sch.6"/>
      <sheetName val="GasComm"/>
      <sheetName val="Supplementals"/>
      <sheetName val="Overrun"/>
      <sheetName val="Riders"/>
      <sheetName val="Pivots"/>
      <sheetName val="N-R20+Stor"/>
      <sheetName val="N-R100"/>
      <sheetName val="NorthVols"/>
      <sheetName val="U2"/>
      <sheetName val="Banner"/>
      <sheetName val="SouthDist"/>
      <sheetName val="SouthT"/>
      <sheetName val="North"/>
      <sheetName val="2023 Rates DM (Apr 22 QRAM)"/>
    </sheetNames>
    <sheetDataSet>
      <sheetData sheetId="0">
        <row r="3">
          <cell r="E3" t="str">
            <v>Filed: 2022-06-30</v>
          </cell>
        </row>
        <row r="6">
          <cell r="B6">
            <v>2023</v>
          </cell>
        </row>
      </sheetData>
      <sheetData sheetId="1">
        <row r="23">
          <cell r="BA23">
            <v>22.98</v>
          </cell>
        </row>
      </sheetData>
      <sheetData sheetId="2"/>
      <sheetData sheetId="3"/>
      <sheetData sheetId="4"/>
      <sheetData sheetId="5"/>
      <sheetData sheetId="6">
        <row r="17">
          <cell r="I17">
            <v>20.612300000000001</v>
          </cell>
        </row>
      </sheetData>
      <sheetData sheetId="7">
        <row r="104">
          <cell r="K104">
            <v>0.20849999999999999</v>
          </cell>
        </row>
      </sheetData>
      <sheetData sheetId="8"/>
      <sheetData sheetId="9">
        <row r="4">
          <cell r="O4">
            <v>44378</v>
          </cell>
        </row>
      </sheetData>
      <sheetData sheetId="10"/>
      <sheetData sheetId="11"/>
      <sheetData sheetId="12"/>
      <sheetData sheetId="13"/>
      <sheetData sheetId="14">
        <row r="14">
          <cell r="F14">
            <v>1.3169999999999999</v>
          </cell>
        </row>
      </sheetData>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Schedule - 2024"/>
      <sheetName val="Source Files"/>
      <sheetName val="Index"/>
      <sheetName val="Inputs"/>
      <sheetName val="Cost Input"/>
      <sheetName val="Revenue"/>
      <sheetName val="Forecast"/>
      <sheetName val="Harmonized DM"/>
      <sheetName val="Detail Model"/>
      <sheetName val="S&amp;T Margin p.1"/>
      <sheetName val="Harm. Appendix A"/>
      <sheetName val="Appendix A"/>
      <sheetName val="Summary Rates"/>
      <sheetName val="S&amp;T Margin p.2"/>
      <sheetName val="OR Rates"/>
      <sheetName val="M17 Demand"/>
      <sheetName val="M12 - BA"/>
      <sheetName val="M12 - Proposed"/>
      <sheetName val="M12 p.2"/>
      <sheetName val="F24-T"/>
      <sheetName val="M13"/>
      <sheetName val="M16 Cust"/>
      <sheetName val="M16 Comm"/>
      <sheetName val="M16 East Dem"/>
      <sheetName val="M17 Cust"/>
      <sheetName val="C1 Ojib Demand BA"/>
      <sheetName val="D-D Vector"/>
      <sheetName val="Heritage - HTLP"/>
      <sheetName val="PDCI"/>
      <sheetName val="2022-11-15 2024 Exfran Model -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3">
          <cell r="G23">
            <v>49500</v>
          </cell>
          <cell r="U23">
            <v>2.5113604084574739</v>
          </cell>
        </row>
        <row r="26">
          <cell r="U26">
            <v>3.4659904804556181</v>
          </cell>
        </row>
        <row r="85">
          <cell r="U85">
            <v>6.6401399005200359</v>
          </cell>
        </row>
        <row r="180">
          <cell r="U180">
            <v>469.19491635651599</v>
          </cell>
        </row>
        <row r="181">
          <cell r="U181">
            <v>1061.5791560403766</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E69A6-37C8-47A3-AD0F-E181A5077269}">
  <sheetPr codeName="Sheet2"/>
  <dimension ref="B2:R207"/>
  <sheetViews>
    <sheetView showGridLines="0" tabSelected="1" view="pageLayout" zoomScale="80" zoomScaleNormal="85" zoomScaleSheetLayoutView="70" zoomScalePageLayoutView="80" workbookViewId="0">
      <selection activeCell="B1" sqref="B1"/>
    </sheetView>
  </sheetViews>
  <sheetFormatPr defaultRowHeight="12.75" x14ac:dyDescent="0.2"/>
  <cols>
    <col min="1" max="1" width="1.7109375" style="1" customWidth="1"/>
    <col min="2" max="2" width="4.7109375" style="8" customWidth="1"/>
    <col min="3" max="3" width="1.7109375" style="1" customWidth="1"/>
    <col min="4" max="4" width="29.7109375" style="1" customWidth="1"/>
    <col min="5" max="5" width="1.7109375" style="1" customWidth="1"/>
    <col min="6" max="6" width="17.28515625" style="1" customWidth="1"/>
    <col min="7" max="7" width="14.42578125" style="1" customWidth="1"/>
    <col min="8" max="8" width="1.7109375" style="1" customWidth="1"/>
    <col min="9" max="11" width="14.42578125" style="1" customWidth="1"/>
    <col min="12" max="12" width="1.7109375" style="1" customWidth="1"/>
    <col min="13" max="14" width="14.42578125" style="1" customWidth="1"/>
    <col min="15" max="15" width="17" style="1" customWidth="1"/>
    <col min="16" max="17" width="14.42578125" style="1" customWidth="1"/>
    <col min="18" max="18" width="1.7109375" style="1" customWidth="1"/>
    <col min="19" max="213" width="8.7109375" style="1"/>
    <col min="214" max="214" width="4.5703125" style="1" customWidth="1"/>
    <col min="215" max="215" width="1" style="1" customWidth="1"/>
    <col min="216" max="216" width="18" style="1" customWidth="1"/>
    <col min="217" max="217" width="1.7109375" style="1" customWidth="1"/>
    <col min="218" max="218" width="12.5703125" style="1" customWidth="1"/>
    <col min="219" max="219" width="1.5703125" style="1" customWidth="1"/>
    <col min="220" max="220" width="9.5703125" style="1" customWidth="1"/>
    <col min="221" max="221" width="1.7109375" style="1" customWidth="1"/>
    <col min="222" max="222" width="11.7109375" style="1" customWidth="1"/>
    <col min="223" max="223" width="1.5703125" style="1" customWidth="1"/>
    <col min="224" max="224" width="10.28515625" style="1" customWidth="1"/>
    <col min="225" max="225" width="2" style="1" customWidth="1"/>
    <col min="226" max="226" width="9.5703125" style="1" customWidth="1"/>
    <col min="227" max="469" width="8.7109375" style="1"/>
    <col min="470" max="470" width="4.5703125" style="1" customWidth="1"/>
    <col min="471" max="471" width="1" style="1" customWidth="1"/>
    <col min="472" max="472" width="18" style="1" customWidth="1"/>
    <col min="473" max="473" width="1.7109375" style="1" customWidth="1"/>
    <col min="474" max="474" width="12.5703125" style="1" customWidth="1"/>
    <col min="475" max="475" width="1.5703125" style="1" customWidth="1"/>
    <col min="476" max="476" width="9.5703125" style="1" customWidth="1"/>
    <col min="477" max="477" width="1.7109375" style="1" customWidth="1"/>
    <col min="478" max="478" width="11.7109375" style="1" customWidth="1"/>
    <col min="479" max="479" width="1.5703125" style="1" customWidth="1"/>
    <col min="480" max="480" width="10.28515625" style="1" customWidth="1"/>
    <col min="481" max="481" width="2" style="1" customWidth="1"/>
    <col min="482" max="482" width="9.5703125" style="1" customWidth="1"/>
    <col min="483" max="725" width="8.7109375" style="1"/>
    <col min="726" max="726" width="4.5703125" style="1" customWidth="1"/>
    <col min="727" max="727" width="1" style="1" customWidth="1"/>
    <col min="728" max="728" width="18" style="1" customWidth="1"/>
    <col min="729" max="729" width="1.7109375" style="1" customWidth="1"/>
    <col min="730" max="730" width="12.5703125" style="1" customWidth="1"/>
    <col min="731" max="731" width="1.5703125" style="1" customWidth="1"/>
    <col min="732" max="732" width="9.5703125" style="1" customWidth="1"/>
    <col min="733" max="733" width="1.7109375" style="1" customWidth="1"/>
    <col min="734" max="734" width="11.7109375" style="1" customWidth="1"/>
    <col min="735" max="735" width="1.5703125" style="1" customWidth="1"/>
    <col min="736" max="736" width="10.28515625" style="1" customWidth="1"/>
    <col min="737" max="737" width="2" style="1" customWidth="1"/>
    <col min="738" max="738" width="9.5703125" style="1" customWidth="1"/>
    <col min="739" max="981" width="8.7109375" style="1"/>
    <col min="982" max="982" width="4.5703125" style="1" customWidth="1"/>
    <col min="983" max="983" width="1" style="1" customWidth="1"/>
    <col min="984" max="984" width="18" style="1" customWidth="1"/>
    <col min="985" max="985" width="1.7109375" style="1" customWidth="1"/>
    <col min="986" max="986" width="12.5703125" style="1" customWidth="1"/>
    <col min="987" max="987" width="1.5703125" style="1" customWidth="1"/>
    <col min="988" max="988" width="9.5703125" style="1" customWidth="1"/>
    <col min="989" max="989" width="1.7109375" style="1" customWidth="1"/>
    <col min="990" max="990" width="11.7109375" style="1" customWidth="1"/>
    <col min="991" max="991" width="1.5703125" style="1" customWidth="1"/>
    <col min="992" max="992" width="10.28515625" style="1" customWidth="1"/>
    <col min="993" max="993" width="2" style="1" customWidth="1"/>
    <col min="994" max="994" width="9.5703125" style="1" customWidth="1"/>
    <col min="995" max="1237" width="8.7109375" style="1"/>
    <col min="1238" max="1238" width="4.5703125" style="1" customWidth="1"/>
    <col min="1239" max="1239" width="1" style="1" customWidth="1"/>
    <col min="1240" max="1240" width="18" style="1" customWidth="1"/>
    <col min="1241" max="1241" width="1.7109375" style="1" customWidth="1"/>
    <col min="1242" max="1242" width="12.5703125" style="1" customWidth="1"/>
    <col min="1243" max="1243" width="1.5703125" style="1" customWidth="1"/>
    <col min="1244" max="1244" width="9.5703125" style="1" customWidth="1"/>
    <col min="1245" max="1245" width="1.7109375" style="1" customWidth="1"/>
    <col min="1246" max="1246" width="11.7109375" style="1" customWidth="1"/>
    <col min="1247" max="1247" width="1.5703125" style="1" customWidth="1"/>
    <col min="1248" max="1248" width="10.28515625" style="1" customWidth="1"/>
    <col min="1249" max="1249" width="2" style="1" customWidth="1"/>
    <col min="1250" max="1250" width="9.5703125" style="1" customWidth="1"/>
    <col min="1251" max="1493" width="8.7109375" style="1"/>
    <col min="1494" max="1494" width="4.5703125" style="1" customWidth="1"/>
    <col min="1495" max="1495" width="1" style="1" customWidth="1"/>
    <col min="1496" max="1496" width="18" style="1" customWidth="1"/>
    <col min="1497" max="1497" width="1.7109375" style="1" customWidth="1"/>
    <col min="1498" max="1498" width="12.5703125" style="1" customWidth="1"/>
    <col min="1499" max="1499" width="1.5703125" style="1" customWidth="1"/>
    <col min="1500" max="1500" width="9.5703125" style="1" customWidth="1"/>
    <col min="1501" max="1501" width="1.7109375" style="1" customWidth="1"/>
    <col min="1502" max="1502" width="11.7109375" style="1" customWidth="1"/>
    <col min="1503" max="1503" width="1.5703125" style="1" customWidth="1"/>
    <col min="1504" max="1504" width="10.28515625" style="1" customWidth="1"/>
    <col min="1505" max="1505" width="2" style="1" customWidth="1"/>
    <col min="1506" max="1506" width="9.5703125" style="1" customWidth="1"/>
    <col min="1507" max="1749" width="8.7109375" style="1"/>
    <col min="1750" max="1750" width="4.5703125" style="1" customWidth="1"/>
    <col min="1751" max="1751" width="1" style="1" customWidth="1"/>
    <col min="1752" max="1752" width="18" style="1" customWidth="1"/>
    <col min="1753" max="1753" width="1.7109375" style="1" customWidth="1"/>
    <col min="1754" max="1754" width="12.5703125" style="1" customWidth="1"/>
    <col min="1755" max="1755" width="1.5703125" style="1" customWidth="1"/>
    <col min="1756" max="1756" width="9.5703125" style="1" customWidth="1"/>
    <col min="1757" max="1757" width="1.7109375" style="1" customWidth="1"/>
    <col min="1758" max="1758" width="11.7109375" style="1" customWidth="1"/>
    <col min="1759" max="1759" width="1.5703125" style="1" customWidth="1"/>
    <col min="1760" max="1760" width="10.28515625" style="1" customWidth="1"/>
    <col min="1761" max="1761" width="2" style="1" customWidth="1"/>
    <col min="1762" max="1762" width="9.5703125" style="1" customWidth="1"/>
    <col min="1763" max="2005" width="8.7109375" style="1"/>
    <col min="2006" max="2006" width="4.5703125" style="1" customWidth="1"/>
    <col min="2007" max="2007" width="1" style="1" customWidth="1"/>
    <col min="2008" max="2008" width="18" style="1" customWidth="1"/>
    <col min="2009" max="2009" width="1.7109375" style="1" customWidth="1"/>
    <col min="2010" max="2010" width="12.5703125" style="1" customWidth="1"/>
    <col min="2011" max="2011" width="1.5703125" style="1" customWidth="1"/>
    <col min="2012" max="2012" width="9.5703125" style="1" customWidth="1"/>
    <col min="2013" max="2013" width="1.7109375" style="1" customWidth="1"/>
    <col min="2014" max="2014" width="11.7109375" style="1" customWidth="1"/>
    <col min="2015" max="2015" width="1.5703125" style="1" customWidth="1"/>
    <col min="2016" max="2016" width="10.28515625" style="1" customWidth="1"/>
    <col min="2017" max="2017" width="2" style="1" customWidth="1"/>
    <col min="2018" max="2018" width="9.5703125" style="1" customWidth="1"/>
    <col min="2019" max="2261" width="8.7109375" style="1"/>
    <col min="2262" max="2262" width="4.5703125" style="1" customWidth="1"/>
    <col min="2263" max="2263" width="1" style="1" customWidth="1"/>
    <col min="2264" max="2264" width="18" style="1" customWidth="1"/>
    <col min="2265" max="2265" width="1.7109375" style="1" customWidth="1"/>
    <col min="2266" max="2266" width="12.5703125" style="1" customWidth="1"/>
    <col min="2267" max="2267" width="1.5703125" style="1" customWidth="1"/>
    <col min="2268" max="2268" width="9.5703125" style="1" customWidth="1"/>
    <col min="2269" max="2269" width="1.7109375" style="1" customWidth="1"/>
    <col min="2270" max="2270" width="11.7109375" style="1" customWidth="1"/>
    <col min="2271" max="2271" width="1.5703125" style="1" customWidth="1"/>
    <col min="2272" max="2272" width="10.28515625" style="1" customWidth="1"/>
    <col min="2273" max="2273" width="2" style="1" customWidth="1"/>
    <col min="2274" max="2274" width="9.5703125" style="1" customWidth="1"/>
    <col min="2275" max="2517" width="8.7109375" style="1"/>
    <col min="2518" max="2518" width="4.5703125" style="1" customWidth="1"/>
    <col min="2519" max="2519" width="1" style="1" customWidth="1"/>
    <col min="2520" max="2520" width="18" style="1" customWidth="1"/>
    <col min="2521" max="2521" width="1.7109375" style="1" customWidth="1"/>
    <col min="2522" max="2522" width="12.5703125" style="1" customWidth="1"/>
    <col min="2523" max="2523" width="1.5703125" style="1" customWidth="1"/>
    <col min="2524" max="2524" width="9.5703125" style="1" customWidth="1"/>
    <col min="2525" max="2525" width="1.7109375" style="1" customWidth="1"/>
    <col min="2526" max="2526" width="11.7109375" style="1" customWidth="1"/>
    <col min="2527" max="2527" width="1.5703125" style="1" customWidth="1"/>
    <col min="2528" max="2528" width="10.28515625" style="1" customWidth="1"/>
    <col min="2529" max="2529" width="2" style="1" customWidth="1"/>
    <col min="2530" max="2530" width="9.5703125" style="1" customWidth="1"/>
    <col min="2531" max="2773" width="8.7109375" style="1"/>
    <col min="2774" max="2774" width="4.5703125" style="1" customWidth="1"/>
    <col min="2775" max="2775" width="1" style="1" customWidth="1"/>
    <col min="2776" max="2776" width="18" style="1" customWidth="1"/>
    <col min="2777" max="2777" width="1.7109375" style="1" customWidth="1"/>
    <col min="2778" max="2778" width="12.5703125" style="1" customWidth="1"/>
    <col min="2779" max="2779" width="1.5703125" style="1" customWidth="1"/>
    <col min="2780" max="2780" width="9.5703125" style="1" customWidth="1"/>
    <col min="2781" max="2781" width="1.7109375" style="1" customWidth="1"/>
    <col min="2782" max="2782" width="11.7109375" style="1" customWidth="1"/>
    <col min="2783" max="2783" width="1.5703125" style="1" customWidth="1"/>
    <col min="2784" max="2784" width="10.28515625" style="1" customWidth="1"/>
    <col min="2785" max="2785" width="2" style="1" customWidth="1"/>
    <col min="2786" max="2786" width="9.5703125" style="1" customWidth="1"/>
    <col min="2787" max="3029" width="8.7109375" style="1"/>
    <col min="3030" max="3030" width="4.5703125" style="1" customWidth="1"/>
    <col min="3031" max="3031" width="1" style="1" customWidth="1"/>
    <col min="3032" max="3032" width="18" style="1" customWidth="1"/>
    <col min="3033" max="3033" width="1.7109375" style="1" customWidth="1"/>
    <col min="3034" max="3034" width="12.5703125" style="1" customWidth="1"/>
    <col min="3035" max="3035" width="1.5703125" style="1" customWidth="1"/>
    <col min="3036" max="3036" width="9.5703125" style="1" customWidth="1"/>
    <col min="3037" max="3037" width="1.7109375" style="1" customWidth="1"/>
    <col min="3038" max="3038" width="11.7109375" style="1" customWidth="1"/>
    <col min="3039" max="3039" width="1.5703125" style="1" customWidth="1"/>
    <col min="3040" max="3040" width="10.28515625" style="1" customWidth="1"/>
    <col min="3041" max="3041" width="2" style="1" customWidth="1"/>
    <col min="3042" max="3042" width="9.5703125" style="1" customWidth="1"/>
    <col min="3043" max="3285" width="8.7109375" style="1"/>
    <col min="3286" max="3286" width="4.5703125" style="1" customWidth="1"/>
    <col min="3287" max="3287" width="1" style="1" customWidth="1"/>
    <col min="3288" max="3288" width="18" style="1" customWidth="1"/>
    <col min="3289" max="3289" width="1.7109375" style="1" customWidth="1"/>
    <col min="3290" max="3290" width="12.5703125" style="1" customWidth="1"/>
    <col min="3291" max="3291" width="1.5703125" style="1" customWidth="1"/>
    <col min="3292" max="3292" width="9.5703125" style="1" customWidth="1"/>
    <col min="3293" max="3293" width="1.7109375" style="1" customWidth="1"/>
    <col min="3294" max="3294" width="11.7109375" style="1" customWidth="1"/>
    <col min="3295" max="3295" width="1.5703125" style="1" customWidth="1"/>
    <col min="3296" max="3296" width="10.28515625" style="1" customWidth="1"/>
    <col min="3297" max="3297" width="2" style="1" customWidth="1"/>
    <col min="3298" max="3298" width="9.5703125" style="1" customWidth="1"/>
    <col min="3299" max="3541" width="8.7109375" style="1"/>
    <col min="3542" max="3542" width="4.5703125" style="1" customWidth="1"/>
    <col min="3543" max="3543" width="1" style="1" customWidth="1"/>
    <col min="3544" max="3544" width="18" style="1" customWidth="1"/>
    <col min="3545" max="3545" width="1.7109375" style="1" customWidth="1"/>
    <col min="3546" max="3546" width="12.5703125" style="1" customWidth="1"/>
    <col min="3547" max="3547" width="1.5703125" style="1" customWidth="1"/>
    <col min="3548" max="3548" width="9.5703125" style="1" customWidth="1"/>
    <col min="3549" max="3549" width="1.7109375" style="1" customWidth="1"/>
    <col min="3550" max="3550" width="11.7109375" style="1" customWidth="1"/>
    <col min="3551" max="3551" width="1.5703125" style="1" customWidth="1"/>
    <col min="3552" max="3552" width="10.28515625" style="1" customWidth="1"/>
    <col min="3553" max="3553" width="2" style="1" customWidth="1"/>
    <col min="3554" max="3554" width="9.5703125" style="1" customWidth="1"/>
    <col min="3555" max="3797" width="8.7109375" style="1"/>
    <col min="3798" max="3798" width="4.5703125" style="1" customWidth="1"/>
    <col min="3799" max="3799" width="1" style="1" customWidth="1"/>
    <col min="3800" max="3800" width="18" style="1" customWidth="1"/>
    <col min="3801" max="3801" width="1.7109375" style="1" customWidth="1"/>
    <col min="3802" max="3802" width="12.5703125" style="1" customWidth="1"/>
    <col min="3803" max="3803" width="1.5703125" style="1" customWidth="1"/>
    <col min="3804" max="3804" width="9.5703125" style="1" customWidth="1"/>
    <col min="3805" max="3805" width="1.7109375" style="1" customWidth="1"/>
    <col min="3806" max="3806" width="11.7109375" style="1" customWidth="1"/>
    <col min="3807" max="3807" width="1.5703125" style="1" customWidth="1"/>
    <col min="3808" max="3808" width="10.28515625" style="1" customWidth="1"/>
    <col min="3809" max="3809" width="2" style="1" customWidth="1"/>
    <col min="3810" max="3810" width="9.5703125" style="1" customWidth="1"/>
    <col min="3811" max="4053" width="8.7109375" style="1"/>
    <col min="4054" max="4054" width="4.5703125" style="1" customWidth="1"/>
    <col min="4055" max="4055" width="1" style="1" customWidth="1"/>
    <col min="4056" max="4056" width="18" style="1" customWidth="1"/>
    <col min="4057" max="4057" width="1.7109375" style="1" customWidth="1"/>
    <col min="4058" max="4058" width="12.5703125" style="1" customWidth="1"/>
    <col min="4059" max="4059" width="1.5703125" style="1" customWidth="1"/>
    <col min="4060" max="4060" width="9.5703125" style="1" customWidth="1"/>
    <col min="4061" max="4061" width="1.7109375" style="1" customWidth="1"/>
    <col min="4062" max="4062" width="11.7109375" style="1" customWidth="1"/>
    <col min="4063" max="4063" width="1.5703125" style="1" customWidth="1"/>
    <col min="4064" max="4064" width="10.28515625" style="1" customWidth="1"/>
    <col min="4065" max="4065" width="2" style="1" customWidth="1"/>
    <col min="4066" max="4066" width="9.5703125" style="1" customWidth="1"/>
    <col min="4067" max="4309" width="8.7109375" style="1"/>
    <col min="4310" max="4310" width="4.5703125" style="1" customWidth="1"/>
    <col min="4311" max="4311" width="1" style="1" customWidth="1"/>
    <col min="4312" max="4312" width="18" style="1" customWidth="1"/>
    <col min="4313" max="4313" width="1.7109375" style="1" customWidth="1"/>
    <col min="4314" max="4314" width="12.5703125" style="1" customWidth="1"/>
    <col min="4315" max="4315" width="1.5703125" style="1" customWidth="1"/>
    <col min="4316" max="4316" width="9.5703125" style="1" customWidth="1"/>
    <col min="4317" max="4317" width="1.7109375" style="1" customWidth="1"/>
    <col min="4318" max="4318" width="11.7109375" style="1" customWidth="1"/>
    <col min="4319" max="4319" width="1.5703125" style="1" customWidth="1"/>
    <col min="4320" max="4320" width="10.28515625" style="1" customWidth="1"/>
    <col min="4321" max="4321" width="2" style="1" customWidth="1"/>
    <col min="4322" max="4322" width="9.5703125" style="1" customWidth="1"/>
    <col min="4323" max="4565" width="8.7109375" style="1"/>
    <col min="4566" max="4566" width="4.5703125" style="1" customWidth="1"/>
    <col min="4567" max="4567" width="1" style="1" customWidth="1"/>
    <col min="4568" max="4568" width="18" style="1" customWidth="1"/>
    <col min="4569" max="4569" width="1.7109375" style="1" customWidth="1"/>
    <col min="4570" max="4570" width="12.5703125" style="1" customWidth="1"/>
    <col min="4571" max="4571" width="1.5703125" style="1" customWidth="1"/>
    <col min="4572" max="4572" width="9.5703125" style="1" customWidth="1"/>
    <col min="4573" max="4573" width="1.7109375" style="1" customWidth="1"/>
    <col min="4574" max="4574" width="11.7109375" style="1" customWidth="1"/>
    <col min="4575" max="4575" width="1.5703125" style="1" customWidth="1"/>
    <col min="4576" max="4576" width="10.28515625" style="1" customWidth="1"/>
    <col min="4577" max="4577" width="2" style="1" customWidth="1"/>
    <col min="4578" max="4578" width="9.5703125" style="1" customWidth="1"/>
    <col min="4579" max="4821" width="8.7109375" style="1"/>
    <col min="4822" max="4822" width="4.5703125" style="1" customWidth="1"/>
    <col min="4823" max="4823" width="1" style="1" customWidth="1"/>
    <col min="4824" max="4824" width="18" style="1" customWidth="1"/>
    <col min="4825" max="4825" width="1.7109375" style="1" customWidth="1"/>
    <col min="4826" max="4826" width="12.5703125" style="1" customWidth="1"/>
    <col min="4827" max="4827" width="1.5703125" style="1" customWidth="1"/>
    <col min="4828" max="4828" width="9.5703125" style="1" customWidth="1"/>
    <col min="4829" max="4829" width="1.7109375" style="1" customWidth="1"/>
    <col min="4830" max="4830" width="11.7109375" style="1" customWidth="1"/>
    <col min="4831" max="4831" width="1.5703125" style="1" customWidth="1"/>
    <col min="4832" max="4832" width="10.28515625" style="1" customWidth="1"/>
    <col min="4833" max="4833" width="2" style="1" customWidth="1"/>
    <col min="4834" max="4834" width="9.5703125" style="1" customWidth="1"/>
    <col min="4835" max="5077" width="8.7109375" style="1"/>
    <col min="5078" max="5078" width="4.5703125" style="1" customWidth="1"/>
    <col min="5079" max="5079" width="1" style="1" customWidth="1"/>
    <col min="5080" max="5080" width="18" style="1" customWidth="1"/>
    <col min="5081" max="5081" width="1.7109375" style="1" customWidth="1"/>
    <col min="5082" max="5082" width="12.5703125" style="1" customWidth="1"/>
    <col min="5083" max="5083" width="1.5703125" style="1" customWidth="1"/>
    <col min="5084" max="5084" width="9.5703125" style="1" customWidth="1"/>
    <col min="5085" max="5085" width="1.7109375" style="1" customWidth="1"/>
    <col min="5086" max="5086" width="11.7109375" style="1" customWidth="1"/>
    <col min="5087" max="5087" width="1.5703125" style="1" customWidth="1"/>
    <col min="5088" max="5088" width="10.28515625" style="1" customWidth="1"/>
    <col min="5089" max="5089" width="2" style="1" customWidth="1"/>
    <col min="5090" max="5090" width="9.5703125" style="1" customWidth="1"/>
    <col min="5091" max="5333" width="8.7109375" style="1"/>
    <col min="5334" max="5334" width="4.5703125" style="1" customWidth="1"/>
    <col min="5335" max="5335" width="1" style="1" customWidth="1"/>
    <col min="5336" max="5336" width="18" style="1" customWidth="1"/>
    <col min="5337" max="5337" width="1.7109375" style="1" customWidth="1"/>
    <col min="5338" max="5338" width="12.5703125" style="1" customWidth="1"/>
    <col min="5339" max="5339" width="1.5703125" style="1" customWidth="1"/>
    <col min="5340" max="5340" width="9.5703125" style="1" customWidth="1"/>
    <col min="5341" max="5341" width="1.7109375" style="1" customWidth="1"/>
    <col min="5342" max="5342" width="11.7109375" style="1" customWidth="1"/>
    <col min="5343" max="5343" width="1.5703125" style="1" customWidth="1"/>
    <col min="5344" max="5344" width="10.28515625" style="1" customWidth="1"/>
    <col min="5345" max="5345" width="2" style="1" customWidth="1"/>
    <col min="5346" max="5346" width="9.5703125" style="1" customWidth="1"/>
    <col min="5347" max="5589" width="8.7109375" style="1"/>
    <col min="5590" max="5590" width="4.5703125" style="1" customWidth="1"/>
    <col min="5591" max="5591" width="1" style="1" customWidth="1"/>
    <col min="5592" max="5592" width="18" style="1" customWidth="1"/>
    <col min="5593" max="5593" width="1.7109375" style="1" customWidth="1"/>
    <col min="5594" max="5594" width="12.5703125" style="1" customWidth="1"/>
    <col min="5595" max="5595" width="1.5703125" style="1" customWidth="1"/>
    <col min="5596" max="5596" width="9.5703125" style="1" customWidth="1"/>
    <col min="5597" max="5597" width="1.7109375" style="1" customWidth="1"/>
    <col min="5598" max="5598" width="11.7109375" style="1" customWidth="1"/>
    <col min="5599" max="5599" width="1.5703125" style="1" customWidth="1"/>
    <col min="5600" max="5600" width="10.28515625" style="1" customWidth="1"/>
    <col min="5601" max="5601" width="2" style="1" customWidth="1"/>
    <col min="5602" max="5602" width="9.5703125" style="1" customWidth="1"/>
    <col min="5603" max="5845" width="8.7109375" style="1"/>
    <col min="5846" max="5846" width="4.5703125" style="1" customWidth="1"/>
    <col min="5847" max="5847" width="1" style="1" customWidth="1"/>
    <col min="5848" max="5848" width="18" style="1" customWidth="1"/>
    <col min="5849" max="5849" width="1.7109375" style="1" customWidth="1"/>
    <col min="5850" max="5850" width="12.5703125" style="1" customWidth="1"/>
    <col min="5851" max="5851" width="1.5703125" style="1" customWidth="1"/>
    <col min="5852" max="5852" width="9.5703125" style="1" customWidth="1"/>
    <col min="5853" max="5853" width="1.7109375" style="1" customWidth="1"/>
    <col min="5854" max="5854" width="11.7109375" style="1" customWidth="1"/>
    <col min="5855" max="5855" width="1.5703125" style="1" customWidth="1"/>
    <col min="5856" max="5856" width="10.28515625" style="1" customWidth="1"/>
    <col min="5857" max="5857" width="2" style="1" customWidth="1"/>
    <col min="5858" max="5858" width="9.5703125" style="1" customWidth="1"/>
    <col min="5859" max="6101" width="8.7109375" style="1"/>
    <col min="6102" max="6102" width="4.5703125" style="1" customWidth="1"/>
    <col min="6103" max="6103" width="1" style="1" customWidth="1"/>
    <col min="6104" max="6104" width="18" style="1" customWidth="1"/>
    <col min="6105" max="6105" width="1.7109375" style="1" customWidth="1"/>
    <col min="6106" max="6106" width="12.5703125" style="1" customWidth="1"/>
    <col min="6107" max="6107" width="1.5703125" style="1" customWidth="1"/>
    <col min="6108" max="6108" width="9.5703125" style="1" customWidth="1"/>
    <col min="6109" max="6109" width="1.7109375" style="1" customWidth="1"/>
    <col min="6110" max="6110" width="11.7109375" style="1" customWidth="1"/>
    <col min="6111" max="6111" width="1.5703125" style="1" customWidth="1"/>
    <col min="6112" max="6112" width="10.28515625" style="1" customWidth="1"/>
    <col min="6113" max="6113" width="2" style="1" customWidth="1"/>
    <col min="6114" max="6114" width="9.5703125" style="1" customWidth="1"/>
    <col min="6115" max="6357" width="8.7109375" style="1"/>
    <col min="6358" max="6358" width="4.5703125" style="1" customWidth="1"/>
    <col min="6359" max="6359" width="1" style="1" customWidth="1"/>
    <col min="6360" max="6360" width="18" style="1" customWidth="1"/>
    <col min="6361" max="6361" width="1.7109375" style="1" customWidth="1"/>
    <col min="6362" max="6362" width="12.5703125" style="1" customWidth="1"/>
    <col min="6363" max="6363" width="1.5703125" style="1" customWidth="1"/>
    <col min="6364" max="6364" width="9.5703125" style="1" customWidth="1"/>
    <col min="6365" max="6365" width="1.7109375" style="1" customWidth="1"/>
    <col min="6366" max="6366" width="11.7109375" style="1" customWidth="1"/>
    <col min="6367" max="6367" width="1.5703125" style="1" customWidth="1"/>
    <col min="6368" max="6368" width="10.28515625" style="1" customWidth="1"/>
    <col min="6369" max="6369" width="2" style="1" customWidth="1"/>
    <col min="6370" max="6370" width="9.5703125" style="1" customWidth="1"/>
    <col min="6371" max="6613" width="8.7109375" style="1"/>
    <col min="6614" max="6614" width="4.5703125" style="1" customWidth="1"/>
    <col min="6615" max="6615" width="1" style="1" customWidth="1"/>
    <col min="6616" max="6616" width="18" style="1" customWidth="1"/>
    <col min="6617" max="6617" width="1.7109375" style="1" customWidth="1"/>
    <col min="6618" max="6618" width="12.5703125" style="1" customWidth="1"/>
    <col min="6619" max="6619" width="1.5703125" style="1" customWidth="1"/>
    <col min="6620" max="6620" width="9.5703125" style="1" customWidth="1"/>
    <col min="6621" max="6621" width="1.7109375" style="1" customWidth="1"/>
    <col min="6622" max="6622" width="11.7109375" style="1" customWidth="1"/>
    <col min="6623" max="6623" width="1.5703125" style="1" customWidth="1"/>
    <col min="6624" max="6624" width="10.28515625" style="1" customWidth="1"/>
    <col min="6625" max="6625" width="2" style="1" customWidth="1"/>
    <col min="6626" max="6626" width="9.5703125" style="1" customWidth="1"/>
    <col min="6627" max="6869" width="8.7109375" style="1"/>
    <col min="6870" max="6870" width="4.5703125" style="1" customWidth="1"/>
    <col min="6871" max="6871" width="1" style="1" customWidth="1"/>
    <col min="6872" max="6872" width="18" style="1" customWidth="1"/>
    <col min="6873" max="6873" width="1.7109375" style="1" customWidth="1"/>
    <col min="6874" max="6874" width="12.5703125" style="1" customWidth="1"/>
    <col min="6875" max="6875" width="1.5703125" style="1" customWidth="1"/>
    <col min="6876" max="6876" width="9.5703125" style="1" customWidth="1"/>
    <col min="6877" max="6877" width="1.7109375" style="1" customWidth="1"/>
    <col min="6878" max="6878" width="11.7109375" style="1" customWidth="1"/>
    <col min="6879" max="6879" width="1.5703125" style="1" customWidth="1"/>
    <col min="6880" max="6880" width="10.28515625" style="1" customWidth="1"/>
    <col min="6881" max="6881" width="2" style="1" customWidth="1"/>
    <col min="6882" max="6882" width="9.5703125" style="1" customWidth="1"/>
    <col min="6883" max="7125" width="8.7109375" style="1"/>
    <col min="7126" max="7126" width="4.5703125" style="1" customWidth="1"/>
    <col min="7127" max="7127" width="1" style="1" customWidth="1"/>
    <col min="7128" max="7128" width="18" style="1" customWidth="1"/>
    <col min="7129" max="7129" width="1.7109375" style="1" customWidth="1"/>
    <col min="7130" max="7130" width="12.5703125" style="1" customWidth="1"/>
    <col min="7131" max="7131" width="1.5703125" style="1" customWidth="1"/>
    <col min="7132" max="7132" width="9.5703125" style="1" customWidth="1"/>
    <col min="7133" max="7133" width="1.7109375" style="1" customWidth="1"/>
    <col min="7134" max="7134" width="11.7109375" style="1" customWidth="1"/>
    <col min="7135" max="7135" width="1.5703125" style="1" customWidth="1"/>
    <col min="7136" max="7136" width="10.28515625" style="1" customWidth="1"/>
    <col min="7137" max="7137" width="2" style="1" customWidth="1"/>
    <col min="7138" max="7138" width="9.5703125" style="1" customWidth="1"/>
    <col min="7139" max="7381" width="8.7109375" style="1"/>
    <col min="7382" max="7382" width="4.5703125" style="1" customWidth="1"/>
    <col min="7383" max="7383" width="1" style="1" customWidth="1"/>
    <col min="7384" max="7384" width="18" style="1" customWidth="1"/>
    <col min="7385" max="7385" width="1.7109375" style="1" customWidth="1"/>
    <col min="7386" max="7386" width="12.5703125" style="1" customWidth="1"/>
    <col min="7387" max="7387" width="1.5703125" style="1" customWidth="1"/>
    <col min="7388" max="7388" width="9.5703125" style="1" customWidth="1"/>
    <col min="7389" max="7389" width="1.7109375" style="1" customWidth="1"/>
    <col min="7390" max="7390" width="11.7109375" style="1" customWidth="1"/>
    <col min="7391" max="7391" width="1.5703125" style="1" customWidth="1"/>
    <col min="7392" max="7392" width="10.28515625" style="1" customWidth="1"/>
    <col min="7393" max="7393" width="2" style="1" customWidth="1"/>
    <col min="7394" max="7394" width="9.5703125" style="1" customWidth="1"/>
    <col min="7395" max="7637" width="8.7109375" style="1"/>
    <col min="7638" max="7638" width="4.5703125" style="1" customWidth="1"/>
    <col min="7639" max="7639" width="1" style="1" customWidth="1"/>
    <col min="7640" max="7640" width="18" style="1" customWidth="1"/>
    <col min="7641" max="7641" width="1.7109375" style="1" customWidth="1"/>
    <col min="7642" max="7642" width="12.5703125" style="1" customWidth="1"/>
    <col min="7643" max="7643" width="1.5703125" style="1" customWidth="1"/>
    <col min="7644" max="7644" width="9.5703125" style="1" customWidth="1"/>
    <col min="7645" max="7645" width="1.7109375" style="1" customWidth="1"/>
    <col min="7646" max="7646" width="11.7109375" style="1" customWidth="1"/>
    <col min="7647" max="7647" width="1.5703125" style="1" customWidth="1"/>
    <col min="7648" max="7648" width="10.28515625" style="1" customWidth="1"/>
    <col min="7649" max="7649" width="2" style="1" customWidth="1"/>
    <col min="7650" max="7650" width="9.5703125" style="1" customWidth="1"/>
    <col min="7651" max="7893" width="8.7109375" style="1"/>
    <col min="7894" max="7894" width="4.5703125" style="1" customWidth="1"/>
    <col min="7895" max="7895" width="1" style="1" customWidth="1"/>
    <col min="7896" max="7896" width="18" style="1" customWidth="1"/>
    <col min="7897" max="7897" width="1.7109375" style="1" customWidth="1"/>
    <col min="7898" max="7898" width="12.5703125" style="1" customWidth="1"/>
    <col min="7899" max="7899" width="1.5703125" style="1" customWidth="1"/>
    <col min="7900" max="7900" width="9.5703125" style="1" customWidth="1"/>
    <col min="7901" max="7901" width="1.7109375" style="1" customWidth="1"/>
    <col min="7902" max="7902" width="11.7109375" style="1" customWidth="1"/>
    <col min="7903" max="7903" width="1.5703125" style="1" customWidth="1"/>
    <col min="7904" max="7904" width="10.28515625" style="1" customWidth="1"/>
    <col min="7905" max="7905" width="2" style="1" customWidth="1"/>
    <col min="7906" max="7906" width="9.5703125" style="1" customWidth="1"/>
    <col min="7907" max="8149" width="8.7109375" style="1"/>
    <col min="8150" max="8150" width="4.5703125" style="1" customWidth="1"/>
    <col min="8151" max="8151" width="1" style="1" customWidth="1"/>
    <col min="8152" max="8152" width="18" style="1" customWidth="1"/>
    <col min="8153" max="8153" width="1.7109375" style="1" customWidth="1"/>
    <col min="8154" max="8154" width="12.5703125" style="1" customWidth="1"/>
    <col min="8155" max="8155" width="1.5703125" style="1" customWidth="1"/>
    <col min="8156" max="8156" width="9.5703125" style="1" customWidth="1"/>
    <col min="8157" max="8157" width="1.7109375" style="1" customWidth="1"/>
    <col min="8158" max="8158" width="11.7109375" style="1" customWidth="1"/>
    <col min="8159" max="8159" width="1.5703125" style="1" customWidth="1"/>
    <col min="8160" max="8160" width="10.28515625" style="1" customWidth="1"/>
    <col min="8161" max="8161" width="2" style="1" customWidth="1"/>
    <col min="8162" max="8162" width="9.5703125" style="1" customWidth="1"/>
    <col min="8163" max="8405" width="8.7109375" style="1"/>
    <col min="8406" max="8406" width="4.5703125" style="1" customWidth="1"/>
    <col min="8407" max="8407" width="1" style="1" customWidth="1"/>
    <col min="8408" max="8408" width="18" style="1" customWidth="1"/>
    <col min="8409" max="8409" width="1.7109375" style="1" customWidth="1"/>
    <col min="8410" max="8410" width="12.5703125" style="1" customWidth="1"/>
    <col min="8411" max="8411" width="1.5703125" style="1" customWidth="1"/>
    <col min="8412" max="8412" width="9.5703125" style="1" customWidth="1"/>
    <col min="8413" max="8413" width="1.7109375" style="1" customWidth="1"/>
    <col min="8414" max="8414" width="11.7109375" style="1" customWidth="1"/>
    <col min="8415" max="8415" width="1.5703125" style="1" customWidth="1"/>
    <col min="8416" max="8416" width="10.28515625" style="1" customWidth="1"/>
    <col min="8417" max="8417" width="2" style="1" customWidth="1"/>
    <col min="8418" max="8418" width="9.5703125" style="1" customWidth="1"/>
    <col min="8419" max="8661" width="8.7109375" style="1"/>
    <col min="8662" max="8662" width="4.5703125" style="1" customWidth="1"/>
    <col min="8663" max="8663" width="1" style="1" customWidth="1"/>
    <col min="8664" max="8664" width="18" style="1" customWidth="1"/>
    <col min="8665" max="8665" width="1.7109375" style="1" customWidth="1"/>
    <col min="8666" max="8666" width="12.5703125" style="1" customWidth="1"/>
    <col min="8667" max="8667" width="1.5703125" style="1" customWidth="1"/>
    <col min="8668" max="8668" width="9.5703125" style="1" customWidth="1"/>
    <col min="8669" max="8669" width="1.7109375" style="1" customWidth="1"/>
    <col min="8670" max="8670" width="11.7109375" style="1" customWidth="1"/>
    <col min="8671" max="8671" width="1.5703125" style="1" customWidth="1"/>
    <col min="8672" max="8672" width="10.28515625" style="1" customWidth="1"/>
    <col min="8673" max="8673" width="2" style="1" customWidth="1"/>
    <col min="8674" max="8674" width="9.5703125" style="1" customWidth="1"/>
    <col min="8675" max="8917" width="8.7109375" style="1"/>
    <col min="8918" max="8918" width="4.5703125" style="1" customWidth="1"/>
    <col min="8919" max="8919" width="1" style="1" customWidth="1"/>
    <col min="8920" max="8920" width="18" style="1" customWidth="1"/>
    <col min="8921" max="8921" width="1.7109375" style="1" customWidth="1"/>
    <col min="8922" max="8922" width="12.5703125" style="1" customWidth="1"/>
    <col min="8923" max="8923" width="1.5703125" style="1" customWidth="1"/>
    <col min="8924" max="8924" width="9.5703125" style="1" customWidth="1"/>
    <col min="8925" max="8925" width="1.7109375" style="1" customWidth="1"/>
    <col min="8926" max="8926" width="11.7109375" style="1" customWidth="1"/>
    <col min="8927" max="8927" width="1.5703125" style="1" customWidth="1"/>
    <col min="8928" max="8928" width="10.28515625" style="1" customWidth="1"/>
    <col min="8929" max="8929" width="2" style="1" customWidth="1"/>
    <col min="8930" max="8930" width="9.5703125" style="1" customWidth="1"/>
    <col min="8931" max="9173" width="8.7109375" style="1"/>
    <col min="9174" max="9174" width="4.5703125" style="1" customWidth="1"/>
    <col min="9175" max="9175" width="1" style="1" customWidth="1"/>
    <col min="9176" max="9176" width="18" style="1" customWidth="1"/>
    <col min="9177" max="9177" width="1.7109375" style="1" customWidth="1"/>
    <col min="9178" max="9178" width="12.5703125" style="1" customWidth="1"/>
    <col min="9179" max="9179" width="1.5703125" style="1" customWidth="1"/>
    <col min="9180" max="9180" width="9.5703125" style="1" customWidth="1"/>
    <col min="9181" max="9181" width="1.7109375" style="1" customWidth="1"/>
    <col min="9182" max="9182" width="11.7109375" style="1" customWidth="1"/>
    <col min="9183" max="9183" width="1.5703125" style="1" customWidth="1"/>
    <col min="9184" max="9184" width="10.28515625" style="1" customWidth="1"/>
    <col min="9185" max="9185" width="2" style="1" customWidth="1"/>
    <col min="9186" max="9186" width="9.5703125" style="1" customWidth="1"/>
    <col min="9187" max="9429" width="8.7109375" style="1"/>
    <col min="9430" max="9430" width="4.5703125" style="1" customWidth="1"/>
    <col min="9431" max="9431" width="1" style="1" customWidth="1"/>
    <col min="9432" max="9432" width="18" style="1" customWidth="1"/>
    <col min="9433" max="9433" width="1.7109375" style="1" customWidth="1"/>
    <col min="9434" max="9434" width="12.5703125" style="1" customWidth="1"/>
    <col min="9435" max="9435" width="1.5703125" style="1" customWidth="1"/>
    <col min="9436" max="9436" width="9.5703125" style="1" customWidth="1"/>
    <col min="9437" max="9437" width="1.7109375" style="1" customWidth="1"/>
    <col min="9438" max="9438" width="11.7109375" style="1" customWidth="1"/>
    <col min="9439" max="9439" width="1.5703125" style="1" customWidth="1"/>
    <col min="9440" max="9440" width="10.28515625" style="1" customWidth="1"/>
    <col min="9441" max="9441" width="2" style="1" customWidth="1"/>
    <col min="9442" max="9442" width="9.5703125" style="1" customWidth="1"/>
    <col min="9443" max="9685" width="8.7109375" style="1"/>
    <col min="9686" max="9686" width="4.5703125" style="1" customWidth="1"/>
    <col min="9687" max="9687" width="1" style="1" customWidth="1"/>
    <col min="9688" max="9688" width="18" style="1" customWidth="1"/>
    <col min="9689" max="9689" width="1.7109375" style="1" customWidth="1"/>
    <col min="9690" max="9690" width="12.5703125" style="1" customWidth="1"/>
    <col min="9691" max="9691" width="1.5703125" style="1" customWidth="1"/>
    <col min="9692" max="9692" width="9.5703125" style="1" customWidth="1"/>
    <col min="9693" max="9693" width="1.7109375" style="1" customWidth="1"/>
    <col min="9694" max="9694" width="11.7109375" style="1" customWidth="1"/>
    <col min="9695" max="9695" width="1.5703125" style="1" customWidth="1"/>
    <col min="9696" max="9696" width="10.28515625" style="1" customWidth="1"/>
    <col min="9697" max="9697" width="2" style="1" customWidth="1"/>
    <col min="9698" max="9698" width="9.5703125" style="1" customWidth="1"/>
    <col min="9699" max="9941" width="8.7109375" style="1"/>
    <col min="9942" max="9942" width="4.5703125" style="1" customWidth="1"/>
    <col min="9943" max="9943" width="1" style="1" customWidth="1"/>
    <col min="9944" max="9944" width="18" style="1" customWidth="1"/>
    <col min="9945" max="9945" width="1.7109375" style="1" customWidth="1"/>
    <col min="9946" max="9946" width="12.5703125" style="1" customWidth="1"/>
    <col min="9947" max="9947" width="1.5703125" style="1" customWidth="1"/>
    <col min="9948" max="9948" width="9.5703125" style="1" customWidth="1"/>
    <col min="9949" max="9949" width="1.7109375" style="1" customWidth="1"/>
    <col min="9950" max="9950" width="11.7109375" style="1" customWidth="1"/>
    <col min="9951" max="9951" width="1.5703125" style="1" customWidth="1"/>
    <col min="9952" max="9952" width="10.28515625" style="1" customWidth="1"/>
    <col min="9953" max="9953" width="2" style="1" customWidth="1"/>
    <col min="9954" max="9954" width="9.5703125" style="1" customWidth="1"/>
    <col min="9955" max="10197" width="8.7109375" style="1"/>
    <col min="10198" max="10198" width="4.5703125" style="1" customWidth="1"/>
    <col min="10199" max="10199" width="1" style="1" customWidth="1"/>
    <col min="10200" max="10200" width="18" style="1" customWidth="1"/>
    <col min="10201" max="10201" width="1.7109375" style="1" customWidth="1"/>
    <col min="10202" max="10202" width="12.5703125" style="1" customWidth="1"/>
    <col min="10203" max="10203" width="1.5703125" style="1" customWidth="1"/>
    <col min="10204" max="10204" width="9.5703125" style="1" customWidth="1"/>
    <col min="10205" max="10205" width="1.7109375" style="1" customWidth="1"/>
    <col min="10206" max="10206" width="11.7109375" style="1" customWidth="1"/>
    <col min="10207" max="10207" width="1.5703125" style="1" customWidth="1"/>
    <col min="10208" max="10208" width="10.28515625" style="1" customWidth="1"/>
    <col min="10209" max="10209" width="2" style="1" customWidth="1"/>
    <col min="10210" max="10210" width="9.5703125" style="1" customWidth="1"/>
    <col min="10211" max="10453" width="8.7109375" style="1"/>
    <col min="10454" max="10454" width="4.5703125" style="1" customWidth="1"/>
    <col min="10455" max="10455" width="1" style="1" customWidth="1"/>
    <col min="10456" max="10456" width="18" style="1" customWidth="1"/>
    <col min="10457" max="10457" width="1.7109375" style="1" customWidth="1"/>
    <col min="10458" max="10458" width="12.5703125" style="1" customWidth="1"/>
    <col min="10459" max="10459" width="1.5703125" style="1" customWidth="1"/>
    <col min="10460" max="10460" width="9.5703125" style="1" customWidth="1"/>
    <col min="10461" max="10461" width="1.7109375" style="1" customWidth="1"/>
    <col min="10462" max="10462" width="11.7109375" style="1" customWidth="1"/>
    <col min="10463" max="10463" width="1.5703125" style="1" customWidth="1"/>
    <col min="10464" max="10464" width="10.28515625" style="1" customWidth="1"/>
    <col min="10465" max="10465" width="2" style="1" customWidth="1"/>
    <col min="10466" max="10466" width="9.5703125" style="1" customWidth="1"/>
    <col min="10467" max="10709" width="8.7109375" style="1"/>
    <col min="10710" max="10710" width="4.5703125" style="1" customWidth="1"/>
    <col min="10711" max="10711" width="1" style="1" customWidth="1"/>
    <col min="10712" max="10712" width="18" style="1" customWidth="1"/>
    <col min="10713" max="10713" width="1.7109375" style="1" customWidth="1"/>
    <col min="10714" max="10714" width="12.5703125" style="1" customWidth="1"/>
    <col min="10715" max="10715" width="1.5703125" style="1" customWidth="1"/>
    <col min="10716" max="10716" width="9.5703125" style="1" customWidth="1"/>
    <col min="10717" max="10717" width="1.7109375" style="1" customWidth="1"/>
    <col min="10718" max="10718" width="11.7109375" style="1" customWidth="1"/>
    <col min="10719" max="10719" width="1.5703125" style="1" customWidth="1"/>
    <col min="10720" max="10720" width="10.28515625" style="1" customWidth="1"/>
    <col min="10721" max="10721" width="2" style="1" customWidth="1"/>
    <col min="10722" max="10722" width="9.5703125" style="1" customWidth="1"/>
    <col min="10723" max="10965" width="8.7109375" style="1"/>
    <col min="10966" max="10966" width="4.5703125" style="1" customWidth="1"/>
    <col min="10967" max="10967" width="1" style="1" customWidth="1"/>
    <col min="10968" max="10968" width="18" style="1" customWidth="1"/>
    <col min="10969" max="10969" width="1.7109375" style="1" customWidth="1"/>
    <col min="10970" max="10970" width="12.5703125" style="1" customWidth="1"/>
    <col min="10971" max="10971" width="1.5703125" style="1" customWidth="1"/>
    <col min="10972" max="10972" width="9.5703125" style="1" customWidth="1"/>
    <col min="10973" max="10973" width="1.7109375" style="1" customWidth="1"/>
    <col min="10974" max="10974" width="11.7109375" style="1" customWidth="1"/>
    <col min="10975" max="10975" width="1.5703125" style="1" customWidth="1"/>
    <col min="10976" max="10976" width="10.28515625" style="1" customWidth="1"/>
    <col min="10977" max="10977" width="2" style="1" customWidth="1"/>
    <col min="10978" max="10978" width="9.5703125" style="1" customWidth="1"/>
    <col min="10979" max="11221" width="8.7109375" style="1"/>
    <col min="11222" max="11222" width="4.5703125" style="1" customWidth="1"/>
    <col min="11223" max="11223" width="1" style="1" customWidth="1"/>
    <col min="11224" max="11224" width="18" style="1" customWidth="1"/>
    <col min="11225" max="11225" width="1.7109375" style="1" customWidth="1"/>
    <col min="11226" max="11226" width="12.5703125" style="1" customWidth="1"/>
    <col min="11227" max="11227" width="1.5703125" style="1" customWidth="1"/>
    <col min="11228" max="11228" width="9.5703125" style="1" customWidth="1"/>
    <col min="11229" max="11229" width="1.7109375" style="1" customWidth="1"/>
    <col min="11230" max="11230" width="11.7109375" style="1" customWidth="1"/>
    <col min="11231" max="11231" width="1.5703125" style="1" customWidth="1"/>
    <col min="11232" max="11232" width="10.28515625" style="1" customWidth="1"/>
    <col min="11233" max="11233" width="2" style="1" customWidth="1"/>
    <col min="11234" max="11234" width="9.5703125" style="1" customWidth="1"/>
    <col min="11235" max="11477" width="8.7109375" style="1"/>
    <col min="11478" max="11478" width="4.5703125" style="1" customWidth="1"/>
    <col min="11479" max="11479" width="1" style="1" customWidth="1"/>
    <col min="11480" max="11480" width="18" style="1" customWidth="1"/>
    <col min="11481" max="11481" width="1.7109375" style="1" customWidth="1"/>
    <col min="11482" max="11482" width="12.5703125" style="1" customWidth="1"/>
    <col min="11483" max="11483" width="1.5703125" style="1" customWidth="1"/>
    <col min="11484" max="11484" width="9.5703125" style="1" customWidth="1"/>
    <col min="11485" max="11485" width="1.7109375" style="1" customWidth="1"/>
    <col min="11486" max="11486" width="11.7109375" style="1" customWidth="1"/>
    <col min="11487" max="11487" width="1.5703125" style="1" customWidth="1"/>
    <col min="11488" max="11488" width="10.28515625" style="1" customWidth="1"/>
    <col min="11489" max="11489" width="2" style="1" customWidth="1"/>
    <col min="11490" max="11490" width="9.5703125" style="1" customWidth="1"/>
    <col min="11491" max="11733" width="8.7109375" style="1"/>
    <col min="11734" max="11734" width="4.5703125" style="1" customWidth="1"/>
    <col min="11735" max="11735" width="1" style="1" customWidth="1"/>
    <col min="11736" max="11736" width="18" style="1" customWidth="1"/>
    <col min="11737" max="11737" width="1.7109375" style="1" customWidth="1"/>
    <col min="11738" max="11738" width="12.5703125" style="1" customWidth="1"/>
    <col min="11739" max="11739" width="1.5703125" style="1" customWidth="1"/>
    <col min="11740" max="11740" width="9.5703125" style="1" customWidth="1"/>
    <col min="11741" max="11741" width="1.7109375" style="1" customWidth="1"/>
    <col min="11742" max="11742" width="11.7109375" style="1" customWidth="1"/>
    <col min="11743" max="11743" width="1.5703125" style="1" customWidth="1"/>
    <col min="11744" max="11744" width="10.28515625" style="1" customWidth="1"/>
    <col min="11745" max="11745" width="2" style="1" customWidth="1"/>
    <col min="11746" max="11746" width="9.5703125" style="1" customWidth="1"/>
    <col min="11747" max="11989" width="8.7109375" style="1"/>
    <col min="11990" max="11990" width="4.5703125" style="1" customWidth="1"/>
    <col min="11991" max="11991" width="1" style="1" customWidth="1"/>
    <col min="11992" max="11992" width="18" style="1" customWidth="1"/>
    <col min="11993" max="11993" width="1.7109375" style="1" customWidth="1"/>
    <col min="11994" max="11994" width="12.5703125" style="1" customWidth="1"/>
    <col min="11995" max="11995" width="1.5703125" style="1" customWidth="1"/>
    <col min="11996" max="11996" width="9.5703125" style="1" customWidth="1"/>
    <col min="11997" max="11997" width="1.7109375" style="1" customWidth="1"/>
    <col min="11998" max="11998" width="11.7109375" style="1" customWidth="1"/>
    <col min="11999" max="11999" width="1.5703125" style="1" customWidth="1"/>
    <col min="12000" max="12000" width="10.28515625" style="1" customWidth="1"/>
    <col min="12001" max="12001" width="2" style="1" customWidth="1"/>
    <col min="12002" max="12002" width="9.5703125" style="1" customWidth="1"/>
    <col min="12003" max="12245" width="8.7109375" style="1"/>
    <col min="12246" max="12246" width="4.5703125" style="1" customWidth="1"/>
    <col min="12247" max="12247" width="1" style="1" customWidth="1"/>
    <col min="12248" max="12248" width="18" style="1" customWidth="1"/>
    <col min="12249" max="12249" width="1.7109375" style="1" customWidth="1"/>
    <col min="12250" max="12250" width="12.5703125" style="1" customWidth="1"/>
    <col min="12251" max="12251" width="1.5703125" style="1" customWidth="1"/>
    <col min="12252" max="12252" width="9.5703125" style="1" customWidth="1"/>
    <col min="12253" max="12253" width="1.7109375" style="1" customWidth="1"/>
    <col min="12254" max="12254" width="11.7109375" style="1" customWidth="1"/>
    <col min="12255" max="12255" width="1.5703125" style="1" customWidth="1"/>
    <col min="12256" max="12256" width="10.28515625" style="1" customWidth="1"/>
    <col min="12257" max="12257" width="2" style="1" customWidth="1"/>
    <col min="12258" max="12258" width="9.5703125" style="1" customWidth="1"/>
    <col min="12259" max="12501" width="8.7109375" style="1"/>
    <col min="12502" max="12502" width="4.5703125" style="1" customWidth="1"/>
    <col min="12503" max="12503" width="1" style="1" customWidth="1"/>
    <col min="12504" max="12504" width="18" style="1" customWidth="1"/>
    <col min="12505" max="12505" width="1.7109375" style="1" customWidth="1"/>
    <col min="12506" max="12506" width="12.5703125" style="1" customWidth="1"/>
    <col min="12507" max="12507" width="1.5703125" style="1" customWidth="1"/>
    <col min="12508" max="12508" width="9.5703125" style="1" customWidth="1"/>
    <col min="12509" max="12509" width="1.7109375" style="1" customWidth="1"/>
    <col min="12510" max="12510" width="11.7109375" style="1" customWidth="1"/>
    <col min="12511" max="12511" width="1.5703125" style="1" customWidth="1"/>
    <col min="12512" max="12512" width="10.28515625" style="1" customWidth="1"/>
    <col min="12513" max="12513" width="2" style="1" customWidth="1"/>
    <col min="12514" max="12514" width="9.5703125" style="1" customWidth="1"/>
    <col min="12515" max="12757" width="8.7109375" style="1"/>
    <col min="12758" max="12758" width="4.5703125" style="1" customWidth="1"/>
    <col min="12759" max="12759" width="1" style="1" customWidth="1"/>
    <col min="12760" max="12760" width="18" style="1" customWidth="1"/>
    <col min="12761" max="12761" width="1.7109375" style="1" customWidth="1"/>
    <col min="12762" max="12762" width="12.5703125" style="1" customWidth="1"/>
    <col min="12763" max="12763" width="1.5703125" style="1" customWidth="1"/>
    <col min="12764" max="12764" width="9.5703125" style="1" customWidth="1"/>
    <col min="12765" max="12765" width="1.7109375" style="1" customWidth="1"/>
    <col min="12766" max="12766" width="11.7109375" style="1" customWidth="1"/>
    <col min="12767" max="12767" width="1.5703125" style="1" customWidth="1"/>
    <col min="12768" max="12768" width="10.28515625" style="1" customWidth="1"/>
    <col min="12769" max="12769" width="2" style="1" customWidth="1"/>
    <col min="12770" max="12770" width="9.5703125" style="1" customWidth="1"/>
    <col min="12771" max="13013" width="8.7109375" style="1"/>
    <col min="13014" max="13014" width="4.5703125" style="1" customWidth="1"/>
    <col min="13015" max="13015" width="1" style="1" customWidth="1"/>
    <col min="13016" max="13016" width="18" style="1" customWidth="1"/>
    <col min="13017" max="13017" width="1.7109375" style="1" customWidth="1"/>
    <col min="13018" max="13018" width="12.5703125" style="1" customWidth="1"/>
    <col min="13019" max="13019" width="1.5703125" style="1" customWidth="1"/>
    <col min="13020" max="13020" width="9.5703125" style="1" customWidth="1"/>
    <col min="13021" max="13021" width="1.7109375" style="1" customWidth="1"/>
    <col min="13022" max="13022" width="11.7109375" style="1" customWidth="1"/>
    <col min="13023" max="13023" width="1.5703125" style="1" customWidth="1"/>
    <col min="13024" max="13024" width="10.28515625" style="1" customWidth="1"/>
    <col min="13025" max="13025" width="2" style="1" customWidth="1"/>
    <col min="13026" max="13026" width="9.5703125" style="1" customWidth="1"/>
    <col min="13027" max="13269" width="8.7109375" style="1"/>
    <col min="13270" max="13270" width="4.5703125" style="1" customWidth="1"/>
    <col min="13271" max="13271" width="1" style="1" customWidth="1"/>
    <col min="13272" max="13272" width="18" style="1" customWidth="1"/>
    <col min="13273" max="13273" width="1.7109375" style="1" customWidth="1"/>
    <col min="13274" max="13274" width="12.5703125" style="1" customWidth="1"/>
    <col min="13275" max="13275" width="1.5703125" style="1" customWidth="1"/>
    <col min="13276" max="13276" width="9.5703125" style="1" customWidth="1"/>
    <col min="13277" max="13277" width="1.7109375" style="1" customWidth="1"/>
    <col min="13278" max="13278" width="11.7109375" style="1" customWidth="1"/>
    <col min="13279" max="13279" width="1.5703125" style="1" customWidth="1"/>
    <col min="13280" max="13280" width="10.28515625" style="1" customWidth="1"/>
    <col min="13281" max="13281" width="2" style="1" customWidth="1"/>
    <col min="13282" max="13282" width="9.5703125" style="1" customWidth="1"/>
    <col min="13283" max="13525" width="8.7109375" style="1"/>
    <col min="13526" max="13526" width="4.5703125" style="1" customWidth="1"/>
    <col min="13527" max="13527" width="1" style="1" customWidth="1"/>
    <col min="13528" max="13528" width="18" style="1" customWidth="1"/>
    <col min="13529" max="13529" width="1.7109375" style="1" customWidth="1"/>
    <col min="13530" max="13530" width="12.5703125" style="1" customWidth="1"/>
    <col min="13531" max="13531" width="1.5703125" style="1" customWidth="1"/>
    <col min="13532" max="13532" width="9.5703125" style="1" customWidth="1"/>
    <col min="13533" max="13533" width="1.7109375" style="1" customWidth="1"/>
    <col min="13534" max="13534" width="11.7109375" style="1" customWidth="1"/>
    <col min="13535" max="13535" width="1.5703125" style="1" customWidth="1"/>
    <col min="13536" max="13536" width="10.28515625" style="1" customWidth="1"/>
    <col min="13537" max="13537" width="2" style="1" customWidth="1"/>
    <col min="13538" max="13538" width="9.5703125" style="1" customWidth="1"/>
    <col min="13539" max="13781" width="8.7109375" style="1"/>
    <col min="13782" max="13782" width="4.5703125" style="1" customWidth="1"/>
    <col min="13783" max="13783" width="1" style="1" customWidth="1"/>
    <col min="13784" max="13784" width="18" style="1" customWidth="1"/>
    <col min="13785" max="13785" width="1.7109375" style="1" customWidth="1"/>
    <col min="13786" max="13786" width="12.5703125" style="1" customWidth="1"/>
    <col min="13787" max="13787" width="1.5703125" style="1" customWidth="1"/>
    <col min="13788" max="13788" width="9.5703125" style="1" customWidth="1"/>
    <col min="13789" max="13789" width="1.7109375" style="1" customWidth="1"/>
    <col min="13790" max="13790" width="11.7109375" style="1" customWidth="1"/>
    <col min="13791" max="13791" width="1.5703125" style="1" customWidth="1"/>
    <col min="13792" max="13792" width="10.28515625" style="1" customWidth="1"/>
    <col min="13793" max="13793" width="2" style="1" customWidth="1"/>
    <col min="13794" max="13794" width="9.5703125" style="1" customWidth="1"/>
    <col min="13795" max="14037" width="8.7109375" style="1"/>
    <col min="14038" max="14038" width="4.5703125" style="1" customWidth="1"/>
    <col min="14039" max="14039" width="1" style="1" customWidth="1"/>
    <col min="14040" max="14040" width="18" style="1" customWidth="1"/>
    <col min="14041" max="14041" width="1.7109375" style="1" customWidth="1"/>
    <col min="14042" max="14042" width="12.5703125" style="1" customWidth="1"/>
    <col min="14043" max="14043" width="1.5703125" style="1" customWidth="1"/>
    <col min="14044" max="14044" width="9.5703125" style="1" customWidth="1"/>
    <col min="14045" max="14045" width="1.7109375" style="1" customWidth="1"/>
    <col min="14046" max="14046" width="11.7109375" style="1" customWidth="1"/>
    <col min="14047" max="14047" width="1.5703125" style="1" customWidth="1"/>
    <col min="14048" max="14048" width="10.28515625" style="1" customWidth="1"/>
    <col min="14049" max="14049" width="2" style="1" customWidth="1"/>
    <col min="14050" max="14050" width="9.5703125" style="1" customWidth="1"/>
    <col min="14051" max="14293" width="8.7109375" style="1"/>
    <col min="14294" max="14294" width="4.5703125" style="1" customWidth="1"/>
    <col min="14295" max="14295" width="1" style="1" customWidth="1"/>
    <col min="14296" max="14296" width="18" style="1" customWidth="1"/>
    <col min="14297" max="14297" width="1.7109375" style="1" customWidth="1"/>
    <col min="14298" max="14298" width="12.5703125" style="1" customWidth="1"/>
    <col min="14299" max="14299" width="1.5703125" style="1" customWidth="1"/>
    <col min="14300" max="14300" width="9.5703125" style="1" customWidth="1"/>
    <col min="14301" max="14301" width="1.7109375" style="1" customWidth="1"/>
    <col min="14302" max="14302" width="11.7109375" style="1" customWidth="1"/>
    <col min="14303" max="14303" width="1.5703125" style="1" customWidth="1"/>
    <col min="14304" max="14304" width="10.28515625" style="1" customWidth="1"/>
    <col min="14305" max="14305" width="2" style="1" customWidth="1"/>
    <col min="14306" max="14306" width="9.5703125" style="1" customWidth="1"/>
    <col min="14307" max="14549" width="8.7109375" style="1"/>
    <col min="14550" max="14550" width="4.5703125" style="1" customWidth="1"/>
    <col min="14551" max="14551" width="1" style="1" customWidth="1"/>
    <col min="14552" max="14552" width="18" style="1" customWidth="1"/>
    <col min="14553" max="14553" width="1.7109375" style="1" customWidth="1"/>
    <col min="14554" max="14554" width="12.5703125" style="1" customWidth="1"/>
    <col min="14555" max="14555" width="1.5703125" style="1" customWidth="1"/>
    <col min="14556" max="14556" width="9.5703125" style="1" customWidth="1"/>
    <col min="14557" max="14557" width="1.7109375" style="1" customWidth="1"/>
    <col min="14558" max="14558" width="11.7109375" style="1" customWidth="1"/>
    <col min="14559" max="14559" width="1.5703125" style="1" customWidth="1"/>
    <col min="14560" max="14560" width="10.28515625" style="1" customWidth="1"/>
    <col min="14561" max="14561" width="2" style="1" customWidth="1"/>
    <col min="14562" max="14562" width="9.5703125" style="1" customWidth="1"/>
    <col min="14563" max="14805" width="8.7109375" style="1"/>
    <col min="14806" max="14806" width="4.5703125" style="1" customWidth="1"/>
    <col min="14807" max="14807" width="1" style="1" customWidth="1"/>
    <col min="14808" max="14808" width="18" style="1" customWidth="1"/>
    <col min="14809" max="14809" width="1.7109375" style="1" customWidth="1"/>
    <col min="14810" max="14810" width="12.5703125" style="1" customWidth="1"/>
    <col min="14811" max="14811" width="1.5703125" style="1" customWidth="1"/>
    <col min="14812" max="14812" width="9.5703125" style="1" customWidth="1"/>
    <col min="14813" max="14813" width="1.7109375" style="1" customWidth="1"/>
    <col min="14814" max="14814" width="11.7109375" style="1" customWidth="1"/>
    <col min="14815" max="14815" width="1.5703125" style="1" customWidth="1"/>
    <col min="14816" max="14816" width="10.28515625" style="1" customWidth="1"/>
    <col min="14817" max="14817" width="2" style="1" customWidth="1"/>
    <col min="14818" max="14818" width="9.5703125" style="1" customWidth="1"/>
    <col min="14819" max="15061" width="8.7109375" style="1"/>
    <col min="15062" max="15062" width="4.5703125" style="1" customWidth="1"/>
    <col min="15063" max="15063" width="1" style="1" customWidth="1"/>
    <col min="15064" max="15064" width="18" style="1" customWidth="1"/>
    <col min="15065" max="15065" width="1.7109375" style="1" customWidth="1"/>
    <col min="15066" max="15066" width="12.5703125" style="1" customWidth="1"/>
    <col min="15067" max="15067" width="1.5703125" style="1" customWidth="1"/>
    <col min="15068" max="15068" width="9.5703125" style="1" customWidth="1"/>
    <col min="15069" max="15069" width="1.7109375" style="1" customWidth="1"/>
    <col min="15070" max="15070" width="11.7109375" style="1" customWidth="1"/>
    <col min="15071" max="15071" width="1.5703125" style="1" customWidth="1"/>
    <col min="15072" max="15072" width="10.28515625" style="1" customWidth="1"/>
    <col min="15073" max="15073" width="2" style="1" customWidth="1"/>
    <col min="15074" max="15074" width="9.5703125" style="1" customWidth="1"/>
    <col min="15075" max="15317" width="8.7109375" style="1"/>
    <col min="15318" max="15318" width="4.5703125" style="1" customWidth="1"/>
    <col min="15319" max="15319" width="1" style="1" customWidth="1"/>
    <col min="15320" max="15320" width="18" style="1" customWidth="1"/>
    <col min="15321" max="15321" width="1.7109375" style="1" customWidth="1"/>
    <col min="15322" max="15322" width="12.5703125" style="1" customWidth="1"/>
    <col min="15323" max="15323" width="1.5703125" style="1" customWidth="1"/>
    <col min="15324" max="15324" width="9.5703125" style="1" customWidth="1"/>
    <col min="15325" max="15325" width="1.7109375" style="1" customWidth="1"/>
    <col min="15326" max="15326" width="11.7109375" style="1" customWidth="1"/>
    <col min="15327" max="15327" width="1.5703125" style="1" customWidth="1"/>
    <col min="15328" max="15328" width="10.28515625" style="1" customWidth="1"/>
    <col min="15329" max="15329" width="2" style="1" customWidth="1"/>
    <col min="15330" max="15330" width="9.5703125" style="1" customWidth="1"/>
    <col min="15331" max="15573" width="8.7109375" style="1"/>
    <col min="15574" max="15574" width="4.5703125" style="1" customWidth="1"/>
    <col min="15575" max="15575" width="1" style="1" customWidth="1"/>
    <col min="15576" max="15576" width="18" style="1" customWidth="1"/>
    <col min="15577" max="15577" width="1.7109375" style="1" customWidth="1"/>
    <col min="15578" max="15578" width="12.5703125" style="1" customWidth="1"/>
    <col min="15579" max="15579" width="1.5703125" style="1" customWidth="1"/>
    <col min="15580" max="15580" width="9.5703125" style="1" customWidth="1"/>
    <col min="15581" max="15581" width="1.7109375" style="1" customWidth="1"/>
    <col min="15582" max="15582" width="11.7109375" style="1" customWidth="1"/>
    <col min="15583" max="15583" width="1.5703125" style="1" customWidth="1"/>
    <col min="15584" max="15584" width="10.28515625" style="1" customWidth="1"/>
    <col min="15585" max="15585" width="2" style="1" customWidth="1"/>
    <col min="15586" max="15586" width="9.5703125" style="1" customWidth="1"/>
    <col min="15587" max="15829" width="8.7109375" style="1"/>
    <col min="15830" max="15830" width="4.5703125" style="1" customWidth="1"/>
    <col min="15831" max="15831" width="1" style="1" customWidth="1"/>
    <col min="15832" max="15832" width="18" style="1" customWidth="1"/>
    <col min="15833" max="15833" width="1.7109375" style="1" customWidth="1"/>
    <col min="15834" max="15834" width="12.5703125" style="1" customWidth="1"/>
    <col min="15835" max="15835" width="1.5703125" style="1" customWidth="1"/>
    <col min="15836" max="15836" width="9.5703125" style="1" customWidth="1"/>
    <col min="15837" max="15837" width="1.7109375" style="1" customWidth="1"/>
    <col min="15838" max="15838" width="11.7109375" style="1" customWidth="1"/>
    <col min="15839" max="15839" width="1.5703125" style="1" customWidth="1"/>
    <col min="15840" max="15840" width="10.28515625" style="1" customWidth="1"/>
    <col min="15841" max="15841" width="2" style="1" customWidth="1"/>
    <col min="15842" max="15842" width="9.5703125" style="1" customWidth="1"/>
    <col min="15843" max="16085" width="8.7109375" style="1"/>
    <col min="16086" max="16086" width="4.5703125" style="1" customWidth="1"/>
    <col min="16087" max="16087" width="1" style="1" customWidth="1"/>
    <col min="16088" max="16088" width="18" style="1" customWidth="1"/>
    <col min="16089" max="16089" width="1.7109375" style="1" customWidth="1"/>
    <col min="16090" max="16090" width="12.5703125" style="1" customWidth="1"/>
    <col min="16091" max="16091" width="1.5703125" style="1" customWidth="1"/>
    <col min="16092" max="16092" width="9.5703125" style="1" customWidth="1"/>
    <col min="16093" max="16093" width="1.7109375" style="1" customWidth="1"/>
    <col min="16094" max="16094" width="11.7109375" style="1" customWidth="1"/>
    <col min="16095" max="16095" width="1.5703125" style="1" customWidth="1"/>
    <col min="16096" max="16096" width="10.28515625" style="1" customWidth="1"/>
    <col min="16097" max="16097" width="2" style="1" customWidth="1"/>
    <col min="16098" max="16098" width="9.5703125" style="1" customWidth="1"/>
    <col min="16099" max="16352" width="8.7109375" style="1"/>
    <col min="16353" max="16384" width="8.7109375" style="1" customWidth="1"/>
  </cols>
  <sheetData>
    <row r="2" spans="2:18" x14ac:dyDescent="0.2">
      <c r="B2" s="4" t="s">
        <v>502</v>
      </c>
      <c r="C2" s="4"/>
      <c r="D2" s="4"/>
      <c r="E2" s="4"/>
      <c r="F2" s="4"/>
      <c r="G2" s="4"/>
      <c r="H2" s="4"/>
      <c r="I2" s="4"/>
      <c r="J2" s="4"/>
      <c r="K2" s="4"/>
      <c r="L2" s="4"/>
      <c r="M2" s="4"/>
      <c r="N2" s="4"/>
      <c r="O2" s="4"/>
      <c r="P2" s="4"/>
      <c r="Q2" s="4"/>
      <c r="R2" s="5"/>
    </row>
    <row r="3" spans="2:18" x14ac:dyDescent="0.2">
      <c r="B3" s="165" t="s">
        <v>118</v>
      </c>
      <c r="C3" s="2"/>
      <c r="D3" s="2"/>
      <c r="E3" s="2"/>
      <c r="F3" s="2"/>
      <c r="G3" s="2"/>
      <c r="H3" s="2"/>
      <c r="I3" s="168"/>
      <c r="J3" s="168"/>
      <c r="K3" s="168"/>
      <c r="L3" s="168"/>
      <c r="M3" s="168"/>
      <c r="N3" s="168"/>
      <c r="O3" s="168"/>
      <c r="P3" s="169"/>
      <c r="Q3" s="169"/>
    </row>
    <row r="4" spans="2:18" x14ac:dyDescent="0.2">
      <c r="B4" s="2"/>
      <c r="C4" s="2"/>
      <c r="D4" s="2"/>
      <c r="E4" s="2"/>
      <c r="F4" s="21"/>
      <c r="G4" s="21"/>
      <c r="H4" s="2"/>
      <c r="I4" s="168"/>
      <c r="J4" s="168"/>
      <c r="K4" s="168"/>
      <c r="L4" s="168"/>
      <c r="M4" s="168"/>
      <c r="N4" s="168"/>
      <c r="O4" s="168"/>
      <c r="P4" s="169"/>
      <c r="Q4" s="169"/>
    </row>
    <row r="5" spans="2:18" x14ac:dyDescent="0.2">
      <c r="B5" s="21"/>
      <c r="C5" s="21"/>
      <c r="D5" s="21"/>
      <c r="E5" s="21"/>
      <c r="F5" s="547" t="s">
        <v>599</v>
      </c>
      <c r="G5" s="547"/>
      <c r="H5" s="21"/>
      <c r="I5" s="548" t="s">
        <v>314</v>
      </c>
      <c r="J5" s="548"/>
      <c r="K5" s="548"/>
      <c r="L5" s="170"/>
      <c r="M5" s="548" t="s">
        <v>600</v>
      </c>
      <c r="N5" s="548"/>
      <c r="O5" s="548"/>
      <c r="P5" s="548"/>
      <c r="Q5" s="548"/>
    </row>
    <row r="6" spans="2:18" s="523" customFormat="1" ht="38.25" x14ac:dyDescent="0.2">
      <c r="B6" s="24" t="s">
        <v>0</v>
      </c>
      <c r="C6" s="24"/>
      <c r="D6" s="24"/>
      <c r="E6" s="24"/>
      <c r="F6" s="523" t="s">
        <v>742</v>
      </c>
      <c r="G6" s="523" t="s">
        <v>505</v>
      </c>
      <c r="H6" s="24"/>
      <c r="I6" s="154" t="s">
        <v>743</v>
      </c>
      <c r="J6" s="154" t="s">
        <v>744</v>
      </c>
      <c r="K6" s="154" t="s">
        <v>314</v>
      </c>
      <c r="L6" s="154"/>
      <c r="M6" s="45" t="s">
        <v>741</v>
      </c>
      <c r="N6" s="45" t="s">
        <v>762</v>
      </c>
      <c r="O6" s="45" t="s">
        <v>515</v>
      </c>
      <c r="P6" s="154" t="s">
        <v>745</v>
      </c>
      <c r="Q6" s="154" t="s">
        <v>159</v>
      </c>
      <c r="R6" s="24"/>
    </row>
    <row r="7" spans="2:18" x14ac:dyDescent="0.2">
      <c r="B7" s="519" t="s">
        <v>1</v>
      </c>
      <c r="C7" s="9"/>
      <c r="D7" s="10" t="s">
        <v>33</v>
      </c>
      <c r="E7" s="6"/>
      <c r="F7" s="519" t="s">
        <v>389</v>
      </c>
      <c r="G7" s="519" t="s">
        <v>389</v>
      </c>
      <c r="H7" s="6"/>
      <c r="I7" s="519" t="s">
        <v>389</v>
      </c>
      <c r="J7" s="519" t="s">
        <v>389</v>
      </c>
      <c r="K7" s="519" t="s">
        <v>389</v>
      </c>
      <c r="L7" s="6"/>
      <c r="M7" s="519" t="s">
        <v>389</v>
      </c>
      <c r="N7" s="519" t="s">
        <v>389</v>
      </c>
      <c r="O7" s="519" t="s">
        <v>389</v>
      </c>
      <c r="P7" s="519" t="s">
        <v>617</v>
      </c>
      <c r="Q7" s="519" t="s">
        <v>2</v>
      </c>
      <c r="R7" s="6"/>
    </row>
    <row r="8" spans="2:18" x14ac:dyDescent="0.2">
      <c r="B8" s="6"/>
      <c r="C8" s="9"/>
      <c r="D8" s="9"/>
      <c r="E8" s="6"/>
      <c r="F8" s="6" t="s">
        <v>3</v>
      </c>
      <c r="G8" s="6" t="s">
        <v>477</v>
      </c>
      <c r="H8" s="6"/>
      <c r="I8" s="6" t="s">
        <v>119</v>
      </c>
      <c r="J8" s="6" t="s">
        <v>263</v>
      </c>
      <c r="K8" s="6" t="s">
        <v>315</v>
      </c>
      <c r="L8" s="6"/>
      <c r="M8" s="6" t="s">
        <v>264</v>
      </c>
      <c r="N8" s="6" t="s">
        <v>38</v>
      </c>
      <c r="O8" s="6" t="s">
        <v>316</v>
      </c>
      <c r="P8" s="11" t="s">
        <v>317</v>
      </c>
      <c r="Q8" s="11" t="s">
        <v>318</v>
      </c>
      <c r="R8" s="6"/>
    </row>
    <row r="9" spans="2:18" x14ac:dyDescent="0.2">
      <c r="B9" s="6"/>
      <c r="C9" s="9"/>
      <c r="D9" s="9"/>
      <c r="E9" s="6"/>
      <c r="F9" s="7"/>
      <c r="G9" s="7"/>
      <c r="H9" s="6"/>
      <c r="I9" s="6"/>
      <c r="J9" s="6"/>
      <c r="K9" s="6"/>
      <c r="L9" s="6"/>
      <c r="M9" s="6"/>
      <c r="N9" s="6"/>
      <c r="O9" s="6"/>
      <c r="P9" s="6"/>
      <c r="Q9" s="6"/>
      <c r="R9" s="6"/>
    </row>
    <row r="10" spans="2:18" x14ac:dyDescent="0.2">
      <c r="B10" s="6"/>
      <c r="C10" s="9"/>
      <c r="D10" s="31" t="s">
        <v>394</v>
      </c>
      <c r="E10" s="6"/>
      <c r="F10" s="7"/>
      <c r="G10" s="13"/>
      <c r="H10" s="6"/>
      <c r="I10" s="12"/>
      <c r="J10" s="12"/>
      <c r="K10" s="12"/>
      <c r="L10" s="6"/>
      <c r="M10" s="6"/>
      <c r="N10" s="6"/>
      <c r="O10" s="6"/>
      <c r="P10" s="6"/>
      <c r="Q10" s="6"/>
      <c r="R10" s="6"/>
    </row>
    <row r="11" spans="2:18" x14ac:dyDescent="0.2">
      <c r="B11" s="6">
        <v>1</v>
      </c>
      <c r="C11" s="9"/>
      <c r="D11" s="14" t="s">
        <v>5</v>
      </c>
      <c r="E11" s="6"/>
      <c r="F11" s="122">
        <v>2205307.6186063513</v>
      </c>
      <c r="G11" s="122">
        <f>F11-K11</f>
        <v>-100700.44833711116</v>
      </c>
      <c r="H11" s="123"/>
      <c r="I11" s="122">
        <v>2305138.7757717352</v>
      </c>
      <c r="J11" s="122">
        <v>869.29117172702718</v>
      </c>
      <c r="K11" s="122">
        <f t="shared" ref="K11:K21" si="0">I11+J11</f>
        <v>2306008.0669434625</v>
      </c>
      <c r="L11" s="123"/>
      <c r="M11" s="122">
        <v>-5377.8353829054795</v>
      </c>
      <c r="N11" s="122">
        <v>0</v>
      </c>
      <c r="O11" s="122">
        <f t="shared" ref="O11:O21" si="1">K11+M11+N11</f>
        <v>2300630.2315605571</v>
      </c>
      <c r="P11" s="124">
        <f t="shared" ref="P11:P20" si="2">O11/K11</f>
        <v>0.99766790261491434</v>
      </c>
      <c r="Q11" s="329">
        <f t="shared" ref="Q11:Q20" si="3">O11/F11-1</f>
        <v>4.3224179769734361E-2</v>
      </c>
    </row>
    <row r="12" spans="2:18" x14ac:dyDescent="0.2">
      <c r="B12" s="6">
        <f>MAX(B$11:B11)+1</f>
        <v>2</v>
      </c>
      <c r="C12" s="9"/>
      <c r="D12" s="14" t="s">
        <v>6</v>
      </c>
      <c r="E12" s="6"/>
      <c r="F12" s="122">
        <v>1189873.1762499893</v>
      </c>
      <c r="G12" s="122">
        <f t="shared" ref="G12:G21" si="4">F12-K12</f>
        <v>-21066.160315396031</v>
      </c>
      <c r="H12" s="123"/>
      <c r="I12" s="122">
        <v>1210676.9045972473</v>
      </c>
      <c r="J12" s="122">
        <v>262.43196813811664</v>
      </c>
      <c r="K12" s="122">
        <f t="shared" si="0"/>
        <v>1210939.3365653853</v>
      </c>
      <c r="L12" s="123"/>
      <c r="M12" s="122">
        <v>-4799.1405610451675</v>
      </c>
      <c r="N12" s="122">
        <v>0</v>
      </c>
      <c r="O12" s="122">
        <f t="shared" si="1"/>
        <v>1206140.1960043402</v>
      </c>
      <c r="P12" s="124">
        <f t="shared" si="2"/>
        <v>0.99603684477320142</v>
      </c>
      <c r="Q12" s="329">
        <f t="shared" si="3"/>
        <v>1.367122150414235E-2</v>
      </c>
    </row>
    <row r="13" spans="2:18" x14ac:dyDescent="0.2">
      <c r="B13" s="6">
        <f>MAX(B$11:B12)+1</f>
        <v>3</v>
      </c>
      <c r="C13" s="9"/>
      <c r="D13" s="14" t="s">
        <v>7</v>
      </c>
      <c r="E13" s="6"/>
      <c r="F13" s="122">
        <v>5587.4928492138752</v>
      </c>
      <c r="G13" s="122">
        <f t="shared" si="4"/>
        <v>389.83105920240905</v>
      </c>
      <c r="H13" s="123"/>
      <c r="I13" s="122">
        <v>5195.1852693188093</v>
      </c>
      <c r="J13" s="122">
        <v>2.4765206926563459</v>
      </c>
      <c r="K13" s="122">
        <f t="shared" si="0"/>
        <v>5197.6617900114661</v>
      </c>
      <c r="L13" s="123"/>
      <c r="M13" s="122">
        <v>-16.927269714244495</v>
      </c>
      <c r="N13" s="122">
        <v>400</v>
      </c>
      <c r="O13" s="122">
        <f t="shared" si="1"/>
        <v>5580.7345202972219</v>
      </c>
      <c r="P13" s="124">
        <f t="shared" si="2"/>
        <v>1.0737009728147222</v>
      </c>
      <c r="Q13" s="329">
        <f t="shared" si="3"/>
        <v>-1.2095458730840836E-3</v>
      </c>
    </row>
    <row r="14" spans="2:18" x14ac:dyDescent="0.2">
      <c r="B14" s="6">
        <f>MAX(B$11:B13)+1</f>
        <v>4</v>
      </c>
      <c r="C14" s="9"/>
      <c r="D14" s="14" t="s">
        <v>8</v>
      </c>
      <c r="E14" s="6"/>
      <c r="F14" s="122">
        <v>68051.261389183259</v>
      </c>
      <c r="G14" s="122">
        <f t="shared" si="4"/>
        <v>-8671.4351220590324</v>
      </c>
      <c r="H14" s="123"/>
      <c r="I14" s="122">
        <v>76779.115935567883</v>
      </c>
      <c r="J14" s="122">
        <v>-56.419424325595308</v>
      </c>
      <c r="K14" s="122">
        <f t="shared" si="0"/>
        <v>76722.696511242291</v>
      </c>
      <c r="L14" s="123"/>
      <c r="M14" s="122">
        <v>-550.66886865620438</v>
      </c>
      <c r="N14" s="122">
        <v>0</v>
      </c>
      <c r="O14" s="122">
        <f t="shared" si="1"/>
        <v>76172.027642586094</v>
      </c>
      <c r="P14" s="124">
        <f t="shared" si="2"/>
        <v>0.99282260799350941</v>
      </c>
      <c r="Q14" s="329">
        <f t="shared" si="3"/>
        <v>0.11933307462091558</v>
      </c>
    </row>
    <row r="15" spans="2:18" x14ac:dyDescent="0.2">
      <c r="B15" s="6">
        <f>MAX(B$11:B14)+1</f>
        <v>5</v>
      </c>
      <c r="C15" s="9"/>
      <c r="D15" s="14" t="s">
        <v>9</v>
      </c>
      <c r="E15" s="6"/>
      <c r="F15" s="122">
        <v>9493.6962365030467</v>
      </c>
      <c r="G15" s="122">
        <f t="shared" si="4"/>
        <v>-1049.7348154754127</v>
      </c>
      <c r="H15" s="123"/>
      <c r="I15" s="122">
        <v>10562.475803863741</v>
      </c>
      <c r="J15" s="122">
        <v>-19.044751885282214</v>
      </c>
      <c r="K15" s="122">
        <f t="shared" si="0"/>
        <v>10543.431051978459</v>
      </c>
      <c r="L15" s="123"/>
      <c r="M15" s="122">
        <v>-115.7283054572753</v>
      </c>
      <c r="N15" s="122">
        <v>0</v>
      </c>
      <c r="O15" s="122">
        <f t="shared" si="1"/>
        <v>10427.702746521185</v>
      </c>
      <c r="P15" s="124">
        <f t="shared" si="2"/>
        <v>0.98902365796421099</v>
      </c>
      <c r="Q15" s="329">
        <f t="shared" si="3"/>
        <v>9.838175635185209E-2</v>
      </c>
    </row>
    <row r="16" spans="2:18" x14ac:dyDescent="0.2">
      <c r="B16" s="6">
        <f>MAX(B$11:B15)+1</f>
        <v>6</v>
      </c>
      <c r="C16" s="9"/>
      <c r="D16" s="14" t="s">
        <v>10</v>
      </c>
      <c r="E16" s="6"/>
      <c r="F16" s="122">
        <v>13074.499676417412</v>
      </c>
      <c r="G16" s="122">
        <f t="shared" si="4"/>
        <v>899.17734419693807</v>
      </c>
      <c r="H16" s="123"/>
      <c r="I16" s="122">
        <v>12175.322332220474</v>
      </c>
      <c r="J16" s="122">
        <v>0</v>
      </c>
      <c r="K16" s="122">
        <f t="shared" si="0"/>
        <v>12175.322332220474</v>
      </c>
      <c r="L16" s="123"/>
      <c r="M16" s="122">
        <v>0</v>
      </c>
      <c r="N16" s="122">
        <v>0</v>
      </c>
      <c r="O16" s="122">
        <f t="shared" si="1"/>
        <v>12175.322332220474</v>
      </c>
      <c r="P16" s="124">
        <f t="shared" si="2"/>
        <v>1</v>
      </c>
      <c r="Q16" s="329">
        <f t="shared" si="3"/>
        <v>-6.877336544042234E-2</v>
      </c>
    </row>
    <row r="17" spans="2:18" x14ac:dyDescent="0.2">
      <c r="B17" s="6">
        <f>MAX(B$11:B16)+1</f>
        <v>7</v>
      </c>
      <c r="C17" s="9"/>
      <c r="D17" s="14" t="s">
        <v>11</v>
      </c>
      <c r="E17" s="6"/>
      <c r="F17" s="122">
        <v>2311.1516287038748</v>
      </c>
      <c r="G17" s="122">
        <f t="shared" si="4"/>
        <v>-1691.3227433447614</v>
      </c>
      <c r="H17" s="123"/>
      <c r="I17" s="122">
        <v>4001.2080177277408</v>
      </c>
      <c r="J17" s="122">
        <v>1.2663543208952912</v>
      </c>
      <c r="K17" s="122">
        <f t="shared" si="0"/>
        <v>4002.4743720486363</v>
      </c>
      <c r="L17" s="123"/>
      <c r="M17" s="122">
        <v>-1.9188027694926131</v>
      </c>
      <c r="N17" s="122">
        <v>-900</v>
      </c>
      <c r="O17" s="122">
        <f t="shared" si="1"/>
        <v>3100.5555692791436</v>
      </c>
      <c r="P17" s="124">
        <f t="shared" si="2"/>
        <v>0.77465969324674222</v>
      </c>
      <c r="Q17" s="329">
        <f t="shared" si="3"/>
        <v>0.3415630245852701</v>
      </c>
    </row>
    <row r="18" spans="2:18" x14ac:dyDescent="0.2">
      <c r="B18" s="6">
        <f>MAX(B$11:B17)+1</f>
        <v>8</v>
      </c>
      <c r="C18" s="9"/>
      <c r="D18" s="14" t="s">
        <v>12</v>
      </c>
      <c r="E18" s="6"/>
      <c r="F18" s="122">
        <v>1802.0488245146307</v>
      </c>
      <c r="G18" s="122">
        <f t="shared" si="4"/>
        <v>761.59168661502667</v>
      </c>
      <c r="H18" s="123"/>
      <c r="I18" s="122">
        <v>1040.2491826550081</v>
      </c>
      <c r="J18" s="122">
        <v>0.20795524459592146</v>
      </c>
      <c r="K18" s="122">
        <f t="shared" si="0"/>
        <v>1040.457137899604</v>
      </c>
      <c r="L18" s="123"/>
      <c r="M18" s="122">
        <v>0</v>
      </c>
      <c r="N18" s="122">
        <v>0</v>
      </c>
      <c r="O18" s="122">
        <f t="shared" si="1"/>
        <v>1040.457137899604</v>
      </c>
      <c r="P18" s="124">
        <f t="shared" si="2"/>
        <v>1</v>
      </c>
      <c r="Q18" s="329">
        <f t="shared" si="3"/>
        <v>-0.42262544513473776</v>
      </c>
    </row>
    <row r="19" spans="2:18" x14ac:dyDescent="0.2">
      <c r="B19" s="6">
        <f>MAX(B$11:B18)+1</f>
        <v>9</v>
      </c>
      <c r="C19" s="9"/>
      <c r="D19" s="14" t="s">
        <v>13</v>
      </c>
      <c r="E19" s="6"/>
      <c r="F19" s="122">
        <v>2264.6184227117319</v>
      </c>
      <c r="G19" s="122">
        <f t="shared" si="4"/>
        <v>-3819.2498686119734</v>
      </c>
      <c r="H19" s="123"/>
      <c r="I19" s="122">
        <v>6081.9250662636068</v>
      </c>
      <c r="J19" s="122">
        <v>1.9432250600982457</v>
      </c>
      <c r="K19" s="122">
        <f t="shared" si="0"/>
        <v>6083.8682913237053</v>
      </c>
      <c r="L19" s="123"/>
      <c r="M19" s="122">
        <v>0</v>
      </c>
      <c r="N19" s="122">
        <v>0</v>
      </c>
      <c r="O19" s="122">
        <f t="shared" si="1"/>
        <v>6083.8682913237053</v>
      </c>
      <c r="P19" s="124">
        <f t="shared" si="2"/>
        <v>1</v>
      </c>
      <c r="Q19" s="329">
        <f t="shared" si="3"/>
        <v>1.6864871495828742</v>
      </c>
    </row>
    <row r="20" spans="2:18" x14ac:dyDescent="0.2">
      <c r="B20" s="6">
        <f>MAX(B$11:B19)+1</f>
        <v>10</v>
      </c>
      <c r="C20" s="9"/>
      <c r="D20" s="14" t="s">
        <v>14</v>
      </c>
      <c r="E20" s="6"/>
      <c r="F20" s="122">
        <v>38608.058877121577</v>
      </c>
      <c r="G20" s="122">
        <f t="shared" si="4"/>
        <v>1271.3082091889446</v>
      </c>
      <c r="H20" s="123"/>
      <c r="I20" s="122">
        <v>37307.558158186439</v>
      </c>
      <c r="J20" s="122">
        <v>29.192509746194034</v>
      </c>
      <c r="K20" s="122">
        <f t="shared" si="0"/>
        <v>37336.750667932632</v>
      </c>
      <c r="L20" s="123"/>
      <c r="M20" s="122">
        <v>-127.68151007016536</v>
      </c>
      <c r="N20" s="122">
        <v>0</v>
      </c>
      <c r="O20" s="122">
        <f t="shared" si="1"/>
        <v>37209.069157862468</v>
      </c>
      <c r="P20" s="124">
        <f t="shared" si="2"/>
        <v>0.99658027257900017</v>
      </c>
      <c r="Q20" s="329">
        <f t="shared" si="3"/>
        <v>-3.6235691716895002E-2</v>
      </c>
    </row>
    <row r="21" spans="2:18" x14ac:dyDescent="0.2">
      <c r="B21" s="6">
        <f>MAX(B$11:B20)+1</f>
        <v>11</v>
      </c>
      <c r="C21" s="9"/>
      <c r="D21" s="14" t="s">
        <v>15</v>
      </c>
      <c r="E21" s="6"/>
      <c r="F21" s="122">
        <v>0</v>
      </c>
      <c r="G21" s="122">
        <f t="shared" si="4"/>
        <v>0</v>
      </c>
      <c r="H21" s="123"/>
      <c r="I21" s="122">
        <v>0</v>
      </c>
      <c r="J21" s="122">
        <v>0</v>
      </c>
      <c r="K21" s="122">
        <f t="shared" si="0"/>
        <v>0</v>
      </c>
      <c r="L21" s="123"/>
      <c r="M21" s="122">
        <v>0</v>
      </c>
      <c r="N21" s="122">
        <v>0</v>
      </c>
      <c r="O21" s="122">
        <f t="shared" si="1"/>
        <v>0</v>
      </c>
      <c r="P21" s="124"/>
      <c r="Q21" s="161"/>
    </row>
    <row r="22" spans="2:18" x14ac:dyDescent="0.2">
      <c r="B22" s="6">
        <f>MAX(B$11:B21)+1</f>
        <v>12</v>
      </c>
      <c r="C22" s="9"/>
      <c r="D22" s="1" t="s">
        <v>613</v>
      </c>
      <c r="E22" s="6"/>
      <c r="F22" s="127">
        <f>SUM(F11:F21)</f>
        <v>3536373.6227607103</v>
      </c>
      <c r="G22" s="127">
        <f>SUM(G11:G21)</f>
        <v>-133676.44290279504</v>
      </c>
      <c r="H22" s="123"/>
      <c r="I22" s="127">
        <f>SUM(I11:I21)</f>
        <v>3668958.7201347859</v>
      </c>
      <c r="J22" s="127">
        <f>SUM(J11:J21)</f>
        <v>1091.345528718706</v>
      </c>
      <c r="K22" s="127">
        <f>SUM(K11:K21)</f>
        <v>3670050.0656635044</v>
      </c>
      <c r="L22" s="123"/>
      <c r="M22" s="127">
        <f>SUM(M11:M21)</f>
        <v>-10989.900700618029</v>
      </c>
      <c r="N22" s="127">
        <f>SUM(N11:N21)</f>
        <v>-500</v>
      </c>
      <c r="O22" s="127">
        <f>SUM(O11:O21)</f>
        <v>3658560.1649628873</v>
      </c>
      <c r="P22" s="128">
        <f>O22/K22</f>
        <v>0.99686927957519844</v>
      </c>
      <c r="Q22" s="162">
        <f>O22/F22-1</f>
        <v>3.4551366805747996E-2</v>
      </c>
    </row>
    <row r="23" spans="2:18" x14ac:dyDescent="0.2">
      <c r="B23" s="6"/>
      <c r="C23" s="9"/>
      <c r="D23" s="9"/>
      <c r="E23" s="6"/>
      <c r="F23" s="126"/>
      <c r="G23" s="126"/>
      <c r="H23" s="121"/>
      <c r="I23" s="126"/>
      <c r="J23" s="126"/>
      <c r="K23" s="126"/>
      <c r="L23" s="121"/>
      <c r="M23" s="126"/>
      <c r="N23" s="126"/>
      <c r="O23" s="126"/>
      <c r="P23" s="129"/>
      <c r="Q23" s="163"/>
      <c r="R23" s="6"/>
    </row>
    <row r="24" spans="2:18" x14ac:dyDescent="0.2">
      <c r="B24" s="6"/>
      <c r="C24" s="9"/>
      <c r="D24" s="31" t="s">
        <v>395</v>
      </c>
      <c r="E24" s="6"/>
      <c r="F24" s="126"/>
      <c r="G24" s="126"/>
      <c r="H24" s="121"/>
      <c r="I24" s="126"/>
      <c r="J24" s="126"/>
      <c r="K24" s="126"/>
      <c r="L24" s="121"/>
      <c r="M24" s="126"/>
      <c r="N24" s="126"/>
      <c r="O24" s="126"/>
      <c r="P24" s="124"/>
      <c r="Q24" s="160"/>
      <c r="R24" s="6"/>
    </row>
    <row r="25" spans="2:18" x14ac:dyDescent="0.2">
      <c r="B25" s="6">
        <f>MAX(B$11:B24)+1</f>
        <v>13</v>
      </c>
      <c r="C25" s="9"/>
      <c r="D25" s="14" t="s">
        <v>16</v>
      </c>
      <c r="E25" s="6"/>
      <c r="F25" s="122">
        <v>484014.21855538513</v>
      </c>
      <c r="G25" s="122">
        <f t="shared" ref="G25:G29" si="5">F25-K25</f>
        <v>62072.652503178455</v>
      </c>
      <c r="H25" s="123"/>
      <c r="I25" s="122">
        <v>421772.01020618738</v>
      </c>
      <c r="J25" s="122">
        <v>169.55584601927285</v>
      </c>
      <c r="K25" s="122">
        <f>I25+J25</f>
        <v>421941.56605220668</v>
      </c>
      <c r="L25" s="123"/>
      <c r="M25" s="122">
        <v>-989.9758716671837</v>
      </c>
      <c r="N25" s="122">
        <v>0</v>
      </c>
      <c r="O25" s="122">
        <f>K25+M25+N25</f>
        <v>420951.59018053947</v>
      </c>
      <c r="P25" s="124">
        <f t="shared" ref="P25:P30" si="6">O25/K25</f>
        <v>0.99765376073059198</v>
      </c>
      <c r="Q25" s="329">
        <f t="shared" ref="Q25:Q30" si="7">O25/F25-1</f>
        <v>-0.13029085914679484</v>
      </c>
    </row>
    <row r="26" spans="2:18" x14ac:dyDescent="0.2">
      <c r="B26" s="6">
        <f>MAX(B$11:B25)+1</f>
        <v>14</v>
      </c>
      <c r="C26" s="9"/>
      <c r="D26" s="14" t="s">
        <v>17</v>
      </c>
      <c r="E26" s="6"/>
      <c r="F26" s="122">
        <v>82382.336796071977</v>
      </c>
      <c r="G26" s="122">
        <f t="shared" si="5"/>
        <v>13627.601521006509</v>
      </c>
      <c r="H26" s="123"/>
      <c r="I26" s="122">
        <v>68744.673738124286</v>
      </c>
      <c r="J26" s="122">
        <v>10.061536941176378</v>
      </c>
      <c r="K26" s="122">
        <f>I26+J26</f>
        <v>68754.735275065468</v>
      </c>
      <c r="L26" s="123"/>
      <c r="M26" s="122">
        <v>-292.2589272599098</v>
      </c>
      <c r="N26" s="122">
        <v>0</v>
      </c>
      <c r="O26" s="122">
        <f>K26+M26+N26</f>
        <v>68462.476347805554</v>
      </c>
      <c r="P26" s="124">
        <f t="shared" si="6"/>
        <v>0.99574925383552593</v>
      </c>
      <c r="Q26" s="329">
        <f t="shared" si="7"/>
        <v>-0.16896656479559979</v>
      </c>
    </row>
    <row r="27" spans="2:18" x14ac:dyDescent="0.2">
      <c r="B27" s="6">
        <f>MAX(B$11:B26)+1</f>
        <v>15</v>
      </c>
      <c r="C27" s="9"/>
      <c r="D27" s="14" t="s">
        <v>18</v>
      </c>
      <c r="E27" s="6"/>
      <c r="F27" s="122">
        <v>40661.33084374875</v>
      </c>
      <c r="G27" s="122">
        <f t="shared" si="5"/>
        <v>16540.628706514573</v>
      </c>
      <c r="H27" s="123"/>
      <c r="I27" s="122">
        <v>24126.283030829527</v>
      </c>
      <c r="J27" s="122">
        <v>-5.5808935953500374</v>
      </c>
      <c r="K27" s="122">
        <f>I27+J27</f>
        <v>24120.702137234177</v>
      </c>
      <c r="L27" s="123"/>
      <c r="M27" s="122">
        <v>-66.264966478702263</v>
      </c>
      <c r="N27" s="122">
        <v>14500</v>
      </c>
      <c r="O27" s="122">
        <f>K27+M27+N27</f>
        <v>38554.437170755475</v>
      </c>
      <c r="P27" s="124">
        <f t="shared" si="6"/>
        <v>1.5983961391920058</v>
      </c>
      <c r="Q27" s="329">
        <f t="shared" si="7"/>
        <v>-5.1815659479753307E-2</v>
      </c>
    </row>
    <row r="28" spans="2:18" x14ac:dyDescent="0.2">
      <c r="B28" s="6">
        <f>MAX(B$11:B27)+1</f>
        <v>16</v>
      </c>
      <c r="C28" s="9"/>
      <c r="D28" s="14" t="s">
        <v>19</v>
      </c>
      <c r="E28" s="6"/>
      <c r="F28" s="122">
        <v>6193.7088931148774</v>
      </c>
      <c r="G28" s="122">
        <f t="shared" si="5"/>
        <v>2010.6064644712906</v>
      </c>
      <c r="H28" s="123"/>
      <c r="I28" s="122">
        <v>4181.0350181963886</v>
      </c>
      <c r="J28" s="122">
        <v>2.0674104471983878</v>
      </c>
      <c r="K28" s="122">
        <f>I28+J28</f>
        <v>4183.1024286435868</v>
      </c>
      <c r="L28" s="123"/>
      <c r="M28" s="122">
        <v>0</v>
      </c>
      <c r="N28" s="122">
        <v>0</v>
      </c>
      <c r="O28" s="122">
        <f>K28+M28+N28</f>
        <v>4183.1024286435868</v>
      </c>
      <c r="P28" s="124">
        <f t="shared" si="6"/>
        <v>1</v>
      </c>
      <c r="Q28" s="329">
        <f t="shared" si="7"/>
        <v>-0.32462075618477071</v>
      </c>
    </row>
    <row r="29" spans="2:18" x14ac:dyDescent="0.2">
      <c r="B29" s="6">
        <f>MAX(B$11:B28)+1</f>
        <v>17</v>
      </c>
      <c r="C29" s="9"/>
      <c r="D29" s="14" t="s">
        <v>7</v>
      </c>
      <c r="E29" s="6"/>
      <c r="F29" s="122">
        <v>11827.382435304871</v>
      </c>
      <c r="G29" s="122">
        <f t="shared" si="5"/>
        <v>4884.8029852535783</v>
      </c>
      <c r="H29" s="123"/>
      <c r="I29" s="122">
        <v>6942.579450051293</v>
      </c>
      <c r="J29" s="122">
        <v>0</v>
      </c>
      <c r="K29" s="122">
        <f>I29+J29</f>
        <v>6942.579450051293</v>
      </c>
      <c r="L29" s="123"/>
      <c r="M29" s="122">
        <v>0</v>
      </c>
      <c r="N29" s="122">
        <v>0</v>
      </c>
      <c r="O29" s="122">
        <f>K29+M29+N29</f>
        <v>6942.579450051293</v>
      </c>
      <c r="P29" s="124">
        <f t="shared" si="6"/>
        <v>1</v>
      </c>
      <c r="Q29" s="329">
        <f t="shared" si="7"/>
        <v>-0.41300795099618881</v>
      </c>
    </row>
    <row r="30" spans="2:18" x14ac:dyDescent="0.2">
      <c r="B30" s="6">
        <f>MAX(B$11:B29)+1</f>
        <v>18</v>
      </c>
      <c r="C30" s="9"/>
      <c r="D30" s="1" t="s">
        <v>614</v>
      </c>
      <c r="E30" s="6"/>
      <c r="F30" s="127">
        <f>SUM(F25:F29)</f>
        <v>625078.97752362571</v>
      </c>
      <c r="G30" s="127">
        <f>SUM(G25:G29)</f>
        <v>99136.292180424411</v>
      </c>
      <c r="H30" s="123"/>
      <c r="I30" s="127">
        <f>SUM(I25:I29)</f>
        <v>525766.58144338883</v>
      </c>
      <c r="J30" s="127">
        <f>SUM(J25:J29)</f>
        <v>176.10389981229758</v>
      </c>
      <c r="K30" s="127">
        <f>SUM(K25:K29)</f>
        <v>525942.68534320116</v>
      </c>
      <c r="L30" s="123"/>
      <c r="M30" s="127">
        <f>SUM(M25:M29)</f>
        <v>-1348.4997654057956</v>
      </c>
      <c r="N30" s="127">
        <f>SUM(N25:N29)</f>
        <v>14500</v>
      </c>
      <c r="O30" s="127">
        <f>SUM(O25:O29)</f>
        <v>539094.18557779538</v>
      </c>
      <c r="P30" s="128">
        <f t="shared" si="6"/>
        <v>1.0250055768453405</v>
      </c>
      <c r="Q30" s="509">
        <f t="shared" si="7"/>
        <v>-0.13755828469304177</v>
      </c>
    </row>
    <row r="31" spans="2:18" x14ac:dyDescent="0.2">
      <c r="B31" s="6"/>
      <c r="C31" s="9"/>
      <c r="D31" s="9"/>
      <c r="E31" s="6"/>
      <c r="F31" s="126"/>
      <c r="G31" s="126"/>
      <c r="H31" s="121"/>
      <c r="I31" s="126"/>
      <c r="J31" s="126"/>
      <c r="K31" s="126"/>
      <c r="L31" s="121"/>
      <c r="M31" s="126"/>
      <c r="N31" s="126"/>
      <c r="O31" s="126"/>
      <c r="P31" s="129"/>
      <c r="Q31" s="161"/>
      <c r="R31" s="6"/>
    </row>
    <row r="32" spans="2:18" x14ac:dyDescent="0.2">
      <c r="B32" s="6"/>
      <c r="C32" s="9"/>
      <c r="D32" s="40" t="s">
        <v>474</v>
      </c>
      <c r="E32" s="6"/>
      <c r="F32" s="126"/>
      <c r="G32" s="126"/>
      <c r="H32" s="121"/>
      <c r="I32" s="126"/>
      <c r="J32" s="126"/>
      <c r="K32" s="126"/>
      <c r="L32" s="121"/>
      <c r="M32" s="126"/>
      <c r="N32" s="126"/>
      <c r="O32" s="126"/>
      <c r="P32" s="129"/>
      <c r="Q32" s="163"/>
      <c r="R32" s="6"/>
    </row>
    <row r="33" spans="2:18" x14ac:dyDescent="0.2">
      <c r="B33" s="6">
        <f>MAX(B$11:B32)+1</f>
        <v>19</v>
      </c>
      <c r="C33" s="9"/>
      <c r="D33" s="19" t="s">
        <v>20</v>
      </c>
      <c r="E33" s="6"/>
      <c r="F33" s="122">
        <v>1241583.3718163632</v>
      </c>
      <c r="G33" s="122">
        <f t="shared" ref="G33:G41" si="8">F33-K33</f>
        <v>-156559.5653753737</v>
      </c>
      <c r="H33" s="121"/>
      <c r="I33" s="122">
        <v>1397566.4468767601</v>
      </c>
      <c r="J33" s="122">
        <v>576.49031497677163</v>
      </c>
      <c r="K33" s="122">
        <f t="shared" ref="K33:K41" si="9">I33+J33</f>
        <v>1398142.9371917369</v>
      </c>
      <c r="L33" s="121"/>
      <c r="M33" s="122">
        <v>-3167.6250270670353</v>
      </c>
      <c r="N33" s="122">
        <v>0</v>
      </c>
      <c r="O33" s="122">
        <f t="shared" ref="O33:O41" si="10">K33+M33+N33</f>
        <v>1394975.3121646699</v>
      </c>
      <c r="P33" s="124">
        <f t="shared" ref="P33:P42" si="11">O33/K33</f>
        <v>0.99773440544396019</v>
      </c>
      <c r="Q33" s="329">
        <f t="shared" ref="Q33:Q42" si="12">O33/F33-1</f>
        <v>0.12354542097636445</v>
      </c>
      <c r="R33" s="6"/>
    </row>
    <row r="34" spans="2:18" x14ac:dyDescent="0.2">
      <c r="B34" s="6">
        <f>MAX(B$11:B33)+1</f>
        <v>20</v>
      </c>
      <c r="C34" s="9"/>
      <c r="D34" s="19" t="s">
        <v>21</v>
      </c>
      <c r="E34" s="6"/>
      <c r="F34" s="122">
        <v>248033.82266233512</v>
      </c>
      <c r="G34" s="122">
        <f t="shared" si="8"/>
        <v>-34450.307415380958</v>
      </c>
      <c r="H34" s="121"/>
      <c r="I34" s="122">
        <v>282433.79264471459</v>
      </c>
      <c r="J34" s="122">
        <v>50.33743300151977</v>
      </c>
      <c r="K34" s="122">
        <f t="shared" si="9"/>
        <v>282484.13007771608</v>
      </c>
      <c r="L34" s="121"/>
      <c r="M34" s="122">
        <v>-1173.6975384535224</v>
      </c>
      <c r="N34" s="122">
        <v>0</v>
      </c>
      <c r="O34" s="122">
        <f t="shared" si="10"/>
        <v>281310.43253926258</v>
      </c>
      <c r="P34" s="124">
        <f t="shared" si="11"/>
        <v>0.99584508503847424</v>
      </c>
      <c r="Q34" s="329">
        <f t="shared" si="12"/>
        <v>0.13416158135106082</v>
      </c>
      <c r="R34" s="6"/>
    </row>
    <row r="35" spans="2:18" x14ac:dyDescent="0.2">
      <c r="B35" s="6">
        <f>MAX(B$11:B34)+1</f>
        <v>21</v>
      </c>
      <c r="C35" s="9"/>
      <c r="D35" s="19" t="s">
        <v>517</v>
      </c>
      <c r="E35" s="6"/>
      <c r="F35" s="122">
        <v>49619.703277440618</v>
      </c>
      <c r="G35" s="122">
        <f t="shared" si="8"/>
        <v>-8094.5432001947847</v>
      </c>
      <c r="H35" s="121"/>
      <c r="I35" s="122">
        <v>57763.641883969467</v>
      </c>
      <c r="J35" s="122">
        <v>-49.395406334061256</v>
      </c>
      <c r="K35" s="122">
        <f t="shared" si="9"/>
        <v>57714.246477635403</v>
      </c>
      <c r="L35" s="121"/>
      <c r="M35" s="122">
        <v>-417.79806459780332</v>
      </c>
      <c r="N35" s="122">
        <v>-7000</v>
      </c>
      <c r="O35" s="122">
        <f t="shared" si="10"/>
        <v>50296.4484130376</v>
      </c>
      <c r="P35" s="124">
        <f t="shared" si="11"/>
        <v>0.87147370853274086</v>
      </c>
      <c r="Q35" s="329">
        <f t="shared" si="12"/>
        <v>1.3638637293195144E-2</v>
      </c>
      <c r="R35" s="6"/>
    </row>
    <row r="36" spans="2:18" x14ac:dyDescent="0.2">
      <c r="B36" s="6">
        <f>MAX(B$11:B35)+1</f>
        <v>22</v>
      </c>
      <c r="C36" s="9"/>
      <c r="D36" s="19" t="s">
        <v>563</v>
      </c>
      <c r="E36" s="6"/>
      <c r="F36" s="122">
        <v>3251.7913436387671</v>
      </c>
      <c r="G36" s="122">
        <f t="shared" si="8"/>
        <v>410.4308388377226</v>
      </c>
      <c r="H36" s="121"/>
      <c r="I36" s="122">
        <v>2841.1989810505843</v>
      </c>
      <c r="J36" s="122">
        <v>0.16152375046014977</v>
      </c>
      <c r="K36" s="122">
        <f t="shared" si="9"/>
        <v>2841.3605048010445</v>
      </c>
      <c r="L36" s="121"/>
      <c r="M36" s="122">
        <v>-3.6702443179022377</v>
      </c>
      <c r="N36" s="122">
        <v>0</v>
      </c>
      <c r="O36" s="122">
        <f t="shared" si="10"/>
        <v>2837.6902604831421</v>
      </c>
      <c r="P36" s="124">
        <f t="shared" si="11"/>
        <v>0.99870827925154138</v>
      </c>
      <c r="Q36" s="329">
        <f t="shared" si="12"/>
        <v>-0.1273455272478351</v>
      </c>
      <c r="R36" s="6"/>
    </row>
    <row r="37" spans="2:18" x14ac:dyDescent="0.2">
      <c r="B37" s="6">
        <f>MAX(B$11:B36)+1</f>
        <v>23</v>
      </c>
      <c r="C37" s="9"/>
      <c r="D37" s="19" t="s">
        <v>24</v>
      </c>
      <c r="E37" s="6"/>
      <c r="F37" s="122">
        <v>37789.273700985817</v>
      </c>
      <c r="G37" s="122">
        <f t="shared" si="8"/>
        <v>-22217.744408497616</v>
      </c>
      <c r="H37" s="121"/>
      <c r="I37" s="122">
        <v>60099.002072818475</v>
      </c>
      <c r="J37" s="122">
        <v>-91.983963335043541</v>
      </c>
      <c r="K37" s="122">
        <f t="shared" si="9"/>
        <v>60007.018109483433</v>
      </c>
      <c r="L37" s="121"/>
      <c r="M37" s="122">
        <v>-617.99698724044981</v>
      </c>
      <c r="N37" s="122">
        <v>-7000</v>
      </c>
      <c r="O37" s="122">
        <f t="shared" si="10"/>
        <v>52389.021122242986</v>
      </c>
      <c r="P37" s="124">
        <f t="shared" si="11"/>
        <v>0.87304823290266931</v>
      </c>
      <c r="Q37" s="329">
        <f t="shared" si="12"/>
        <v>0.38634633565016885</v>
      </c>
      <c r="R37" s="6"/>
    </row>
    <row r="38" spans="2:18" x14ac:dyDescent="0.2">
      <c r="B38" s="6">
        <f>MAX(B$11:B37)+1</f>
        <v>24</v>
      </c>
      <c r="C38" s="9"/>
      <c r="D38" s="19" t="s">
        <v>25</v>
      </c>
      <c r="E38" s="6"/>
      <c r="F38" s="122">
        <v>5439.4231542770049</v>
      </c>
      <c r="G38" s="122">
        <f t="shared" si="8"/>
        <v>-1166.1192814204733</v>
      </c>
      <c r="H38" s="121"/>
      <c r="I38" s="122">
        <v>6608.3796268559327</v>
      </c>
      <c r="J38" s="122">
        <v>-2.8371911584548899</v>
      </c>
      <c r="K38" s="122">
        <f t="shared" si="9"/>
        <v>6605.5424356974781</v>
      </c>
      <c r="L38" s="121"/>
      <c r="M38" s="122">
        <v>-50.45133732859923</v>
      </c>
      <c r="N38" s="122">
        <v>0</v>
      </c>
      <c r="O38" s="122">
        <f t="shared" si="10"/>
        <v>6555.0910983688791</v>
      </c>
      <c r="P38" s="124">
        <f t="shared" si="11"/>
        <v>0.99236227186189108</v>
      </c>
      <c r="Q38" s="329">
        <f t="shared" si="12"/>
        <v>0.20510776831448152</v>
      </c>
      <c r="R38" s="6"/>
    </row>
    <row r="39" spans="2:18" x14ac:dyDescent="0.2">
      <c r="B39" s="6">
        <f>MAX(B$11:B38)+1</f>
        <v>25</v>
      </c>
      <c r="D39" s="19" t="s">
        <v>26</v>
      </c>
      <c r="E39" s="6"/>
      <c r="F39" s="122">
        <v>14792.8150202165</v>
      </c>
      <c r="G39" s="122">
        <f t="shared" si="8"/>
        <v>1303.5926877782967</v>
      </c>
      <c r="H39" s="121"/>
      <c r="I39" s="122">
        <v>13606.816598039753</v>
      </c>
      <c r="J39" s="122">
        <v>-117.59426560154975</v>
      </c>
      <c r="K39" s="122">
        <f t="shared" si="9"/>
        <v>13489.222332438203</v>
      </c>
      <c r="L39" s="121"/>
      <c r="M39" s="122">
        <v>-135.47313801724047</v>
      </c>
      <c r="N39" s="122">
        <v>0</v>
      </c>
      <c r="O39" s="122">
        <f t="shared" si="10"/>
        <v>13353.749194420963</v>
      </c>
      <c r="P39" s="124">
        <f t="shared" si="11"/>
        <v>0.98995693490117209</v>
      </c>
      <c r="Q39" s="329">
        <f t="shared" si="12"/>
        <v>-9.728140477852576E-2</v>
      </c>
      <c r="R39" s="6"/>
    </row>
    <row r="40" spans="2:18" x14ac:dyDescent="0.2">
      <c r="B40" s="6">
        <f>MAX(B$11:B39)+1</f>
        <v>26</v>
      </c>
      <c r="D40" s="19" t="s">
        <v>27</v>
      </c>
      <c r="E40" s="6"/>
      <c r="F40" s="122">
        <v>83779.158841544267</v>
      </c>
      <c r="G40" s="122">
        <f t="shared" si="8"/>
        <v>-16900.398825835</v>
      </c>
      <c r="H40" s="121"/>
      <c r="I40" s="122">
        <v>102164.87484499183</v>
      </c>
      <c r="J40" s="122">
        <v>-1485.317177612563</v>
      </c>
      <c r="K40" s="122">
        <f t="shared" si="9"/>
        <v>100679.55766737927</v>
      </c>
      <c r="L40" s="121"/>
      <c r="M40" s="122">
        <v>-1711.1427838147317</v>
      </c>
      <c r="N40" s="122">
        <v>0</v>
      </c>
      <c r="O40" s="122">
        <f t="shared" si="10"/>
        <v>98968.414883564532</v>
      </c>
      <c r="P40" s="124">
        <f t="shared" si="11"/>
        <v>0.98300406931198547</v>
      </c>
      <c r="Q40" s="329">
        <f t="shared" si="12"/>
        <v>0.18130112849125712</v>
      </c>
      <c r="R40" s="6"/>
    </row>
    <row r="41" spans="2:18" x14ac:dyDescent="0.2">
      <c r="B41" s="6">
        <f>MAX(B$11:B40)+1</f>
        <v>27</v>
      </c>
      <c r="D41" s="19" t="s">
        <v>28</v>
      </c>
      <c r="E41" s="6"/>
      <c r="F41" s="122">
        <v>8182.6378750708718</v>
      </c>
      <c r="G41" s="122">
        <f t="shared" si="8"/>
        <v>-2268.5573395809151</v>
      </c>
      <c r="H41" s="121"/>
      <c r="I41" s="122">
        <v>10598.505910869872</v>
      </c>
      <c r="J41" s="122">
        <v>-147.31069621808405</v>
      </c>
      <c r="K41" s="122">
        <f t="shared" si="9"/>
        <v>10451.195214651787</v>
      </c>
      <c r="L41" s="121"/>
      <c r="M41" s="122">
        <v>-169.70761438137066</v>
      </c>
      <c r="N41" s="122">
        <v>0</v>
      </c>
      <c r="O41" s="122">
        <f t="shared" si="10"/>
        <v>10281.487600270417</v>
      </c>
      <c r="P41" s="124">
        <f t="shared" si="11"/>
        <v>0.98376189412829518</v>
      </c>
      <c r="Q41" s="329">
        <f t="shared" si="12"/>
        <v>0.25650038010283649</v>
      </c>
      <c r="R41" s="6"/>
    </row>
    <row r="42" spans="2:18" x14ac:dyDescent="0.2">
      <c r="B42" s="6">
        <f>MAX(B$11:B41)+1</f>
        <v>28</v>
      </c>
      <c r="C42" s="9"/>
      <c r="D42" s="9" t="s">
        <v>615</v>
      </c>
      <c r="F42" s="127">
        <f>SUM(F33:F41)</f>
        <v>1692471.9976918718</v>
      </c>
      <c r="G42" s="127">
        <f>SUM(G33:G41)</f>
        <v>-239943.21231966742</v>
      </c>
      <c r="H42" s="121"/>
      <c r="I42" s="127">
        <f>SUM(I33:I41)</f>
        <v>1933682.6594400709</v>
      </c>
      <c r="J42" s="127">
        <f>SUM(J33:J41)</f>
        <v>-1267.449428531005</v>
      </c>
      <c r="K42" s="127">
        <f>SUM(K33:K41)</f>
        <v>1932415.2100115395</v>
      </c>
      <c r="L42" s="121"/>
      <c r="M42" s="127">
        <f>SUM(M33:M41)</f>
        <v>-7447.5627352186557</v>
      </c>
      <c r="N42" s="127">
        <f>SUM(N33:N41)</f>
        <v>-14000</v>
      </c>
      <c r="O42" s="127">
        <f>SUM(O33:O41)</f>
        <v>1910967.647276321</v>
      </c>
      <c r="P42" s="128">
        <f t="shared" si="11"/>
        <v>0.98890116232572478</v>
      </c>
      <c r="Q42" s="162">
        <f t="shared" si="12"/>
        <v>0.12909853154582485</v>
      </c>
      <c r="R42" s="6"/>
    </row>
    <row r="43" spans="2:18" x14ac:dyDescent="0.2">
      <c r="B43" s="20"/>
      <c r="C43" s="9"/>
      <c r="D43" s="6"/>
      <c r="F43" s="126"/>
      <c r="G43" s="126"/>
      <c r="H43" s="121"/>
      <c r="I43" s="126"/>
      <c r="J43" s="126"/>
      <c r="K43" s="126"/>
      <c r="L43" s="121"/>
      <c r="M43" s="122"/>
      <c r="N43" s="122"/>
      <c r="O43" s="126"/>
      <c r="P43" s="129"/>
      <c r="Q43" s="161"/>
      <c r="R43" s="6"/>
    </row>
    <row r="44" spans="2:18" x14ac:dyDescent="0.2">
      <c r="B44" s="6">
        <f>MAX(B$11:B43)+1</f>
        <v>29</v>
      </c>
      <c r="C44" s="9"/>
      <c r="D44" s="21" t="s">
        <v>616</v>
      </c>
      <c r="F44" s="127">
        <f>F22+F30+F42</f>
        <v>5853924.5979762077</v>
      </c>
      <c r="G44" s="127">
        <f>G22+G30+G42</f>
        <v>-274483.36304203805</v>
      </c>
      <c r="H44" s="121"/>
      <c r="I44" s="127">
        <f>I22+I30+I42</f>
        <v>6128407.9610182457</v>
      </c>
      <c r="J44" s="127">
        <f>J22+J30+J42</f>
        <v>0</v>
      </c>
      <c r="K44" s="127">
        <f>K22+K30+K42</f>
        <v>6128407.9610182457</v>
      </c>
      <c r="L44" s="121"/>
      <c r="M44" s="127">
        <f>M22+M30+M42</f>
        <v>-19785.963201242481</v>
      </c>
      <c r="N44" s="127">
        <f>N22+N30+N42</f>
        <v>0</v>
      </c>
      <c r="O44" s="127">
        <f>O22+O30+O42</f>
        <v>6108621.9978170041</v>
      </c>
      <c r="P44" s="128">
        <f>O44/K44</f>
        <v>0.99677143504037313</v>
      </c>
      <c r="Q44" s="162">
        <f>O44/F44-1</f>
        <v>4.3508828236163088E-2</v>
      </c>
      <c r="R44" s="6"/>
    </row>
    <row r="45" spans="2:18" x14ac:dyDescent="0.2">
      <c r="B45" s="6"/>
      <c r="C45" s="9"/>
      <c r="D45" s="9"/>
      <c r="E45" s="6"/>
      <c r="F45" s="126"/>
      <c r="G45" s="126"/>
      <c r="H45" s="121"/>
      <c r="I45" s="126"/>
      <c r="J45" s="126"/>
      <c r="K45" s="126"/>
      <c r="L45" s="121"/>
      <c r="M45" s="121"/>
      <c r="N45" s="121"/>
      <c r="O45" s="126"/>
      <c r="P45" s="129"/>
      <c r="Q45" s="134"/>
      <c r="R45" s="6"/>
    </row>
    <row r="46" spans="2:18" x14ac:dyDescent="0.2">
      <c r="B46" s="6"/>
      <c r="C46" s="9"/>
      <c r="D46" s="40" t="s">
        <v>39</v>
      </c>
      <c r="E46" s="6"/>
      <c r="F46" s="126"/>
      <c r="G46" s="126"/>
      <c r="H46" s="121"/>
      <c r="I46" s="126"/>
      <c r="J46" s="126"/>
      <c r="K46" s="126"/>
      <c r="L46" s="121"/>
      <c r="M46" s="121"/>
      <c r="N46" s="121"/>
      <c r="O46" s="126"/>
      <c r="P46" s="129"/>
      <c r="Q46" s="135"/>
      <c r="R46" s="6"/>
    </row>
    <row r="47" spans="2:18" x14ac:dyDescent="0.2">
      <c r="B47" s="6">
        <f>MAX(B$11:B46)+1</f>
        <v>30</v>
      </c>
      <c r="C47" s="9"/>
      <c r="D47" s="14" t="s">
        <v>342</v>
      </c>
      <c r="F47" s="122">
        <v>169.00033449599999</v>
      </c>
      <c r="G47" s="122">
        <v>163.43052393897167</v>
      </c>
      <c r="H47" s="125"/>
      <c r="I47" s="122">
        <v>5.5698105570283136</v>
      </c>
      <c r="J47" s="122"/>
      <c r="K47" s="122">
        <v>5.5698105570283136</v>
      </c>
      <c r="L47" s="125"/>
      <c r="M47" s="122">
        <v>163.43052393897165</v>
      </c>
      <c r="N47" s="122"/>
      <c r="O47" s="122">
        <v>169.00033449599997</v>
      </c>
      <c r="P47" s="124">
        <v>30.342205137075162</v>
      </c>
      <c r="Q47" s="329">
        <f t="shared" ref="Q47:Q49" si="13">O47/F47-1</f>
        <v>0</v>
      </c>
      <c r="R47" s="6"/>
    </row>
    <row r="48" spans="2:18" x14ac:dyDescent="0.2">
      <c r="B48" s="6">
        <f>MAX(B$11:B47)+1</f>
        <v>31</v>
      </c>
      <c r="C48" s="9"/>
      <c r="D48" s="14" t="s">
        <v>344</v>
      </c>
      <c r="E48" s="6"/>
      <c r="F48" s="122">
        <v>19179.468000000001</v>
      </c>
      <c r="G48" s="122">
        <v>-2488.3096047850304</v>
      </c>
      <c r="H48" s="121"/>
      <c r="I48" s="122">
        <v>21667.777604785031</v>
      </c>
      <c r="J48" s="126"/>
      <c r="K48" s="122">
        <v>21667.777604785031</v>
      </c>
      <c r="L48" s="121"/>
      <c r="M48" s="122">
        <v>0</v>
      </c>
      <c r="N48" s="121"/>
      <c r="O48" s="122">
        <v>21667.777604785031</v>
      </c>
      <c r="P48" s="124">
        <v>1</v>
      </c>
      <c r="Q48" s="329">
        <f t="shared" si="13"/>
        <v>0.12973819736736347</v>
      </c>
      <c r="R48" s="6"/>
    </row>
    <row r="49" spans="2:18" x14ac:dyDescent="0.2">
      <c r="B49" s="6">
        <f>MAX(B$11:B48)+1</f>
        <v>32</v>
      </c>
      <c r="C49" s="9"/>
      <c r="D49" s="14" t="s">
        <v>253</v>
      </c>
      <c r="F49" s="122">
        <v>3560.977942268019</v>
      </c>
      <c r="G49" s="122">
        <v>3560.977942268019</v>
      </c>
      <c r="I49" s="122">
        <v>0</v>
      </c>
      <c r="K49" s="122">
        <v>0</v>
      </c>
      <c r="M49" s="122">
        <v>3560.977942268019</v>
      </c>
      <c r="O49" s="122">
        <v>3560.977942268019</v>
      </c>
      <c r="P49" s="124" t="s">
        <v>938</v>
      </c>
      <c r="Q49" s="329">
        <f t="shared" si="13"/>
        <v>0</v>
      </c>
      <c r="R49" s="6"/>
    </row>
    <row r="50" spans="2:18" x14ac:dyDescent="0.2">
      <c r="B50" s="6">
        <f>MAX(B$11:B49)+1</f>
        <v>33</v>
      </c>
      <c r="C50" s="9"/>
      <c r="D50" s="19" t="s">
        <v>498</v>
      </c>
      <c r="E50" s="6"/>
      <c r="F50" s="122">
        <v>123641.88959884401</v>
      </c>
      <c r="G50" s="122">
        <v>-4630.6523697985103</v>
      </c>
      <c r="H50" s="121"/>
      <c r="I50" s="122">
        <v>128272.54196864252</v>
      </c>
      <c r="J50" s="122"/>
      <c r="K50" s="122">
        <v>128272.54196864252</v>
      </c>
      <c r="L50" s="121"/>
      <c r="M50" s="122">
        <v>10.530602348939283</v>
      </c>
      <c r="N50" s="122"/>
      <c r="O50" s="122">
        <v>128283.07257099145</v>
      </c>
      <c r="P50" s="124">
        <v>1.0000820955302461</v>
      </c>
      <c r="Q50" s="329">
        <f t="shared" ref="Q50:Q55" si="14">O50/F50-1</f>
        <v>3.7537302181370524E-2</v>
      </c>
      <c r="R50" s="6"/>
    </row>
    <row r="51" spans="2:18" x14ac:dyDescent="0.2">
      <c r="B51" s="6">
        <f>MAX(B$11:B50)+1</f>
        <v>34</v>
      </c>
      <c r="C51" s="9"/>
      <c r="D51" s="19" t="s">
        <v>43</v>
      </c>
      <c r="E51" s="16"/>
      <c r="F51" s="122">
        <v>17410.917282836475</v>
      </c>
      <c r="G51" s="122">
        <v>12829.331297232322</v>
      </c>
      <c r="H51" s="121"/>
      <c r="I51" s="122">
        <v>4581.5859856041525</v>
      </c>
      <c r="J51" s="122"/>
      <c r="K51" s="122">
        <v>4581.5859856041525</v>
      </c>
      <c r="L51" s="121"/>
      <c r="M51" s="122">
        <v>13111.888115074784</v>
      </c>
      <c r="N51" s="122"/>
      <c r="O51" s="122">
        <v>17693.474100678937</v>
      </c>
      <c r="P51" s="124">
        <v>3.8618666453655526</v>
      </c>
      <c r="Q51" s="329">
        <f t="shared" si="14"/>
        <v>1.6228715193598919E-2</v>
      </c>
      <c r="R51" s="6"/>
    </row>
    <row r="52" spans="2:18" x14ac:dyDescent="0.2">
      <c r="B52" s="6">
        <f>MAX(B$11:B51)+1</f>
        <v>35</v>
      </c>
      <c r="C52" s="9"/>
      <c r="D52" s="19" t="s">
        <v>497</v>
      </c>
      <c r="E52" s="6"/>
      <c r="F52" s="122">
        <v>424.03364183333332</v>
      </c>
      <c r="G52" s="122">
        <v>298.76845255218859</v>
      </c>
      <c r="H52" s="121"/>
      <c r="I52" s="122">
        <v>125.2651892811447</v>
      </c>
      <c r="J52" s="122"/>
      <c r="K52" s="122">
        <v>125.2651892811447</v>
      </c>
      <c r="L52" s="121"/>
      <c r="M52" s="122">
        <v>770.56867428381167</v>
      </c>
      <c r="N52" s="122"/>
      <c r="O52" s="122">
        <v>895.83386356495635</v>
      </c>
      <c r="P52" s="124">
        <v>7.1514989016968658</v>
      </c>
      <c r="Q52" s="329">
        <f t="shared" si="14"/>
        <v>1.1126480901179638</v>
      </c>
      <c r="R52" s="6"/>
    </row>
    <row r="53" spans="2:18" x14ac:dyDescent="0.2">
      <c r="B53" s="6">
        <f>MAX(B$11:B52)+1</f>
        <v>36</v>
      </c>
      <c r="C53" s="9"/>
      <c r="D53" s="19" t="s">
        <v>41</v>
      </c>
      <c r="E53" s="6"/>
      <c r="F53" s="122">
        <v>638.42606352170299</v>
      </c>
      <c r="G53" s="122">
        <v>183.42423968372373</v>
      </c>
      <c r="H53" s="121"/>
      <c r="I53" s="122">
        <v>455.00182383797926</v>
      </c>
      <c r="J53" s="122"/>
      <c r="K53" s="122">
        <v>455.00182383797926</v>
      </c>
      <c r="L53" s="121"/>
      <c r="M53" s="122">
        <v>425.38767099139079</v>
      </c>
      <c r="N53" s="122"/>
      <c r="O53" s="122">
        <v>880.38949482937005</v>
      </c>
      <c r="P53" s="124">
        <v>1.9349142106798813</v>
      </c>
      <c r="Q53" s="329">
        <f t="shared" si="14"/>
        <v>0.37899992674632021</v>
      </c>
      <c r="R53" s="6"/>
    </row>
    <row r="54" spans="2:18" x14ac:dyDescent="0.2">
      <c r="B54" s="6">
        <f>MAX(B$11:B53)+1</f>
        <v>37</v>
      </c>
      <c r="D54" s="19" t="s">
        <v>42</v>
      </c>
      <c r="E54" s="16"/>
      <c r="F54" s="122">
        <v>570.28478551477667</v>
      </c>
      <c r="G54" s="122">
        <v>13.150837993125947</v>
      </c>
      <c r="H54" s="121"/>
      <c r="I54" s="122">
        <v>557.13394752165073</v>
      </c>
      <c r="J54" s="122"/>
      <c r="K54" s="122">
        <v>557.13394752165073</v>
      </c>
      <c r="L54" s="121"/>
      <c r="M54" s="122">
        <v>25.168242418770888</v>
      </c>
      <c r="N54" s="122"/>
      <c r="O54" s="122">
        <v>582.30218994042161</v>
      </c>
      <c r="P54" s="124">
        <v>1.045174490857592</v>
      </c>
      <c r="Q54" s="329">
        <f t="shared" si="14"/>
        <v>2.1072637269811123E-2</v>
      </c>
      <c r="R54" s="6"/>
    </row>
    <row r="55" spans="2:18" x14ac:dyDescent="0.2">
      <c r="B55" s="6">
        <f>MAX(B$11:B54)+1</f>
        <v>38</v>
      </c>
      <c r="D55" s="9" t="s">
        <v>44</v>
      </c>
      <c r="F55" s="127">
        <f>SUM(F47:F54)</f>
        <v>165594.99764931435</v>
      </c>
      <c r="G55" s="127">
        <f>SUM(G47:G54)</f>
        <v>9930.1213190848102</v>
      </c>
      <c r="H55" s="121"/>
      <c r="I55" s="127">
        <f>SUM(I47:I54)</f>
        <v>155664.87633022951</v>
      </c>
      <c r="J55" s="130">
        <f>SUM(J47:J54)</f>
        <v>0</v>
      </c>
      <c r="K55" s="127">
        <f>SUM(K47:K54)</f>
        <v>155664.87633022951</v>
      </c>
      <c r="L55" s="121"/>
      <c r="M55" s="127">
        <f>SUM(M47:M54)</f>
        <v>18067.951771324686</v>
      </c>
      <c r="N55" s="130">
        <f>SUM(N47:N54)</f>
        <v>0</v>
      </c>
      <c r="O55" s="127">
        <f>SUM(O47:O54)</f>
        <v>173732.82810155419</v>
      </c>
      <c r="P55" s="128">
        <f t="shared" ref="P55" si="15">O55/K55</f>
        <v>1.116069547590139</v>
      </c>
      <c r="Q55" s="162">
        <f t="shared" si="14"/>
        <v>4.9142972721154088E-2</v>
      </c>
      <c r="R55" s="6"/>
    </row>
    <row r="56" spans="2:18" x14ac:dyDescent="0.2">
      <c r="B56" s="6"/>
      <c r="C56" s="9"/>
      <c r="G56" s="34"/>
      <c r="M56" s="34"/>
      <c r="Q56" s="81"/>
      <c r="R56" s="6"/>
    </row>
    <row r="57" spans="2:18" x14ac:dyDescent="0.2">
      <c r="B57" s="6">
        <f>MAX(B$11:B56)+1</f>
        <v>39</v>
      </c>
      <c r="C57" s="9"/>
      <c r="D57" s="157" t="s">
        <v>396</v>
      </c>
      <c r="F57" s="122">
        <v>1196.9395495536583</v>
      </c>
      <c r="G57" s="122">
        <v>1196.9395495536583</v>
      </c>
      <c r="H57" s="125"/>
      <c r="I57" s="122">
        <v>0</v>
      </c>
      <c r="J57" s="122"/>
      <c r="K57" s="122">
        <v>0</v>
      </c>
      <c r="L57" s="125"/>
      <c r="M57" s="122">
        <v>1718.0114299177626</v>
      </c>
      <c r="N57" s="122"/>
      <c r="O57" s="122">
        <v>1718.0114299177626</v>
      </c>
      <c r="P57" s="125"/>
      <c r="Q57" s="163"/>
      <c r="R57" s="6"/>
    </row>
    <row r="58" spans="2:18" x14ac:dyDescent="0.2">
      <c r="Q58" s="81"/>
      <c r="R58" s="6"/>
    </row>
    <row r="59" spans="2:18" ht="13.5" thickBot="1" x14ac:dyDescent="0.25">
      <c r="B59" s="6">
        <f>MAX(B$11:B57)+1</f>
        <v>40</v>
      </c>
      <c r="C59" s="9"/>
      <c r="D59" s="21" t="s">
        <v>94</v>
      </c>
      <c r="F59" s="131">
        <f>ROUND(F44+F55+F57,0)</f>
        <v>6020717</v>
      </c>
      <c r="G59" s="159">
        <f>ROUND(G44+G55+G57,0)</f>
        <v>-263356</v>
      </c>
      <c r="H59" s="121"/>
      <c r="I59" s="159">
        <f>ROUND(I44+I55+I57,0)</f>
        <v>6284073</v>
      </c>
      <c r="J59" s="131">
        <f>ROUND(J44+J55+J57,0)</f>
        <v>0</v>
      </c>
      <c r="K59" s="131">
        <f>ROUND(K44+K55+K57,0)</f>
        <v>6284073</v>
      </c>
      <c r="L59" s="121"/>
      <c r="M59" s="131">
        <f>ROUND(M44+M55+M57,0)</f>
        <v>0</v>
      </c>
      <c r="N59" s="131">
        <f>ROUND(N44+N55+N57,0)</f>
        <v>0</v>
      </c>
      <c r="O59" s="131">
        <f>ROUND(O44+O55+O57,0)</f>
        <v>6284073</v>
      </c>
      <c r="P59" s="132">
        <f>O59/K59</f>
        <v>1</v>
      </c>
      <c r="Q59" s="164">
        <f>O59/F59-1</f>
        <v>4.3741634094411008E-2</v>
      </c>
      <c r="R59" s="9"/>
    </row>
    <row r="60" spans="2:18" ht="13.5" thickTop="1" x14ac:dyDescent="0.2">
      <c r="B60" s="6"/>
      <c r="C60" s="9"/>
      <c r="D60" s="21"/>
      <c r="F60" s="141"/>
      <c r="G60" s="346"/>
      <c r="H60" s="121"/>
      <c r="I60" s="346"/>
      <c r="J60" s="141"/>
      <c r="K60" s="141"/>
      <c r="L60" s="121"/>
      <c r="M60" s="141"/>
      <c r="N60" s="141"/>
      <c r="O60" s="141"/>
      <c r="P60" s="142"/>
      <c r="Q60" s="160"/>
      <c r="R60" s="9"/>
    </row>
    <row r="61" spans="2:18" x14ac:dyDescent="0.2">
      <c r="B61" s="22" t="s">
        <v>29</v>
      </c>
      <c r="C61" s="9"/>
      <c r="D61" s="9"/>
      <c r="E61" s="20"/>
      <c r="F61" s="20"/>
      <c r="G61" s="20"/>
      <c r="H61" s="20"/>
      <c r="I61" s="20"/>
      <c r="J61" s="20"/>
      <c r="K61" s="20"/>
      <c r="L61" s="20"/>
      <c r="M61" s="20"/>
      <c r="N61" s="20"/>
      <c r="O61" s="20"/>
      <c r="P61" s="20"/>
      <c r="Q61" s="20"/>
    </row>
    <row r="62" spans="2:18" x14ac:dyDescent="0.2">
      <c r="B62" s="23" t="s">
        <v>30</v>
      </c>
      <c r="D62" s="20" t="s">
        <v>964</v>
      </c>
    </row>
    <row r="63" spans="2:18" x14ac:dyDescent="0.2">
      <c r="B63" s="23" t="s">
        <v>31</v>
      </c>
      <c r="D63" s="28" t="s">
        <v>504</v>
      </c>
    </row>
    <row r="64" spans="2:18" x14ac:dyDescent="0.2">
      <c r="B64" s="23" t="s">
        <v>32</v>
      </c>
      <c r="D64" s="20" t="s">
        <v>562</v>
      </c>
    </row>
    <row r="65" spans="2:18" x14ac:dyDescent="0.2">
      <c r="B65" s="167" t="s">
        <v>45</v>
      </c>
      <c r="C65" s="35"/>
      <c r="D65" s="35" t="s">
        <v>976</v>
      </c>
    </row>
    <row r="66" spans="2:18" x14ac:dyDescent="0.2">
      <c r="B66" s="167" t="s">
        <v>46</v>
      </c>
      <c r="C66" s="35"/>
      <c r="D66" s="35" t="s">
        <v>977</v>
      </c>
    </row>
    <row r="67" spans="2:18" x14ac:dyDescent="0.2">
      <c r="B67" s="167" t="s">
        <v>516</v>
      </c>
      <c r="C67" s="28"/>
      <c r="D67" s="35" t="s">
        <v>965</v>
      </c>
      <c r="E67" s="28"/>
      <c r="F67" s="28"/>
    </row>
    <row r="68" spans="2:18" x14ac:dyDescent="0.2">
      <c r="B68" s="167" t="s">
        <v>518</v>
      </c>
      <c r="C68" s="28"/>
      <c r="D68" s="35" t="s">
        <v>714</v>
      </c>
      <c r="E68" s="148"/>
      <c r="F68" s="28"/>
    </row>
    <row r="69" spans="2:18" x14ac:dyDescent="0.2">
      <c r="B69" s="167"/>
      <c r="C69" s="28"/>
      <c r="D69" s="35"/>
    </row>
    <row r="70" spans="2:18" x14ac:dyDescent="0.2">
      <c r="B70" s="4" t="str">
        <f>+$B$2</f>
        <v>Summary of Proposed Revenue Change by Rate Class</v>
      </c>
      <c r="C70" s="4"/>
      <c r="D70" s="4"/>
      <c r="E70" s="4"/>
      <c r="F70" s="4"/>
      <c r="G70" s="4"/>
      <c r="H70" s="4"/>
      <c r="I70" s="4"/>
      <c r="J70" s="4"/>
      <c r="K70" s="4"/>
      <c r="L70" s="4"/>
      <c r="M70" s="4"/>
      <c r="N70" s="4"/>
      <c r="O70" s="4"/>
      <c r="P70" s="4"/>
      <c r="Q70" s="4"/>
      <c r="R70" s="5"/>
    </row>
    <row r="71" spans="2:18" x14ac:dyDescent="0.2">
      <c r="B71" s="165" t="s">
        <v>503</v>
      </c>
      <c r="C71" s="2"/>
      <c r="D71" s="2"/>
      <c r="E71" s="2"/>
      <c r="F71" s="2"/>
      <c r="G71" s="2"/>
      <c r="H71" s="2"/>
      <c r="I71" s="2"/>
      <c r="J71" s="2"/>
      <c r="K71" s="2"/>
      <c r="L71" s="2"/>
      <c r="M71" s="2"/>
      <c r="N71" s="2"/>
      <c r="O71" s="2"/>
      <c r="P71" s="3"/>
      <c r="Q71" s="3"/>
    </row>
    <row r="72" spans="2:18" x14ac:dyDescent="0.2">
      <c r="B72" s="2"/>
      <c r="C72" s="2"/>
      <c r="D72" s="2"/>
      <c r="E72" s="2"/>
      <c r="F72" s="2"/>
      <c r="G72" s="2"/>
      <c r="H72" s="2"/>
      <c r="I72" s="2"/>
      <c r="J72" s="2"/>
      <c r="K72" s="2"/>
      <c r="L72" s="2"/>
      <c r="M72" s="2"/>
      <c r="N72" s="2"/>
      <c r="O72" s="2"/>
      <c r="P72" s="3"/>
      <c r="Q72" s="3"/>
    </row>
    <row r="73" spans="2:18" x14ac:dyDescent="0.2">
      <c r="B73" s="21"/>
      <c r="C73" s="21"/>
      <c r="D73" s="21"/>
      <c r="E73" s="21"/>
      <c r="F73" s="547" t="str">
        <f>+$F$5</f>
        <v>Revenue Before Recovery</v>
      </c>
      <c r="G73" s="547"/>
      <c r="H73" s="21"/>
      <c r="I73" s="547" t="str">
        <f>+$I$5</f>
        <v>Proposed Revenue Requirement</v>
      </c>
      <c r="J73" s="547"/>
      <c r="K73" s="547"/>
      <c r="L73" s="21"/>
      <c r="M73" s="547" t="str">
        <f>+$M$5</f>
        <v>Revenue After Recovery</v>
      </c>
      <c r="N73" s="547"/>
      <c r="O73" s="547"/>
      <c r="P73" s="547"/>
      <c r="Q73" s="547"/>
    </row>
    <row r="74" spans="2:18" s="523" customFormat="1" ht="38.25" x14ac:dyDescent="0.2">
      <c r="B74" s="24" t="s">
        <v>0</v>
      </c>
      <c r="C74" s="24"/>
      <c r="D74" s="24"/>
      <c r="E74" s="24"/>
      <c r="F74" s="523" t="s">
        <v>742</v>
      </c>
      <c r="G74" s="523" t="s">
        <v>505</v>
      </c>
      <c r="H74" s="24"/>
      <c r="I74" s="154" t="s">
        <v>743</v>
      </c>
      <c r="J74" s="154" t="s">
        <v>744</v>
      </c>
      <c r="K74" s="154" t="s">
        <v>314</v>
      </c>
      <c r="L74" s="154"/>
      <c r="M74" s="45" t="s">
        <v>741</v>
      </c>
      <c r="N74" s="45" t="s">
        <v>762</v>
      </c>
      <c r="O74" s="45" t="s">
        <v>515</v>
      </c>
      <c r="P74" s="154" t="s">
        <v>745</v>
      </c>
      <c r="Q74" s="154" t="s">
        <v>159</v>
      </c>
      <c r="R74" s="24"/>
    </row>
    <row r="75" spans="2:18" x14ac:dyDescent="0.2">
      <c r="B75" s="519" t="s">
        <v>1</v>
      </c>
      <c r="C75" s="9"/>
      <c r="D75" s="10" t="s">
        <v>33</v>
      </c>
      <c r="E75" s="6"/>
      <c r="F75" s="519" t="s">
        <v>389</v>
      </c>
      <c r="G75" s="519" t="s">
        <v>389</v>
      </c>
      <c r="H75" s="6"/>
      <c r="I75" s="519" t="s">
        <v>389</v>
      </c>
      <c r="J75" s="519" t="s">
        <v>389</v>
      </c>
      <c r="K75" s="519" t="s">
        <v>389</v>
      </c>
      <c r="L75" s="6"/>
      <c r="M75" s="519" t="s">
        <v>389</v>
      </c>
      <c r="N75" s="519" t="s">
        <v>389</v>
      </c>
      <c r="O75" s="519" t="s">
        <v>389</v>
      </c>
      <c r="P75" s="519" t="s">
        <v>617</v>
      </c>
      <c r="Q75" s="519" t="s">
        <v>2</v>
      </c>
      <c r="R75" s="6"/>
    </row>
    <row r="76" spans="2:18" x14ac:dyDescent="0.2">
      <c r="B76" s="6"/>
      <c r="C76" s="9"/>
      <c r="D76" s="9"/>
      <c r="E76" s="6"/>
      <c r="F76" s="6" t="s">
        <v>3</v>
      </c>
      <c r="G76" s="6" t="s">
        <v>477</v>
      </c>
      <c r="H76" s="6"/>
      <c r="I76" s="6" t="s">
        <v>119</v>
      </c>
      <c r="J76" s="6" t="s">
        <v>263</v>
      </c>
      <c r="K76" s="6" t="s">
        <v>315</v>
      </c>
      <c r="L76" s="6"/>
      <c r="M76" s="6" t="s">
        <v>264</v>
      </c>
      <c r="N76" s="6" t="s">
        <v>38</v>
      </c>
      <c r="O76" s="6" t="s">
        <v>316</v>
      </c>
      <c r="P76" s="11" t="s">
        <v>317</v>
      </c>
      <c r="Q76" s="11" t="s">
        <v>318</v>
      </c>
      <c r="R76" s="6"/>
    </row>
    <row r="77" spans="2:18" x14ac:dyDescent="0.2">
      <c r="B77" s="6"/>
      <c r="C77" s="9"/>
      <c r="D77" s="9"/>
      <c r="E77" s="6"/>
      <c r="F77" s="7"/>
      <c r="G77" s="7"/>
      <c r="H77" s="6"/>
      <c r="I77" s="6"/>
      <c r="J77" s="6"/>
      <c r="K77" s="6"/>
      <c r="L77" s="6"/>
      <c r="M77" s="6"/>
      <c r="N77" s="6"/>
      <c r="O77" s="6"/>
      <c r="P77" s="6"/>
      <c r="Q77" s="6"/>
      <c r="R77" s="6"/>
    </row>
    <row r="78" spans="2:18" x14ac:dyDescent="0.2">
      <c r="B78" s="6"/>
      <c r="C78" s="9"/>
      <c r="D78" s="31" t="s">
        <v>394</v>
      </c>
      <c r="E78" s="6"/>
      <c r="F78" s="143"/>
      <c r="G78" s="144"/>
      <c r="H78" s="137"/>
      <c r="I78" s="145"/>
      <c r="J78" s="145"/>
      <c r="K78" s="145"/>
      <c r="L78" s="137"/>
      <c r="M78" s="137"/>
      <c r="N78" s="137"/>
      <c r="O78" s="137"/>
      <c r="P78" s="137"/>
      <c r="Q78" s="137"/>
      <c r="R78" s="6"/>
    </row>
    <row r="79" spans="2:18" x14ac:dyDescent="0.2">
      <c r="B79" s="6">
        <v>1</v>
      </c>
      <c r="C79" s="9"/>
      <c r="D79" s="14" t="s">
        <v>5</v>
      </c>
      <c r="E79" s="6"/>
      <c r="F79" s="122">
        <v>1033104.6095683011</v>
      </c>
      <c r="G79" s="122">
        <f t="shared" ref="G79:G89" si="16">F79-K79</f>
        <v>-124227.87128302432</v>
      </c>
      <c r="H79" s="123"/>
      <c r="I79" s="122">
        <v>1156463.1896795984</v>
      </c>
      <c r="J79" s="122">
        <v>869.29117172702718</v>
      </c>
      <c r="K79" s="122">
        <f t="shared" ref="K79:K89" si="17">I79+J79</f>
        <v>1157332.4808513254</v>
      </c>
      <c r="L79" s="123"/>
      <c r="M79" s="122">
        <v>-5377.8353829054795</v>
      </c>
      <c r="N79" s="122">
        <v>0</v>
      </c>
      <c r="O79" s="122">
        <f t="shared" ref="O79:O89" si="18">K79+M79+N79</f>
        <v>1151954.6454684199</v>
      </c>
      <c r="P79" s="124">
        <f t="shared" ref="P79:P88" si="19">O79/K79</f>
        <v>0.9953532494145938</v>
      </c>
      <c r="Q79" s="329">
        <f t="shared" ref="Q79:Q88" si="20">O79/F79-1</f>
        <v>0.11504162773001481</v>
      </c>
    </row>
    <row r="80" spans="2:18" x14ac:dyDescent="0.2">
      <c r="B80" s="6">
        <f>MAX(B$79:B79)+1</f>
        <v>2</v>
      </c>
      <c r="C80" s="9"/>
      <c r="D80" s="14" t="s">
        <v>6</v>
      </c>
      <c r="E80" s="6"/>
      <c r="F80" s="122">
        <v>447767.49283132132</v>
      </c>
      <c r="G80" s="122">
        <f t="shared" si="16"/>
        <v>-26502.631726686261</v>
      </c>
      <c r="H80" s="123"/>
      <c r="I80" s="122">
        <v>474007.69258986943</v>
      </c>
      <c r="J80" s="122">
        <v>262.43196813811664</v>
      </c>
      <c r="K80" s="122">
        <f t="shared" si="17"/>
        <v>474270.12455800758</v>
      </c>
      <c r="L80" s="123"/>
      <c r="M80" s="122">
        <v>-4799.1405610451675</v>
      </c>
      <c r="N80" s="122">
        <v>0</v>
      </c>
      <c r="O80" s="122">
        <f t="shared" si="18"/>
        <v>469470.98399696243</v>
      </c>
      <c r="P80" s="124">
        <f t="shared" si="19"/>
        <v>0.98988099753169634</v>
      </c>
      <c r="Q80" s="329">
        <f t="shared" si="20"/>
        <v>4.8470448420464107E-2</v>
      </c>
    </row>
    <row r="81" spans="2:18" x14ac:dyDescent="0.2">
      <c r="B81" s="6">
        <f>MAX(B$79:B80)+1</f>
        <v>3</v>
      </c>
      <c r="C81" s="9"/>
      <c r="D81" s="14" t="s">
        <v>7</v>
      </c>
      <c r="E81" s="6"/>
      <c r="F81" s="122">
        <v>2060.3986803822677</v>
      </c>
      <c r="G81" s="122">
        <f t="shared" si="16"/>
        <v>414.11037751105982</v>
      </c>
      <c r="H81" s="123"/>
      <c r="I81" s="122">
        <v>1643.8117821785515</v>
      </c>
      <c r="J81" s="122">
        <v>2.4765206926563459</v>
      </c>
      <c r="K81" s="122">
        <f t="shared" si="17"/>
        <v>1646.2883028712079</v>
      </c>
      <c r="L81" s="123"/>
      <c r="M81" s="122">
        <v>-16.927269714244495</v>
      </c>
      <c r="N81" s="122">
        <v>400</v>
      </c>
      <c r="O81" s="122">
        <f t="shared" si="18"/>
        <v>2029.3610331569635</v>
      </c>
      <c r="P81" s="124">
        <f t="shared" si="19"/>
        <v>1.2326887274954563</v>
      </c>
      <c r="Q81" s="329">
        <f t="shared" si="20"/>
        <v>-1.5063903661375777E-2</v>
      </c>
    </row>
    <row r="82" spans="2:18" x14ac:dyDescent="0.2">
      <c r="B82" s="6">
        <f>MAX(B$79:B81)+1</f>
        <v>4</v>
      </c>
      <c r="C82" s="9"/>
      <c r="D82" s="14" t="s">
        <v>8</v>
      </c>
      <c r="E82" s="6"/>
      <c r="F82" s="122">
        <v>36742.485782243326</v>
      </c>
      <c r="G82" s="122">
        <f t="shared" si="16"/>
        <v>-1395.5729467610581</v>
      </c>
      <c r="H82" s="123"/>
      <c r="I82" s="122">
        <v>38194.478153329983</v>
      </c>
      <c r="J82" s="122">
        <v>-56.419424325595308</v>
      </c>
      <c r="K82" s="122">
        <f t="shared" si="17"/>
        <v>38138.058729004384</v>
      </c>
      <c r="L82" s="123"/>
      <c r="M82" s="122">
        <v>-550.66886865620438</v>
      </c>
      <c r="N82" s="122">
        <v>0</v>
      </c>
      <c r="O82" s="122">
        <f t="shared" si="18"/>
        <v>37587.389860348179</v>
      </c>
      <c r="P82" s="124">
        <f t="shared" si="19"/>
        <v>0.98556117204158022</v>
      </c>
      <c r="Q82" s="329">
        <f t="shared" si="20"/>
        <v>2.29952889717977E-2</v>
      </c>
    </row>
    <row r="83" spans="2:18" x14ac:dyDescent="0.2">
      <c r="B83" s="6">
        <f>MAX(B$79:B82)+1</f>
        <v>5</v>
      </c>
      <c r="C83" s="9"/>
      <c r="D83" s="14" t="s">
        <v>9</v>
      </c>
      <c r="E83" s="6"/>
      <c r="F83" s="122">
        <v>6949.5231766242996</v>
      </c>
      <c r="G83" s="122">
        <f t="shared" si="16"/>
        <v>1499.6791957506648</v>
      </c>
      <c r="H83" s="123"/>
      <c r="I83" s="122">
        <v>5468.8887327589173</v>
      </c>
      <c r="J83" s="122">
        <v>-19.044751885282214</v>
      </c>
      <c r="K83" s="122">
        <f t="shared" si="17"/>
        <v>5449.8439808736348</v>
      </c>
      <c r="L83" s="123"/>
      <c r="M83" s="122">
        <v>-115.7283054572753</v>
      </c>
      <c r="N83" s="122">
        <v>0</v>
      </c>
      <c r="O83" s="122">
        <f t="shared" si="18"/>
        <v>5334.1156754163594</v>
      </c>
      <c r="P83" s="124">
        <f t="shared" si="19"/>
        <v>0.97876484063334168</v>
      </c>
      <c r="Q83" s="329">
        <f t="shared" si="20"/>
        <v>-0.232448681751518</v>
      </c>
    </row>
    <row r="84" spans="2:18" x14ac:dyDescent="0.2">
      <c r="B84" s="6">
        <f>MAX(B$79:B83)+1</f>
        <v>6</v>
      </c>
      <c r="C84" s="9"/>
      <c r="D84" s="14" t="s">
        <v>10</v>
      </c>
      <c r="E84" s="6"/>
      <c r="F84" s="122">
        <v>12486.257021417412</v>
      </c>
      <c r="G84" s="122">
        <f t="shared" si="16"/>
        <v>1097.7668441522728</v>
      </c>
      <c r="H84" s="123"/>
      <c r="I84" s="122">
        <v>11388.490177265139</v>
      </c>
      <c r="J84" s="122">
        <v>0</v>
      </c>
      <c r="K84" s="122">
        <f t="shared" si="17"/>
        <v>11388.490177265139</v>
      </c>
      <c r="L84" s="123"/>
      <c r="M84" s="122">
        <v>0</v>
      </c>
      <c r="N84" s="122">
        <v>0</v>
      </c>
      <c r="O84" s="122">
        <f t="shared" si="18"/>
        <v>11388.490177265139</v>
      </c>
      <c r="P84" s="124">
        <f t="shared" si="19"/>
        <v>1</v>
      </c>
      <c r="Q84" s="329">
        <f t="shared" si="20"/>
        <v>-8.7918007956211075E-2</v>
      </c>
    </row>
    <row r="85" spans="2:18" x14ac:dyDescent="0.2">
      <c r="B85" s="6">
        <f>MAX(B$79:B84)+1</f>
        <v>7</v>
      </c>
      <c r="C85" s="9"/>
      <c r="D85" s="14" t="s">
        <v>11</v>
      </c>
      <c r="E85" s="6"/>
      <c r="F85" s="122">
        <v>1460.7829050903183</v>
      </c>
      <c r="G85" s="122">
        <f t="shared" si="16"/>
        <v>-1005.1078900703305</v>
      </c>
      <c r="H85" s="123"/>
      <c r="I85" s="122">
        <v>2464.6244408397533</v>
      </c>
      <c r="J85" s="122">
        <v>1.2663543208952912</v>
      </c>
      <c r="K85" s="122">
        <f t="shared" si="17"/>
        <v>2465.8907951606488</v>
      </c>
      <c r="L85" s="123"/>
      <c r="M85" s="122">
        <v>-1.9188027694926131</v>
      </c>
      <c r="N85" s="122">
        <v>-900</v>
      </c>
      <c r="O85" s="122">
        <f t="shared" si="18"/>
        <v>1563.9719923911562</v>
      </c>
      <c r="P85" s="124">
        <f t="shared" si="19"/>
        <v>0.63424219574543883</v>
      </c>
      <c r="Q85" s="329">
        <f t="shared" si="20"/>
        <v>7.0639577545205334E-2</v>
      </c>
    </row>
    <row r="86" spans="2:18" x14ac:dyDescent="0.2">
      <c r="B86" s="6">
        <f>MAX(B$79:B85)+1</f>
        <v>8</v>
      </c>
      <c r="C86" s="9"/>
      <c r="D86" s="14" t="s">
        <v>12</v>
      </c>
      <c r="E86" s="6"/>
      <c r="F86" s="122">
        <v>1607.6087913876304</v>
      </c>
      <c r="G86" s="122">
        <f t="shared" si="16"/>
        <v>874.18365823456554</v>
      </c>
      <c r="H86" s="123"/>
      <c r="I86" s="122">
        <v>733.2171779084689</v>
      </c>
      <c r="J86" s="122">
        <v>0.20795524459592146</v>
      </c>
      <c r="K86" s="122">
        <f t="shared" si="17"/>
        <v>733.42513315306485</v>
      </c>
      <c r="L86" s="123"/>
      <c r="M86" s="122">
        <v>0</v>
      </c>
      <c r="N86" s="122">
        <v>0</v>
      </c>
      <c r="O86" s="122">
        <f t="shared" si="18"/>
        <v>733.42513315306485</v>
      </c>
      <c r="P86" s="124">
        <f t="shared" si="19"/>
        <v>1</v>
      </c>
      <c r="Q86" s="329">
        <f t="shared" si="20"/>
        <v>-0.54377884900716511</v>
      </c>
    </row>
    <row r="87" spans="2:18" x14ac:dyDescent="0.2">
      <c r="B87" s="6">
        <f>MAX(B$79:B86)+1</f>
        <v>9</v>
      </c>
      <c r="C87" s="9"/>
      <c r="D87" s="14" t="s">
        <v>13</v>
      </c>
      <c r="E87" s="6"/>
      <c r="F87" s="122">
        <v>3220.0407281076373</v>
      </c>
      <c r="G87" s="122">
        <f t="shared" si="16"/>
        <v>2089.5219390322845</v>
      </c>
      <c r="H87" s="123"/>
      <c r="I87" s="122">
        <v>1128.5755640152545</v>
      </c>
      <c r="J87" s="122">
        <v>1.9432250600982457</v>
      </c>
      <c r="K87" s="122">
        <f t="shared" si="17"/>
        <v>1130.5187890753527</v>
      </c>
      <c r="L87" s="123"/>
      <c r="M87" s="122">
        <v>0</v>
      </c>
      <c r="N87" s="122">
        <v>0</v>
      </c>
      <c r="O87" s="122">
        <f t="shared" si="18"/>
        <v>1130.5187890753527</v>
      </c>
      <c r="P87" s="124">
        <f t="shared" si="19"/>
        <v>1</v>
      </c>
      <c r="Q87" s="329">
        <f t="shared" si="20"/>
        <v>-0.64891164909589849</v>
      </c>
    </row>
    <row r="88" spans="2:18" x14ac:dyDescent="0.2">
      <c r="B88" s="6">
        <f>MAX(B$79:B87)+1</f>
        <v>10</v>
      </c>
      <c r="C88" s="9"/>
      <c r="D88" s="14" t="s">
        <v>14</v>
      </c>
      <c r="E88" s="6"/>
      <c r="F88" s="122">
        <v>5186.9779126087069</v>
      </c>
      <c r="G88" s="122">
        <f t="shared" si="16"/>
        <v>527.95757386565947</v>
      </c>
      <c r="H88" s="123"/>
      <c r="I88" s="122">
        <v>4629.827828996853</v>
      </c>
      <c r="J88" s="122">
        <v>29.192509746194034</v>
      </c>
      <c r="K88" s="122">
        <f t="shared" si="17"/>
        <v>4659.0203387430474</v>
      </c>
      <c r="L88" s="123"/>
      <c r="M88" s="122">
        <v>-127.68151007016536</v>
      </c>
      <c r="N88" s="122">
        <v>0</v>
      </c>
      <c r="O88" s="122">
        <f t="shared" si="18"/>
        <v>4531.3388286728823</v>
      </c>
      <c r="P88" s="124">
        <f t="shared" si="19"/>
        <v>0.97259477298083397</v>
      </c>
      <c r="Q88" s="329">
        <f t="shared" si="20"/>
        <v>-0.12640097856250199</v>
      </c>
    </row>
    <row r="89" spans="2:18" x14ac:dyDescent="0.2">
      <c r="B89" s="6">
        <f>MAX(B$79:B88)+1</f>
        <v>11</v>
      </c>
      <c r="C89" s="9"/>
      <c r="D89" s="14" t="s">
        <v>15</v>
      </c>
      <c r="E89" s="6"/>
      <c r="F89" s="122">
        <v>0</v>
      </c>
      <c r="G89" s="122">
        <f t="shared" si="16"/>
        <v>0</v>
      </c>
      <c r="H89" s="123"/>
      <c r="I89" s="122">
        <v>0</v>
      </c>
      <c r="J89" s="122">
        <v>0</v>
      </c>
      <c r="K89" s="122">
        <f t="shared" si="17"/>
        <v>0</v>
      </c>
      <c r="L89" s="123"/>
      <c r="M89" s="122">
        <v>0</v>
      </c>
      <c r="N89" s="122">
        <v>0</v>
      </c>
      <c r="O89" s="122">
        <f t="shared" si="18"/>
        <v>0</v>
      </c>
      <c r="P89" s="124"/>
      <c r="Q89" s="202"/>
    </row>
    <row r="90" spans="2:18" x14ac:dyDescent="0.2">
      <c r="B90" s="6">
        <f>MAX(B$79:B89)+1</f>
        <v>12</v>
      </c>
      <c r="C90" s="9"/>
      <c r="D90" s="1" t="s">
        <v>613</v>
      </c>
      <c r="E90" s="6"/>
      <c r="F90" s="127">
        <f>SUM(F79:F89)</f>
        <v>1550586.177397484</v>
      </c>
      <c r="G90" s="127">
        <f>SUM(G79:G89)</f>
        <v>-146627.96425799548</v>
      </c>
      <c r="H90" s="123"/>
      <c r="I90" s="127">
        <f>SUM(I79:I89)</f>
        <v>1696122.7961267605</v>
      </c>
      <c r="J90" s="127">
        <f>SUM(J79:J89)</f>
        <v>1091.345528718706</v>
      </c>
      <c r="K90" s="127">
        <f>SUM(K79:K89)</f>
        <v>1697214.1416554793</v>
      </c>
      <c r="L90" s="123"/>
      <c r="M90" s="127">
        <f>SUM(M79:M89)</f>
        <v>-10989.900700618029</v>
      </c>
      <c r="N90" s="127">
        <f>SUM(N79:N89)</f>
        <v>-500</v>
      </c>
      <c r="O90" s="127">
        <f>SUM(O79:O89)</f>
        <v>1685724.2409548613</v>
      </c>
      <c r="P90" s="128">
        <f>O90/K90</f>
        <v>0.9932301408416202</v>
      </c>
      <c r="Q90" s="203">
        <f>O90/F90-1</f>
        <v>8.7152888067268952E-2</v>
      </c>
    </row>
    <row r="91" spans="2:18" x14ac:dyDescent="0.2">
      <c r="B91" s="6"/>
      <c r="C91" s="9"/>
      <c r="D91" s="9"/>
      <c r="E91" s="6"/>
      <c r="F91" s="126"/>
      <c r="G91" s="126"/>
      <c r="H91" s="121"/>
      <c r="I91" s="126"/>
      <c r="J91" s="126"/>
      <c r="K91" s="126"/>
      <c r="L91" s="121"/>
      <c r="M91" s="126"/>
      <c r="N91" s="126"/>
      <c r="O91" s="126"/>
      <c r="P91" s="129"/>
      <c r="Q91" s="204"/>
      <c r="R91" s="6"/>
    </row>
    <row r="92" spans="2:18" x14ac:dyDescent="0.2">
      <c r="B92" s="6"/>
      <c r="C92" s="9"/>
      <c r="D92" s="31" t="s">
        <v>395</v>
      </c>
      <c r="E92" s="6"/>
      <c r="F92" s="126"/>
      <c r="G92" s="126"/>
      <c r="H92" s="121"/>
      <c r="I92" s="126"/>
      <c r="J92" s="126"/>
      <c r="K92" s="126"/>
      <c r="L92" s="121"/>
      <c r="M92" s="126"/>
      <c r="N92" s="126"/>
      <c r="O92" s="126"/>
      <c r="P92" s="124"/>
      <c r="Q92" s="205"/>
      <c r="R92" s="6"/>
    </row>
    <row r="93" spans="2:18" x14ac:dyDescent="0.2">
      <c r="B93" s="6">
        <f>MAX(B$79:B92)+1</f>
        <v>13</v>
      </c>
      <c r="C93" s="9"/>
      <c r="D93" s="14" t="s">
        <v>16</v>
      </c>
      <c r="E93" s="6"/>
      <c r="F93" s="122">
        <v>226285.19648733368</v>
      </c>
      <c r="G93" s="122">
        <f t="shared" ref="G93:G97" si="21">F93-K93</f>
        <v>21953.229797134612</v>
      </c>
      <c r="H93" s="123"/>
      <c r="I93" s="122">
        <v>204162.4108441798</v>
      </c>
      <c r="J93" s="122">
        <v>169.55584601927285</v>
      </c>
      <c r="K93" s="122">
        <f t="shared" ref="K93:K97" si="22">I93+J93</f>
        <v>204331.96669019907</v>
      </c>
      <c r="L93" s="123"/>
      <c r="M93" s="122">
        <v>-989.9758716671837</v>
      </c>
      <c r="N93" s="122">
        <v>0</v>
      </c>
      <c r="O93" s="122">
        <f>K93+M93+N93</f>
        <v>203341.99081853189</v>
      </c>
      <c r="P93" s="124">
        <f t="shared" ref="P93:P98" si="23">O93/K93</f>
        <v>0.99515506120895836</v>
      </c>
      <c r="Q93" s="329">
        <f t="shared" ref="Q93:Q98" si="24">O93/F93-1</f>
        <v>-0.10139066109914985</v>
      </c>
    </row>
    <row r="94" spans="2:18" x14ac:dyDescent="0.2">
      <c r="B94" s="6">
        <f>MAX(B$79:B93)+1</f>
        <v>14</v>
      </c>
      <c r="C94" s="9"/>
      <c r="D94" s="14" t="s">
        <v>17</v>
      </c>
      <c r="E94" s="6"/>
      <c r="F94" s="122">
        <v>30601.065390802247</v>
      </c>
      <c r="G94" s="122">
        <f t="shared" si="21"/>
        <v>4015.4406050006728</v>
      </c>
      <c r="H94" s="123"/>
      <c r="I94" s="122">
        <v>26575.563248860399</v>
      </c>
      <c r="J94" s="122">
        <v>10.061536941176378</v>
      </c>
      <c r="K94" s="122">
        <f t="shared" si="22"/>
        <v>26585.624785801574</v>
      </c>
      <c r="L94" s="123"/>
      <c r="M94" s="122">
        <v>-292.2589272599098</v>
      </c>
      <c r="N94" s="122">
        <v>0</v>
      </c>
      <c r="O94" s="122">
        <f>K94+M94+N94</f>
        <v>26293.365858541663</v>
      </c>
      <c r="P94" s="124">
        <f t="shared" si="23"/>
        <v>0.9890068813648496</v>
      </c>
      <c r="Q94" s="329">
        <f t="shared" si="24"/>
        <v>-0.14076959338661943</v>
      </c>
    </row>
    <row r="95" spans="2:18" x14ac:dyDescent="0.2">
      <c r="B95" s="6">
        <f>MAX(B$79:B94)+1</f>
        <v>15</v>
      </c>
      <c r="C95" s="9"/>
      <c r="D95" s="14" t="s">
        <v>18</v>
      </c>
      <c r="E95" s="6"/>
      <c r="F95" s="122">
        <v>30830.738014438422</v>
      </c>
      <c r="G95" s="122">
        <f t="shared" si="21"/>
        <v>15993.48851717791</v>
      </c>
      <c r="H95" s="123"/>
      <c r="I95" s="122">
        <v>14842.830390855863</v>
      </c>
      <c r="J95" s="122">
        <v>-5.5808935953500374</v>
      </c>
      <c r="K95" s="122">
        <f t="shared" si="22"/>
        <v>14837.249497260513</v>
      </c>
      <c r="L95" s="123"/>
      <c r="M95" s="122">
        <v>-66.264966478702263</v>
      </c>
      <c r="N95" s="122">
        <v>14500</v>
      </c>
      <c r="O95" s="122">
        <f>K95+M95+N95</f>
        <v>29270.98453078181</v>
      </c>
      <c r="P95" s="124">
        <f t="shared" si="23"/>
        <v>1.9728039577811427</v>
      </c>
      <c r="Q95" s="329">
        <f t="shared" si="24"/>
        <v>-5.0590857829162617E-2</v>
      </c>
    </row>
    <row r="96" spans="2:18" x14ac:dyDescent="0.2">
      <c r="B96" s="6">
        <f>MAX(B$79:B95)+1</f>
        <v>16</v>
      </c>
      <c r="C96" s="9"/>
      <c r="D96" s="14" t="s">
        <v>19</v>
      </c>
      <c r="E96" s="6"/>
      <c r="F96" s="122">
        <v>4864.8697912580355</v>
      </c>
      <c r="G96" s="122">
        <f t="shared" si="21"/>
        <v>2062.1747851763694</v>
      </c>
      <c r="H96" s="123"/>
      <c r="I96" s="122">
        <v>2800.627595634468</v>
      </c>
      <c r="J96" s="122">
        <v>2.0674104471983878</v>
      </c>
      <c r="K96" s="122">
        <f t="shared" si="22"/>
        <v>2802.6950060816662</v>
      </c>
      <c r="L96" s="123"/>
      <c r="M96" s="122">
        <v>0</v>
      </c>
      <c r="N96" s="122">
        <v>0</v>
      </c>
      <c r="O96" s="122">
        <f>K96+M96+N96</f>
        <v>2802.6950060816662</v>
      </c>
      <c r="P96" s="124">
        <f t="shared" si="23"/>
        <v>1</v>
      </c>
      <c r="Q96" s="329">
        <f t="shared" si="24"/>
        <v>-0.42389105436737684</v>
      </c>
    </row>
    <row r="97" spans="2:18" x14ac:dyDescent="0.2">
      <c r="B97" s="6">
        <f>MAX(B$79:B96)+1</f>
        <v>17</v>
      </c>
      <c r="C97" s="9"/>
      <c r="D97" s="14" t="s">
        <v>7</v>
      </c>
      <c r="E97" s="6"/>
      <c r="F97" s="122">
        <v>11804.1884031645</v>
      </c>
      <c r="G97" s="122">
        <f t="shared" si="21"/>
        <v>6177.4608920992441</v>
      </c>
      <c r="H97" s="123"/>
      <c r="I97" s="122">
        <v>5626.7275110652563</v>
      </c>
      <c r="J97" s="122">
        <v>0</v>
      </c>
      <c r="K97" s="122">
        <f t="shared" si="22"/>
        <v>5626.7275110652563</v>
      </c>
      <c r="L97" s="123"/>
      <c r="M97" s="122">
        <v>0</v>
      </c>
      <c r="N97" s="122">
        <v>0</v>
      </c>
      <c r="O97" s="122">
        <f>K97+M97+N97</f>
        <v>5626.7275110652563</v>
      </c>
      <c r="P97" s="124">
        <f t="shared" si="23"/>
        <v>1</v>
      </c>
      <c r="Q97" s="329">
        <f t="shared" si="24"/>
        <v>-0.52332787999581343</v>
      </c>
    </row>
    <row r="98" spans="2:18" x14ac:dyDescent="0.2">
      <c r="B98" s="6">
        <f>MAX(B$79:B97)+1</f>
        <v>18</v>
      </c>
      <c r="C98" s="9"/>
      <c r="D98" s="1" t="s">
        <v>614</v>
      </c>
      <c r="E98" s="6"/>
      <c r="F98" s="127">
        <f>SUM(F93:F97)</f>
        <v>304386.0580869969</v>
      </c>
      <c r="G98" s="127">
        <f>SUM(G93:G97)</f>
        <v>50201.794596588814</v>
      </c>
      <c r="H98" s="123"/>
      <c r="I98" s="127">
        <f>SUM(I93:I97)</f>
        <v>254008.15959059578</v>
      </c>
      <c r="J98" s="127">
        <f>SUM(J93:J97)</f>
        <v>176.10389981229758</v>
      </c>
      <c r="K98" s="127">
        <f>SUM(K93:K97)</f>
        <v>254184.26349040808</v>
      </c>
      <c r="L98" s="123"/>
      <c r="M98" s="127">
        <f>SUM(M93:M97)</f>
        <v>-1348.4997654057956</v>
      </c>
      <c r="N98" s="127">
        <f>SUM(N93:N97)</f>
        <v>14500</v>
      </c>
      <c r="O98" s="127">
        <f>SUM(O93:O97)</f>
        <v>267335.7637250023</v>
      </c>
      <c r="P98" s="128">
        <f t="shared" si="23"/>
        <v>1.0517400253422475</v>
      </c>
      <c r="Q98" s="509">
        <f t="shared" si="24"/>
        <v>-0.12172139090353873</v>
      </c>
    </row>
    <row r="99" spans="2:18" x14ac:dyDescent="0.2">
      <c r="B99" s="6"/>
      <c r="C99" s="9"/>
      <c r="D99" s="9"/>
      <c r="E99" s="6"/>
      <c r="F99" s="17"/>
      <c r="G99" s="17"/>
      <c r="H99" s="15"/>
      <c r="I99" s="17"/>
      <c r="J99" s="17"/>
      <c r="K99" s="17"/>
      <c r="L99" s="15"/>
      <c r="M99" s="17"/>
      <c r="N99" s="17"/>
      <c r="O99" s="17"/>
      <c r="P99" s="18"/>
      <c r="Q99" s="206"/>
      <c r="R99" s="6"/>
    </row>
    <row r="100" spans="2:18" x14ac:dyDescent="0.2">
      <c r="B100" s="6"/>
      <c r="C100" s="9"/>
      <c r="D100" s="40" t="s">
        <v>474</v>
      </c>
      <c r="E100" s="6"/>
      <c r="F100" s="126"/>
      <c r="G100" s="126"/>
      <c r="H100" s="121"/>
      <c r="I100" s="126"/>
      <c r="J100" s="126"/>
      <c r="K100" s="126"/>
      <c r="L100" s="121"/>
      <c r="M100" s="126"/>
      <c r="N100" s="126"/>
      <c r="O100" s="126"/>
      <c r="P100" s="129"/>
      <c r="Q100" s="204"/>
      <c r="R100" s="6"/>
    </row>
    <row r="101" spans="2:18" x14ac:dyDescent="0.2">
      <c r="B101" s="6">
        <f>MAX(B$79:B100)+1</f>
        <v>19</v>
      </c>
      <c r="C101" s="9"/>
      <c r="D101" s="19" t="s">
        <v>20</v>
      </c>
      <c r="E101" s="6"/>
      <c r="F101" s="122">
        <v>548066.19706532545</v>
      </c>
      <c r="G101" s="122">
        <f t="shared" ref="G101:G109" si="25">F101-K101</f>
        <v>-134461.33268651564</v>
      </c>
      <c r="H101" s="121"/>
      <c r="I101" s="122">
        <v>681951.03943686432</v>
      </c>
      <c r="J101" s="122">
        <v>576.49031497677163</v>
      </c>
      <c r="K101" s="122">
        <f t="shared" ref="K101:K109" si="26">I101+J101</f>
        <v>682527.5297518411</v>
      </c>
      <c r="L101" s="121"/>
      <c r="M101" s="122">
        <v>-3167.6250270670353</v>
      </c>
      <c r="N101" s="122">
        <v>0</v>
      </c>
      <c r="O101" s="122">
        <f t="shared" ref="O101:O109" si="27">K101+M101+N101</f>
        <v>679359.90472477407</v>
      </c>
      <c r="P101" s="124">
        <f t="shared" ref="P101:P110" si="28">O101/K101</f>
        <v>0.99535897837231746</v>
      </c>
      <c r="Q101" s="329">
        <f t="shared" ref="Q101:Q110" si="29">O101/F101-1</f>
        <v>0.23955811973530516</v>
      </c>
      <c r="R101" s="6"/>
    </row>
    <row r="102" spans="2:18" x14ac:dyDescent="0.2">
      <c r="B102" s="6">
        <f>MAX(B$79:B101)+1</f>
        <v>20</v>
      </c>
      <c r="C102" s="9"/>
      <c r="D102" s="19" t="s">
        <v>21</v>
      </c>
      <c r="E102" s="6"/>
      <c r="F102" s="122">
        <v>92167.869950396882</v>
      </c>
      <c r="G102" s="122">
        <f t="shared" si="25"/>
        <v>-17824.1489010035</v>
      </c>
      <c r="H102" s="121"/>
      <c r="I102" s="122">
        <v>109941.68141839886</v>
      </c>
      <c r="J102" s="122">
        <v>50.33743300151977</v>
      </c>
      <c r="K102" s="122">
        <f t="shared" si="26"/>
        <v>109992.01885140038</v>
      </c>
      <c r="L102" s="121"/>
      <c r="M102" s="122">
        <v>-1173.6975384535224</v>
      </c>
      <c r="N102" s="122">
        <v>0</v>
      </c>
      <c r="O102" s="122">
        <f t="shared" si="27"/>
        <v>108818.32131294686</v>
      </c>
      <c r="P102" s="124">
        <f t="shared" si="28"/>
        <v>0.98932924815173007</v>
      </c>
      <c r="Q102" s="329">
        <f t="shared" si="29"/>
        <v>0.18065353329214351</v>
      </c>
      <c r="R102" s="6"/>
    </row>
    <row r="103" spans="2:18" x14ac:dyDescent="0.2">
      <c r="B103" s="6">
        <f>MAX(B$79:B102)+1</f>
        <v>21</v>
      </c>
      <c r="C103" s="9"/>
      <c r="D103" s="19" t="s">
        <v>517</v>
      </c>
      <c r="E103" s="6"/>
      <c r="F103" s="122">
        <v>34924.005862796672</v>
      </c>
      <c r="G103" s="122">
        <f t="shared" si="25"/>
        <v>968.59528558501188</v>
      </c>
      <c r="H103" s="121"/>
      <c r="I103" s="122">
        <v>34004.805983545724</v>
      </c>
      <c r="J103" s="122">
        <v>-49.395406334061256</v>
      </c>
      <c r="K103" s="122">
        <f t="shared" si="26"/>
        <v>33955.41057721166</v>
      </c>
      <c r="L103" s="121"/>
      <c r="M103" s="122">
        <v>-417.79806459780332</v>
      </c>
      <c r="N103" s="122">
        <v>-7000</v>
      </c>
      <c r="O103" s="122">
        <f t="shared" si="27"/>
        <v>26537.612512613858</v>
      </c>
      <c r="P103" s="124">
        <f t="shared" si="28"/>
        <v>0.78154297243055348</v>
      </c>
      <c r="Q103" s="329">
        <f t="shared" si="29"/>
        <v>-0.24013262920438772</v>
      </c>
      <c r="R103" s="6"/>
    </row>
    <row r="104" spans="2:18" x14ac:dyDescent="0.2">
      <c r="B104" s="6">
        <f>MAX(B$79:B103)+1</f>
        <v>22</v>
      </c>
      <c r="C104" s="9"/>
      <c r="D104" s="19" t="s">
        <v>563</v>
      </c>
      <c r="E104" s="6"/>
      <c r="F104" s="122">
        <v>2673.6417933406542</v>
      </c>
      <c r="G104" s="122">
        <f t="shared" si="25"/>
        <v>1023.5605002174552</v>
      </c>
      <c r="H104" s="121"/>
      <c r="I104" s="122">
        <v>1649.9197693727388</v>
      </c>
      <c r="J104" s="122">
        <v>0.16152375046014977</v>
      </c>
      <c r="K104" s="122">
        <f t="shared" si="26"/>
        <v>1650.081293123199</v>
      </c>
      <c r="L104" s="121"/>
      <c r="M104" s="122">
        <v>-3.6702443179022377</v>
      </c>
      <c r="N104" s="122">
        <v>0</v>
      </c>
      <c r="O104" s="122">
        <f t="shared" si="27"/>
        <v>1646.4110488052968</v>
      </c>
      <c r="P104" s="124">
        <f t="shared" si="28"/>
        <v>0.99777571909141805</v>
      </c>
      <c r="Q104" s="329">
        <f t="shared" si="29"/>
        <v>-0.38420657063856567</v>
      </c>
      <c r="R104" s="6"/>
    </row>
    <row r="105" spans="2:18" x14ac:dyDescent="0.2">
      <c r="B105" s="6">
        <f>MAX(B$79:B104)+1</f>
        <v>23</v>
      </c>
      <c r="C105" s="9"/>
      <c r="D105" s="19" t="s">
        <v>24</v>
      </c>
      <c r="E105" s="6"/>
      <c r="F105" s="122">
        <v>28030.956525920945</v>
      </c>
      <c r="G105" s="122">
        <f t="shared" si="25"/>
        <v>-7969.2940695177713</v>
      </c>
      <c r="H105" s="121"/>
      <c r="I105" s="122">
        <v>36092.234558773758</v>
      </c>
      <c r="J105" s="122">
        <v>-91.983963335043541</v>
      </c>
      <c r="K105" s="122">
        <f t="shared" si="26"/>
        <v>36000.250595438716</v>
      </c>
      <c r="L105" s="121"/>
      <c r="M105" s="122">
        <v>-617.99698724044981</v>
      </c>
      <c r="N105" s="122">
        <v>-7000</v>
      </c>
      <c r="O105" s="122">
        <f t="shared" si="27"/>
        <v>28382.253608198269</v>
      </c>
      <c r="P105" s="124">
        <f t="shared" si="28"/>
        <v>0.7883904455874633</v>
      </c>
      <c r="Q105" s="329">
        <f t="shared" si="29"/>
        <v>1.2532468592445944E-2</v>
      </c>
      <c r="R105" s="6"/>
    </row>
    <row r="106" spans="2:18" x14ac:dyDescent="0.2">
      <c r="B106" s="6">
        <f>MAX(B$79:B105)+1</f>
        <v>24</v>
      </c>
      <c r="C106" s="9"/>
      <c r="D106" s="19" t="s">
        <v>25</v>
      </c>
      <c r="E106" s="6"/>
      <c r="F106" s="122">
        <v>1774.4642355456999</v>
      </c>
      <c r="G106" s="122">
        <f t="shared" si="25"/>
        <v>-38.174623035283503</v>
      </c>
      <c r="H106" s="121"/>
      <c r="I106" s="122">
        <v>1815.4760497394384</v>
      </c>
      <c r="J106" s="122">
        <v>-2.8371911584548899</v>
      </c>
      <c r="K106" s="122">
        <f t="shared" si="26"/>
        <v>1812.6388585809834</v>
      </c>
      <c r="L106" s="121"/>
      <c r="M106" s="122">
        <v>-50.45133732859923</v>
      </c>
      <c r="N106" s="122">
        <v>0</v>
      </c>
      <c r="O106" s="122">
        <f t="shared" si="27"/>
        <v>1762.1875212523842</v>
      </c>
      <c r="P106" s="124">
        <f t="shared" si="28"/>
        <v>0.97216691174319469</v>
      </c>
      <c r="Q106" s="329">
        <f t="shared" si="29"/>
        <v>-6.9185470450129349E-3</v>
      </c>
      <c r="R106" s="6"/>
    </row>
    <row r="107" spans="2:18" x14ac:dyDescent="0.2">
      <c r="B107" s="6">
        <f>MAX(B$79:B106)+1</f>
        <v>25</v>
      </c>
      <c r="D107" s="19" t="s">
        <v>26</v>
      </c>
      <c r="E107" s="6"/>
      <c r="F107" s="122">
        <v>14311.19900034794</v>
      </c>
      <c r="G107" s="122">
        <f t="shared" si="25"/>
        <v>2103.6672340635869</v>
      </c>
      <c r="H107" s="121"/>
      <c r="I107" s="122">
        <v>12325.126031885904</v>
      </c>
      <c r="J107" s="122">
        <v>-117.59426560154975</v>
      </c>
      <c r="K107" s="122">
        <f t="shared" si="26"/>
        <v>12207.531766284354</v>
      </c>
      <c r="L107" s="121"/>
      <c r="M107" s="122">
        <v>-135.47313801724047</v>
      </c>
      <c r="N107" s="122">
        <v>0</v>
      </c>
      <c r="O107" s="122">
        <f t="shared" si="27"/>
        <v>12072.058628267114</v>
      </c>
      <c r="P107" s="124">
        <f t="shared" si="28"/>
        <v>0.98890249555676768</v>
      </c>
      <c r="Q107" s="329">
        <f t="shared" si="29"/>
        <v>-0.15646071108552029</v>
      </c>
      <c r="R107" s="6"/>
    </row>
    <row r="108" spans="2:18" x14ac:dyDescent="0.2">
      <c r="B108" s="6">
        <f>MAX(B$79:B107)+1</f>
        <v>26</v>
      </c>
      <c r="D108" s="19" t="s">
        <v>27</v>
      </c>
      <c r="E108" s="6"/>
      <c r="F108" s="122">
        <v>79192.826316152365</v>
      </c>
      <c r="G108" s="122">
        <f t="shared" si="25"/>
        <v>-7941.6163624313631</v>
      </c>
      <c r="H108" s="121"/>
      <c r="I108" s="122">
        <v>88619.759856196295</v>
      </c>
      <c r="J108" s="122">
        <v>-1485.317177612563</v>
      </c>
      <c r="K108" s="122">
        <f t="shared" si="26"/>
        <v>87134.442678583728</v>
      </c>
      <c r="L108" s="121"/>
      <c r="M108" s="122">
        <v>-1711.1427838147317</v>
      </c>
      <c r="N108" s="122">
        <v>0</v>
      </c>
      <c r="O108" s="122">
        <f t="shared" si="27"/>
        <v>85423.299894768992</v>
      </c>
      <c r="P108" s="124">
        <f t="shared" si="28"/>
        <v>0.98036203903745966</v>
      </c>
      <c r="Q108" s="329">
        <f t="shared" si="29"/>
        <v>7.8674721795424007E-2</v>
      </c>
      <c r="R108" s="6"/>
    </row>
    <row r="109" spans="2:18" x14ac:dyDescent="0.2">
      <c r="B109" s="6">
        <f>MAX(B$79:B108)+1</f>
        <v>27</v>
      </c>
      <c r="D109" s="19" t="s">
        <v>28</v>
      </c>
      <c r="E109" s="6"/>
      <c r="F109" s="122">
        <v>7803.7987485066014</v>
      </c>
      <c r="G109" s="122">
        <f t="shared" si="25"/>
        <v>-1346.0507216628766</v>
      </c>
      <c r="H109" s="121"/>
      <c r="I109" s="122">
        <v>9297.1601663875626</v>
      </c>
      <c r="J109" s="122">
        <v>-147.31069621808405</v>
      </c>
      <c r="K109" s="122">
        <f t="shared" si="26"/>
        <v>9149.8494701694781</v>
      </c>
      <c r="L109" s="121"/>
      <c r="M109" s="122">
        <v>-169.70761438137066</v>
      </c>
      <c r="N109" s="122">
        <v>0</v>
      </c>
      <c r="O109" s="122">
        <f t="shared" si="27"/>
        <v>8980.1418557881079</v>
      </c>
      <c r="P109" s="124">
        <f t="shared" si="28"/>
        <v>0.98145241460696653</v>
      </c>
      <c r="Q109" s="329">
        <f t="shared" si="29"/>
        <v>0.15073980572687384</v>
      </c>
      <c r="R109" s="6"/>
    </row>
    <row r="110" spans="2:18" x14ac:dyDescent="0.2">
      <c r="B110" s="6">
        <f>MAX(B$79:B109)+1</f>
        <v>28</v>
      </c>
      <c r="C110" s="9"/>
      <c r="D110" s="9" t="s">
        <v>615</v>
      </c>
      <c r="F110" s="127">
        <f>SUM(F101:F109)</f>
        <v>808944.95949833328</v>
      </c>
      <c r="G110" s="127">
        <f>SUM(G101:G109)</f>
        <v>-165484.7943443004</v>
      </c>
      <c r="H110" s="121"/>
      <c r="I110" s="127">
        <f>SUM(I101:I109)</f>
        <v>975697.20327116468</v>
      </c>
      <c r="J110" s="127">
        <f>SUM(J101:J109)</f>
        <v>-1267.449428531005</v>
      </c>
      <c r="K110" s="127">
        <f>SUM(K101:K109)</f>
        <v>974429.75384263368</v>
      </c>
      <c r="L110" s="121"/>
      <c r="M110" s="127">
        <f>SUM(M101:M109)</f>
        <v>-7447.5627352186557</v>
      </c>
      <c r="N110" s="127">
        <f>SUM(N101:N109)</f>
        <v>-14000</v>
      </c>
      <c r="O110" s="127">
        <f>SUM(O101:O109)</f>
        <v>952982.19110741501</v>
      </c>
      <c r="P110" s="128">
        <f t="shared" si="28"/>
        <v>0.97798962659889965</v>
      </c>
      <c r="Q110" s="203">
        <f t="shared" si="29"/>
        <v>0.17805566363675274</v>
      </c>
      <c r="R110" s="6"/>
    </row>
    <row r="111" spans="2:18" x14ac:dyDescent="0.2">
      <c r="B111" s="20"/>
      <c r="C111" s="9"/>
      <c r="D111" s="6"/>
      <c r="F111" s="126"/>
      <c r="G111" s="126"/>
      <c r="H111" s="121"/>
      <c r="I111" s="126"/>
      <c r="J111" s="126"/>
      <c r="K111" s="126"/>
      <c r="L111" s="121"/>
      <c r="M111" s="122"/>
      <c r="N111" s="122"/>
      <c r="O111" s="126"/>
      <c r="P111" s="129"/>
      <c r="Q111" s="202"/>
      <c r="R111" s="6"/>
    </row>
    <row r="112" spans="2:18" x14ac:dyDescent="0.2">
      <c r="B112" s="6">
        <f>MAX(B$79:B111)+1</f>
        <v>29</v>
      </c>
      <c r="C112" s="9"/>
      <c r="D112" s="21" t="s">
        <v>1074</v>
      </c>
      <c r="F112" s="127">
        <f>F90+F98+F110</f>
        <v>2663917.1949828141</v>
      </c>
      <c r="G112" s="127">
        <f>G90+G98+G110</f>
        <v>-261910.96400570706</v>
      </c>
      <c r="H112" s="121"/>
      <c r="I112" s="127">
        <f>I90+I98+I110</f>
        <v>2925828.158988521</v>
      </c>
      <c r="J112" s="127">
        <f>J90+J98+J110</f>
        <v>0</v>
      </c>
      <c r="K112" s="127">
        <f>K90+K98+K110</f>
        <v>2925828.158988521</v>
      </c>
      <c r="L112" s="121"/>
      <c r="M112" s="127">
        <f>M90+M98+M110</f>
        <v>-19785.963201242481</v>
      </c>
      <c r="N112" s="127">
        <f>N90+N98+N110</f>
        <v>0</v>
      </c>
      <c r="O112" s="127">
        <f>O90+O98+O110</f>
        <v>2906042.1957872785</v>
      </c>
      <c r="P112" s="128">
        <f>O112/K112</f>
        <v>0.99323748281646085</v>
      </c>
      <c r="Q112" s="203">
        <f>O112/F112-1</f>
        <v>9.0890588213657475E-2</v>
      </c>
      <c r="R112" s="6"/>
    </row>
    <row r="113" spans="2:18" x14ac:dyDescent="0.2">
      <c r="B113" s="6"/>
      <c r="C113" s="9"/>
      <c r="D113" s="9"/>
      <c r="E113" s="6"/>
      <c r="F113" s="17"/>
      <c r="G113" s="17"/>
      <c r="H113" s="15"/>
      <c r="I113" s="17"/>
      <c r="J113" s="17"/>
      <c r="K113" s="17"/>
      <c r="L113" s="15"/>
      <c r="M113" s="15"/>
      <c r="N113" s="15"/>
      <c r="O113" s="17"/>
      <c r="P113" s="18"/>
      <c r="Q113" s="206"/>
      <c r="R113" s="6"/>
    </row>
    <row r="114" spans="2:18" x14ac:dyDescent="0.2">
      <c r="B114" s="6"/>
      <c r="C114" s="9"/>
      <c r="D114" s="40" t="s">
        <v>39</v>
      </c>
      <c r="E114" s="6"/>
      <c r="F114" s="17"/>
      <c r="G114" s="17"/>
      <c r="H114" s="15"/>
      <c r="I114" s="17"/>
      <c r="J114" s="17"/>
      <c r="K114" s="17"/>
      <c r="L114" s="15"/>
      <c r="M114" s="15"/>
      <c r="N114" s="15"/>
      <c r="O114" s="17"/>
      <c r="P114" s="18"/>
      <c r="Q114" s="207"/>
      <c r="R114" s="6"/>
    </row>
    <row r="115" spans="2:18" x14ac:dyDescent="0.2">
      <c r="B115" s="6">
        <f>MAX(B$79:B114)+1</f>
        <v>30</v>
      </c>
      <c r="C115" s="9"/>
      <c r="D115" s="14" t="s">
        <v>342</v>
      </c>
      <c r="F115" s="122">
        <v>169.00033449599999</v>
      </c>
      <c r="G115" s="122">
        <v>163.43052393897167</v>
      </c>
      <c r="H115" s="125"/>
      <c r="I115" s="122">
        <v>5.5698105570283136</v>
      </c>
      <c r="J115" s="122"/>
      <c r="K115" s="122">
        <v>5.5698105570283136</v>
      </c>
      <c r="L115" s="125"/>
      <c r="M115" s="122">
        <v>163.43052393897165</v>
      </c>
      <c r="N115" s="122">
        <v>0</v>
      </c>
      <c r="O115" s="122">
        <v>169.00033449599997</v>
      </c>
      <c r="P115" s="124">
        <v>30.342205137075162</v>
      </c>
      <c r="Q115" s="329">
        <f>O115/F115-1</f>
        <v>0</v>
      </c>
      <c r="R115" s="6"/>
    </row>
    <row r="116" spans="2:18" x14ac:dyDescent="0.2">
      <c r="B116" s="6">
        <f>MAX(B$79:B115)+1</f>
        <v>31</v>
      </c>
      <c r="C116" s="9"/>
      <c r="D116" s="19" t="s">
        <v>344</v>
      </c>
      <c r="E116" s="6"/>
      <c r="F116" s="122">
        <v>19179.468000000001</v>
      </c>
      <c r="G116" s="122">
        <v>-2488.3096047850304</v>
      </c>
      <c r="H116" s="121"/>
      <c r="I116" s="122">
        <v>21667.777604785031</v>
      </c>
      <c r="J116" s="126"/>
      <c r="K116" s="122">
        <v>21667.777604785031</v>
      </c>
      <c r="L116" s="121"/>
      <c r="M116" s="122">
        <v>0</v>
      </c>
      <c r="N116" s="121">
        <v>0</v>
      </c>
      <c r="O116" s="122">
        <v>21667.777604785031</v>
      </c>
      <c r="P116" s="124">
        <v>1</v>
      </c>
      <c r="Q116" s="329">
        <f t="shared" ref="Q116:Q118" si="30">O116/F116-1</f>
        <v>0.12973819736736347</v>
      </c>
      <c r="R116" s="6"/>
    </row>
    <row r="117" spans="2:18" x14ac:dyDescent="0.2">
      <c r="B117" s="6">
        <f>MAX(B$79:B116)+1</f>
        <v>32</v>
      </c>
      <c r="C117" s="9"/>
      <c r="D117" s="19" t="s">
        <v>253</v>
      </c>
      <c r="E117" s="6"/>
      <c r="F117" s="122">
        <v>3560.977942268019</v>
      </c>
      <c r="G117" s="122">
        <v>3560.977942268019</v>
      </c>
      <c r="H117" s="121"/>
      <c r="I117" s="126">
        <v>0</v>
      </c>
      <c r="J117" s="126"/>
      <c r="K117" s="122">
        <v>0</v>
      </c>
      <c r="L117" s="121"/>
      <c r="M117" s="122">
        <v>3560.977942268019</v>
      </c>
      <c r="N117" s="121">
        <v>0</v>
      </c>
      <c r="O117" s="122">
        <v>3560.977942268019</v>
      </c>
      <c r="P117" s="124" t="s">
        <v>938</v>
      </c>
      <c r="Q117" s="329">
        <f t="shared" si="30"/>
        <v>0</v>
      </c>
      <c r="R117" s="6"/>
    </row>
    <row r="118" spans="2:18" x14ac:dyDescent="0.2">
      <c r="B118" s="6">
        <f>MAX(B$79:B117)+1</f>
        <v>33</v>
      </c>
      <c r="C118" s="9"/>
      <c r="D118" s="19" t="s">
        <v>498</v>
      </c>
      <c r="E118" s="6"/>
      <c r="F118" s="122">
        <v>104650.60323599997</v>
      </c>
      <c r="G118" s="122">
        <v>2938.2497255819908</v>
      </c>
      <c r="H118" s="121"/>
      <c r="I118" s="122">
        <v>101712.35351041798</v>
      </c>
      <c r="J118" s="122"/>
      <c r="K118" s="122">
        <v>101712.35351041798</v>
      </c>
      <c r="L118" s="121"/>
      <c r="M118" s="122">
        <v>0</v>
      </c>
      <c r="N118" s="122">
        <v>0</v>
      </c>
      <c r="O118" s="122">
        <v>101712.35351041799</v>
      </c>
      <c r="P118" s="124">
        <v>1.0000000000000002</v>
      </c>
      <c r="Q118" s="329">
        <f t="shared" si="30"/>
        <v>-2.8076758611279673E-2</v>
      </c>
      <c r="R118" s="6"/>
    </row>
    <row r="119" spans="2:18" x14ac:dyDescent="0.2">
      <c r="B119" s="6">
        <f>MAX(B$79:B118)+1</f>
        <v>34</v>
      </c>
      <c r="C119" s="9"/>
      <c r="D119" s="19" t="s">
        <v>43</v>
      </c>
      <c r="E119" s="6"/>
      <c r="F119" s="122">
        <v>14191.052914499876</v>
      </c>
      <c r="G119" s="122">
        <v>14102.468724789302</v>
      </c>
      <c r="H119" s="121"/>
      <c r="I119" s="122">
        <v>88.584189710574606</v>
      </c>
      <c r="J119" s="122"/>
      <c r="K119" s="122">
        <v>88.584189710574606</v>
      </c>
      <c r="L119" s="121"/>
      <c r="M119" s="122">
        <v>13122.241321463836</v>
      </c>
      <c r="N119" s="122">
        <v>0</v>
      </c>
      <c r="O119" s="122">
        <v>13210.825511174411</v>
      </c>
      <c r="P119" s="124">
        <v>149.13299488698024</v>
      </c>
      <c r="Q119" s="329">
        <f t="shared" ref="Q119:Q122" si="31">O119/F119-1</f>
        <v>-6.9073620486884812E-2</v>
      </c>
      <c r="R119" s="6"/>
    </row>
    <row r="120" spans="2:18" x14ac:dyDescent="0.2">
      <c r="B120" s="6">
        <f>MAX(B$79:B119)+1</f>
        <v>35</v>
      </c>
      <c r="C120" s="9"/>
      <c r="D120" s="19" t="s">
        <v>500</v>
      </c>
      <c r="E120" s="6"/>
      <c r="F120" s="122">
        <v>380.91363233333334</v>
      </c>
      <c r="G120" s="122">
        <v>378.7190939183821</v>
      </c>
      <c r="H120" s="121"/>
      <c r="I120" s="122">
        <v>2.1945384149512162</v>
      </c>
      <c r="J120" s="122"/>
      <c r="K120" s="122">
        <v>2.1945384149512162</v>
      </c>
      <c r="L120" s="121"/>
      <c r="M120" s="122">
        <v>770.56867428381156</v>
      </c>
      <c r="N120" s="122">
        <v>0</v>
      </c>
      <c r="O120" s="122">
        <v>772.7632126987628</v>
      </c>
      <c r="P120" s="124">
        <v>352.13018256321618</v>
      </c>
      <c r="Q120" s="329">
        <f t="shared" si="31"/>
        <v>1.0287097838035004</v>
      </c>
      <c r="R120" s="6"/>
    </row>
    <row r="121" spans="2:18" x14ac:dyDescent="0.2">
      <c r="B121" s="6">
        <f>MAX(B$79:B120)+1</f>
        <v>36</v>
      </c>
      <c r="C121" s="9"/>
      <c r="D121" s="19" t="s">
        <v>41</v>
      </c>
      <c r="E121" s="6"/>
      <c r="F121" s="122">
        <v>428.13686206896551</v>
      </c>
      <c r="G121" s="122">
        <v>423.14914313944814</v>
      </c>
      <c r="H121" s="121"/>
      <c r="I121" s="122">
        <v>4.9877189295173583</v>
      </c>
      <c r="J121" s="122"/>
      <c r="K121" s="122">
        <v>4.9877189295173583</v>
      </c>
      <c r="L121" s="121"/>
      <c r="M121" s="122">
        <v>425.38767137008074</v>
      </c>
      <c r="N121" s="122">
        <v>0</v>
      </c>
      <c r="O121" s="122">
        <v>430.37539029959811</v>
      </c>
      <c r="P121" s="124">
        <v>86.287017448524068</v>
      </c>
      <c r="Q121" s="329">
        <f t="shared" si="31"/>
        <v>5.2285342117353029E-3</v>
      </c>
      <c r="R121" s="6"/>
    </row>
    <row r="122" spans="2:18" x14ac:dyDescent="0.2">
      <c r="B122" s="6">
        <f>MAX(B$79:B121)+1</f>
        <v>37</v>
      </c>
      <c r="C122" s="9"/>
      <c r="D122" s="19" t="s">
        <v>42</v>
      </c>
      <c r="E122" s="6"/>
      <c r="F122" s="122">
        <v>529.11347999999998</v>
      </c>
      <c r="G122" s="122">
        <v>41.981832664141109</v>
      </c>
      <c r="H122" s="121"/>
      <c r="I122" s="122">
        <v>487.13164733585887</v>
      </c>
      <c r="J122" s="122"/>
      <c r="K122" s="122">
        <v>487.13164733585887</v>
      </c>
      <c r="L122" s="121"/>
      <c r="M122" s="122">
        <v>25.345637999999951</v>
      </c>
      <c r="N122" s="122">
        <v>0</v>
      </c>
      <c r="O122" s="122">
        <v>512.47728533585882</v>
      </c>
      <c r="P122" s="124">
        <v>1.0520303662030914</v>
      </c>
      <c r="Q122" s="329">
        <f t="shared" si="31"/>
        <v>-3.1441638311957454E-2</v>
      </c>
      <c r="R122" s="6"/>
    </row>
    <row r="123" spans="2:18" x14ac:dyDescent="0.2">
      <c r="B123" s="6">
        <f>MAX(B$79:B122)+1</f>
        <v>38</v>
      </c>
      <c r="D123" s="9" t="s">
        <v>44</v>
      </c>
      <c r="F123" s="127">
        <f>SUM(F115:F122)</f>
        <v>143089.26640166616</v>
      </c>
      <c r="G123" s="127">
        <f>SUM(G115:G122)</f>
        <v>19120.667381515224</v>
      </c>
      <c r="H123" s="121"/>
      <c r="I123" s="127">
        <f>SUM(I115:I122)</f>
        <v>123968.59902015093</v>
      </c>
      <c r="J123" s="127">
        <f>SUM(J115:J122)</f>
        <v>0</v>
      </c>
      <c r="K123" s="127">
        <f>SUM(K115:K122)</f>
        <v>123968.59902015093</v>
      </c>
      <c r="L123" s="121"/>
      <c r="M123" s="127">
        <f>SUM(M115:M122)</f>
        <v>18067.951771324719</v>
      </c>
      <c r="N123" s="127">
        <f>SUM(N115:N122)</f>
        <v>0</v>
      </c>
      <c r="O123" s="127">
        <f>SUM(O115:O122)</f>
        <v>142036.55079147569</v>
      </c>
      <c r="P123" s="128">
        <f>O123/K123</f>
        <v>1.1457461963282156</v>
      </c>
      <c r="Q123" s="509">
        <f>O123/F123-1</f>
        <v>-7.3570550514626687E-3</v>
      </c>
      <c r="R123" s="6"/>
    </row>
    <row r="124" spans="2:18" x14ac:dyDescent="0.2">
      <c r="B124" s="6"/>
      <c r="D124" s="6"/>
      <c r="F124" s="126"/>
      <c r="G124" s="126"/>
      <c r="H124" s="121"/>
      <c r="I124" s="126"/>
      <c r="J124" s="126"/>
      <c r="K124" s="126"/>
      <c r="L124" s="121"/>
      <c r="M124" s="198"/>
      <c r="N124" s="122"/>
      <c r="O124" s="126"/>
      <c r="P124" s="129"/>
      <c r="Q124" s="202"/>
      <c r="R124" s="6"/>
    </row>
    <row r="125" spans="2:18" x14ac:dyDescent="0.2">
      <c r="B125" s="6">
        <f>MAX(B$79:B124)+1</f>
        <v>39</v>
      </c>
      <c r="C125" s="9"/>
      <c r="D125" s="157" t="s">
        <v>612</v>
      </c>
      <c r="F125" s="122">
        <v>1196.9395495536583</v>
      </c>
      <c r="G125" s="122">
        <v>1196.9395495536583</v>
      </c>
      <c r="H125" s="125"/>
      <c r="I125" s="122">
        <v>0</v>
      </c>
      <c r="J125" s="122"/>
      <c r="K125" s="122">
        <v>0</v>
      </c>
      <c r="L125" s="125"/>
      <c r="M125" s="122">
        <v>1718.0114299177626</v>
      </c>
      <c r="N125" s="122"/>
      <c r="O125" s="122">
        <v>1718.0114299177626</v>
      </c>
      <c r="P125" s="124" t="s">
        <v>938</v>
      </c>
      <c r="Q125" s="201">
        <f>O125/F125-1</f>
        <v>0.43533683932360101</v>
      </c>
      <c r="R125" s="6"/>
    </row>
    <row r="126" spans="2:18" x14ac:dyDescent="0.2">
      <c r="B126" s="20"/>
      <c r="C126" s="9"/>
      <c r="F126" s="125"/>
      <c r="G126" s="125"/>
      <c r="H126" s="125"/>
      <c r="I126" s="125"/>
      <c r="J126" s="125"/>
      <c r="K126" s="125"/>
      <c r="L126" s="125"/>
      <c r="M126" s="125"/>
      <c r="N126" s="125" t="s">
        <v>385</v>
      </c>
      <c r="O126" s="125"/>
      <c r="P126" s="125"/>
      <c r="Q126" s="208"/>
      <c r="R126" s="6"/>
    </row>
    <row r="127" spans="2:18" ht="13.5" thickBot="1" x14ac:dyDescent="0.25">
      <c r="B127" s="6">
        <f>MAX(B$79:B126)+1</f>
        <v>40</v>
      </c>
      <c r="C127" s="9"/>
      <c r="D127" s="21" t="s">
        <v>94</v>
      </c>
      <c r="F127" s="131">
        <f>ROUND(F112+F123+F125,0)</f>
        <v>2808203</v>
      </c>
      <c r="G127" s="159">
        <f>ROUND(G112+G123+G125,0)</f>
        <v>-241593</v>
      </c>
      <c r="H127" s="121"/>
      <c r="I127" s="131">
        <f>ROUND(I112+I123+I125,0)</f>
        <v>3049797</v>
      </c>
      <c r="J127" s="131">
        <f>ROUND(J112+J123+J125,0)</f>
        <v>0</v>
      </c>
      <c r="K127" s="131">
        <f>ROUND(K112+K123+K125,0)</f>
        <v>3049797</v>
      </c>
      <c r="L127" s="121"/>
      <c r="M127" s="246">
        <f>ROUND(M112+M123+M125,0)</f>
        <v>0</v>
      </c>
      <c r="N127" s="131">
        <f>ROUND(N112+N123+N125,0)</f>
        <v>0</v>
      </c>
      <c r="O127" s="131">
        <f>ROUND(O112+O123+O125,0)</f>
        <v>3049797</v>
      </c>
      <c r="P127" s="132">
        <f>O127/K127</f>
        <v>1</v>
      </c>
      <c r="Q127" s="209">
        <f>O127/F127-1</f>
        <v>8.6031529771886106E-2</v>
      </c>
      <c r="R127" s="6"/>
    </row>
    <row r="128" spans="2:18" ht="13.5" thickTop="1" x14ac:dyDescent="0.2">
      <c r="B128" s="6"/>
      <c r="C128" s="9"/>
      <c r="D128" s="21"/>
      <c r="F128" s="141"/>
      <c r="G128" s="346"/>
      <c r="H128" s="121"/>
      <c r="I128" s="346"/>
      <c r="J128" s="141"/>
      <c r="K128" s="141"/>
      <c r="L128" s="121"/>
      <c r="M128" s="141"/>
      <c r="N128" s="141"/>
      <c r="O128" s="141"/>
      <c r="P128" s="142"/>
      <c r="Q128" s="160"/>
      <c r="R128" s="9"/>
    </row>
    <row r="129" spans="2:18" x14ac:dyDescent="0.2">
      <c r="B129" s="22" t="s">
        <v>29</v>
      </c>
      <c r="C129" s="9"/>
      <c r="D129" s="9"/>
      <c r="E129" s="20"/>
      <c r="F129" s="20"/>
      <c r="G129" s="20"/>
      <c r="H129" s="20"/>
      <c r="I129" s="20"/>
      <c r="J129" s="20"/>
      <c r="K129" s="20"/>
      <c r="L129" s="20"/>
      <c r="M129" s="20"/>
      <c r="N129" s="20"/>
      <c r="O129" s="20"/>
      <c r="P129" s="20"/>
      <c r="Q129" s="20"/>
    </row>
    <row r="130" spans="2:18" x14ac:dyDescent="0.2">
      <c r="B130" s="23" t="s">
        <v>30</v>
      </c>
      <c r="D130" s="20" t="s">
        <v>964</v>
      </c>
    </row>
    <row r="131" spans="2:18" x14ac:dyDescent="0.2">
      <c r="B131" s="23" t="s">
        <v>31</v>
      </c>
      <c r="D131" s="28" t="s">
        <v>504</v>
      </c>
    </row>
    <row r="132" spans="2:18" x14ac:dyDescent="0.2">
      <c r="B132" s="167" t="s">
        <v>32</v>
      </c>
      <c r="C132" s="28"/>
      <c r="D132" s="20" t="s">
        <v>565</v>
      </c>
    </row>
    <row r="133" spans="2:18" x14ac:dyDescent="0.2">
      <c r="B133" s="167" t="s">
        <v>45</v>
      </c>
      <c r="C133" s="35"/>
      <c r="D133" s="35" t="s">
        <v>976</v>
      </c>
    </row>
    <row r="134" spans="2:18" x14ac:dyDescent="0.2">
      <c r="B134" s="167" t="s">
        <v>46</v>
      </c>
      <c r="C134" s="35"/>
      <c r="D134" s="35" t="s">
        <v>977</v>
      </c>
      <c r="E134" s="28"/>
      <c r="F134" s="28"/>
    </row>
    <row r="135" spans="2:18" x14ac:dyDescent="0.2">
      <c r="B135" s="167" t="s">
        <v>516</v>
      </c>
      <c r="C135" s="28"/>
      <c r="D135" s="35" t="s">
        <v>965</v>
      </c>
      <c r="E135" s="148"/>
      <c r="F135" s="28"/>
    </row>
    <row r="136" spans="2:18" x14ac:dyDescent="0.2">
      <c r="B136" s="167" t="s">
        <v>518</v>
      </c>
      <c r="C136" s="28"/>
      <c r="D136" s="35" t="s">
        <v>714</v>
      </c>
      <c r="E136" s="148"/>
      <c r="F136" s="28"/>
    </row>
    <row r="137" spans="2:18" x14ac:dyDescent="0.2">
      <c r="E137" s="6"/>
      <c r="F137" s="7"/>
      <c r="G137" s="7"/>
      <c r="H137" s="6"/>
      <c r="I137" s="6"/>
      <c r="J137" s="6"/>
      <c r="K137" s="6"/>
      <c r="L137" s="6"/>
      <c r="M137" s="6"/>
      <c r="N137" s="6"/>
      <c r="O137" s="6"/>
      <c r="P137" s="6"/>
      <c r="Q137" s="6"/>
      <c r="R137" s="6"/>
    </row>
    <row r="138" spans="2:18" x14ac:dyDescent="0.2">
      <c r="B138" s="4" t="str">
        <f>+$B$2</f>
        <v>Summary of Proposed Revenue Change by Rate Class</v>
      </c>
      <c r="C138" s="166"/>
      <c r="D138" s="166"/>
      <c r="E138" s="166"/>
      <c r="F138" s="166"/>
      <c r="G138" s="166"/>
      <c r="H138" s="166"/>
      <c r="I138" s="166"/>
      <c r="J138" s="166"/>
      <c r="K138" s="166"/>
      <c r="L138" s="166"/>
      <c r="M138" s="4"/>
      <c r="N138" s="4"/>
      <c r="O138" s="4"/>
      <c r="P138" s="4"/>
      <c r="Q138" s="4"/>
    </row>
    <row r="139" spans="2:18" x14ac:dyDescent="0.2">
      <c r="B139" s="166" t="s">
        <v>120</v>
      </c>
      <c r="C139" s="166"/>
      <c r="D139" s="166"/>
      <c r="E139" s="166"/>
      <c r="F139" s="166"/>
      <c r="G139" s="166"/>
      <c r="H139" s="166"/>
      <c r="I139" s="166"/>
      <c r="J139" s="166"/>
      <c r="K139" s="166"/>
      <c r="L139" s="166"/>
      <c r="M139" s="4"/>
      <c r="N139" s="4"/>
      <c r="O139" s="4"/>
      <c r="P139" s="4"/>
      <c r="Q139" s="4"/>
      <c r="R139" s="5"/>
    </row>
    <row r="140" spans="2:18" x14ac:dyDescent="0.2">
      <c r="B140" s="28"/>
      <c r="C140" s="166"/>
      <c r="D140" s="166"/>
      <c r="E140" s="166"/>
      <c r="F140" s="166"/>
      <c r="G140" s="166"/>
      <c r="H140" s="166"/>
      <c r="I140" s="166"/>
      <c r="J140" s="166"/>
      <c r="K140" s="166"/>
      <c r="L140" s="166"/>
      <c r="M140" s="4"/>
      <c r="N140" s="4"/>
      <c r="O140" s="4"/>
      <c r="P140" s="4"/>
      <c r="Q140" s="4"/>
    </row>
    <row r="141" spans="2:18" x14ac:dyDescent="0.2">
      <c r="B141" s="21"/>
      <c r="C141" s="21"/>
      <c r="D141" s="21"/>
      <c r="E141" s="21"/>
      <c r="F141" s="547" t="str">
        <f>+$F$5</f>
        <v>Revenue Before Recovery</v>
      </c>
      <c r="G141" s="547"/>
      <c r="H141" s="21"/>
      <c r="I141" s="547" t="str">
        <f>+$I$5</f>
        <v>Proposed Revenue Requirement</v>
      </c>
      <c r="J141" s="547"/>
      <c r="K141" s="547"/>
      <c r="L141" s="21"/>
      <c r="M141" s="547" t="str">
        <f>+$M$5</f>
        <v>Revenue After Recovery</v>
      </c>
      <c r="N141" s="547"/>
      <c r="O141" s="547"/>
      <c r="P141" s="547"/>
      <c r="Q141" s="547"/>
    </row>
    <row r="142" spans="2:18" s="523" customFormat="1" ht="38.25" x14ac:dyDescent="0.2">
      <c r="B142" s="24" t="s">
        <v>0</v>
      </c>
      <c r="C142" s="24"/>
      <c r="D142" s="24"/>
      <c r="E142" s="24"/>
      <c r="F142" s="523" t="s">
        <v>742</v>
      </c>
      <c r="G142" s="523" t="s">
        <v>505</v>
      </c>
      <c r="H142" s="24"/>
      <c r="I142" s="154" t="s">
        <v>743</v>
      </c>
      <c r="J142" s="154" t="s">
        <v>744</v>
      </c>
      <c r="K142" s="154" t="s">
        <v>314</v>
      </c>
      <c r="L142" s="154"/>
      <c r="M142" s="45" t="s">
        <v>741</v>
      </c>
      <c r="N142" s="45" t="s">
        <v>762</v>
      </c>
      <c r="O142" s="45" t="s">
        <v>515</v>
      </c>
      <c r="P142" s="154" t="s">
        <v>745</v>
      </c>
      <c r="Q142" s="154" t="s">
        <v>159</v>
      </c>
      <c r="R142" s="24"/>
    </row>
    <row r="143" spans="2:18" x14ac:dyDescent="0.2">
      <c r="B143" s="519" t="s">
        <v>1</v>
      </c>
      <c r="C143" s="9"/>
      <c r="D143" s="10" t="s">
        <v>33</v>
      </c>
      <c r="E143" s="6"/>
      <c r="F143" s="519" t="s">
        <v>389</v>
      </c>
      <c r="G143" s="519" t="s">
        <v>389</v>
      </c>
      <c r="H143" s="6"/>
      <c r="I143" s="519" t="s">
        <v>389</v>
      </c>
      <c r="J143" s="519" t="s">
        <v>389</v>
      </c>
      <c r="K143" s="519" t="s">
        <v>389</v>
      </c>
      <c r="L143" s="6"/>
      <c r="M143" s="519" t="s">
        <v>389</v>
      </c>
      <c r="N143" s="519" t="s">
        <v>389</v>
      </c>
      <c r="O143" s="519" t="s">
        <v>389</v>
      </c>
      <c r="P143" s="519" t="s">
        <v>617</v>
      </c>
      <c r="Q143" s="519" t="s">
        <v>2</v>
      </c>
      <c r="R143" s="6"/>
    </row>
    <row r="144" spans="2:18" x14ac:dyDescent="0.2">
      <c r="B144" s="6"/>
      <c r="C144" s="9"/>
      <c r="D144" s="9"/>
      <c r="E144" s="6"/>
      <c r="F144" s="6" t="s">
        <v>3</v>
      </c>
      <c r="G144" s="6" t="s">
        <v>477</v>
      </c>
      <c r="H144" s="6"/>
      <c r="I144" s="6" t="s">
        <v>119</v>
      </c>
      <c r="J144" s="6" t="s">
        <v>263</v>
      </c>
      <c r="K144" s="6" t="s">
        <v>315</v>
      </c>
      <c r="L144" s="6"/>
      <c r="M144" s="6" t="s">
        <v>264</v>
      </c>
      <c r="N144" s="6" t="s">
        <v>38</v>
      </c>
      <c r="O144" s="6" t="s">
        <v>316</v>
      </c>
      <c r="P144" s="11" t="s">
        <v>317</v>
      </c>
      <c r="Q144" s="11" t="s">
        <v>318</v>
      </c>
      <c r="R144" s="6"/>
    </row>
    <row r="145" spans="2:18" x14ac:dyDescent="0.2">
      <c r="B145" s="6"/>
      <c r="C145" s="9"/>
      <c r="D145" s="9"/>
      <c r="E145" s="6"/>
      <c r="F145" s="6"/>
      <c r="G145" s="6"/>
      <c r="H145" s="6"/>
      <c r="I145" s="6"/>
      <c r="J145" s="6"/>
      <c r="K145" s="6"/>
      <c r="L145" s="6"/>
      <c r="M145" s="6"/>
      <c r="N145" s="6"/>
      <c r="O145" s="6"/>
      <c r="P145" s="11"/>
      <c r="Q145" s="11"/>
      <c r="R145" s="6"/>
    </row>
    <row r="146" spans="2:18" x14ac:dyDescent="0.2">
      <c r="B146" s="6"/>
      <c r="C146" s="9"/>
      <c r="D146" s="31" t="s">
        <v>394</v>
      </c>
      <c r="E146" s="6"/>
      <c r="F146" s="7"/>
      <c r="G146" s="13"/>
      <c r="H146" s="6"/>
      <c r="I146" s="12"/>
      <c r="J146" s="12"/>
      <c r="K146" s="12"/>
      <c r="L146" s="6"/>
      <c r="M146" s="6"/>
      <c r="N146" s="6"/>
      <c r="O146" s="6"/>
      <c r="P146" s="6"/>
      <c r="Q146" s="6"/>
      <c r="R146" s="6"/>
    </row>
    <row r="147" spans="2:18" x14ac:dyDescent="0.2">
      <c r="B147" s="6">
        <v>1</v>
      </c>
      <c r="C147" s="9"/>
      <c r="D147" s="14" t="s">
        <v>5</v>
      </c>
      <c r="E147" s="6"/>
      <c r="F147" s="122">
        <v>1172203.0090380502</v>
      </c>
      <c r="G147" s="122">
        <f>F147-K147</f>
        <v>23527.422945913393</v>
      </c>
      <c r="H147" s="123"/>
      <c r="I147" s="122">
        <v>1148675.5860921368</v>
      </c>
      <c r="J147" s="122">
        <v>0</v>
      </c>
      <c r="K147" s="122">
        <f t="shared" ref="K147:K157" si="32">I147+J147</f>
        <v>1148675.5860921368</v>
      </c>
      <c r="L147" s="123"/>
      <c r="M147" s="122">
        <v>0</v>
      </c>
      <c r="N147" s="122">
        <v>0</v>
      </c>
      <c r="O147" s="122">
        <f t="shared" ref="O147:O157" si="33">K147+M147+N147</f>
        <v>1148675.5860921368</v>
      </c>
      <c r="P147" s="124">
        <f t="shared" ref="P147:P156" si="34">O147/K147</f>
        <v>1</v>
      </c>
      <c r="Q147" s="329">
        <f t="shared" ref="Q147:Q156" si="35">O147/F147-1</f>
        <v>-2.0071116320730775E-2</v>
      </c>
    </row>
    <row r="148" spans="2:18" x14ac:dyDescent="0.2">
      <c r="B148" s="6">
        <f>MAX(B$147:B147)+1</f>
        <v>2</v>
      </c>
      <c r="C148" s="9"/>
      <c r="D148" s="14" t="s">
        <v>6</v>
      </c>
      <c r="E148" s="6"/>
      <c r="F148" s="122">
        <v>742105.68341866799</v>
      </c>
      <c r="G148" s="122">
        <f t="shared" ref="G148:G157" si="36">F148-K148</f>
        <v>5436.4714112902293</v>
      </c>
      <c r="H148" s="123"/>
      <c r="I148" s="122">
        <v>736669.21200737776</v>
      </c>
      <c r="J148" s="122">
        <v>0</v>
      </c>
      <c r="K148" s="122">
        <f t="shared" si="32"/>
        <v>736669.21200737776</v>
      </c>
      <c r="L148" s="123"/>
      <c r="M148" s="122">
        <v>0</v>
      </c>
      <c r="N148" s="122">
        <v>0</v>
      </c>
      <c r="O148" s="122">
        <f t="shared" si="33"/>
        <v>736669.21200737776</v>
      </c>
      <c r="P148" s="124">
        <f t="shared" si="34"/>
        <v>1</v>
      </c>
      <c r="Q148" s="329">
        <f t="shared" si="35"/>
        <v>-7.3257374694207789E-3</v>
      </c>
    </row>
    <row r="149" spans="2:18" x14ac:dyDescent="0.2">
      <c r="B149" s="6">
        <f>MAX(B$147:B148)+1</f>
        <v>3</v>
      </c>
      <c r="C149" s="9"/>
      <c r="D149" s="14" t="s">
        <v>7</v>
      </c>
      <c r="E149" s="6"/>
      <c r="F149" s="122">
        <v>3527.0941688316079</v>
      </c>
      <c r="G149" s="122">
        <f t="shared" si="36"/>
        <v>-24.279318308649636</v>
      </c>
      <c r="H149" s="123"/>
      <c r="I149" s="122">
        <v>3551.3734871402576</v>
      </c>
      <c r="J149" s="122">
        <v>0</v>
      </c>
      <c r="K149" s="122">
        <f t="shared" si="32"/>
        <v>3551.3734871402576</v>
      </c>
      <c r="L149" s="123"/>
      <c r="M149" s="122">
        <v>0</v>
      </c>
      <c r="N149" s="122">
        <v>0</v>
      </c>
      <c r="O149" s="122">
        <f t="shared" si="33"/>
        <v>3551.3734871402576</v>
      </c>
      <c r="P149" s="124">
        <f t="shared" si="34"/>
        <v>1</v>
      </c>
      <c r="Q149" s="329">
        <f t="shared" si="35"/>
        <v>6.8836603579236488E-3</v>
      </c>
    </row>
    <row r="150" spans="2:18" x14ac:dyDescent="0.2">
      <c r="B150" s="6">
        <f>MAX(B$147:B149)+1</f>
        <v>4</v>
      </c>
      <c r="C150" s="9"/>
      <c r="D150" s="14" t="s">
        <v>8</v>
      </c>
      <c r="E150" s="6"/>
      <c r="F150" s="122">
        <v>31308.77560693994</v>
      </c>
      <c r="G150" s="122">
        <f t="shared" si="36"/>
        <v>-7275.8621752979598</v>
      </c>
      <c r="H150" s="123"/>
      <c r="I150" s="122">
        <v>38584.6377822379</v>
      </c>
      <c r="J150" s="122">
        <v>0</v>
      </c>
      <c r="K150" s="122">
        <f t="shared" si="32"/>
        <v>38584.6377822379</v>
      </c>
      <c r="L150" s="123"/>
      <c r="M150" s="122">
        <v>0</v>
      </c>
      <c r="N150" s="122">
        <v>0</v>
      </c>
      <c r="O150" s="122">
        <f t="shared" si="33"/>
        <v>38584.6377822379</v>
      </c>
      <c r="P150" s="124">
        <f t="shared" si="34"/>
        <v>1</v>
      </c>
      <c r="Q150" s="329">
        <f t="shared" si="35"/>
        <v>0.23239050503415992</v>
      </c>
    </row>
    <row r="151" spans="2:18" x14ac:dyDescent="0.2">
      <c r="B151" s="6">
        <f>MAX(B$147:B150)+1</f>
        <v>5</v>
      </c>
      <c r="C151" s="9"/>
      <c r="D151" s="14" t="s">
        <v>9</v>
      </c>
      <c r="E151" s="6"/>
      <c r="F151" s="122">
        <v>2544.1730598787467</v>
      </c>
      <c r="G151" s="122">
        <f t="shared" si="36"/>
        <v>-2549.4140112260761</v>
      </c>
      <c r="H151" s="123"/>
      <c r="I151" s="122">
        <v>5093.5870711048228</v>
      </c>
      <c r="J151" s="122">
        <v>0</v>
      </c>
      <c r="K151" s="122">
        <f t="shared" si="32"/>
        <v>5093.5870711048228</v>
      </c>
      <c r="L151" s="123"/>
      <c r="M151" s="122">
        <v>0</v>
      </c>
      <c r="N151" s="122">
        <v>0</v>
      </c>
      <c r="O151" s="122">
        <f t="shared" si="33"/>
        <v>5093.5870711048228</v>
      </c>
      <c r="P151" s="124">
        <f t="shared" si="34"/>
        <v>1</v>
      </c>
      <c r="Q151" s="329">
        <f t="shared" si="35"/>
        <v>1.0020599822511991</v>
      </c>
    </row>
    <row r="152" spans="2:18" x14ac:dyDescent="0.2">
      <c r="B152" s="6">
        <f>MAX(B$147:B151)+1</f>
        <v>6</v>
      </c>
      <c r="C152" s="9"/>
      <c r="D152" s="14" t="s">
        <v>10</v>
      </c>
      <c r="E152" s="6"/>
      <c r="F152" s="122">
        <v>588.24265500000001</v>
      </c>
      <c r="G152" s="122">
        <f t="shared" si="36"/>
        <v>-198.58949995533453</v>
      </c>
      <c r="H152" s="123"/>
      <c r="I152" s="122">
        <v>786.83215495533454</v>
      </c>
      <c r="J152" s="122">
        <v>0</v>
      </c>
      <c r="K152" s="122">
        <f t="shared" si="32"/>
        <v>786.83215495533454</v>
      </c>
      <c r="L152" s="123"/>
      <c r="M152" s="122">
        <v>0</v>
      </c>
      <c r="N152" s="122">
        <v>0</v>
      </c>
      <c r="O152" s="122">
        <f t="shared" si="33"/>
        <v>786.83215495533454</v>
      </c>
      <c r="P152" s="124">
        <f t="shared" si="34"/>
        <v>1</v>
      </c>
      <c r="Q152" s="329">
        <f t="shared" si="35"/>
        <v>0.33759792539242928</v>
      </c>
    </row>
    <row r="153" spans="2:18" x14ac:dyDescent="0.2">
      <c r="B153" s="6">
        <f>MAX(B$147:B152)+1</f>
        <v>7</v>
      </c>
      <c r="C153" s="9"/>
      <c r="D153" s="14" t="s">
        <v>11</v>
      </c>
      <c r="E153" s="6"/>
      <c r="F153" s="122">
        <v>850.36872361355677</v>
      </c>
      <c r="G153" s="122">
        <f t="shared" si="36"/>
        <v>-686.21485327443065</v>
      </c>
      <c r="H153" s="123"/>
      <c r="I153" s="122">
        <v>1536.5835768879874</v>
      </c>
      <c r="J153" s="122">
        <v>0</v>
      </c>
      <c r="K153" s="122">
        <f t="shared" si="32"/>
        <v>1536.5835768879874</v>
      </c>
      <c r="L153" s="123"/>
      <c r="M153" s="122">
        <v>0</v>
      </c>
      <c r="N153" s="122">
        <v>0</v>
      </c>
      <c r="O153" s="122">
        <f t="shared" si="33"/>
        <v>1536.5835768879874</v>
      </c>
      <c r="P153" s="124">
        <f t="shared" si="34"/>
        <v>1</v>
      </c>
      <c r="Q153" s="329">
        <f t="shared" si="35"/>
        <v>0.80696153823535433</v>
      </c>
    </row>
    <row r="154" spans="2:18" x14ac:dyDescent="0.2">
      <c r="B154" s="6">
        <f>MAX(B$147:B153)+1</f>
        <v>8</v>
      </c>
      <c r="C154" s="9"/>
      <c r="D154" s="14" t="s">
        <v>12</v>
      </c>
      <c r="E154" s="6"/>
      <c r="F154" s="122">
        <v>194.44003312700028</v>
      </c>
      <c r="G154" s="122">
        <f t="shared" si="36"/>
        <v>-112.59197161953904</v>
      </c>
      <c r="H154" s="123"/>
      <c r="I154" s="122">
        <v>307.03200474653931</v>
      </c>
      <c r="J154" s="122">
        <v>0</v>
      </c>
      <c r="K154" s="122">
        <f t="shared" si="32"/>
        <v>307.03200474653931</v>
      </c>
      <c r="L154" s="123"/>
      <c r="M154" s="122">
        <v>0</v>
      </c>
      <c r="N154" s="122">
        <v>0</v>
      </c>
      <c r="O154" s="122">
        <f t="shared" si="33"/>
        <v>307.03200474653931</v>
      </c>
      <c r="P154" s="124">
        <f t="shared" si="34"/>
        <v>1</v>
      </c>
      <c r="Q154" s="329">
        <f t="shared" si="35"/>
        <v>0.57905756242079298</v>
      </c>
    </row>
    <row r="155" spans="2:18" x14ac:dyDescent="0.2">
      <c r="B155" s="6">
        <f>MAX(B$147:B154)+1</f>
        <v>9</v>
      </c>
      <c r="C155" s="9"/>
      <c r="D155" s="14" t="s">
        <v>13</v>
      </c>
      <c r="E155" s="6"/>
      <c r="F155" s="122">
        <v>-955.42230539590537</v>
      </c>
      <c r="G155" s="122">
        <f t="shared" si="36"/>
        <v>-5908.7718076442579</v>
      </c>
      <c r="H155" s="123"/>
      <c r="I155" s="122">
        <v>4953.3495022483521</v>
      </c>
      <c r="J155" s="122">
        <v>0</v>
      </c>
      <c r="K155" s="122">
        <f t="shared" si="32"/>
        <v>4953.3495022483521</v>
      </c>
      <c r="L155" s="123"/>
      <c r="M155" s="122">
        <v>0</v>
      </c>
      <c r="N155" s="122">
        <v>0</v>
      </c>
      <c r="O155" s="122">
        <f t="shared" si="33"/>
        <v>4953.3495022483521</v>
      </c>
      <c r="P155" s="124">
        <f t="shared" si="34"/>
        <v>1</v>
      </c>
      <c r="Q155" s="330">
        <f>((O155/F155)-1)*-1</f>
        <v>6.1844608130598298</v>
      </c>
    </row>
    <row r="156" spans="2:18" x14ac:dyDescent="0.2">
      <c r="B156" s="6">
        <f>MAX(B$147:B155)+1</f>
        <v>10</v>
      </c>
      <c r="C156" s="9"/>
      <c r="D156" s="14" t="s">
        <v>14</v>
      </c>
      <c r="E156" s="6"/>
      <c r="F156" s="122">
        <v>33421.080964512868</v>
      </c>
      <c r="G156" s="122">
        <f t="shared" si="36"/>
        <v>743.35063532328058</v>
      </c>
      <c r="H156" s="123"/>
      <c r="I156" s="122">
        <v>32677.730329189588</v>
      </c>
      <c r="J156" s="122">
        <v>0</v>
      </c>
      <c r="K156" s="122">
        <f t="shared" si="32"/>
        <v>32677.730329189588</v>
      </c>
      <c r="L156" s="123"/>
      <c r="M156" s="122">
        <v>0</v>
      </c>
      <c r="N156" s="122">
        <v>0</v>
      </c>
      <c r="O156" s="122">
        <f t="shared" si="33"/>
        <v>32677.730329189588</v>
      </c>
      <c r="P156" s="124">
        <f t="shared" si="34"/>
        <v>1</v>
      </c>
      <c r="Q156" s="329">
        <f t="shared" si="35"/>
        <v>-2.2241968657823574E-2</v>
      </c>
    </row>
    <row r="157" spans="2:18" x14ac:dyDescent="0.2">
      <c r="B157" s="6">
        <f>MAX(B$147:B156)+1</f>
        <v>11</v>
      </c>
      <c r="C157" s="9"/>
      <c r="D157" s="14" t="s">
        <v>15</v>
      </c>
      <c r="E157" s="6"/>
      <c r="F157" s="122">
        <v>0</v>
      </c>
      <c r="G157" s="122">
        <f t="shared" si="36"/>
        <v>0</v>
      </c>
      <c r="H157" s="123"/>
      <c r="I157" s="122">
        <v>0</v>
      </c>
      <c r="J157" s="122">
        <v>0</v>
      </c>
      <c r="K157" s="122">
        <f t="shared" si="32"/>
        <v>0</v>
      </c>
      <c r="L157" s="123"/>
      <c r="M157" s="122">
        <v>0</v>
      </c>
      <c r="N157" s="122">
        <v>0</v>
      </c>
      <c r="O157" s="122">
        <f t="shared" si="33"/>
        <v>0</v>
      </c>
      <c r="P157" s="124"/>
      <c r="Q157" s="202"/>
    </row>
    <row r="158" spans="2:18" x14ac:dyDescent="0.2">
      <c r="B158" s="6">
        <f>MAX(B$147:B157)+1</f>
        <v>12</v>
      </c>
      <c r="C158" s="9"/>
      <c r="D158" s="1" t="s">
        <v>613</v>
      </c>
      <c r="E158" s="6"/>
      <c r="F158" s="127">
        <f>SUM(F147:F157)</f>
        <v>1985787.4453632259</v>
      </c>
      <c r="G158" s="127">
        <f>SUM(G147:G157)</f>
        <v>12951.521355200653</v>
      </c>
      <c r="H158" s="123"/>
      <c r="I158" s="127">
        <f>SUM(I147:I157)</f>
        <v>1972835.9240080258</v>
      </c>
      <c r="J158" s="127">
        <f>SUM(J147:J157)</f>
        <v>0</v>
      </c>
      <c r="K158" s="127">
        <f>SUM(K147:K157)</f>
        <v>1972835.9240080258</v>
      </c>
      <c r="L158" s="123"/>
      <c r="M158" s="127">
        <f>SUM(M147:M157)</f>
        <v>0</v>
      </c>
      <c r="N158" s="127">
        <f>SUM(N147:N157)</f>
        <v>0</v>
      </c>
      <c r="O158" s="127">
        <f>SUM(O147:O157)</f>
        <v>1972835.9240080258</v>
      </c>
      <c r="P158" s="128">
        <f>O158/K158</f>
        <v>1</v>
      </c>
      <c r="Q158" s="509">
        <f>O158/F158-1</f>
        <v>-6.5221085899408449E-3</v>
      </c>
    </row>
    <row r="159" spans="2:18" x14ac:dyDescent="0.2">
      <c r="B159" s="6"/>
      <c r="C159" s="9"/>
      <c r="D159" s="9"/>
      <c r="E159" s="6"/>
      <c r="F159" s="126"/>
      <c r="G159" s="126"/>
      <c r="H159" s="121"/>
      <c r="I159" s="126"/>
      <c r="J159" s="121"/>
      <c r="K159" s="126"/>
      <c r="L159" s="121"/>
      <c r="M159" s="121"/>
      <c r="N159" s="121"/>
      <c r="O159" s="126"/>
      <c r="P159" s="129"/>
      <c r="Q159" s="204"/>
      <c r="R159" s="6"/>
    </row>
    <row r="160" spans="2:18" x14ac:dyDescent="0.2">
      <c r="B160" s="6"/>
      <c r="C160" s="9"/>
      <c r="D160" s="31" t="s">
        <v>395</v>
      </c>
      <c r="E160" s="6"/>
      <c r="F160" s="126"/>
      <c r="G160" s="126"/>
      <c r="H160" s="121"/>
      <c r="I160" s="126"/>
      <c r="J160" s="122"/>
      <c r="K160" s="126"/>
      <c r="L160" s="121"/>
      <c r="M160" s="122"/>
      <c r="N160" s="122"/>
      <c r="O160" s="126"/>
      <c r="P160" s="124"/>
      <c r="Q160" s="205"/>
      <c r="R160" s="6"/>
    </row>
    <row r="161" spans="2:18" x14ac:dyDescent="0.2">
      <c r="B161" s="6">
        <f>MAX(B$147:B160)+1</f>
        <v>13</v>
      </c>
      <c r="C161" s="9"/>
      <c r="D161" s="14" t="s">
        <v>16</v>
      </c>
      <c r="E161" s="6"/>
      <c r="F161" s="122">
        <v>257729.02206805148</v>
      </c>
      <c r="G161" s="122">
        <f t="shared" ref="G161:G165" si="37">F161-K161</f>
        <v>40119.42270604393</v>
      </c>
      <c r="H161" s="123"/>
      <c r="I161" s="122">
        <v>217609.59936200755</v>
      </c>
      <c r="J161" s="122">
        <v>0</v>
      </c>
      <c r="K161" s="122">
        <f t="shared" ref="K161:K165" si="38">I161+J161</f>
        <v>217609.59936200755</v>
      </c>
      <c r="L161" s="123"/>
      <c r="M161" s="122">
        <v>0</v>
      </c>
      <c r="N161" s="122">
        <v>0</v>
      </c>
      <c r="O161" s="122">
        <f>K161+M161+N161</f>
        <v>217609.59936200755</v>
      </c>
      <c r="P161" s="124">
        <f t="shared" ref="P161:P166" si="39">O161/K161</f>
        <v>1</v>
      </c>
      <c r="Q161" s="329">
        <f t="shared" ref="Q161:Q166" si="40">O161/F161-1</f>
        <v>-0.15566513380650893</v>
      </c>
    </row>
    <row r="162" spans="2:18" x14ac:dyDescent="0.2">
      <c r="B162" s="6">
        <f>MAX(B$147:B161)+1</f>
        <v>14</v>
      </c>
      <c r="C162" s="9"/>
      <c r="D162" s="14" t="s">
        <v>17</v>
      </c>
      <c r="E162" s="6"/>
      <c r="F162" s="122">
        <v>51781.271405269727</v>
      </c>
      <c r="G162" s="122">
        <f t="shared" si="37"/>
        <v>9612.1609160058433</v>
      </c>
      <c r="H162" s="123"/>
      <c r="I162" s="122">
        <v>42169.110489263883</v>
      </c>
      <c r="J162" s="122">
        <v>0</v>
      </c>
      <c r="K162" s="122">
        <f t="shared" si="38"/>
        <v>42169.110489263883</v>
      </c>
      <c r="L162" s="123"/>
      <c r="M162" s="122">
        <v>0</v>
      </c>
      <c r="N162" s="122">
        <v>0</v>
      </c>
      <c r="O162" s="122">
        <f>K162+M162+N162</f>
        <v>42169.110489263883</v>
      </c>
      <c r="P162" s="124">
        <f t="shared" si="39"/>
        <v>1</v>
      </c>
      <c r="Q162" s="329">
        <f t="shared" si="40"/>
        <v>-0.18563006768944701</v>
      </c>
    </row>
    <row r="163" spans="2:18" x14ac:dyDescent="0.2">
      <c r="B163" s="6">
        <f>MAX(B$147:B162)+1</f>
        <v>15</v>
      </c>
      <c r="C163" s="9"/>
      <c r="D163" s="14" t="s">
        <v>18</v>
      </c>
      <c r="E163" s="6"/>
      <c r="F163" s="122">
        <v>9830.5928293103279</v>
      </c>
      <c r="G163" s="122">
        <f t="shared" si="37"/>
        <v>547.14018933666375</v>
      </c>
      <c r="H163" s="123"/>
      <c r="I163" s="122">
        <v>9283.4526399736642</v>
      </c>
      <c r="J163" s="122">
        <v>0</v>
      </c>
      <c r="K163" s="122">
        <f t="shared" si="38"/>
        <v>9283.4526399736642</v>
      </c>
      <c r="L163" s="123"/>
      <c r="M163" s="122">
        <v>0</v>
      </c>
      <c r="N163" s="122">
        <v>0</v>
      </c>
      <c r="O163" s="122">
        <f>K163+M163+N163</f>
        <v>9283.4526399736642</v>
      </c>
      <c r="P163" s="124">
        <f t="shared" si="39"/>
        <v>1</v>
      </c>
      <c r="Q163" s="329">
        <f t="shared" si="40"/>
        <v>-5.5656886500816349E-2</v>
      </c>
    </row>
    <row r="164" spans="2:18" x14ac:dyDescent="0.2">
      <c r="B164" s="6">
        <f>MAX(B$147:B163)+1</f>
        <v>16</v>
      </c>
      <c r="C164" s="9"/>
      <c r="D164" s="14" t="s">
        <v>19</v>
      </c>
      <c r="E164" s="6"/>
      <c r="F164" s="122">
        <v>1328.839101856842</v>
      </c>
      <c r="G164" s="122">
        <f t="shared" si="37"/>
        <v>-51.568320705078349</v>
      </c>
      <c r="H164" s="123"/>
      <c r="I164" s="122">
        <v>1380.4074225619204</v>
      </c>
      <c r="J164" s="122">
        <v>0</v>
      </c>
      <c r="K164" s="122">
        <f t="shared" si="38"/>
        <v>1380.4074225619204</v>
      </c>
      <c r="L164" s="123"/>
      <c r="M164" s="122">
        <v>0</v>
      </c>
      <c r="N164" s="122">
        <v>0</v>
      </c>
      <c r="O164" s="122">
        <f>K164+M164+N164</f>
        <v>1380.4074225619204</v>
      </c>
      <c r="P164" s="124">
        <f t="shared" si="39"/>
        <v>1</v>
      </c>
      <c r="Q164" s="329">
        <f t="shared" si="40"/>
        <v>3.8807046415942903E-2</v>
      </c>
    </row>
    <row r="165" spans="2:18" x14ac:dyDescent="0.2">
      <c r="B165" s="6">
        <f>MAX(B$147:B164)+1</f>
        <v>17</v>
      </c>
      <c r="C165" s="9"/>
      <c r="D165" s="14" t="s">
        <v>7</v>
      </c>
      <c r="E165" s="6"/>
      <c r="F165" s="122">
        <v>23.194032140369998</v>
      </c>
      <c r="G165" s="122">
        <f t="shared" si="37"/>
        <v>-1292.6579068456663</v>
      </c>
      <c r="H165" s="123"/>
      <c r="I165" s="122">
        <v>1315.8519389860362</v>
      </c>
      <c r="J165" s="122">
        <v>0</v>
      </c>
      <c r="K165" s="122">
        <f t="shared" si="38"/>
        <v>1315.8519389860362</v>
      </c>
      <c r="L165" s="123"/>
      <c r="M165" s="122">
        <v>0</v>
      </c>
      <c r="N165" s="122">
        <v>0</v>
      </c>
      <c r="O165" s="122">
        <f>K165+M165+N165</f>
        <v>1315.8519389860362</v>
      </c>
      <c r="P165" s="124">
        <f t="shared" si="39"/>
        <v>1</v>
      </c>
      <c r="Q165" s="329">
        <f t="shared" si="40"/>
        <v>55.732349555373396</v>
      </c>
    </row>
    <row r="166" spans="2:18" x14ac:dyDescent="0.2">
      <c r="B166" s="6">
        <f>MAX(B$147:B165)+1</f>
        <v>18</v>
      </c>
      <c r="C166" s="9"/>
      <c r="D166" s="1" t="s">
        <v>614</v>
      </c>
      <c r="E166" s="6"/>
      <c r="F166" s="127">
        <f>SUM(F161:F165)</f>
        <v>320692.91943662876</v>
      </c>
      <c r="G166" s="127">
        <f>SUM(G161:G165)</f>
        <v>48934.497583835699</v>
      </c>
      <c r="H166" s="123"/>
      <c r="I166" s="127">
        <f>SUM(I161:I165)</f>
        <v>271758.42185279302</v>
      </c>
      <c r="J166" s="127">
        <f>SUM(J161:J165)</f>
        <v>0</v>
      </c>
      <c r="K166" s="127">
        <f>SUM(K161:K165)</f>
        <v>271758.42185279302</v>
      </c>
      <c r="L166" s="123"/>
      <c r="M166" s="127">
        <f>SUM(M161:M165)</f>
        <v>0</v>
      </c>
      <c r="N166" s="127">
        <f>SUM(N161:N165)</f>
        <v>0</v>
      </c>
      <c r="O166" s="127">
        <f>SUM(O161:O165)</f>
        <v>271758.42185279302</v>
      </c>
      <c r="P166" s="128">
        <f t="shared" si="39"/>
        <v>1</v>
      </c>
      <c r="Q166" s="509">
        <f t="shared" si="40"/>
        <v>-0.15258989088315544</v>
      </c>
    </row>
    <row r="167" spans="2:18" x14ac:dyDescent="0.2">
      <c r="B167" s="6"/>
      <c r="C167" s="9"/>
      <c r="D167" s="9"/>
      <c r="E167" s="6"/>
      <c r="F167" s="126"/>
      <c r="G167" s="126"/>
      <c r="H167" s="121"/>
      <c r="I167" s="126"/>
      <c r="J167" s="121"/>
      <c r="K167" s="126"/>
      <c r="L167" s="121"/>
      <c r="M167" s="121"/>
      <c r="N167" s="121"/>
      <c r="O167" s="126"/>
      <c r="P167" s="129"/>
      <c r="Q167" s="202"/>
      <c r="R167" s="6"/>
    </row>
    <row r="168" spans="2:18" x14ac:dyDescent="0.2">
      <c r="B168" s="6"/>
      <c r="C168" s="9"/>
      <c r="D168" s="40" t="s">
        <v>474</v>
      </c>
      <c r="E168" s="6"/>
      <c r="F168" s="126"/>
      <c r="G168" s="126"/>
      <c r="H168" s="121"/>
      <c r="I168" s="126"/>
      <c r="J168" s="121"/>
      <c r="K168" s="126"/>
      <c r="L168" s="121"/>
      <c r="M168" s="121"/>
      <c r="N168" s="121"/>
      <c r="O168" s="126"/>
      <c r="P168" s="129"/>
      <c r="Q168" s="204"/>
      <c r="R168" s="6"/>
    </row>
    <row r="169" spans="2:18" x14ac:dyDescent="0.2">
      <c r="B169" s="6">
        <f>MAX(B$147:B168)+1</f>
        <v>19</v>
      </c>
      <c r="C169" s="9"/>
      <c r="D169" s="19" t="s">
        <v>20</v>
      </c>
      <c r="E169" s="6"/>
      <c r="F169" s="122">
        <v>693517.17475103773</v>
      </c>
      <c r="G169" s="122">
        <f t="shared" ref="G169:G177" si="41">F169-K169</f>
        <v>-22098.232688858057</v>
      </c>
      <c r="H169" s="121"/>
      <c r="I169" s="122">
        <v>715615.40743989579</v>
      </c>
      <c r="J169" s="122">
        <v>0</v>
      </c>
      <c r="K169" s="122">
        <f t="shared" ref="K169:K177" si="42">I169+J169</f>
        <v>715615.40743989579</v>
      </c>
      <c r="L169" s="121"/>
      <c r="M169" s="122">
        <v>0</v>
      </c>
      <c r="N169" s="122">
        <v>0</v>
      </c>
      <c r="O169" s="122">
        <f t="shared" ref="O169:O177" si="43">K169+M169+N169</f>
        <v>715615.40743989579</v>
      </c>
      <c r="P169" s="124">
        <f t="shared" ref="P169:P178" si="44">O169/K169</f>
        <v>1</v>
      </c>
      <c r="Q169" s="329">
        <f t="shared" ref="Q169:Q178" si="45">O169/F169-1</f>
        <v>3.186400206568929E-2</v>
      </c>
      <c r="R169" s="6"/>
    </row>
    <row r="170" spans="2:18" x14ac:dyDescent="0.2">
      <c r="B170" s="6">
        <f>MAX(B$147:B169)+1</f>
        <v>20</v>
      </c>
      <c r="C170" s="9"/>
      <c r="D170" s="19" t="s">
        <v>21</v>
      </c>
      <c r="E170" s="6"/>
      <c r="F170" s="122">
        <v>155865.95271193824</v>
      </c>
      <c r="G170" s="122">
        <f t="shared" si="41"/>
        <v>-16626.158514377457</v>
      </c>
      <c r="H170" s="121"/>
      <c r="I170" s="122">
        <v>172492.1112263157</v>
      </c>
      <c r="J170" s="122">
        <v>0</v>
      </c>
      <c r="K170" s="122">
        <f t="shared" si="42"/>
        <v>172492.1112263157</v>
      </c>
      <c r="L170" s="121"/>
      <c r="M170" s="122">
        <v>0</v>
      </c>
      <c r="N170" s="122">
        <v>0</v>
      </c>
      <c r="O170" s="122">
        <f t="shared" si="43"/>
        <v>172492.1112263157</v>
      </c>
      <c r="P170" s="124">
        <f t="shared" si="44"/>
        <v>1</v>
      </c>
      <c r="Q170" s="329">
        <f t="shared" si="45"/>
        <v>0.1066695979788792</v>
      </c>
      <c r="R170" s="6"/>
    </row>
    <row r="171" spans="2:18" x14ac:dyDescent="0.2">
      <c r="B171" s="6">
        <f>MAX(B$147:B170)+1</f>
        <v>21</v>
      </c>
      <c r="C171" s="9"/>
      <c r="D171" s="19" t="s">
        <v>517</v>
      </c>
      <c r="E171" s="6"/>
      <c r="F171" s="122">
        <v>14695.697414643948</v>
      </c>
      <c r="G171" s="122">
        <f t="shared" si="41"/>
        <v>-9063.1384857797948</v>
      </c>
      <c r="H171" s="121"/>
      <c r="I171" s="122">
        <v>23758.835900423743</v>
      </c>
      <c r="J171" s="122">
        <v>0</v>
      </c>
      <c r="K171" s="122">
        <f t="shared" si="42"/>
        <v>23758.835900423743</v>
      </c>
      <c r="L171" s="121"/>
      <c r="M171" s="122">
        <v>0</v>
      </c>
      <c r="N171" s="122">
        <v>0</v>
      </c>
      <c r="O171" s="122">
        <f t="shared" si="43"/>
        <v>23758.835900423743</v>
      </c>
      <c r="P171" s="124">
        <f t="shared" si="44"/>
        <v>1</v>
      </c>
      <c r="Q171" s="329">
        <f t="shared" si="45"/>
        <v>0.61672054275890109</v>
      </c>
      <c r="R171" s="6"/>
    </row>
    <row r="172" spans="2:18" x14ac:dyDescent="0.2">
      <c r="B172" s="6">
        <f>MAX(B$147:B171)+1</f>
        <v>22</v>
      </c>
      <c r="C172" s="9"/>
      <c r="D172" s="19" t="s">
        <v>563</v>
      </c>
      <c r="E172" s="6"/>
      <c r="F172" s="122">
        <v>578.14955029811267</v>
      </c>
      <c r="G172" s="122">
        <f t="shared" si="41"/>
        <v>-613.12966137973285</v>
      </c>
      <c r="H172" s="121"/>
      <c r="I172" s="122">
        <v>1191.2792116778455</v>
      </c>
      <c r="J172" s="122">
        <v>0</v>
      </c>
      <c r="K172" s="122">
        <f t="shared" si="42"/>
        <v>1191.2792116778455</v>
      </c>
      <c r="L172" s="121"/>
      <c r="M172" s="122">
        <v>0</v>
      </c>
      <c r="N172" s="122">
        <v>0</v>
      </c>
      <c r="O172" s="122">
        <f t="shared" si="43"/>
        <v>1191.2792116778455</v>
      </c>
      <c r="P172" s="124">
        <f t="shared" si="44"/>
        <v>1</v>
      </c>
      <c r="Q172" s="329">
        <f t="shared" si="45"/>
        <v>1.0605035687800557</v>
      </c>
      <c r="R172" s="6"/>
    </row>
    <row r="173" spans="2:18" x14ac:dyDescent="0.2">
      <c r="B173" s="6">
        <f>MAX(B$147:B172)+1</f>
        <v>23</v>
      </c>
      <c r="C173" s="9"/>
      <c r="D173" s="19" t="s">
        <v>24</v>
      </c>
      <c r="E173" s="6"/>
      <c r="F173" s="122">
        <v>9758.3171750648726</v>
      </c>
      <c r="G173" s="122">
        <f t="shared" si="41"/>
        <v>-14248.450338979845</v>
      </c>
      <c r="H173" s="121"/>
      <c r="I173" s="122">
        <v>24006.767514044717</v>
      </c>
      <c r="J173" s="122">
        <v>0</v>
      </c>
      <c r="K173" s="122">
        <f t="shared" si="42"/>
        <v>24006.767514044717</v>
      </c>
      <c r="L173" s="121"/>
      <c r="M173" s="122">
        <v>0</v>
      </c>
      <c r="N173" s="122">
        <v>0</v>
      </c>
      <c r="O173" s="122">
        <f t="shared" si="43"/>
        <v>24006.767514044717</v>
      </c>
      <c r="P173" s="124">
        <f t="shared" si="44"/>
        <v>1</v>
      </c>
      <c r="Q173" s="329">
        <f t="shared" si="45"/>
        <v>1.4601339640187625</v>
      </c>
      <c r="R173" s="6"/>
    </row>
    <row r="174" spans="2:18" x14ac:dyDescent="0.2">
      <c r="B174" s="6">
        <f>MAX(B$147:B173)+1</f>
        <v>24</v>
      </c>
      <c r="C174" s="9"/>
      <c r="D174" s="19" t="s">
        <v>25</v>
      </c>
      <c r="E174" s="6"/>
      <c r="F174" s="122">
        <v>3664.9589187313049</v>
      </c>
      <c r="G174" s="122">
        <f t="shared" si="41"/>
        <v>-1127.9446583851895</v>
      </c>
      <c r="H174" s="121"/>
      <c r="I174" s="122">
        <v>4792.9035771164945</v>
      </c>
      <c r="J174" s="122">
        <v>0</v>
      </c>
      <c r="K174" s="122">
        <f t="shared" si="42"/>
        <v>4792.9035771164945</v>
      </c>
      <c r="L174" s="121"/>
      <c r="M174" s="122">
        <v>0</v>
      </c>
      <c r="N174" s="122">
        <v>0</v>
      </c>
      <c r="O174" s="122">
        <f t="shared" si="43"/>
        <v>4792.9035771164945</v>
      </c>
      <c r="P174" s="124">
        <f t="shared" si="44"/>
        <v>1</v>
      </c>
      <c r="Q174" s="329">
        <f t="shared" si="45"/>
        <v>0.30776461166327307</v>
      </c>
      <c r="R174" s="6"/>
    </row>
    <row r="175" spans="2:18" x14ac:dyDescent="0.2">
      <c r="B175" s="6">
        <f>MAX(B$147:B174)+1</f>
        <v>25</v>
      </c>
      <c r="D175" s="19" t="s">
        <v>26</v>
      </c>
      <c r="E175" s="6"/>
      <c r="F175" s="122">
        <v>481.61601986855999</v>
      </c>
      <c r="G175" s="122">
        <f t="shared" si="41"/>
        <v>-800.07454628529013</v>
      </c>
      <c r="H175" s="121"/>
      <c r="I175" s="122">
        <v>1281.6905661538501</v>
      </c>
      <c r="J175" s="122">
        <v>0</v>
      </c>
      <c r="K175" s="122">
        <f t="shared" si="42"/>
        <v>1281.6905661538501</v>
      </c>
      <c r="L175" s="121"/>
      <c r="M175" s="122">
        <v>0</v>
      </c>
      <c r="N175" s="122">
        <v>0</v>
      </c>
      <c r="O175" s="122">
        <f t="shared" si="43"/>
        <v>1281.6905661538501</v>
      </c>
      <c r="P175" s="124">
        <f t="shared" si="44"/>
        <v>1</v>
      </c>
      <c r="Q175" s="329">
        <f t="shared" si="45"/>
        <v>1.6612290980346587</v>
      </c>
      <c r="R175" s="6"/>
    </row>
    <row r="176" spans="2:18" x14ac:dyDescent="0.2">
      <c r="B176" s="6">
        <f>MAX(B$147:B175)+1</f>
        <v>26</v>
      </c>
      <c r="D176" s="19" t="s">
        <v>27</v>
      </c>
      <c r="E176" s="6"/>
      <c r="F176" s="122">
        <v>4586.3325253918983</v>
      </c>
      <c r="G176" s="122">
        <f t="shared" si="41"/>
        <v>-8958.7824634036406</v>
      </c>
      <c r="H176" s="121"/>
      <c r="I176" s="122">
        <v>13545.11498879554</v>
      </c>
      <c r="J176" s="122">
        <v>0</v>
      </c>
      <c r="K176" s="122">
        <f t="shared" si="42"/>
        <v>13545.11498879554</v>
      </c>
      <c r="L176" s="121"/>
      <c r="M176" s="122">
        <v>0</v>
      </c>
      <c r="N176" s="122">
        <v>0</v>
      </c>
      <c r="O176" s="122">
        <f t="shared" si="43"/>
        <v>13545.11498879554</v>
      </c>
      <c r="P176" s="124">
        <f t="shared" si="44"/>
        <v>1</v>
      </c>
      <c r="Q176" s="329">
        <f t="shared" si="45"/>
        <v>1.9533652245675581</v>
      </c>
      <c r="R176" s="6"/>
    </row>
    <row r="177" spans="2:18" x14ac:dyDescent="0.2">
      <c r="B177" s="6">
        <f>MAX(B$147:B176)+1</f>
        <v>27</v>
      </c>
      <c r="D177" s="19" t="s">
        <v>28</v>
      </c>
      <c r="E177" s="6"/>
      <c r="F177" s="122">
        <v>378.83912656427003</v>
      </c>
      <c r="G177" s="122">
        <f t="shared" si="41"/>
        <v>-922.50661791803884</v>
      </c>
      <c r="H177" s="121"/>
      <c r="I177" s="122">
        <v>1301.3457444823089</v>
      </c>
      <c r="J177" s="122">
        <v>0</v>
      </c>
      <c r="K177" s="122">
        <f t="shared" si="42"/>
        <v>1301.3457444823089</v>
      </c>
      <c r="L177" s="121"/>
      <c r="M177" s="122">
        <v>0</v>
      </c>
      <c r="N177" s="122">
        <v>0</v>
      </c>
      <c r="O177" s="122">
        <f t="shared" si="43"/>
        <v>1301.3457444823089</v>
      </c>
      <c r="P177" s="124">
        <f t="shared" si="44"/>
        <v>1</v>
      </c>
      <c r="Q177" s="329">
        <f t="shared" si="45"/>
        <v>2.4350880181895249</v>
      </c>
      <c r="R177" s="6"/>
    </row>
    <row r="178" spans="2:18" x14ac:dyDescent="0.2">
      <c r="B178" s="6">
        <f>MAX(B$147:B177)+1</f>
        <v>28</v>
      </c>
      <c r="C178" s="9"/>
      <c r="D178" s="9" t="s">
        <v>615</v>
      </c>
      <c r="F178" s="127">
        <f>SUM(F169:F177)</f>
        <v>883527.03819353878</v>
      </c>
      <c r="G178" s="127">
        <f>SUM(G169:G177)</f>
        <v>-74458.417975367047</v>
      </c>
      <c r="H178" s="121"/>
      <c r="I178" s="127">
        <f>SUM(I169:I177)</f>
        <v>957985.45616890618</v>
      </c>
      <c r="J178" s="127">
        <f>SUM(J169:J177)</f>
        <v>0</v>
      </c>
      <c r="K178" s="127">
        <f>SUM(K169:K177)</f>
        <v>957985.45616890618</v>
      </c>
      <c r="L178" s="121"/>
      <c r="M178" s="127">
        <f>SUM(M169:M177)</f>
        <v>0</v>
      </c>
      <c r="N178" s="127">
        <f>SUM(N169:N177)</f>
        <v>0</v>
      </c>
      <c r="O178" s="127">
        <f>SUM(O169:O177)</f>
        <v>957985.45616890618</v>
      </c>
      <c r="P178" s="128">
        <f t="shared" si="44"/>
        <v>1</v>
      </c>
      <c r="Q178" s="203">
        <f t="shared" si="45"/>
        <v>8.4274068315560724E-2</v>
      </c>
      <c r="R178" s="6"/>
    </row>
    <row r="179" spans="2:18" x14ac:dyDescent="0.2">
      <c r="B179" s="20"/>
      <c r="C179" s="9"/>
      <c r="D179" s="6"/>
      <c r="F179" s="126"/>
      <c r="G179" s="126"/>
      <c r="H179" s="121"/>
      <c r="I179" s="126"/>
      <c r="J179" s="122"/>
      <c r="K179" s="126"/>
      <c r="L179" s="121"/>
      <c r="M179" s="122"/>
      <c r="N179" s="122"/>
      <c r="O179" s="126"/>
      <c r="P179" s="129"/>
      <c r="Q179" s="202"/>
      <c r="R179" s="6"/>
    </row>
    <row r="180" spans="2:18" x14ac:dyDescent="0.2">
      <c r="B180" s="6">
        <f>MAX(B$147:B179)+1</f>
        <v>29</v>
      </c>
      <c r="C180" s="9"/>
      <c r="D180" s="21" t="s">
        <v>1074</v>
      </c>
      <c r="F180" s="127">
        <f>F158+F166+F178</f>
        <v>3190007.4029933936</v>
      </c>
      <c r="G180" s="127">
        <f>G158+G166+G178</f>
        <v>-12572.399036330695</v>
      </c>
      <c r="H180" s="121"/>
      <c r="I180" s="127">
        <f>I158+I166+I178</f>
        <v>3202579.8020297252</v>
      </c>
      <c r="J180" s="127">
        <f>J158+J166+J178</f>
        <v>0</v>
      </c>
      <c r="K180" s="127">
        <f>K158+K166+K178</f>
        <v>3202579.8020297252</v>
      </c>
      <c r="L180" s="121"/>
      <c r="M180" s="127">
        <f>M158+M166+M178</f>
        <v>0</v>
      </c>
      <c r="N180" s="127">
        <f>N158+N166+N178</f>
        <v>0</v>
      </c>
      <c r="O180" s="127">
        <f>O158+O166+O178</f>
        <v>3202579.8020297252</v>
      </c>
      <c r="P180" s="128">
        <f>O180/K180</f>
        <v>1</v>
      </c>
      <c r="Q180" s="203">
        <f>O180/F180-1</f>
        <v>3.9411817742285304E-3</v>
      </c>
      <c r="R180" s="6"/>
    </row>
    <row r="181" spans="2:18" x14ac:dyDescent="0.2">
      <c r="B181" s="6"/>
      <c r="C181" s="9"/>
      <c r="D181" s="9"/>
      <c r="E181" s="6"/>
      <c r="F181" s="126"/>
      <c r="G181" s="126"/>
      <c r="H181" s="121"/>
      <c r="I181" s="126"/>
      <c r="J181" s="126"/>
      <c r="K181" s="126"/>
      <c r="L181" s="121"/>
      <c r="M181" s="121"/>
      <c r="N181" s="121"/>
      <c r="O181" s="126"/>
      <c r="P181" s="129"/>
      <c r="Q181" s="202"/>
      <c r="R181" s="6"/>
    </row>
    <row r="182" spans="2:18" x14ac:dyDescent="0.2">
      <c r="B182" s="6"/>
      <c r="C182" s="9"/>
      <c r="D182" s="40" t="s">
        <v>39</v>
      </c>
      <c r="E182" s="6"/>
      <c r="F182" s="126"/>
      <c r="G182" s="126"/>
      <c r="H182" s="121"/>
      <c r="I182" s="126"/>
      <c r="J182" s="126"/>
      <c r="K182" s="126"/>
      <c r="L182" s="121"/>
      <c r="M182" s="121"/>
      <c r="N182" s="121"/>
      <c r="O182" s="126"/>
      <c r="P182" s="129"/>
      <c r="Q182" s="204"/>
      <c r="R182" s="6"/>
    </row>
    <row r="183" spans="2:18" x14ac:dyDescent="0.2">
      <c r="B183" s="6">
        <f>MAX(B$147:B182)+1</f>
        <v>30</v>
      </c>
      <c r="C183" s="9"/>
      <c r="D183" s="14" t="s">
        <v>342</v>
      </c>
      <c r="F183" s="122">
        <v>0</v>
      </c>
      <c r="G183" s="122">
        <v>0</v>
      </c>
      <c r="H183" s="125"/>
      <c r="I183" s="122">
        <v>0</v>
      </c>
      <c r="J183" s="122"/>
      <c r="K183" s="122">
        <v>0</v>
      </c>
      <c r="L183" s="125"/>
      <c r="M183" s="122">
        <v>0</v>
      </c>
      <c r="N183" s="122">
        <v>0</v>
      </c>
      <c r="O183" s="122">
        <v>0</v>
      </c>
      <c r="P183" s="158">
        <v>0</v>
      </c>
      <c r="Q183" s="158">
        <f>IFERROR(O183/F183-1,0)</f>
        <v>0</v>
      </c>
      <c r="R183" s="6"/>
    </row>
    <row r="184" spans="2:18" x14ac:dyDescent="0.2">
      <c r="B184" s="6">
        <f>MAX(B$147:B183)+1</f>
        <v>31</v>
      </c>
      <c r="C184" s="9"/>
      <c r="D184" s="14" t="s">
        <v>344</v>
      </c>
      <c r="F184" s="122">
        <v>0</v>
      </c>
      <c r="G184" s="122">
        <v>0</v>
      </c>
      <c r="I184" s="122">
        <v>0</v>
      </c>
      <c r="K184" s="122">
        <v>0</v>
      </c>
      <c r="M184" s="122">
        <v>0</v>
      </c>
      <c r="N184" s="122">
        <v>0</v>
      </c>
      <c r="O184" s="122">
        <v>0</v>
      </c>
      <c r="P184" s="158">
        <v>0</v>
      </c>
      <c r="Q184" s="158">
        <f>IFERROR(O184/F184-1,0)</f>
        <v>0</v>
      </c>
      <c r="R184" s="6"/>
    </row>
    <row r="185" spans="2:18" x14ac:dyDescent="0.2">
      <c r="B185" s="6">
        <f>MAX(B$147:B184)+1</f>
        <v>32</v>
      </c>
      <c r="C185" s="9"/>
      <c r="D185" s="14" t="s">
        <v>253</v>
      </c>
      <c r="F185" s="122">
        <v>0</v>
      </c>
      <c r="G185" s="122">
        <v>0</v>
      </c>
      <c r="I185" s="122">
        <v>0</v>
      </c>
      <c r="K185" s="122">
        <v>0</v>
      </c>
      <c r="M185" s="122">
        <v>0</v>
      </c>
      <c r="N185" s="122">
        <v>0</v>
      </c>
      <c r="O185" s="122">
        <v>0</v>
      </c>
      <c r="P185" s="158">
        <v>0</v>
      </c>
      <c r="Q185" s="158">
        <f t="shared" ref="Q185:Q190" si="46">IFERROR(O185/F185-1,0)</f>
        <v>0</v>
      </c>
      <c r="R185" s="6"/>
    </row>
    <row r="186" spans="2:18" x14ac:dyDescent="0.2">
      <c r="B186" s="6">
        <f>MAX(B$147:B185)+1</f>
        <v>33</v>
      </c>
      <c r="C186" s="9"/>
      <c r="D186" s="19" t="s">
        <v>1141</v>
      </c>
      <c r="E186" s="6"/>
      <c r="F186" s="122">
        <v>18991.286362844032</v>
      </c>
      <c r="G186" s="122">
        <v>-7579.4326977294331</v>
      </c>
      <c r="H186" s="121"/>
      <c r="I186" s="122">
        <v>26570.719060573465</v>
      </c>
      <c r="J186" s="122"/>
      <c r="K186" s="122">
        <v>26570.719060573465</v>
      </c>
      <c r="L186" s="121"/>
      <c r="M186" s="122">
        <v>0</v>
      </c>
      <c r="N186" s="122">
        <v>0</v>
      </c>
      <c r="O186" s="122">
        <v>26570.719060573465</v>
      </c>
      <c r="P186" s="158">
        <v>1</v>
      </c>
      <c r="Q186" s="160">
        <f t="shared" si="46"/>
        <v>0.39910054289731534</v>
      </c>
      <c r="R186" s="6"/>
    </row>
    <row r="187" spans="2:18" x14ac:dyDescent="0.2">
      <c r="B187" s="6">
        <f>MAX(B$147:B186)+1</f>
        <v>34</v>
      </c>
      <c r="C187" s="9"/>
      <c r="D187" s="19" t="s">
        <v>1142</v>
      </c>
      <c r="E187" s="6"/>
      <c r="F187" s="122">
        <v>3219.864368336599</v>
      </c>
      <c r="G187" s="122">
        <v>-1263.1183113708903</v>
      </c>
      <c r="H187" s="121"/>
      <c r="I187" s="122">
        <v>4482.9826797074893</v>
      </c>
      <c r="J187" s="122"/>
      <c r="K187" s="122">
        <v>4482.9826797074893</v>
      </c>
      <c r="L187" s="121"/>
      <c r="M187" s="122">
        <v>0</v>
      </c>
      <c r="N187" s="122">
        <v>0</v>
      </c>
      <c r="O187" s="122">
        <v>4482.9826797074893</v>
      </c>
      <c r="P187" s="158">
        <v>1</v>
      </c>
      <c r="Q187" s="160">
        <f t="shared" si="46"/>
        <v>0.39228929137267499</v>
      </c>
      <c r="R187" s="6"/>
    </row>
    <row r="188" spans="2:18" x14ac:dyDescent="0.2">
      <c r="B188" s="6">
        <f>MAX(B$147:B187)+1</f>
        <v>35</v>
      </c>
      <c r="D188" s="19" t="s">
        <v>501</v>
      </c>
      <c r="E188" s="6"/>
      <c r="F188" s="122">
        <v>43.120009500000002</v>
      </c>
      <c r="G188" s="122">
        <v>-79.95064136619348</v>
      </c>
      <c r="H188" s="121"/>
      <c r="I188" s="122">
        <v>123.07065086619349</v>
      </c>
      <c r="J188" s="122"/>
      <c r="K188" s="122">
        <v>123.07065086619349</v>
      </c>
      <c r="L188" s="121"/>
      <c r="M188" s="122">
        <v>0</v>
      </c>
      <c r="N188" s="122">
        <v>0</v>
      </c>
      <c r="O188" s="122">
        <v>123.07065086619349</v>
      </c>
      <c r="P188" s="158">
        <v>1</v>
      </c>
      <c r="Q188" s="160">
        <f t="shared" si="46"/>
        <v>1.8541424803302395</v>
      </c>
      <c r="R188" s="6"/>
    </row>
    <row r="189" spans="2:18" x14ac:dyDescent="0.2">
      <c r="B189" s="6">
        <f>MAX(B$147:B188)+1</f>
        <v>36</v>
      </c>
      <c r="D189" s="19" t="s">
        <v>41</v>
      </c>
      <c r="E189" s="6"/>
      <c r="F189" s="122">
        <v>210.2892014527375</v>
      </c>
      <c r="G189" s="122">
        <v>-239.72490307703438</v>
      </c>
      <c r="H189" s="121"/>
      <c r="I189" s="122">
        <v>450.01410452977188</v>
      </c>
      <c r="J189" s="122"/>
      <c r="K189" s="122">
        <v>450.01410452977188</v>
      </c>
      <c r="L189" s="121"/>
      <c r="M189" s="122">
        <v>0</v>
      </c>
      <c r="N189" s="122">
        <v>0</v>
      </c>
      <c r="O189" s="122">
        <v>450.01410452977188</v>
      </c>
      <c r="P189" s="158">
        <v>1</v>
      </c>
      <c r="Q189" s="160">
        <f t="shared" si="46"/>
        <v>1.1399772381127833</v>
      </c>
      <c r="R189" s="6"/>
    </row>
    <row r="190" spans="2:18" x14ac:dyDescent="0.2">
      <c r="B190" s="6">
        <f>MAX(B$147:B189)+1</f>
        <v>37</v>
      </c>
      <c r="D190" s="19" t="s">
        <v>42</v>
      </c>
      <c r="E190" s="6"/>
      <c r="F190" s="122">
        <v>41.171305514776698</v>
      </c>
      <c r="G190" s="122">
        <v>-28.65359908978612</v>
      </c>
      <c r="H190" s="121"/>
      <c r="I190" s="122">
        <v>69.824904604562818</v>
      </c>
      <c r="J190" s="122"/>
      <c r="K190" s="122">
        <v>69.824904604562818</v>
      </c>
      <c r="L190" s="121"/>
      <c r="M190" s="122">
        <v>0</v>
      </c>
      <c r="N190" s="122">
        <v>0</v>
      </c>
      <c r="O190" s="122">
        <v>69.824904604562832</v>
      </c>
      <c r="P190" s="158">
        <v>1.0000000000000002</v>
      </c>
      <c r="Q190" s="160">
        <f t="shared" si="46"/>
        <v>0.69596042028597171</v>
      </c>
      <c r="R190" s="6"/>
    </row>
    <row r="191" spans="2:18" x14ac:dyDescent="0.2">
      <c r="B191" s="6">
        <f>MAX(B$147:B190)+1</f>
        <v>38</v>
      </c>
      <c r="C191" s="9"/>
      <c r="D191" s="9" t="s">
        <v>44</v>
      </c>
      <c r="F191" s="127">
        <f>SUM(F183:F190)</f>
        <v>22505.731247648146</v>
      </c>
      <c r="G191" s="127">
        <f>SUM(G183:G190)</f>
        <v>-9190.8801526333373</v>
      </c>
      <c r="H191" s="121"/>
      <c r="I191" s="127">
        <f>SUM(I183:I190)</f>
        <v>31696.611400281483</v>
      </c>
      <c r="J191" s="127">
        <f>SUM(J183:J190)</f>
        <v>0</v>
      </c>
      <c r="K191" s="127">
        <f>SUM(K183:K190)</f>
        <v>31696.611400281483</v>
      </c>
      <c r="L191" s="121"/>
      <c r="M191" s="127">
        <f>SUM(M183:M190)</f>
        <v>0</v>
      </c>
      <c r="N191" s="127">
        <f>SUM(N183:N190)</f>
        <v>0</v>
      </c>
      <c r="O191" s="127">
        <f>SUM(O183:O190)</f>
        <v>31696.611400281483</v>
      </c>
      <c r="P191" s="128">
        <f>O191/K191</f>
        <v>1</v>
      </c>
      <c r="Q191" s="203">
        <f t="shared" ref="Q191" si="47">O191/F191-1</f>
        <v>0.40837953903825208</v>
      </c>
      <c r="R191" s="6"/>
    </row>
    <row r="192" spans="2:18" ht="11.65" customHeight="1" x14ac:dyDescent="0.2">
      <c r="B192" s="20"/>
      <c r="C192" s="9"/>
      <c r="D192" s="6"/>
      <c r="F192" s="126"/>
      <c r="G192" s="126"/>
      <c r="H192" s="121"/>
      <c r="I192" s="126"/>
      <c r="J192" s="126"/>
      <c r="K192" s="126"/>
      <c r="L192" s="121"/>
      <c r="M192" s="122"/>
      <c r="N192" s="122"/>
      <c r="O192" s="126"/>
      <c r="P192" s="129"/>
      <c r="Q192" s="202"/>
      <c r="R192" s="9"/>
    </row>
    <row r="193" spans="2:18" ht="11.65" customHeight="1" x14ac:dyDescent="0.2">
      <c r="B193" s="6">
        <f>MAX(B$147:B191)+1</f>
        <v>39</v>
      </c>
      <c r="D193" s="157" t="s">
        <v>612</v>
      </c>
      <c r="F193" s="122">
        <v>0</v>
      </c>
      <c r="G193" s="122">
        <v>0</v>
      </c>
      <c r="H193" s="125"/>
      <c r="I193" s="122">
        <v>0</v>
      </c>
      <c r="J193" s="122">
        <v>0</v>
      </c>
      <c r="K193" s="122">
        <f>I193</f>
        <v>0</v>
      </c>
      <c r="L193" s="125"/>
      <c r="M193" s="122">
        <v>0</v>
      </c>
      <c r="N193" s="122">
        <v>0</v>
      </c>
      <c r="O193" s="122">
        <v>0</v>
      </c>
      <c r="P193" s="122">
        <v>0</v>
      </c>
      <c r="Q193" s="205">
        <v>0</v>
      </c>
      <c r="R193" s="9"/>
    </row>
    <row r="194" spans="2:18" ht="11.65" customHeight="1" x14ac:dyDescent="0.2">
      <c r="B194" s="6"/>
      <c r="C194" s="9"/>
      <c r="D194" s="21"/>
      <c r="F194" s="141"/>
      <c r="G194" s="141"/>
      <c r="H194" s="121"/>
      <c r="I194" s="141"/>
      <c r="J194" s="141"/>
      <c r="K194" s="141"/>
      <c r="L194" s="121"/>
      <c r="M194" s="141"/>
      <c r="N194" s="141"/>
      <c r="O194" s="141"/>
      <c r="P194" s="142"/>
      <c r="Q194" s="201"/>
      <c r="R194" s="20"/>
    </row>
    <row r="195" spans="2:18" ht="11.65" customHeight="1" thickBot="1" x14ac:dyDescent="0.25">
      <c r="B195" s="6">
        <f>MAX(B$147:B193)+1</f>
        <v>40</v>
      </c>
      <c r="C195" s="9"/>
      <c r="D195" s="21" t="s">
        <v>94</v>
      </c>
      <c r="F195" s="131">
        <f>ROUND(F180+F191+F193,0)</f>
        <v>3212513</v>
      </c>
      <c r="G195" s="131">
        <f>ROUND(G180+G191+G193,0)</f>
        <v>-21763</v>
      </c>
      <c r="H195" s="121"/>
      <c r="I195" s="131">
        <f>ROUND(I180+I191+I193,0)</f>
        <v>3234276</v>
      </c>
      <c r="J195" s="131">
        <f>ROUND(J180+J191+J193,0)</f>
        <v>0</v>
      </c>
      <c r="K195" s="131">
        <f>ROUND(K180+K191+K193,0)</f>
        <v>3234276</v>
      </c>
      <c r="L195" s="121"/>
      <c r="M195" s="131">
        <f>ROUND(M180+M191+M193,0)</f>
        <v>0</v>
      </c>
      <c r="N195" s="131">
        <f>ROUND(N180+N191+N193,0)</f>
        <v>0</v>
      </c>
      <c r="O195" s="131">
        <f>ROUND(O180+O191+O193,0)</f>
        <v>3234276</v>
      </c>
      <c r="P195" s="132">
        <f>O195/K195</f>
        <v>1</v>
      </c>
      <c r="Q195" s="209">
        <f>O195/F195-1</f>
        <v>6.7744472940653999E-3</v>
      </c>
    </row>
    <row r="196" spans="2:18" ht="11.65" customHeight="1" thickTop="1" x14ac:dyDescent="0.2">
      <c r="B196" s="1"/>
      <c r="E196" s="20"/>
      <c r="F196" s="20"/>
      <c r="G196" s="20"/>
      <c r="H196" s="20"/>
      <c r="I196" s="20"/>
      <c r="J196" s="20"/>
      <c r="K196" s="20"/>
      <c r="L196" s="20"/>
      <c r="M196" s="20"/>
      <c r="N196" s="20"/>
      <c r="O196" s="20"/>
      <c r="P196" s="20"/>
      <c r="Q196" s="20"/>
    </row>
    <row r="197" spans="2:18" x14ac:dyDescent="0.2">
      <c r="B197" s="22" t="s">
        <v>29</v>
      </c>
      <c r="C197" s="9"/>
      <c r="D197" s="9"/>
      <c r="E197" s="20"/>
      <c r="F197" s="20"/>
      <c r="G197" s="20"/>
      <c r="H197" s="20"/>
      <c r="I197" s="20"/>
      <c r="J197" s="20"/>
      <c r="K197" s="20"/>
      <c r="L197" s="20"/>
      <c r="M197" s="20"/>
      <c r="N197" s="20"/>
      <c r="O197" s="20"/>
      <c r="P197" s="20"/>
      <c r="Q197" s="20"/>
    </row>
    <row r="198" spans="2:18" x14ac:dyDescent="0.2">
      <c r="B198" s="23" t="s">
        <v>30</v>
      </c>
      <c r="D198" s="20" t="s">
        <v>964</v>
      </c>
    </row>
    <row r="199" spans="2:18" x14ac:dyDescent="0.2">
      <c r="B199" s="23" t="s">
        <v>31</v>
      </c>
      <c r="D199" s="28" t="s">
        <v>504</v>
      </c>
    </row>
    <row r="200" spans="2:18" x14ac:dyDescent="0.2">
      <c r="B200" s="167" t="s">
        <v>32</v>
      </c>
      <c r="C200" s="28"/>
      <c r="D200" s="35" t="s">
        <v>566</v>
      </c>
    </row>
    <row r="201" spans="2:18" x14ac:dyDescent="0.2">
      <c r="B201" s="167" t="s">
        <v>45</v>
      </c>
      <c r="C201" s="35"/>
      <c r="D201" s="35" t="s">
        <v>976</v>
      </c>
    </row>
    <row r="202" spans="2:18" x14ac:dyDescent="0.2">
      <c r="B202" s="167" t="s">
        <v>46</v>
      </c>
      <c r="C202" s="35"/>
      <c r="D202" s="35" t="s">
        <v>977</v>
      </c>
      <c r="E202" s="28"/>
      <c r="F202" s="28"/>
    </row>
    <row r="203" spans="2:18" x14ac:dyDescent="0.2">
      <c r="B203" s="167" t="s">
        <v>516</v>
      </c>
      <c r="C203" s="28"/>
      <c r="D203" s="35" t="s">
        <v>965</v>
      </c>
      <c r="E203" s="148"/>
      <c r="F203" s="28"/>
    </row>
    <row r="204" spans="2:18" x14ac:dyDescent="0.2">
      <c r="B204" s="167" t="s">
        <v>518</v>
      </c>
      <c r="C204" s="28"/>
      <c r="D204" s="35" t="s">
        <v>714</v>
      </c>
      <c r="E204" s="28"/>
      <c r="F204" s="28"/>
      <c r="G204" s="28"/>
    </row>
    <row r="205" spans="2:18" x14ac:dyDescent="0.2">
      <c r="B205" s="167" t="s">
        <v>564</v>
      </c>
      <c r="D205" s="1" t="s">
        <v>631</v>
      </c>
    </row>
    <row r="207" spans="2:18" x14ac:dyDescent="0.2">
      <c r="B207" s="167"/>
      <c r="C207" s="28"/>
      <c r="D207" s="35"/>
    </row>
  </sheetData>
  <mergeCells count="9">
    <mergeCell ref="F141:G141"/>
    <mergeCell ref="I141:K141"/>
    <mergeCell ref="M141:Q141"/>
    <mergeCell ref="F5:G5"/>
    <mergeCell ref="I5:K5"/>
    <mergeCell ref="M5:Q5"/>
    <mergeCell ref="F73:G73"/>
    <mergeCell ref="I73:K73"/>
    <mergeCell ref="M73:Q73"/>
  </mergeCells>
  <pageMargins left="0.7" right="0.7" top="0.75" bottom="0.75" header="0.3" footer="0.3"/>
  <pageSetup scale="55" fitToHeight="0" orientation="landscape" blackAndWhite="1" r:id="rId1"/>
  <headerFooter alignWithMargins="0">
    <oddHeader>&amp;R&amp;"Arial,Regular"&amp;10Filed: 2022-11-30
EB-2022-0200
Exhibit 8
Tab 2
Schedule 8
Attachment 1
Page &amp;P of &amp;N</oddHeader>
  </headerFooter>
  <rowBreaks count="2" manualBreakCount="2">
    <brk id="68" min="1" max="16" man="1"/>
    <brk id="136" min="1" max="1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0FD02-F3D7-489B-82C0-A4C10ACC2CFC}">
  <sheetPr codeName="Sheet12"/>
  <dimension ref="A1:BC556"/>
  <sheetViews>
    <sheetView view="pageLayout" zoomScaleNormal="85" zoomScaleSheetLayoutView="70" workbookViewId="0"/>
  </sheetViews>
  <sheetFormatPr defaultColWidth="0" defaultRowHeight="12.75" zeroHeight="1" x14ac:dyDescent="0.2"/>
  <cols>
    <col min="1" max="1" width="5.7109375" style="66" customWidth="1"/>
    <col min="2" max="2" width="1.42578125" style="66" customWidth="1"/>
    <col min="3" max="3" width="45.42578125" style="66" customWidth="1"/>
    <col min="4" max="4" width="1.42578125" style="66" customWidth="1"/>
    <col min="5" max="5" width="16.42578125" style="66" customWidth="1"/>
    <col min="6" max="6" width="1.42578125" style="66" customWidth="1"/>
    <col min="7" max="7" width="16.42578125" style="66" customWidth="1"/>
    <col min="8" max="8" width="1.42578125" style="66" customWidth="1"/>
    <col min="9" max="9" width="16.42578125" style="66" customWidth="1"/>
    <col min="10" max="10" width="1.42578125" style="66" customWidth="1"/>
    <col min="11" max="36" width="9.28515625" style="66" customWidth="1"/>
    <col min="37" max="55" width="0" style="66" hidden="1" customWidth="1"/>
    <col min="56" max="16384" width="9.28515625" style="66" hidden="1"/>
  </cols>
  <sheetData>
    <row r="1" spans="1:10" x14ac:dyDescent="0.2"/>
    <row r="2" spans="1:10" x14ac:dyDescent="0.2"/>
    <row r="3" spans="1:10" x14ac:dyDescent="0.2"/>
    <row r="4" spans="1:10" x14ac:dyDescent="0.2">
      <c r="A4" s="324" t="s">
        <v>598</v>
      </c>
      <c r="B4" s="229"/>
      <c r="C4" s="229"/>
      <c r="D4" s="229"/>
      <c r="E4" s="229"/>
      <c r="F4" s="229"/>
      <c r="G4" s="229"/>
      <c r="H4" s="229"/>
    </row>
    <row r="5" spans="1:10" x14ac:dyDescent="0.2">
      <c r="B5" s="454"/>
      <c r="D5" s="454"/>
      <c r="F5" s="454"/>
      <c r="J5" s="67"/>
    </row>
    <row r="6" spans="1:10" x14ac:dyDescent="0.2">
      <c r="A6" s="454" t="s">
        <v>0</v>
      </c>
      <c r="F6" s="67"/>
      <c r="G6" s="67">
        <v>2024</v>
      </c>
      <c r="H6" s="67"/>
    </row>
    <row r="7" spans="1:10" x14ac:dyDescent="0.2">
      <c r="A7" s="534" t="s">
        <v>1</v>
      </c>
      <c r="C7" s="75" t="s">
        <v>400</v>
      </c>
      <c r="D7" s="75"/>
      <c r="E7" s="75"/>
      <c r="F7" s="71"/>
      <c r="G7" s="70" t="s">
        <v>542</v>
      </c>
      <c r="H7" s="71"/>
    </row>
    <row r="8" spans="1:10" x14ac:dyDescent="0.2">
      <c r="A8" s="454"/>
      <c r="F8" s="67"/>
      <c r="G8" s="67" t="s">
        <v>3</v>
      </c>
    </row>
    <row r="9" spans="1:10" x14ac:dyDescent="0.2">
      <c r="A9" s="533"/>
      <c r="C9" s="334" t="s">
        <v>394</v>
      </c>
    </row>
    <row r="10" spans="1:10" x14ac:dyDescent="0.2">
      <c r="A10" s="454">
        <v>1</v>
      </c>
      <c r="C10" s="96" t="s">
        <v>5</v>
      </c>
      <c r="G10" s="295">
        <v>48392.873076044423</v>
      </c>
    </row>
    <row r="11" spans="1:10" x14ac:dyDescent="0.2">
      <c r="A11" s="454">
        <f>MAX($A$10:A10)+1</f>
        <v>2</v>
      </c>
      <c r="C11" s="96" t="s">
        <v>6</v>
      </c>
      <c r="G11" s="295">
        <v>32160.268189590959</v>
      </c>
    </row>
    <row r="12" spans="1:10" x14ac:dyDescent="0.2">
      <c r="A12" s="454">
        <f>MAX($A$10:A11)+1</f>
        <v>3</v>
      </c>
      <c r="C12" s="96" t="s">
        <v>7</v>
      </c>
      <c r="G12" s="295">
        <v>265.90468014560668</v>
      </c>
    </row>
    <row r="13" spans="1:10" x14ac:dyDescent="0.2">
      <c r="A13" s="454">
        <f>MAX($A$10:A12)+1</f>
        <v>4</v>
      </c>
      <c r="C13" s="96" t="s">
        <v>8</v>
      </c>
      <c r="G13" s="295">
        <v>2339.3274337677949</v>
      </c>
    </row>
    <row r="14" spans="1:10" x14ac:dyDescent="0.2">
      <c r="A14" s="454">
        <f>MAX($A$10:A13)+1</f>
        <v>5</v>
      </c>
      <c r="C14" s="96" t="s">
        <v>9</v>
      </c>
      <c r="G14" s="295">
        <v>1021.4966200371705</v>
      </c>
    </row>
    <row r="15" spans="1:10" x14ac:dyDescent="0.2">
      <c r="A15" s="454">
        <f>MAX($A$10:A14)+1</f>
        <v>6</v>
      </c>
      <c r="C15" s="96" t="s">
        <v>10</v>
      </c>
      <c r="G15" s="295">
        <v>170.87831488133196</v>
      </c>
    </row>
    <row r="16" spans="1:10" x14ac:dyDescent="0.2">
      <c r="A16" s="454">
        <f>MAX($A$10:A15)+1</f>
        <v>7</v>
      </c>
      <c r="C16" s="96" t="s">
        <v>11</v>
      </c>
      <c r="F16" s="366"/>
      <c r="G16" s="295">
        <v>956.14016816189337</v>
      </c>
    </row>
    <row r="17" spans="1:8" x14ac:dyDescent="0.2">
      <c r="A17" s="454">
        <f>MAX($A$10:A16)+1</f>
        <v>8</v>
      </c>
      <c r="C17" s="96" t="s">
        <v>12</v>
      </c>
      <c r="G17" s="295">
        <v>312.18908299994075</v>
      </c>
      <c r="H17" s="366"/>
    </row>
    <row r="18" spans="1:8" x14ac:dyDescent="0.2">
      <c r="A18" s="454">
        <f>MAX($A$10:A17)+1</f>
        <v>9</v>
      </c>
      <c r="C18" s="96" t="s">
        <v>13</v>
      </c>
      <c r="G18" s="295">
        <v>358.84591355004943</v>
      </c>
    </row>
    <row r="19" spans="1:8" x14ac:dyDescent="0.2">
      <c r="A19" s="454">
        <f>MAX($A$10:A18)+1</f>
        <v>10</v>
      </c>
      <c r="C19" s="96" t="s">
        <v>14</v>
      </c>
      <c r="G19" s="295">
        <v>41.342057463006356</v>
      </c>
    </row>
    <row r="20" spans="1:8" x14ac:dyDescent="0.2">
      <c r="A20" s="454">
        <f>MAX($A$10:A19)+1</f>
        <v>11</v>
      </c>
      <c r="C20" s="96" t="s">
        <v>15</v>
      </c>
      <c r="G20" s="295">
        <v>0</v>
      </c>
    </row>
    <row r="21" spans="1:8" x14ac:dyDescent="0.2">
      <c r="A21" s="454">
        <f>MAX($A$10:A20)+1</f>
        <v>12</v>
      </c>
      <c r="C21" s="532" t="str">
        <f>"Total " &amp; C9</f>
        <v>Total EGD Rate Zone</v>
      </c>
      <c r="F21" s="454"/>
      <c r="G21" s="472">
        <f>SUM(G10:G20)</f>
        <v>86019.265536642182</v>
      </c>
    </row>
    <row r="22" spans="1:8" x14ac:dyDescent="0.2">
      <c r="G22" s="473"/>
      <c r="H22" s="454"/>
    </row>
    <row r="23" spans="1:8" x14ac:dyDescent="0.2">
      <c r="C23" s="334" t="s">
        <v>395</v>
      </c>
      <c r="G23" s="473"/>
    </row>
    <row r="24" spans="1:8" x14ac:dyDescent="0.2">
      <c r="A24" s="454">
        <f>MAX($A$10:A21)+1</f>
        <v>13</v>
      </c>
      <c r="C24" s="96" t="s">
        <v>16</v>
      </c>
      <c r="G24" s="295">
        <v>5446.1386614454577</v>
      </c>
    </row>
    <row r="25" spans="1:8" x14ac:dyDescent="0.2">
      <c r="A25" s="454">
        <f>MAX($A$10:A24)+1</f>
        <v>14</v>
      </c>
      <c r="C25" s="96" t="s">
        <v>17</v>
      </c>
      <c r="G25" s="295">
        <v>1790.158520026391</v>
      </c>
    </row>
    <row r="26" spans="1:8" x14ac:dyDescent="0.2">
      <c r="A26" s="454">
        <f>MAX($A$10:A25)+1</f>
        <v>15</v>
      </c>
      <c r="C26" s="96" t="s">
        <v>18</v>
      </c>
      <c r="G26" s="295">
        <v>1279.7872594720425</v>
      </c>
    </row>
    <row r="27" spans="1:8" x14ac:dyDescent="0.2">
      <c r="A27" s="454">
        <f>MAX($A$10:A26)+1</f>
        <v>16</v>
      </c>
      <c r="C27" s="96" t="s">
        <v>19</v>
      </c>
      <c r="G27" s="295">
        <v>77.28680194049484</v>
      </c>
    </row>
    <row r="28" spans="1:8" x14ac:dyDescent="0.2">
      <c r="A28" s="454">
        <f>MAX($A$10:A27)+1</f>
        <v>17</v>
      </c>
      <c r="C28" s="96" t="s">
        <v>7</v>
      </c>
      <c r="G28" s="295">
        <v>883.8013122585013</v>
      </c>
    </row>
    <row r="29" spans="1:8" x14ac:dyDescent="0.2">
      <c r="A29" s="454">
        <f>MAX($A$10:A28)+1</f>
        <v>18</v>
      </c>
      <c r="C29" s="532" t="str">
        <f>"Total " &amp; C23</f>
        <v>Total Union North Rate Zone</v>
      </c>
      <c r="F29" s="454"/>
      <c r="G29" s="472">
        <f>SUM(G24:G28)</f>
        <v>9477.1725551428863</v>
      </c>
    </row>
    <row r="30" spans="1:8" x14ac:dyDescent="0.2">
      <c r="G30" s="473"/>
      <c r="H30" s="454"/>
    </row>
    <row r="31" spans="1:8" x14ac:dyDescent="0.2">
      <c r="C31" s="334" t="s">
        <v>474</v>
      </c>
      <c r="G31" s="473"/>
    </row>
    <row r="32" spans="1:8" x14ac:dyDescent="0.2">
      <c r="A32" s="454">
        <f>MAX($A$10:A29)+1</f>
        <v>19</v>
      </c>
      <c r="C32" s="96" t="s">
        <v>20</v>
      </c>
      <c r="G32" s="295">
        <v>31357.256532629886</v>
      </c>
    </row>
    <row r="33" spans="1:8" x14ac:dyDescent="0.2">
      <c r="A33" s="454">
        <f>MAX($A$10:A32)+1</f>
        <v>20</v>
      </c>
      <c r="C33" s="96" t="s">
        <v>21</v>
      </c>
      <c r="G33" s="295">
        <v>7613.13365690912</v>
      </c>
    </row>
    <row r="34" spans="1:8" x14ac:dyDescent="0.2">
      <c r="A34" s="454">
        <f>MAX($A$10:A33)+1</f>
        <v>21</v>
      </c>
      <c r="C34" s="96" t="s">
        <v>393</v>
      </c>
      <c r="G34" s="295">
        <v>5370.9042736221545</v>
      </c>
    </row>
    <row r="35" spans="1:8" x14ac:dyDescent="0.2">
      <c r="A35" s="454">
        <f>MAX($A$10:A34)+1</f>
        <v>22</v>
      </c>
      <c r="C35" s="96" t="s">
        <v>23</v>
      </c>
      <c r="G35" s="295">
        <v>392.03082241611423</v>
      </c>
    </row>
    <row r="36" spans="1:8" x14ac:dyDescent="0.2">
      <c r="A36" s="454">
        <f>MAX($A$10:A35)+1</f>
        <v>23</v>
      </c>
      <c r="C36" s="96" t="s">
        <v>24</v>
      </c>
      <c r="G36" s="295">
        <v>4073.6162390789787</v>
      </c>
    </row>
    <row r="37" spans="1:8" x14ac:dyDescent="0.2">
      <c r="A37" s="454">
        <f>MAX($A$10:A36)+1</f>
        <v>24</v>
      </c>
      <c r="C37" s="96" t="s">
        <v>25</v>
      </c>
      <c r="G37" s="295">
        <v>17.336871388943816</v>
      </c>
    </row>
    <row r="38" spans="1:8" x14ac:dyDescent="0.2">
      <c r="A38" s="454">
        <f>MAX($A$10:A37)+1</f>
        <v>25</v>
      </c>
      <c r="C38" s="96" t="s">
        <v>26</v>
      </c>
      <c r="G38" s="295">
        <v>939.76959912204188</v>
      </c>
    </row>
    <row r="39" spans="1:8" x14ac:dyDescent="0.2">
      <c r="A39" s="454">
        <f>MAX($A$10:A38)+1</f>
        <v>26</v>
      </c>
      <c r="C39" s="96" t="s">
        <v>27</v>
      </c>
      <c r="G39" s="295">
        <v>3452.6247006365065</v>
      </c>
    </row>
    <row r="40" spans="1:8" x14ac:dyDescent="0.2">
      <c r="A40" s="454">
        <f>MAX($A$10:A39)+1</f>
        <v>27</v>
      </c>
      <c r="C40" s="96" t="s">
        <v>28</v>
      </c>
      <c r="G40" s="295">
        <v>109.0892213736786</v>
      </c>
    </row>
    <row r="41" spans="1:8" x14ac:dyDescent="0.2">
      <c r="A41" s="454">
        <f>MAX($A$10:A40)+1</f>
        <v>28</v>
      </c>
      <c r="C41" s="532" t="str">
        <f>"Total " &amp; C31</f>
        <v>Total Union South Rate Zone</v>
      </c>
      <c r="F41" s="454"/>
      <c r="G41" s="472">
        <f>SUM(G32:G40)</f>
        <v>53325.76191717742</v>
      </c>
    </row>
    <row r="42" spans="1:8" x14ac:dyDescent="0.2">
      <c r="A42" s="454"/>
      <c r="G42" s="473"/>
      <c r="H42" s="454"/>
    </row>
    <row r="43" spans="1:8" ht="13.5" thickBot="1" x14ac:dyDescent="0.25">
      <c r="A43" s="454">
        <f>MAX($A$10:A42)+1</f>
        <v>29</v>
      </c>
      <c r="C43" s="532" t="s">
        <v>94</v>
      </c>
      <c r="G43" s="474">
        <f>G21+G29+G41</f>
        <v>148822.20000896248</v>
      </c>
    </row>
    <row r="44" spans="1:8" ht="13.5" thickTop="1" x14ac:dyDescent="0.2"/>
    <row r="45" spans="1:8" x14ac:dyDescent="0.2">
      <c r="A45" s="334" t="s">
        <v>953</v>
      </c>
      <c r="B45" s="301"/>
    </row>
    <row r="46" spans="1:8" ht="15" customHeight="1" x14ac:dyDescent="0.2">
      <c r="A46" s="243" t="s">
        <v>267</v>
      </c>
      <c r="B46" s="529"/>
      <c r="C46" s="563" t="s">
        <v>1070</v>
      </c>
      <c r="D46" s="563"/>
      <c r="E46" s="563"/>
      <c r="F46" s="563"/>
      <c r="G46" s="563"/>
      <c r="H46" s="529"/>
    </row>
    <row r="47" spans="1:8" x14ac:dyDescent="0.2"/>
    <row r="48" spans="1:8" x14ac:dyDescent="0.2"/>
    <row r="49" spans="1:10" x14ac:dyDescent="0.2"/>
    <row r="50" spans="1:10" x14ac:dyDescent="0.2">
      <c r="A50" s="324" t="s">
        <v>697</v>
      </c>
      <c r="B50" s="229"/>
      <c r="C50" s="229"/>
      <c r="D50" s="229"/>
      <c r="E50" s="229"/>
      <c r="F50" s="229"/>
      <c r="G50" s="229"/>
      <c r="H50" s="229"/>
      <c r="I50" s="229"/>
      <c r="J50" s="229"/>
    </row>
    <row r="51" spans="1:10" x14ac:dyDescent="0.2">
      <c r="A51" s="324"/>
      <c r="B51" s="229"/>
      <c r="C51" s="229"/>
      <c r="D51" s="229"/>
      <c r="E51" s="229"/>
      <c r="F51" s="229"/>
      <c r="G51" s="229"/>
      <c r="H51" s="229"/>
      <c r="I51" s="229"/>
      <c r="J51" s="229"/>
    </row>
    <row r="52" spans="1:10" x14ac:dyDescent="0.2">
      <c r="C52" s="66" t="s">
        <v>385</v>
      </c>
      <c r="E52" s="67">
        <v>2024</v>
      </c>
      <c r="F52" s="67"/>
      <c r="G52" s="67">
        <v>2024</v>
      </c>
      <c r="H52" s="67"/>
      <c r="I52" s="67">
        <v>2024</v>
      </c>
    </row>
    <row r="53" spans="1:10" x14ac:dyDescent="0.2">
      <c r="E53" s="67" t="s">
        <v>386</v>
      </c>
      <c r="F53" s="67"/>
      <c r="G53" s="67" t="s">
        <v>387</v>
      </c>
      <c r="H53" s="67"/>
      <c r="I53" s="67" t="s">
        <v>387</v>
      </c>
    </row>
    <row r="54" spans="1:10" x14ac:dyDescent="0.2">
      <c r="A54" s="454" t="s">
        <v>0</v>
      </c>
      <c r="E54" s="69" t="s">
        <v>49</v>
      </c>
      <c r="F54" s="67"/>
      <c r="G54" s="69" t="s">
        <v>543</v>
      </c>
      <c r="H54" s="69"/>
      <c r="I54" s="67" t="s">
        <v>349</v>
      </c>
    </row>
    <row r="55" spans="1:10" x14ac:dyDescent="0.2">
      <c r="A55" s="534" t="s">
        <v>1</v>
      </c>
      <c r="C55" s="75" t="s">
        <v>33</v>
      </c>
      <c r="E55" s="70" t="s">
        <v>388</v>
      </c>
      <c r="F55" s="71"/>
      <c r="G55" s="70" t="s">
        <v>389</v>
      </c>
      <c r="H55" s="67"/>
      <c r="I55" s="534" t="s">
        <v>390</v>
      </c>
    </row>
    <row r="56" spans="1:10" x14ac:dyDescent="0.2">
      <c r="A56" s="454"/>
      <c r="E56" s="67" t="s">
        <v>3</v>
      </c>
      <c r="F56" s="67"/>
      <c r="G56" s="72" t="s">
        <v>4</v>
      </c>
      <c r="H56" s="71"/>
      <c r="I56" s="69" t="s">
        <v>119</v>
      </c>
    </row>
    <row r="57" spans="1:10" x14ac:dyDescent="0.2"/>
    <row r="58" spans="1:10" x14ac:dyDescent="0.2">
      <c r="C58" s="76" t="s">
        <v>394</v>
      </c>
    </row>
    <row r="59" spans="1:10" x14ac:dyDescent="0.2">
      <c r="C59" s="66" t="s">
        <v>5</v>
      </c>
      <c r="E59" s="67"/>
    </row>
    <row r="60" spans="1:10" x14ac:dyDescent="0.2">
      <c r="C60" s="66" t="s">
        <v>86</v>
      </c>
    </row>
    <row r="61" spans="1:10" x14ac:dyDescent="0.2">
      <c r="A61" s="454">
        <v>1</v>
      </c>
      <c r="C61" s="96" t="s">
        <v>50</v>
      </c>
      <c r="E61" s="122">
        <f>'Attach 2'!H14</f>
        <v>710956.70434703375</v>
      </c>
      <c r="F61" s="230"/>
      <c r="G61" s="122">
        <v>7770.2559531601837</v>
      </c>
      <c r="H61" s="230"/>
      <c r="I61" s="147">
        <v>1.0929295561389556</v>
      </c>
    </row>
    <row r="62" spans="1:10" x14ac:dyDescent="0.2">
      <c r="A62" s="454">
        <f>MAX($A$61:A61)+1</f>
        <v>2</v>
      </c>
      <c r="C62" s="96" t="s">
        <v>51</v>
      </c>
      <c r="E62" s="122">
        <f>'Attach 2'!H15</f>
        <v>1020712.5428390639</v>
      </c>
      <c r="F62" s="230"/>
      <c r="G62" s="122">
        <v>10367.393483032301</v>
      </c>
      <c r="H62" s="230"/>
      <c r="I62" s="147">
        <v>1.0157015856977603</v>
      </c>
    </row>
    <row r="63" spans="1:10" x14ac:dyDescent="0.2">
      <c r="A63" s="454">
        <f>MAX($A$61:A62)+1</f>
        <v>3</v>
      </c>
      <c r="C63" s="96" t="s">
        <v>52</v>
      </c>
      <c r="E63" s="122">
        <f>'Attach 2'!H16</f>
        <v>1107394.6437671527</v>
      </c>
      <c r="F63" s="230"/>
      <c r="G63" s="122">
        <v>10578.14913712451</v>
      </c>
      <c r="H63" s="230"/>
      <c r="I63" s="147">
        <v>0.95522849028234369</v>
      </c>
    </row>
    <row r="64" spans="1:10" x14ac:dyDescent="0.2">
      <c r="A64" s="454">
        <f>MAX($A$61:A63)+1</f>
        <v>4</v>
      </c>
      <c r="C64" s="96" t="s">
        <v>53</v>
      </c>
      <c r="E64" s="122">
        <f>'Attach 2'!H17</f>
        <v>2161962.8495790139</v>
      </c>
      <c r="F64" s="230"/>
      <c r="G64" s="122">
        <v>19677.074502727432</v>
      </c>
      <c r="H64" s="230"/>
      <c r="I64" s="147">
        <v>0.91014859513238311</v>
      </c>
    </row>
    <row r="65" spans="1:9" x14ac:dyDescent="0.2">
      <c r="A65" s="454">
        <f>MAX($A$61:A64)+1</f>
        <v>5</v>
      </c>
      <c r="C65" s="66" t="s">
        <v>54</v>
      </c>
      <c r="E65" s="475">
        <f>SUM(E61:E64)</f>
        <v>5001026.7405322641</v>
      </c>
      <c r="F65" s="230"/>
      <c r="G65" s="476">
        <f>G10</f>
        <v>48392.873076044423</v>
      </c>
      <c r="H65" s="230"/>
      <c r="I65" s="139">
        <f>G65/E65 * 100</f>
        <v>0.96765875462793316</v>
      </c>
    </row>
    <row r="66" spans="1:9" x14ac:dyDescent="0.2">
      <c r="E66" s="230"/>
      <c r="F66" s="230"/>
      <c r="G66" s="230"/>
      <c r="H66" s="230"/>
      <c r="I66" s="230"/>
    </row>
    <row r="67" spans="1:9" x14ac:dyDescent="0.2">
      <c r="C67" s="66" t="s">
        <v>6</v>
      </c>
      <c r="E67" s="230"/>
      <c r="F67" s="230"/>
      <c r="G67" s="230"/>
      <c r="H67" s="230"/>
      <c r="I67" s="230"/>
    </row>
    <row r="68" spans="1:9" x14ac:dyDescent="0.2">
      <c r="C68" s="66" t="s">
        <v>86</v>
      </c>
      <c r="E68" s="230"/>
      <c r="F68" s="230"/>
      <c r="G68" s="230"/>
      <c r="H68" s="230"/>
      <c r="I68" s="230"/>
    </row>
    <row r="69" spans="1:9" x14ac:dyDescent="0.2">
      <c r="A69" s="454">
        <f>MAX($A$61:A68)+1</f>
        <v>6</v>
      </c>
      <c r="C69" s="96" t="s">
        <v>73</v>
      </c>
      <c r="E69" s="122">
        <f>'Attach 2'!H36</f>
        <v>580941.09847216692</v>
      </c>
      <c r="F69" s="230"/>
      <c r="G69" s="122">
        <v>6955.7987296920483</v>
      </c>
      <c r="H69" s="230"/>
      <c r="I69" s="147">
        <v>1.1973328704037804</v>
      </c>
    </row>
    <row r="70" spans="1:9" x14ac:dyDescent="0.2">
      <c r="A70" s="454">
        <f>MAX($A$61:A69)+1</f>
        <v>7</v>
      </c>
      <c r="C70" s="96" t="s">
        <v>74</v>
      </c>
      <c r="E70" s="122">
        <f>'Attach 2'!H37</f>
        <v>654353.08186775737</v>
      </c>
      <c r="F70" s="230"/>
      <c r="G70" s="122">
        <v>5811.0637163955435</v>
      </c>
      <c r="H70" s="230"/>
      <c r="I70" s="147">
        <v>0.88806240505640965</v>
      </c>
    </row>
    <row r="71" spans="1:9" x14ac:dyDescent="0.2">
      <c r="A71" s="454">
        <f>MAX($A$61:A70)+1</f>
        <v>8</v>
      </c>
      <c r="C71" s="96" t="s">
        <v>75</v>
      </c>
      <c r="E71" s="122">
        <f>'Attach 2'!H38</f>
        <v>1155776.7363080741</v>
      </c>
      <c r="F71" s="230"/>
      <c r="G71" s="122">
        <v>7760.8839202741538</v>
      </c>
      <c r="H71" s="230"/>
      <c r="I71" s="147">
        <v>0.67148642782557943</v>
      </c>
    </row>
    <row r="72" spans="1:9" x14ac:dyDescent="0.2">
      <c r="A72" s="454">
        <f>MAX($A$61:A71)+1</f>
        <v>9</v>
      </c>
      <c r="C72" s="96" t="s">
        <v>76</v>
      </c>
      <c r="E72" s="122">
        <f>'Attach 2'!H39</f>
        <v>751113.55012704164</v>
      </c>
      <c r="F72" s="230"/>
      <c r="G72" s="122">
        <v>3998.4906099207096</v>
      </c>
      <c r="H72" s="230"/>
      <c r="I72" s="147">
        <v>0.53234169577215251</v>
      </c>
    </row>
    <row r="73" spans="1:9" x14ac:dyDescent="0.2">
      <c r="A73" s="454">
        <f>MAX($A$61:A72)+1</f>
        <v>10</v>
      </c>
      <c r="C73" s="96" t="s">
        <v>77</v>
      </c>
      <c r="E73" s="122">
        <f>'Attach 2'!H40</f>
        <v>713799.78020561649</v>
      </c>
      <c r="F73" s="230"/>
      <c r="G73" s="122">
        <v>3358.5060977557569</v>
      </c>
      <c r="H73" s="230"/>
      <c r="I73" s="147">
        <v>0.47051094591095399</v>
      </c>
    </row>
    <row r="74" spans="1:9" x14ac:dyDescent="0.2">
      <c r="A74" s="454">
        <f>MAX($A$61:A73)+1</f>
        <v>11</v>
      </c>
      <c r="C74" s="96" t="s">
        <v>78</v>
      </c>
      <c r="E74" s="176">
        <f>'Attach 2'!H41</f>
        <v>939709.10720279766</v>
      </c>
      <c r="F74" s="230"/>
      <c r="G74" s="176">
        <v>4275.5251155527476</v>
      </c>
      <c r="H74" s="230"/>
      <c r="I74" s="147">
        <v>0.45498389690822166</v>
      </c>
    </row>
    <row r="75" spans="1:9" x14ac:dyDescent="0.2">
      <c r="A75" s="454">
        <f>MAX($A$61:A74)+1</f>
        <v>12</v>
      </c>
      <c r="C75" s="66" t="s">
        <v>72</v>
      </c>
      <c r="E75" s="475">
        <f>SUM(E69:E74)</f>
        <v>4795693.3541834541</v>
      </c>
      <c r="F75" s="230"/>
      <c r="G75" s="476">
        <f>G11</f>
        <v>32160.268189590959</v>
      </c>
      <c r="H75" s="230"/>
      <c r="I75" s="139">
        <f t="shared" ref="I75" si="0">G75/E75 * 100</f>
        <v>0.67060726811351301</v>
      </c>
    </row>
    <row r="76" spans="1:9" x14ac:dyDescent="0.2">
      <c r="E76" s="230"/>
      <c r="F76" s="230"/>
      <c r="G76" s="230"/>
      <c r="H76" s="230"/>
      <c r="I76" s="230"/>
    </row>
    <row r="77" spans="1:9" x14ac:dyDescent="0.2">
      <c r="C77" s="66" t="s">
        <v>7</v>
      </c>
      <c r="E77" s="230"/>
      <c r="F77" s="230"/>
      <c r="G77" s="230"/>
      <c r="H77" s="230"/>
      <c r="I77" s="230"/>
    </row>
    <row r="78" spans="1:9" x14ac:dyDescent="0.2">
      <c r="A78" s="454">
        <f>MAX($A$61:A77)+1</f>
        <v>13</v>
      </c>
      <c r="C78" s="96" t="s">
        <v>89</v>
      </c>
      <c r="E78" s="122">
        <f>'Attach 2'!H67</f>
        <v>4503.3599999999997</v>
      </c>
      <c r="F78" s="230"/>
      <c r="G78" s="122">
        <f>G12</f>
        <v>265.90468014560668</v>
      </c>
      <c r="H78" s="230"/>
      <c r="I78" s="147">
        <f>G78/E78 * 100</f>
        <v>5.9045841359697357</v>
      </c>
    </row>
    <row r="79" spans="1:9" x14ac:dyDescent="0.2">
      <c r="A79" s="454">
        <f>MAX($A$61:A78)+1</f>
        <v>14</v>
      </c>
      <c r="C79" s="66" t="s">
        <v>82</v>
      </c>
      <c r="E79" s="475">
        <f>E78</f>
        <v>4503.3599999999997</v>
      </c>
      <c r="F79" s="230"/>
      <c r="G79" s="475">
        <f>G78</f>
        <v>265.90468014560668</v>
      </c>
      <c r="H79" s="230"/>
      <c r="I79" s="477">
        <f>I78</f>
        <v>5.9045841359697357</v>
      </c>
    </row>
    <row r="80" spans="1:9" x14ac:dyDescent="0.2">
      <c r="E80" s="230"/>
      <c r="F80" s="230"/>
      <c r="G80" s="230"/>
      <c r="H80" s="230"/>
      <c r="I80" s="230"/>
    </row>
    <row r="81" spans="1:10" x14ac:dyDescent="0.2">
      <c r="C81" s="66" t="s">
        <v>8</v>
      </c>
      <c r="E81" s="230"/>
      <c r="F81" s="230"/>
      <c r="G81" s="230"/>
      <c r="H81" s="230"/>
      <c r="I81" s="230"/>
    </row>
    <row r="82" spans="1:10" x14ac:dyDescent="0.2">
      <c r="A82" s="454">
        <f>MAX($A$61:A81)+1</f>
        <v>15</v>
      </c>
      <c r="C82" s="96" t="s">
        <v>89</v>
      </c>
      <c r="E82" s="122">
        <f>'Attach 2'!H85</f>
        <v>75653.868000000002</v>
      </c>
      <c r="F82" s="230"/>
      <c r="G82" s="122">
        <f>G13</f>
        <v>2339.3274337677949</v>
      </c>
      <c r="H82" s="230"/>
      <c r="I82" s="147">
        <f>G82/E82 * 100</f>
        <v>3.0921451812190153</v>
      </c>
    </row>
    <row r="83" spans="1:10" x14ac:dyDescent="0.2">
      <c r="A83" s="454">
        <f>MAX($A$61:A82)+1</f>
        <v>16</v>
      </c>
      <c r="C83" s="66" t="s">
        <v>147</v>
      </c>
      <c r="E83" s="475">
        <f>E82</f>
        <v>75653.868000000002</v>
      </c>
      <c r="F83" s="230"/>
      <c r="G83" s="475">
        <f>G82</f>
        <v>2339.3274337677949</v>
      </c>
      <c r="H83" s="230"/>
      <c r="I83" s="477">
        <f>I82</f>
        <v>3.0921451812190153</v>
      </c>
    </row>
    <row r="84" spans="1:10" x14ac:dyDescent="0.2">
      <c r="E84" s="230"/>
      <c r="F84" s="230"/>
      <c r="G84" s="230"/>
      <c r="H84" s="230"/>
      <c r="I84" s="230"/>
    </row>
    <row r="85" spans="1:10" x14ac:dyDescent="0.2">
      <c r="C85" s="66" t="s">
        <v>9</v>
      </c>
      <c r="E85" s="230"/>
      <c r="F85" s="230"/>
      <c r="G85" s="230"/>
      <c r="H85" s="230"/>
      <c r="I85" s="230"/>
    </row>
    <row r="86" spans="1:10" x14ac:dyDescent="0.2">
      <c r="A86" s="454">
        <f>MAX($A$61:A85)+1</f>
        <v>17</v>
      </c>
      <c r="C86" s="96" t="s">
        <v>89</v>
      </c>
      <c r="E86" s="122">
        <f>'Attach 2'!H106</f>
        <v>14480.82</v>
      </c>
      <c r="F86" s="230"/>
      <c r="G86" s="122">
        <f>G14</f>
        <v>1021.4966200371705</v>
      </c>
      <c r="H86" s="230"/>
      <c r="I86" s="147">
        <f>G86/E86 * 100</f>
        <v>7.0541351942581318</v>
      </c>
    </row>
    <row r="87" spans="1:10" x14ac:dyDescent="0.2">
      <c r="A87" s="454">
        <f>MAX($A$61:A86)+1</f>
        <v>18</v>
      </c>
      <c r="C87" s="66" t="s">
        <v>145</v>
      </c>
      <c r="E87" s="475">
        <f>E86</f>
        <v>14480.82</v>
      </c>
      <c r="F87" s="230"/>
      <c r="G87" s="475">
        <f>G86</f>
        <v>1021.4966200371705</v>
      </c>
      <c r="H87" s="230"/>
      <c r="I87" s="477">
        <f>I86</f>
        <v>7.0541351942581318</v>
      </c>
    </row>
    <row r="88" spans="1:10" x14ac:dyDescent="0.2">
      <c r="E88" s="230"/>
      <c r="F88" s="230"/>
      <c r="G88" s="230"/>
      <c r="H88" s="230"/>
      <c r="I88" s="230"/>
    </row>
    <row r="89" spans="1:10" x14ac:dyDescent="0.2">
      <c r="C89" s="66" t="s">
        <v>10</v>
      </c>
      <c r="E89" s="230"/>
      <c r="F89" s="230"/>
      <c r="G89" s="230"/>
      <c r="H89" s="230"/>
      <c r="I89" s="230"/>
    </row>
    <row r="90" spans="1:10" x14ac:dyDescent="0.2">
      <c r="A90" s="454">
        <f>MAX($A$61:A89)+1</f>
        <v>19</v>
      </c>
      <c r="C90" s="66" t="s">
        <v>89</v>
      </c>
      <c r="E90" s="122">
        <f>'Attach 2'!H135</f>
        <v>111124.284</v>
      </c>
      <c r="F90" s="230"/>
      <c r="G90" s="122">
        <f>G15</f>
        <v>170.87831488133196</v>
      </c>
      <c r="H90" s="230"/>
      <c r="I90" s="147">
        <f>G90/E90 * 100</f>
        <v>0.15377225276999937</v>
      </c>
    </row>
    <row r="91" spans="1:10" x14ac:dyDescent="0.2">
      <c r="A91" s="454">
        <f>MAX($A$61:A90)+1</f>
        <v>20</v>
      </c>
      <c r="C91" s="66" t="s">
        <v>144</v>
      </c>
      <c r="E91" s="475">
        <f>E90</f>
        <v>111124.284</v>
      </c>
      <c r="F91" s="230"/>
      <c r="G91" s="475">
        <f>G90</f>
        <v>170.87831488133196</v>
      </c>
      <c r="H91" s="230"/>
      <c r="I91" s="477">
        <f>I90</f>
        <v>0.15377225276999937</v>
      </c>
    </row>
    <row r="92" spans="1:10" x14ac:dyDescent="0.2">
      <c r="E92" s="230"/>
      <c r="F92" s="230"/>
      <c r="G92" s="230"/>
      <c r="H92" s="230"/>
      <c r="I92" s="230"/>
    </row>
    <row r="93" spans="1:10" x14ac:dyDescent="0.2">
      <c r="E93" s="230"/>
      <c r="F93" s="230"/>
      <c r="G93" s="230"/>
      <c r="H93" s="230"/>
      <c r="I93" s="230"/>
    </row>
    <row r="94" spans="1:10" x14ac:dyDescent="0.2">
      <c r="E94" s="230"/>
      <c r="F94" s="230"/>
      <c r="G94" s="230"/>
      <c r="H94" s="230"/>
      <c r="I94" s="230"/>
    </row>
    <row r="95" spans="1:10" x14ac:dyDescent="0.2">
      <c r="A95" s="324" t="s">
        <v>949</v>
      </c>
      <c r="B95" s="229"/>
      <c r="C95" s="229"/>
      <c r="D95" s="229"/>
      <c r="E95" s="229"/>
      <c r="F95" s="229"/>
      <c r="G95" s="229"/>
      <c r="H95" s="229"/>
      <c r="I95" s="229"/>
      <c r="J95" s="229"/>
    </row>
    <row r="96" spans="1:10" x14ac:dyDescent="0.2"/>
    <row r="97" spans="1:9" x14ac:dyDescent="0.2">
      <c r="A97" s="454"/>
      <c r="B97" s="454"/>
      <c r="C97" s="454" t="s">
        <v>385</v>
      </c>
      <c r="D97" s="454"/>
      <c r="E97" s="454">
        <v>2024</v>
      </c>
      <c r="F97" s="454"/>
      <c r="G97" s="454">
        <v>2024</v>
      </c>
      <c r="H97" s="454"/>
      <c r="I97" s="454">
        <v>2024</v>
      </c>
    </row>
    <row r="98" spans="1:9" x14ac:dyDescent="0.2">
      <c r="A98" s="454"/>
      <c r="B98" s="454"/>
      <c r="C98" s="454"/>
      <c r="D98" s="454"/>
      <c r="E98" s="454" t="s">
        <v>386</v>
      </c>
      <c r="F98" s="454"/>
      <c r="G98" s="454" t="s">
        <v>387</v>
      </c>
      <c r="H98" s="454"/>
      <c r="I98" s="454" t="s">
        <v>387</v>
      </c>
    </row>
    <row r="99" spans="1:9" x14ac:dyDescent="0.2">
      <c r="A99" s="454" t="s">
        <v>0</v>
      </c>
      <c r="B99" s="454"/>
      <c r="C99" s="454"/>
      <c r="D99" s="454"/>
      <c r="E99" s="454" t="s">
        <v>49</v>
      </c>
      <c r="F99" s="454"/>
      <c r="G99" s="454" t="s">
        <v>543</v>
      </c>
      <c r="H99" s="454"/>
      <c r="I99" s="454" t="s">
        <v>349</v>
      </c>
    </row>
    <row r="100" spans="1:9" x14ac:dyDescent="0.2">
      <c r="A100" s="534" t="s">
        <v>1</v>
      </c>
      <c r="B100" s="454"/>
      <c r="C100" s="479" t="s">
        <v>33</v>
      </c>
      <c r="D100" s="454"/>
      <c r="E100" s="534" t="s">
        <v>388</v>
      </c>
      <c r="F100" s="454"/>
      <c r="G100" s="534" t="s">
        <v>389</v>
      </c>
      <c r="H100" s="454"/>
      <c r="I100" s="534" t="s">
        <v>390</v>
      </c>
    </row>
    <row r="101" spans="1:9" x14ac:dyDescent="0.2">
      <c r="A101" s="454"/>
      <c r="E101" s="67" t="s">
        <v>3</v>
      </c>
      <c r="F101" s="67"/>
      <c r="G101" s="72" t="s">
        <v>4</v>
      </c>
      <c r="H101" s="71"/>
      <c r="I101" s="69" t="s">
        <v>119</v>
      </c>
    </row>
    <row r="102" spans="1:9" x14ac:dyDescent="0.2">
      <c r="E102" s="230"/>
      <c r="F102" s="230"/>
      <c r="G102" s="230"/>
      <c r="H102" s="230"/>
      <c r="I102" s="230"/>
    </row>
    <row r="103" spans="1:9" x14ac:dyDescent="0.2">
      <c r="C103" s="66" t="s">
        <v>11</v>
      </c>
      <c r="E103" s="230"/>
      <c r="F103" s="230"/>
      <c r="G103" s="230"/>
      <c r="H103" s="230"/>
      <c r="I103" s="230"/>
    </row>
    <row r="104" spans="1:9" x14ac:dyDescent="0.2">
      <c r="C104" s="26" t="s">
        <v>148</v>
      </c>
      <c r="E104" s="230"/>
      <c r="F104" s="230"/>
      <c r="G104" s="230"/>
      <c r="H104" s="230"/>
      <c r="I104" s="230"/>
    </row>
    <row r="105" spans="1:9" x14ac:dyDescent="0.2">
      <c r="C105" s="26" t="s">
        <v>86</v>
      </c>
      <c r="E105" s="230"/>
      <c r="F105" s="230"/>
      <c r="G105" s="230"/>
      <c r="H105" s="230"/>
      <c r="I105" s="230"/>
    </row>
    <row r="106" spans="1:9" x14ac:dyDescent="0.2">
      <c r="A106" s="454">
        <f>MAX($A$61:A105)+1</f>
        <v>21</v>
      </c>
      <c r="C106" s="96" t="s">
        <v>149</v>
      </c>
      <c r="E106" s="122">
        <f>'Attach 2'!H146</f>
        <v>402.14400000000001</v>
      </c>
      <c r="F106" s="230"/>
      <c r="G106" s="122">
        <v>29.368721884368902</v>
      </c>
      <c r="H106" s="367"/>
      <c r="I106" s="147">
        <v>7.3030361970758992</v>
      </c>
    </row>
    <row r="107" spans="1:9" x14ac:dyDescent="0.2">
      <c r="A107" s="454">
        <f>MAX($A$61:A106)+1</f>
        <v>22</v>
      </c>
      <c r="C107" s="96" t="s">
        <v>150</v>
      </c>
      <c r="E107" s="122">
        <f>'Attach 2'!H147</f>
        <v>846.84799999999996</v>
      </c>
      <c r="F107" s="230"/>
      <c r="G107" s="122">
        <v>51.02214578581043</v>
      </c>
      <c r="H107" s="367"/>
      <c r="I107" s="147">
        <v>6.0249473088217051</v>
      </c>
    </row>
    <row r="108" spans="1:9" x14ac:dyDescent="0.2">
      <c r="A108" s="454">
        <f>MAX($A$61:A107)+1</f>
        <v>23</v>
      </c>
      <c r="C108" s="96" t="s">
        <v>151</v>
      </c>
      <c r="E108" s="122">
        <f>'Attach 2'!H148</f>
        <v>2136.3440000000001</v>
      </c>
      <c r="F108" s="230"/>
      <c r="G108" s="122">
        <v>117.89536108883139</v>
      </c>
      <c r="H108" s="367"/>
      <c r="I108" s="147">
        <v>5.5185569874903759</v>
      </c>
    </row>
    <row r="109" spans="1:9" x14ac:dyDescent="0.2">
      <c r="A109" s="454">
        <f>MAX($A$61:A108)+1</f>
        <v>24</v>
      </c>
      <c r="C109" s="26" t="s">
        <v>391</v>
      </c>
      <c r="E109" s="475">
        <f>SUM(E106:E108)</f>
        <v>3385.3360000000002</v>
      </c>
      <c r="F109" s="230"/>
      <c r="G109" s="478">
        <f>SUM(G106:G108)</f>
        <v>198.28622875901073</v>
      </c>
      <c r="H109" s="367"/>
      <c r="I109" s="139">
        <f>G109/E109 * 100</f>
        <v>5.8572097055952703</v>
      </c>
    </row>
    <row r="110" spans="1:9" x14ac:dyDescent="0.2">
      <c r="C110" s="26" t="s">
        <v>152</v>
      </c>
      <c r="E110" s="230"/>
      <c r="F110" s="230"/>
      <c r="G110" s="230"/>
      <c r="H110" s="230"/>
      <c r="I110" s="367"/>
    </row>
    <row r="111" spans="1:9" x14ac:dyDescent="0.2">
      <c r="C111" s="26" t="s">
        <v>86</v>
      </c>
      <c r="E111" s="230"/>
      <c r="F111" s="230"/>
      <c r="G111" s="230"/>
      <c r="H111" s="230"/>
      <c r="I111" s="367"/>
    </row>
    <row r="112" spans="1:9" x14ac:dyDescent="0.2">
      <c r="A112" s="454">
        <f>MAX($A$61:A110)+1</f>
        <v>25</v>
      </c>
      <c r="C112" s="96" t="s">
        <v>149</v>
      </c>
      <c r="E112" s="122">
        <f>'Attach 2'!H153</f>
        <v>3705.44</v>
      </c>
      <c r="F112" s="230"/>
      <c r="G112" s="122">
        <v>88.167206310382227</v>
      </c>
      <c r="H112" s="367"/>
      <c r="I112" s="147">
        <v>2.3793991080784527</v>
      </c>
    </row>
    <row r="113" spans="1:9" x14ac:dyDescent="0.2">
      <c r="A113" s="454">
        <f>MAX($A$61:A111)+1</f>
        <v>25</v>
      </c>
      <c r="C113" s="96" t="s">
        <v>150</v>
      </c>
      <c r="E113" s="122">
        <f>'Attach 2'!H154</f>
        <v>7201.058</v>
      </c>
      <c r="F113" s="230"/>
      <c r="G113" s="122">
        <v>119.28118529823594</v>
      </c>
      <c r="H113" s="367"/>
      <c r="I113" s="147">
        <v>1.6564397245270897</v>
      </c>
    </row>
    <row r="114" spans="1:9" x14ac:dyDescent="0.2">
      <c r="A114" s="454">
        <f>MAX($A$61:A113)+1</f>
        <v>26</v>
      </c>
      <c r="C114" s="96" t="s">
        <v>151</v>
      </c>
      <c r="E114" s="122">
        <f>'Attach 2'!H155</f>
        <v>38354.665000000001</v>
      </c>
      <c r="F114" s="230"/>
      <c r="G114" s="122">
        <v>550.40554779426452</v>
      </c>
      <c r="H114" s="367"/>
      <c r="I114" s="147">
        <v>1.4350419897925442</v>
      </c>
    </row>
    <row r="115" spans="1:9" x14ac:dyDescent="0.2">
      <c r="A115" s="454">
        <f>MAX($A$61:A114)+1</f>
        <v>27</v>
      </c>
      <c r="C115" s="26" t="s">
        <v>392</v>
      </c>
      <c r="E115" s="475">
        <f>SUM(E112:E114)</f>
        <v>49261.163</v>
      </c>
      <c r="F115" s="230"/>
      <c r="G115" s="478">
        <f>SUM(G112:G114)</f>
        <v>757.8539394028827</v>
      </c>
      <c r="H115" s="367"/>
      <c r="I115" s="139">
        <f>G115/E115 * 100</f>
        <v>1.5384410217900919</v>
      </c>
    </row>
    <row r="116" spans="1:9" x14ac:dyDescent="0.2">
      <c r="E116" s="230"/>
      <c r="F116" s="230"/>
      <c r="G116" s="367"/>
      <c r="H116" s="367"/>
      <c r="I116" s="367"/>
    </row>
    <row r="117" spans="1:9" x14ac:dyDescent="0.2">
      <c r="A117" s="454">
        <f>MAX($A$61:A116)+1</f>
        <v>28</v>
      </c>
      <c r="C117" s="96" t="s">
        <v>154</v>
      </c>
      <c r="E117" s="478">
        <f>E115 + E109</f>
        <v>52646.499000000003</v>
      </c>
      <c r="F117" s="367"/>
      <c r="G117" s="478">
        <f>G115 + G109</f>
        <v>956.14016816189337</v>
      </c>
      <c r="H117" s="367"/>
      <c r="I117" s="139">
        <f>G117/E117 * 100</f>
        <v>1.8161514750712926</v>
      </c>
    </row>
    <row r="118" spans="1:9" x14ac:dyDescent="0.2">
      <c r="A118" s="454"/>
      <c r="C118" s="96"/>
      <c r="E118" s="487"/>
      <c r="F118" s="367"/>
      <c r="G118" s="487"/>
      <c r="H118" s="367"/>
      <c r="I118" s="147"/>
    </row>
    <row r="119" spans="1:9" x14ac:dyDescent="0.2">
      <c r="C119" s="66" t="s">
        <v>12</v>
      </c>
      <c r="E119" s="230"/>
      <c r="F119" s="230"/>
      <c r="G119" s="367"/>
      <c r="H119" s="367"/>
      <c r="I119" s="367"/>
    </row>
    <row r="120" spans="1:9" x14ac:dyDescent="0.2">
      <c r="A120" s="454">
        <f>MAX($A$61:A119)+1</f>
        <v>29</v>
      </c>
      <c r="C120" s="35" t="s">
        <v>89</v>
      </c>
      <c r="E120" s="122">
        <f>'Attach 2'!H183</f>
        <v>6138.48</v>
      </c>
      <c r="F120" s="230"/>
      <c r="G120" s="122">
        <f>G17</f>
        <v>312.18908299994075</v>
      </c>
      <c r="H120" s="230"/>
      <c r="I120" s="147">
        <f>G120/E120 * 100</f>
        <v>5.0857717708608776</v>
      </c>
    </row>
    <row r="121" spans="1:9" x14ac:dyDescent="0.2">
      <c r="A121" s="454">
        <f>MAX($A$61:A120)+1</f>
        <v>30</v>
      </c>
      <c r="C121" s="66" t="s">
        <v>155</v>
      </c>
      <c r="E121" s="475">
        <f>E120</f>
        <v>6138.48</v>
      </c>
      <c r="F121" s="230"/>
      <c r="G121" s="475">
        <f>G120</f>
        <v>312.18908299994075</v>
      </c>
      <c r="H121" s="230"/>
      <c r="I121" s="477">
        <f>I120</f>
        <v>5.0857717708608776</v>
      </c>
    </row>
    <row r="122" spans="1:9" x14ac:dyDescent="0.2">
      <c r="A122" s="454"/>
      <c r="E122" s="485"/>
      <c r="F122" s="230"/>
      <c r="G122" s="485"/>
      <c r="H122" s="230"/>
      <c r="I122" s="486"/>
    </row>
    <row r="123" spans="1:9" x14ac:dyDescent="0.2">
      <c r="C123" s="66" t="s">
        <v>13</v>
      </c>
      <c r="E123" s="480"/>
    </row>
    <row r="124" spans="1:9" x14ac:dyDescent="0.2">
      <c r="A124" s="454">
        <f>MAX($A$61:A123)+1</f>
        <v>31</v>
      </c>
      <c r="C124" s="66" t="s">
        <v>89</v>
      </c>
      <c r="E124" s="122">
        <f>'Attach 2'!H207</f>
        <v>30927.768</v>
      </c>
      <c r="F124" s="230"/>
      <c r="G124" s="122">
        <f>G18</f>
        <v>358.84591355004943</v>
      </c>
      <c r="H124" s="230"/>
      <c r="I124" s="147">
        <f>G124/E124 * 100</f>
        <v>1.1602709692792879</v>
      </c>
    </row>
    <row r="125" spans="1:9" x14ac:dyDescent="0.2">
      <c r="A125" s="454">
        <f>MAX($A$61:A124)+1</f>
        <v>32</v>
      </c>
      <c r="C125" s="66" t="s">
        <v>68</v>
      </c>
      <c r="E125" s="475">
        <f>E124</f>
        <v>30927.768</v>
      </c>
      <c r="F125" s="230"/>
      <c r="G125" s="475">
        <f>G124</f>
        <v>358.84591355004943</v>
      </c>
      <c r="H125" s="230"/>
      <c r="I125" s="477">
        <f>I124</f>
        <v>1.1602709692792879</v>
      </c>
    </row>
    <row r="126" spans="1:9" x14ac:dyDescent="0.2">
      <c r="E126" s="230"/>
      <c r="F126" s="230"/>
      <c r="G126" s="230"/>
      <c r="H126" s="230"/>
      <c r="I126" s="230"/>
    </row>
    <row r="127" spans="1:9" x14ac:dyDescent="0.2">
      <c r="C127" s="66" t="s">
        <v>14</v>
      </c>
      <c r="E127" s="230"/>
      <c r="F127" s="230"/>
      <c r="G127" s="230"/>
      <c r="H127" s="230"/>
      <c r="I127" s="230"/>
    </row>
    <row r="128" spans="1:9" x14ac:dyDescent="0.2">
      <c r="A128" s="454">
        <f>MAX($A$61:A127)+1</f>
        <v>33</v>
      </c>
      <c r="C128" s="66" t="s">
        <v>89</v>
      </c>
      <c r="E128" s="122">
        <f>'Attach 2'!H230</f>
        <v>15025.2</v>
      </c>
      <c r="F128" s="230"/>
      <c r="G128" s="122">
        <f>G19</f>
        <v>41.342057463006356</v>
      </c>
      <c r="H128" s="230"/>
      <c r="I128" s="147">
        <f>G128/E128 * 100</f>
        <v>0.27515146196394291</v>
      </c>
    </row>
    <row r="129" spans="1:9" x14ac:dyDescent="0.2">
      <c r="A129" s="454">
        <f>MAX($A$61:A128)+1</f>
        <v>34</v>
      </c>
      <c r="C129" s="66" t="s">
        <v>157</v>
      </c>
      <c r="E129" s="475">
        <f>E128</f>
        <v>15025.2</v>
      </c>
      <c r="F129" s="230"/>
      <c r="G129" s="475">
        <f>G128</f>
        <v>41.342057463006356</v>
      </c>
      <c r="H129" s="230"/>
      <c r="I129" s="477">
        <f>I128</f>
        <v>0.27515146196394291</v>
      </c>
    </row>
    <row r="130" spans="1:9" x14ac:dyDescent="0.2">
      <c r="E130" s="230"/>
      <c r="F130" s="230"/>
      <c r="G130" s="230"/>
      <c r="H130" s="230"/>
      <c r="I130" s="230"/>
    </row>
    <row r="131" spans="1:9" x14ac:dyDescent="0.2">
      <c r="C131" s="66" t="s">
        <v>15</v>
      </c>
      <c r="E131" s="230"/>
      <c r="F131" s="230"/>
      <c r="G131" s="230"/>
      <c r="H131" s="230"/>
      <c r="I131" s="230"/>
    </row>
    <row r="132" spans="1:9" x14ac:dyDescent="0.2">
      <c r="A132" s="454">
        <f>MAX($A$61:A131)+1</f>
        <v>35</v>
      </c>
      <c r="C132" s="66" t="s">
        <v>89</v>
      </c>
      <c r="E132" s="122">
        <f>'Attach 2'!H257</f>
        <v>0</v>
      </c>
      <c r="F132" s="230"/>
      <c r="G132" s="122">
        <f>G20</f>
        <v>0</v>
      </c>
      <c r="H132" s="230"/>
      <c r="I132" s="147" t="str">
        <f>IFERROR(G132/E132 * 100,"-")</f>
        <v>-</v>
      </c>
    </row>
    <row r="133" spans="1:9" x14ac:dyDescent="0.2">
      <c r="A133" s="454">
        <f>MAX($A$61:A132)+1</f>
        <v>36</v>
      </c>
      <c r="C133" s="66" t="s">
        <v>158</v>
      </c>
      <c r="E133" s="475">
        <f>E132</f>
        <v>0</v>
      </c>
      <c r="F133" s="230"/>
      <c r="G133" s="475">
        <f>G132</f>
        <v>0</v>
      </c>
      <c r="H133" s="230"/>
      <c r="I133" s="481" t="str">
        <f>I132</f>
        <v>-</v>
      </c>
    </row>
    <row r="134" spans="1:9" x14ac:dyDescent="0.2">
      <c r="E134" s="230"/>
      <c r="F134" s="230"/>
      <c r="G134" s="367"/>
      <c r="H134" s="367"/>
      <c r="I134" s="367"/>
    </row>
    <row r="135" spans="1:9" x14ac:dyDescent="0.2">
      <c r="C135" s="76" t="s">
        <v>395</v>
      </c>
      <c r="E135" s="230"/>
      <c r="F135" s="230"/>
      <c r="G135" s="367"/>
      <c r="H135" s="367"/>
      <c r="I135" s="367"/>
    </row>
    <row r="136" spans="1:9" x14ac:dyDescent="0.2">
      <c r="C136" s="66" t="s">
        <v>16</v>
      </c>
      <c r="E136" s="230"/>
      <c r="F136" s="230"/>
      <c r="G136" s="367"/>
      <c r="H136" s="367"/>
      <c r="I136" s="367"/>
    </row>
    <row r="137" spans="1:9" x14ac:dyDescent="0.2">
      <c r="C137" s="66" t="s">
        <v>86</v>
      </c>
      <c r="E137" s="230"/>
      <c r="F137" s="230"/>
      <c r="G137" s="367"/>
      <c r="H137" s="367"/>
      <c r="I137" s="367"/>
    </row>
    <row r="138" spans="1:9" x14ac:dyDescent="0.2">
      <c r="A138" s="454">
        <f>MAX($A$61:A137)+1</f>
        <v>37</v>
      </c>
      <c r="C138" s="96" t="s">
        <v>161</v>
      </c>
      <c r="E138" s="122">
        <f>'Attach 2'!H268</f>
        <v>300034.3661651985</v>
      </c>
      <c r="F138" s="230"/>
      <c r="G138" s="122">
        <v>1726.699454113229</v>
      </c>
      <c r="H138" s="367"/>
      <c r="I138" s="147">
        <v>0.57550055888014862</v>
      </c>
    </row>
    <row r="139" spans="1:9" x14ac:dyDescent="0.2">
      <c r="A139" s="454">
        <f>MAX($A$61:A138)+1</f>
        <v>38</v>
      </c>
      <c r="C139" s="96" t="s">
        <v>162</v>
      </c>
      <c r="E139" s="122">
        <f>'Attach 2'!H269</f>
        <v>344054.1096208872</v>
      </c>
      <c r="F139" s="230"/>
      <c r="G139" s="122">
        <v>1930.3358459290791</v>
      </c>
      <c r="H139" s="367"/>
      <c r="I139" s="147">
        <v>0.56105588974249254</v>
      </c>
    </row>
    <row r="140" spans="1:9" x14ac:dyDescent="0.2">
      <c r="A140" s="454">
        <f>MAX($A$61:A139)+1</f>
        <v>39</v>
      </c>
      <c r="C140" s="96" t="s">
        <v>162</v>
      </c>
      <c r="E140" s="122">
        <f>'Attach 2'!H270</f>
        <v>129905.68038836875</v>
      </c>
      <c r="F140" s="230"/>
      <c r="G140" s="122">
        <v>699.09709959741986</v>
      </c>
      <c r="H140" s="367"/>
      <c r="I140" s="147">
        <v>0.53815745201240195</v>
      </c>
    </row>
    <row r="141" spans="1:9" x14ac:dyDescent="0.2">
      <c r="A141" s="454">
        <f>MAX($A$61:A140)+1</f>
        <v>40</v>
      </c>
      <c r="C141" s="96" t="s">
        <v>163</v>
      </c>
      <c r="E141" s="122">
        <f>'Attach 2'!H271</f>
        <v>88809.558943589713</v>
      </c>
      <c r="F141" s="230"/>
      <c r="G141" s="122">
        <v>459.2789277460048</v>
      </c>
      <c r="H141" s="367"/>
      <c r="I141" s="147">
        <v>0.51715033067299743</v>
      </c>
    </row>
    <row r="142" spans="1:9" x14ac:dyDescent="0.2">
      <c r="A142" s="454">
        <f>MAX($A$61:A141)+1</f>
        <v>41</v>
      </c>
      <c r="C142" s="96" t="s">
        <v>164</v>
      </c>
      <c r="E142" s="122">
        <f>'Attach 2'!H272</f>
        <v>126200.90529496717</v>
      </c>
      <c r="F142" s="230"/>
      <c r="G142" s="122">
        <v>630.72733405972485</v>
      </c>
      <c r="H142" s="367"/>
      <c r="I142" s="147">
        <v>0.49978035623875822</v>
      </c>
    </row>
    <row r="143" spans="1:9" x14ac:dyDescent="0.2">
      <c r="A143" s="454">
        <f>MAX($A$61:A142)+1</f>
        <v>42</v>
      </c>
      <c r="C143" s="96" t="s">
        <v>160</v>
      </c>
      <c r="E143" s="478">
        <f>SUM(E138:E142)</f>
        <v>989004.62041301141</v>
      </c>
      <c r="F143" s="367"/>
      <c r="G143" s="476">
        <f>G24</f>
        <v>5446.1386614454577</v>
      </c>
      <c r="H143" s="367"/>
      <c r="I143" s="139">
        <f t="shared" ref="I143" si="1">G143/E143 * 100</f>
        <v>0.55066867727788105</v>
      </c>
    </row>
    <row r="144" spans="1:9" x14ac:dyDescent="0.2"/>
    <row r="145" spans="1:10" x14ac:dyDescent="0.2"/>
    <row r="146" spans="1:10" x14ac:dyDescent="0.2"/>
    <row r="147" spans="1:10" x14ac:dyDescent="0.2">
      <c r="A147" s="324" t="s">
        <v>949</v>
      </c>
      <c r="B147" s="229"/>
      <c r="C147" s="229"/>
      <c r="D147" s="229"/>
      <c r="E147" s="229"/>
      <c r="F147" s="229"/>
      <c r="G147" s="229"/>
      <c r="H147" s="229"/>
      <c r="I147" s="229"/>
      <c r="J147" s="229"/>
    </row>
    <row r="148" spans="1:10" x14ac:dyDescent="0.2">
      <c r="A148" s="324"/>
      <c r="B148" s="229"/>
      <c r="C148" s="229"/>
      <c r="D148" s="229"/>
      <c r="E148" s="229"/>
      <c r="F148" s="229"/>
      <c r="G148" s="229"/>
      <c r="H148" s="229"/>
      <c r="I148" s="229"/>
      <c r="J148" s="229"/>
    </row>
    <row r="149" spans="1:10" x14ac:dyDescent="0.2">
      <c r="A149" s="67"/>
      <c r="B149" s="67"/>
      <c r="C149" s="67" t="s">
        <v>385</v>
      </c>
      <c r="D149" s="67"/>
      <c r="E149" s="67">
        <v>2024</v>
      </c>
      <c r="F149" s="67"/>
      <c r="G149" s="67">
        <v>2024</v>
      </c>
      <c r="H149" s="67"/>
      <c r="I149" s="67">
        <v>2024</v>
      </c>
    </row>
    <row r="150" spans="1:10" x14ac:dyDescent="0.2">
      <c r="A150" s="67"/>
      <c r="B150" s="67"/>
      <c r="C150" s="67"/>
      <c r="D150" s="67"/>
      <c r="E150" s="67" t="s">
        <v>386</v>
      </c>
      <c r="F150" s="67"/>
      <c r="G150" s="67" t="s">
        <v>387</v>
      </c>
      <c r="H150" s="67"/>
      <c r="I150" s="67" t="s">
        <v>387</v>
      </c>
    </row>
    <row r="151" spans="1:10" x14ac:dyDescent="0.2">
      <c r="A151" s="67" t="s">
        <v>0</v>
      </c>
      <c r="B151" s="67"/>
      <c r="C151" s="67"/>
      <c r="D151" s="67"/>
      <c r="E151" s="67" t="s">
        <v>49</v>
      </c>
      <c r="F151" s="67"/>
      <c r="G151" s="67" t="s">
        <v>543</v>
      </c>
      <c r="H151" s="67"/>
      <c r="I151" s="67" t="s">
        <v>349</v>
      </c>
    </row>
    <row r="152" spans="1:10" x14ac:dyDescent="0.2">
      <c r="A152" s="70" t="s">
        <v>1</v>
      </c>
      <c r="B152" s="67"/>
      <c r="C152" s="73" t="s">
        <v>33</v>
      </c>
      <c r="D152" s="67"/>
      <c r="E152" s="70" t="s">
        <v>388</v>
      </c>
      <c r="F152" s="67"/>
      <c r="G152" s="70" t="s">
        <v>389</v>
      </c>
      <c r="H152" s="67"/>
      <c r="I152" s="70" t="s">
        <v>390</v>
      </c>
    </row>
    <row r="153" spans="1:10" x14ac:dyDescent="0.2">
      <c r="A153" s="454"/>
      <c r="E153" s="67" t="s">
        <v>3</v>
      </c>
      <c r="F153" s="67"/>
      <c r="G153" s="72" t="s">
        <v>4</v>
      </c>
      <c r="H153" s="71"/>
      <c r="I153" s="69" t="s">
        <v>119</v>
      </c>
    </row>
    <row r="154" spans="1:10" x14ac:dyDescent="0.2">
      <c r="A154" s="454"/>
      <c r="E154" s="67"/>
      <c r="F154" s="67"/>
      <c r="G154" s="72"/>
      <c r="H154" s="71"/>
      <c r="I154" s="69"/>
    </row>
    <row r="155" spans="1:10" x14ac:dyDescent="0.2">
      <c r="C155" s="66" t="s">
        <v>17</v>
      </c>
      <c r="E155" s="230"/>
      <c r="F155" s="230"/>
      <c r="G155" s="230"/>
      <c r="H155" s="230"/>
      <c r="I155" s="230"/>
    </row>
    <row r="156" spans="1:10" x14ac:dyDescent="0.2">
      <c r="C156" s="66" t="s">
        <v>86</v>
      </c>
      <c r="E156" s="230"/>
      <c r="F156" s="230"/>
      <c r="G156" s="367"/>
      <c r="H156" s="367"/>
      <c r="I156" s="367"/>
    </row>
    <row r="157" spans="1:10" x14ac:dyDescent="0.2">
      <c r="A157" s="454">
        <f>MAX($A$61:A156)+1</f>
        <v>43</v>
      </c>
      <c r="C157" s="96" t="s">
        <v>176</v>
      </c>
      <c r="E157" s="122">
        <f>'Attach 2'!H307</f>
        <v>21365.254170514676</v>
      </c>
      <c r="F157" s="230"/>
      <c r="G157" s="122">
        <v>162.78091260747038</v>
      </c>
      <c r="H157" s="367"/>
      <c r="I157" s="147">
        <v>0.76189551178903248</v>
      </c>
    </row>
    <row r="158" spans="1:10" x14ac:dyDescent="0.2">
      <c r="A158" s="454">
        <f>MAX($A$61:A157)+1</f>
        <v>44</v>
      </c>
      <c r="C158" s="96" t="s">
        <v>177</v>
      </c>
      <c r="E158" s="122">
        <f>'Attach 2'!H308</f>
        <v>124186.71734667888</v>
      </c>
      <c r="F158" s="230"/>
      <c r="G158" s="122">
        <v>535.71171220216161</v>
      </c>
      <c r="H158" s="367"/>
      <c r="I158" s="147">
        <v>0.43137601480090026</v>
      </c>
    </row>
    <row r="159" spans="1:10" x14ac:dyDescent="0.2">
      <c r="A159" s="454">
        <f>MAX($A$61:A158)+1</f>
        <v>45</v>
      </c>
      <c r="C159" s="96" t="s">
        <v>178</v>
      </c>
      <c r="E159" s="122">
        <f>'Attach 2'!H309</f>
        <v>83168.481060518243</v>
      </c>
      <c r="F159" s="230"/>
      <c r="G159" s="122">
        <v>311.86471624256706</v>
      </c>
      <c r="H159" s="367"/>
      <c r="I159" s="147">
        <v>0.37497945407423766</v>
      </c>
    </row>
    <row r="160" spans="1:10" x14ac:dyDescent="0.2">
      <c r="A160" s="454">
        <f>MAX($A$61:A159)+1</f>
        <v>46</v>
      </c>
      <c r="C160" s="96" t="s">
        <v>179</v>
      </c>
      <c r="E160" s="122">
        <f>'Attach 2'!H310</f>
        <v>58024.807725332095</v>
      </c>
      <c r="F160" s="230"/>
      <c r="G160" s="122">
        <v>197.03137845155837</v>
      </c>
      <c r="H160" s="367"/>
      <c r="I160" s="147">
        <v>0.33956403506622851</v>
      </c>
    </row>
    <row r="161" spans="1:9" x14ac:dyDescent="0.2">
      <c r="A161" s="454">
        <f>MAX($A$61:A160)+1</f>
        <v>47</v>
      </c>
      <c r="C161" s="96" t="s">
        <v>180</v>
      </c>
      <c r="E161" s="122">
        <f>'Attach 2'!H311</f>
        <v>41228.886994960922</v>
      </c>
      <c r="F161" s="230"/>
      <c r="G161" s="122">
        <v>84.675596987464985</v>
      </c>
      <c r="H161" s="367"/>
      <c r="I161" s="147">
        <v>0.20537929388638165</v>
      </c>
    </row>
    <row r="162" spans="1:9" x14ac:dyDescent="0.2">
      <c r="A162" s="454">
        <f>MAX($A$61:A161)+1</f>
        <v>48</v>
      </c>
      <c r="C162" s="66" t="s">
        <v>175</v>
      </c>
      <c r="E162" s="478">
        <f>SUM(E157:E161)</f>
        <v>327974.14729800483</v>
      </c>
      <c r="F162" s="367"/>
      <c r="G162" s="476">
        <f>G25</f>
        <v>1790.158520026391</v>
      </c>
      <c r="H162" s="367"/>
      <c r="I162" s="139">
        <f t="shared" ref="I162" si="2">G162/E162 * 100</f>
        <v>0.54582305793749408</v>
      </c>
    </row>
    <row r="163" spans="1:9" x14ac:dyDescent="0.2">
      <c r="E163" s="230"/>
      <c r="F163" s="230"/>
      <c r="G163" s="367"/>
      <c r="H163" s="367"/>
      <c r="I163" s="367"/>
    </row>
    <row r="164" spans="1:9" x14ac:dyDescent="0.2">
      <c r="C164" s="66" t="s">
        <v>18</v>
      </c>
      <c r="E164" s="230"/>
      <c r="F164" s="230"/>
      <c r="G164" s="367"/>
      <c r="H164" s="367"/>
      <c r="I164" s="367"/>
    </row>
    <row r="165" spans="1:9" x14ac:dyDescent="0.2">
      <c r="C165" s="66" t="s">
        <v>89</v>
      </c>
      <c r="E165" s="230"/>
      <c r="F165" s="230"/>
      <c r="G165" s="367"/>
      <c r="H165" s="367"/>
      <c r="I165" s="367"/>
    </row>
    <row r="166" spans="1:9" x14ac:dyDescent="0.2">
      <c r="A166" s="454">
        <f>MAX($A$61:A165)+1</f>
        <v>49</v>
      </c>
      <c r="C166" s="96" t="s">
        <v>181</v>
      </c>
      <c r="E166" s="122">
        <f>'Attach 2'!H346</f>
        <v>25506.168000000001</v>
      </c>
      <c r="F166" s="230"/>
      <c r="G166" s="122">
        <v>506.47574391534107</v>
      </c>
      <c r="H166" s="367"/>
      <c r="I166" s="147">
        <v>1.9856990823370293</v>
      </c>
    </row>
    <row r="167" spans="1:9" x14ac:dyDescent="0.2">
      <c r="A167" s="454">
        <f>MAX($A$61:A166)+1</f>
        <v>50</v>
      </c>
      <c r="C167" s="96" t="s">
        <v>182</v>
      </c>
      <c r="E167" s="122">
        <f>'Attach 2'!H347</f>
        <v>66225.600000000006</v>
      </c>
      <c r="F167" s="230"/>
      <c r="G167" s="122">
        <v>773.31151555670147</v>
      </c>
      <c r="H167" s="367"/>
      <c r="I167" s="147">
        <v>1.1676927284263208</v>
      </c>
    </row>
    <row r="168" spans="1:9" x14ac:dyDescent="0.2">
      <c r="A168" s="454">
        <f>MAX($A$61:A167)+1</f>
        <v>51</v>
      </c>
      <c r="C168" s="66" t="s">
        <v>201</v>
      </c>
      <c r="E168" s="478">
        <f>SUM(E166:E167)</f>
        <v>91731.768000000011</v>
      </c>
      <c r="F168" s="367"/>
      <c r="G168" s="476">
        <f>G26</f>
        <v>1279.7872594720425</v>
      </c>
      <c r="H168" s="367"/>
      <c r="I168" s="139">
        <f>G168/E168 * 100</f>
        <v>1.3951407319131168</v>
      </c>
    </row>
    <row r="169" spans="1:9" x14ac:dyDescent="0.2">
      <c r="E169" s="230"/>
      <c r="F169" s="230"/>
      <c r="G169" s="367"/>
      <c r="H169" s="367"/>
      <c r="I169" s="367"/>
    </row>
    <row r="170" spans="1:9" x14ac:dyDescent="0.2">
      <c r="C170" s="66" t="s">
        <v>19</v>
      </c>
      <c r="E170" s="230"/>
      <c r="F170" s="230"/>
      <c r="G170" s="367"/>
      <c r="H170" s="367"/>
      <c r="I170" s="367"/>
    </row>
    <row r="171" spans="1:9" x14ac:dyDescent="0.2">
      <c r="A171" s="454">
        <f>MAX($A$61:A170)+1</f>
        <v>52</v>
      </c>
      <c r="C171" s="66" t="s">
        <v>86</v>
      </c>
      <c r="E171" s="122">
        <f>'Attach 2'!H389</f>
        <v>126830.75640999997</v>
      </c>
      <c r="F171" s="230"/>
      <c r="G171" s="122">
        <v>77.28680194049484</v>
      </c>
      <c r="H171" s="367"/>
      <c r="I171" s="147">
        <v>6.0936955773293146E-2</v>
      </c>
    </row>
    <row r="172" spans="1:9" x14ac:dyDescent="0.2">
      <c r="A172" s="454">
        <f>MAX($A$61:A171)+1</f>
        <v>53</v>
      </c>
      <c r="C172" s="66" t="s">
        <v>202</v>
      </c>
      <c r="E172" s="478">
        <f>SUM(E170:E171)</f>
        <v>126830.75640999997</v>
      </c>
      <c r="F172" s="367"/>
      <c r="G172" s="476">
        <f>G27</f>
        <v>77.28680194049484</v>
      </c>
      <c r="H172" s="367"/>
      <c r="I172" s="139">
        <f>G172/E172 * 100</f>
        <v>6.0936955773293146E-2</v>
      </c>
    </row>
    <row r="173" spans="1:9" x14ac:dyDescent="0.2">
      <c r="E173" s="230"/>
      <c r="F173" s="230"/>
      <c r="G173" s="367"/>
      <c r="H173" s="367"/>
      <c r="I173" s="367"/>
    </row>
    <row r="174" spans="1:9" x14ac:dyDescent="0.2">
      <c r="C174" s="66" t="s">
        <v>7</v>
      </c>
      <c r="E174" s="230"/>
      <c r="F174" s="230"/>
      <c r="G174" s="367"/>
      <c r="H174" s="367"/>
      <c r="I174" s="367"/>
    </row>
    <row r="175" spans="1:9" x14ac:dyDescent="0.2">
      <c r="A175" s="454">
        <f>MAX($A$61:A174)+1</f>
        <v>54</v>
      </c>
      <c r="C175" s="66" t="s">
        <v>89</v>
      </c>
      <c r="E175" s="122">
        <f>'Attach 2'!H410</f>
        <v>42050.04</v>
      </c>
      <c r="F175" s="230"/>
      <c r="G175" s="122">
        <v>883.8013122585013</v>
      </c>
      <c r="H175" s="367"/>
      <c r="I175" s="147">
        <v>2.1017847123534277</v>
      </c>
    </row>
    <row r="176" spans="1:9" x14ac:dyDescent="0.2">
      <c r="A176" s="454">
        <f>MAX($A$61:A175)+1</f>
        <v>55</v>
      </c>
      <c r="C176" s="66" t="s">
        <v>82</v>
      </c>
      <c r="E176" s="478">
        <f>SUM(E174:E175)</f>
        <v>42050.04</v>
      </c>
      <c r="F176" s="367"/>
      <c r="G176" s="476">
        <f>G28</f>
        <v>883.8013122585013</v>
      </c>
      <c r="H176" s="367"/>
      <c r="I176" s="139">
        <f>G176/E176 * 100</f>
        <v>2.1017847123534277</v>
      </c>
    </row>
    <row r="177" spans="1:9" x14ac:dyDescent="0.2">
      <c r="A177" s="454"/>
      <c r="E177" s="487"/>
      <c r="F177" s="367"/>
      <c r="G177" s="122"/>
      <c r="H177" s="367"/>
      <c r="I177" s="147"/>
    </row>
    <row r="178" spans="1:9" x14ac:dyDescent="0.2">
      <c r="A178" s="454"/>
      <c r="C178" s="76" t="s">
        <v>474</v>
      </c>
      <c r="E178" s="67"/>
      <c r="F178" s="67"/>
      <c r="G178" s="72"/>
      <c r="H178" s="511"/>
      <c r="I178" s="512"/>
    </row>
    <row r="179" spans="1:9" x14ac:dyDescent="0.2">
      <c r="C179" s="66" t="s">
        <v>20</v>
      </c>
      <c r="G179" s="366"/>
      <c r="H179" s="366"/>
      <c r="I179" s="366"/>
    </row>
    <row r="180" spans="1:9" x14ac:dyDescent="0.2">
      <c r="C180" s="66" t="s">
        <v>86</v>
      </c>
      <c r="G180" s="366"/>
      <c r="H180" s="366"/>
      <c r="I180" s="366"/>
    </row>
    <row r="181" spans="1:9" x14ac:dyDescent="0.2">
      <c r="A181" s="454">
        <f>MAX($A$61:A180)+1</f>
        <v>56</v>
      </c>
      <c r="C181" s="66" t="s">
        <v>91</v>
      </c>
      <c r="E181" s="122">
        <f>'Attach 2'!H443</f>
        <v>1046728.4725490094</v>
      </c>
      <c r="F181" s="230"/>
      <c r="G181" s="122">
        <v>10994.999821374939</v>
      </c>
      <c r="H181" s="367"/>
      <c r="I181" s="147">
        <v>1.0504156626789509</v>
      </c>
    </row>
    <row r="182" spans="1:9" x14ac:dyDescent="0.2">
      <c r="A182" s="454">
        <f>MAX($A$61:A181)+1</f>
        <v>57</v>
      </c>
      <c r="C182" s="66" t="s">
        <v>92</v>
      </c>
      <c r="E182" s="122">
        <f>'Attach 2'!H444</f>
        <v>936218.47187615535</v>
      </c>
      <c r="F182" s="230"/>
      <c r="G182" s="122">
        <v>9351.1571687586747</v>
      </c>
      <c r="H182" s="367"/>
      <c r="I182" s="147">
        <v>0.99882211787802266</v>
      </c>
    </row>
    <row r="183" spans="1:9" x14ac:dyDescent="0.2">
      <c r="A183" s="454">
        <f>MAX($A$61:A182)+1</f>
        <v>58</v>
      </c>
      <c r="C183" s="66" t="s">
        <v>93</v>
      </c>
      <c r="E183" s="122">
        <f>'Attach 2'!H445</f>
        <v>1272185.1806675675</v>
      </c>
      <c r="F183" s="230"/>
      <c r="G183" s="122">
        <v>11011.099542496273</v>
      </c>
      <c r="H183" s="367"/>
      <c r="I183" s="147">
        <v>0.86552647443340747</v>
      </c>
    </row>
    <row r="184" spans="1:9" x14ac:dyDescent="0.2">
      <c r="A184" s="454">
        <f>MAX($A$61:A183)+1</f>
        <v>59</v>
      </c>
      <c r="C184" s="66" t="s">
        <v>90</v>
      </c>
      <c r="E184" s="478">
        <f>SUM(E181:E183)</f>
        <v>3255132.1250927323</v>
      </c>
      <c r="F184" s="230"/>
      <c r="G184" s="476">
        <f>G32</f>
        <v>31357.256532629886</v>
      </c>
      <c r="H184" s="367"/>
      <c r="I184" s="139">
        <f>G184/E184 * 100</f>
        <v>0.96331747307297333</v>
      </c>
    </row>
    <row r="185" spans="1:9" x14ac:dyDescent="0.2">
      <c r="E185" s="230"/>
      <c r="F185" s="230"/>
      <c r="G185" s="367"/>
      <c r="H185" s="367"/>
      <c r="I185" s="367"/>
    </row>
    <row r="186" spans="1:9" x14ac:dyDescent="0.2">
      <c r="C186" s="66" t="s">
        <v>21</v>
      </c>
      <c r="E186" s="230"/>
      <c r="F186" s="230"/>
      <c r="G186" s="367"/>
      <c r="H186" s="367"/>
      <c r="I186" s="367"/>
    </row>
    <row r="187" spans="1:9" x14ac:dyDescent="0.2">
      <c r="C187" s="66" t="s">
        <v>86</v>
      </c>
      <c r="E187" s="230"/>
      <c r="F187" s="230"/>
      <c r="G187" s="367"/>
      <c r="H187" s="367"/>
      <c r="I187" s="367"/>
    </row>
    <row r="188" spans="1:9" x14ac:dyDescent="0.2">
      <c r="A188" s="454">
        <f>MAX($A$61:A187)+1</f>
        <v>60</v>
      </c>
      <c r="C188" s="66" t="s">
        <v>121</v>
      </c>
      <c r="E188" s="122">
        <f>'Attach 2'!H470</f>
        <v>88010.242093017703</v>
      </c>
      <c r="F188" s="230"/>
      <c r="G188" s="122">
        <v>551.30696422102608</v>
      </c>
      <c r="H188" s="367"/>
      <c r="I188" s="147">
        <v>0.62641228010525385</v>
      </c>
    </row>
    <row r="189" spans="1:9" x14ac:dyDescent="0.2">
      <c r="A189" s="454">
        <f>MAX($A$61:A188)+1</f>
        <v>61</v>
      </c>
      <c r="C189" s="66" t="s">
        <v>122</v>
      </c>
      <c r="E189" s="122">
        <f>'Attach 2'!H471</f>
        <v>384165.61847793142</v>
      </c>
      <c r="F189" s="230"/>
      <c r="G189" s="122">
        <v>2363.5188837992869</v>
      </c>
      <c r="H189" s="367"/>
      <c r="I189" s="147">
        <v>0.61523435990018471</v>
      </c>
    </row>
    <row r="190" spans="1:9" x14ac:dyDescent="0.2">
      <c r="A190" s="454">
        <f>MAX($A$61:A189)+1</f>
        <v>62</v>
      </c>
      <c r="C190" s="66" t="s">
        <v>123</v>
      </c>
      <c r="E190" s="122">
        <f>'Attach 2'!H472</f>
        <v>366712.75773243775</v>
      </c>
      <c r="F190" s="230"/>
      <c r="G190" s="122">
        <v>2116.3775211640982</v>
      </c>
      <c r="H190" s="367"/>
      <c r="I190" s="147">
        <v>0.57712132358052748</v>
      </c>
    </row>
    <row r="191" spans="1:9" x14ac:dyDescent="0.2">
      <c r="A191" s="454">
        <f>MAX($A$61:A190)+1</f>
        <v>63</v>
      </c>
      <c r="C191" s="66" t="s">
        <v>124</v>
      </c>
      <c r="E191" s="122">
        <f>'Attach 2'!H473</f>
        <v>480487.78100537433</v>
      </c>
      <c r="F191" s="230"/>
      <c r="G191" s="122">
        <v>2581.9302877247092</v>
      </c>
      <c r="H191" s="367"/>
      <c r="I191" s="147">
        <v>0.53735607642763972</v>
      </c>
    </row>
    <row r="192" spans="1:9" x14ac:dyDescent="0.2">
      <c r="A192" s="454">
        <f>MAX($A$61:A191)+1</f>
        <v>64</v>
      </c>
      <c r="C192" s="66" t="s">
        <v>126</v>
      </c>
      <c r="E192" s="478">
        <f>SUM(E188:E191)</f>
        <v>1319376.3993087613</v>
      </c>
      <c r="F192" s="230"/>
      <c r="G192" s="476">
        <f>G33</f>
        <v>7613.13365690912</v>
      </c>
      <c r="H192" s="367"/>
      <c r="I192" s="139">
        <f>G192/E192 * 100</f>
        <v>0.57702515073770766</v>
      </c>
    </row>
    <row r="193" spans="1:10" x14ac:dyDescent="0.2">
      <c r="A193" s="454"/>
      <c r="E193" s="487"/>
      <c r="F193" s="230"/>
      <c r="G193" s="122"/>
      <c r="H193" s="367"/>
      <c r="I193" s="147"/>
    </row>
    <row r="194" spans="1:10" x14ac:dyDescent="0.2">
      <c r="C194" s="66" t="s">
        <v>22</v>
      </c>
      <c r="E194" s="230"/>
      <c r="F194" s="230"/>
      <c r="G194" s="367"/>
      <c r="H194" s="367"/>
      <c r="I194" s="367"/>
    </row>
    <row r="195" spans="1:10" x14ac:dyDescent="0.2">
      <c r="C195" s="66" t="s">
        <v>89</v>
      </c>
      <c r="E195" s="230"/>
      <c r="F195" s="230"/>
      <c r="G195" s="367"/>
      <c r="H195" s="367"/>
      <c r="I195" s="367"/>
    </row>
    <row r="196" spans="1:10" x14ac:dyDescent="0.2">
      <c r="A196" s="454">
        <f>MAX($A$61:A195)+1</f>
        <v>65</v>
      </c>
      <c r="C196" s="96" t="s">
        <v>127</v>
      </c>
      <c r="E196" s="122">
        <f>'Attach 2'!H489</f>
        <v>20879.34</v>
      </c>
      <c r="F196" s="230"/>
      <c r="G196" s="122">
        <v>3413.6202256177867</v>
      </c>
      <c r="H196" s="367"/>
      <c r="I196" s="147">
        <v>16.349272657171092</v>
      </c>
    </row>
    <row r="197" spans="1:10" x14ac:dyDescent="0.2">
      <c r="A197" s="454">
        <f>MAX($A$61:A196)+1</f>
        <v>66</v>
      </c>
      <c r="C197" s="96" t="s">
        <v>128</v>
      </c>
      <c r="E197" s="122">
        <f>'Attach 2'!H490</f>
        <v>20175.232</v>
      </c>
      <c r="F197" s="230"/>
      <c r="G197" s="122">
        <v>1571.3174425163459</v>
      </c>
      <c r="H197" s="367"/>
      <c r="I197" s="147">
        <v>7.7883488155989777</v>
      </c>
    </row>
    <row r="198" spans="1:10" x14ac:dyDescent="0.2">
      <c r="A198" s="454">
        <f>MAX($A$61:A197)+1</f>
        <v>67</v>
      </c>
      <c r="C198" s="96" t="s">
        <v>129</v>
      </c>
      <c r="E198" s="122">
        <f>'Attach 2'!H491</f>
        <v>5781.4719999999998</v>
      </c>
      <c r="F198" s="230"/>
      <c r="G198" s="122">
        <v>385.96660548802191</v>
      </c>
      <c r="H198" s="367"/>
      <c r="I198" s="147">
        <v>6.6759227665207392</v>
      </c>
    </row>
    <row r="199" spans="1:10" x14ac:dyDescent="0.2">
      <c r="A199" s="454">
        <f>MAX($A$61:A198)+1</f>
        <v>68</v>
      </c>
      <c r="C199" s="66" t="s">
        <v>125</v>
      </c>
      <c r="E199" s="478">
        <f>SUM(E196:E198)</f>
        <v>46836.044000000002</v>
      </c>
      <c r="F199" s="230"/>
      <c r="G199" s="476">
        <f>G34</f>
        <v>5370.9042736221545</v>
      </c>
      <c r="H199" s="367"/>
      <c r="I199" s="139">
        <f>G199/E199 * 100</f>
        <v>11.467459279058996</v>
      </c>
    </row>
    <row r="200" spans="1:10" x14ac:dyDescent="0.2">
      <c r="E200" s="230"/>
      <c r="F200" s="230"/>
      <c r="G200" s="230"/>
      <c r="H200" s="230"/>
      <c r="I200" s="230"/>
    </row>
    <row r="201" spans="1:10" x14ac:dyDescent="0.2">
      <c r="E201" s="230"/>
      <c r="F201" s="230"/>
      <c r="G201" s="230"/>
      <c r="H201" s="230"/>
      <c r="I201" s="230"/>
    </row>
    <row r="202" spans="1:10" x14ac:dyDescent="0.2">
      <c r="E202" s="230"/>
      <c r="F202" s="230"/>
      <c r="G202" s="230"/>
      <c r="H202" s="230"/>
      <c r="I202" s="230"/>
    </row>
    <row r="203" spans="1:10" x14ac:dyDescent="0.2">
      <c r="A203" s="324" t="s">
        <v>949</v>
      </c>
      <c r="B203" s="229"/>
      <c r="C203" s="229"/>
      <c r="D203" s="229"/>
      <c r="E203" s="229"/>
      <c r="F203" s="229"/>
      <c r="G203" s="229"/>
      <c r="H203" s="229"/>
      <c r="I203" s="229"/>
      <c r="J203" s="229"/>
    </row>
    <row r="204" spans="1:10" x14ac:dyDescent="0.2">
      <c r="A204" s="324"/>
      <c r="B204" s="229"/>
      <c r="C204" s="229"/>
      <c r="D204" s="229"/>
      <c r="E204" s="229"/>
      <c r="F204" s="229"/>
      <c r="G204" s="229"/>
      <c r="H204" s="229"/>
      <c r="I204" s="229"/>
      <c r="J204" s="229"/>
    </row>
    <row r="205" spans="1:10" x14ac:dyDescent="0.2">
      <c r="A205" s="67"/>
      <c r="B205" s="67"/>
      <c r="C205" s="67" t="s">
        <v>385</v>
      </c>
      <c r="D205" s="67"/>
      <c r="E205" s="67">
        <v>2024</v>
      </c>
      <c r="F205" s="67"/>
      <c r="G205" s="67">
        <v>2024</v>
      </c>
      <c r="H205" s="67"/>
      <c r="I205" s="67">
        <v>2024</v>
      </c>
    </row>
    <row r="206" spans="1:10" x14ac:dyDescent="0.2">
      <c r="A206" s="67"/>
      <c r="B206" s="67"/>
      <c r="C206" s="67"/>
      <c r="D206" s="67"/>
      <c r="E206" s="67" t="s">
        <v>386</v>
      </c>
      <c r="F206" s="67"/>
      <c r="G206" s="67" t="s">
        <v>387</v>
      </c>
      <c r="H206" s="67"/>
      <c r="I206" s="67" t="s">
        <v>387</v>
      </c>
    </row>
    <row r="207" spans="1:10" x14ac:dyDescent="0.2">
      <c r="A207" s="67" t="s">
        <v>0</v>
      </c>
      <c r="B207" s="67"/>
      <c r="C207" s="67"/>
      <c r="D207" s="67"/>
      <c r="E207" s="67" t="s">
        <v>49</v>
      </c>
      <c r="F207" s="67"/>
      <c r="G207" s="67" t="s">
        <v>543</v>
      </c>
      <c r="H207" s="67"/>
      <c r="I207" s="67" t="s">
        <v>349</v>
      </c>
    </row>
    <row r="208" spans="1:10" x14ac:dyDescent="0.2">
      <c r="A208" s="70" t="s">
        <v>1</v>
      </c>
      <c r="B208" s="67"/>
      <c r="C208" s="73" t="s">
        <v>33</v>
      </c>
      <c r="D208" s="67"/>
      <c r="E208" s="70" t="s">
        <v>388</v>
      </c>
      <c r="F208" s="67"/>
      <c r="G208" s="70" t="s">
        <v>389</v>
      </c>
      <c r="H208" s="67"/>
      <c r="I208" s="70" t="s">
        <v>390</v>
      </c>
    </row>
    <row r="209" spans="1:9" x14ac:dyDescent="0.2">
      <c r="A209" s="454"/>
      <c r="E209" s="67" t="s">
        <v>3</v>
      </c>
      <c r="F209" s="67"/>
      <c r="G209" s="72" t="s">
        <v>4</v>
      </c>
      <c r="H209" s="71"/>
      <c r="I209" s="69" t="s">
        <v>119</v>
      </c>
    </row>
    <row r="210" spans="1:9" x14ac:dyDescent="0.2">
      <c r="A210" s="454"/>
      <c r="E210" s="67"/>
      <c r="F210" s="67"/>
      <c r="G210" s="72"/>
      <c r="H210" s="71"/>
      <c r="I210" s="69"/>
    </row>
    <row r="211" spans="1:9" x14ac:dyDescent="0.2">
      <c r="C211" s="66" t="s">
        <v>23</v>
      </c>
      <c r="E211" s="230"/>
      <c r="F211" s="230"/>
      <c r="G211" s="230"/>
      <c r="H211" s="230"/>
      <c r="I211" s="230"/>
    </row>
    <row r="212" spans="1:9" x14ac:dyDescent="0.2">
      <c r="C212" s="66" t="s">
        <v>141</v>
      </c>
      <c r="E212" s="122"/>
      <c r="F212" s="230"/>
      <c r="G212" s="230"/>
      <c r="H212" s="230"/>
      <c r="I212" s="230"/>
    </row>
    <row r="213" spans="1:9" x14ac:dyDescent="0.2">
      <c r="A213" s="454">
        <f>MAX($A$61:A212)+1</f>
        <v>69</v>
      </c>
      <c r="C213" s="96" t="s">
        <v>345</v>
      </c>
      <c r="E213" s="122">
        <f>'Attach 2'!H539</f>
        <v>431.904</v>
      </c>
      <c r="F213" s="230"/>
      <c r="G213" s="122">
        <f>G217*(E214/E217)</f>
        <v>29.032704549759654</v>
      </c>
      <c r="H213" s="230"/>
      <c r="I213" s="147">
        <f>G213/E213 * 100</f>
        <v>6.7220272444246065</v>
      </c>
    </row>
    <row r="214" spans="1:9" x14ac:dyDescent="0.2">
      <c r="A214" s="454">
        <f>MAX($A$61:A213)+1</f>
        <v>70</v>
      </c>
      <c r="C214" s="26" t="s">
        <v>366</v>
      </c>
      <c r="E214" s="122">
        <f>'Attach 2'!H540</f>
        <v>4405.8775999999998</v>
      </c>
      <c r="F214" s="230"/>
      <c r="G214" s="122"/>
      <c r="H214" s="230"/>
      <c r="I214" s="230"/>
    </row>
    <row r="215" spans="1:9" x14ac:dyDescent="0.2">
      <c r="C215" s="66" t="s">
        <v>135</v>
      </c>
      <c r="E215" s="230"/>
      <c r="F215" s="230"/>
      <c r="G215" s="122"/>
      <c r="H215" s="230"/>
      <c r="I215" s="230"/>
    </row>
    <row r="216" spans="1:9" x14ac:dyDescent="0.2">
      <c r="A216" s="454">
        <f>MAX($A$61:A215)+1</f>
        <v>71</v>
      </c>
      <c r="C216" s="26" t="s">
        <v>473</v>
      </c>
      <c r="E216" s="122">
        <f>'Attach 2'!H531</f>
        <v>55087.023449999993</v>
      </c>
      <c r="F216" s="230"/>
      <c r="G216" s="122">
        <f>G217*(E216/E217)</f>
        <v>362.99811786635456</v>
      </c>
      <c r="H216" s="230"/>
      <c r="I216" s="147">
        <f>G216/E216 * 100</f>
        <v>0.65895395164313342</v>
      </c>
    </row>
    <row r="217" spans="1:9" x14ac:dyDescent="0.2">
      <c r="A217" s="454">
        <f>MAX($A$61:A216)+1</f>
        <v>72</v>
      </c>
      <c r="C217" s="66" t="s">
        <v>203</v>
      </c>
      <c r="E217" s="478">
        <f>SUM(E214:E216)</f>
        <v>59492.901049999993</v>
      </c>
      <c r="F217" s="230"/>
      <c r="G217" s="476">
        <f>G35</f>
        <v>392.03082241611423</v>
      </c>
      <c r="H217" s="230"/>
      <c r="I217" s="139">
        <f>G217/E217 * 100</f>
        <v>0.65895395164313353</v>
      </c>
    </row>
    <row r="218" spans="1:9" x14ac:dyDescent="0.2">
      <c r="E218" s="230"/>
      <c r="F218" s="230"/>
      <c r="G218" s="230"/>
      <c r="H218" s="230"/>
      <c r="I218" s="230"/>
    </row>
    <row r="219" spans="1:9" x14ac:dyDescent="0.2">
      <c r="C219" s="66" t="s">
        <v>24</v>
      </c>
      <c r="E219" s="230"/>
      <c r="F219" s="230"/>
      <c r="G219" s="230"/>
      <c r="H219" s="230"/>
      <c r="I219" s="230"/>
    </row>
    <row r="220" spans="1:9" x14ac:dyDescent="0.2">
      <c r="C220" s="66" t="s">
        <v>141</v>
      </c>
      <c r="E220" s="230"/>
      <c r="F220" s="230"/>
      <c r="G220" s="230"/>
      <c r="H220" s="230"/>
      <c r="I220" s="230"/>
    </row>
    <row r="221" spans="1:9" x14ac:dyDescent="0.2">
      <c r="A221" s="454">
        <f>MAX($A$61:A220)+1</f>
        <v>73</v>
      </c>
      <c r="C221" s="27" t="s">
        <v>89</v>
      </c>
      <c r="E221" s="122">
        <f>'Attach 2'!H557</f>
        <v>71858.168000000005</v>
      </c>
      <c r="F221" s="230"/>
      <c r="G221" s="122">
        <f>G225 * (E222/E225)</f>
        <v>3681.5984085796554</v>
      </c>
      <c r="H221" s="230"/>
      <c r="I221" s="147">
        <f>G221/E221 * 100</f>
        <v>5.1234236984439336</v>
      </c>
    </row>
    <row r="222" spans="1:9" x14ac:dyDescent="0.2">
      <c r="A222" s="454">
        <f>MAX($A$61:A221)+1</f>
        <v>74</v>
      </c>
      <c r="C222" s="27" t="s">
        <v>366</v>
      </c>
      <c r="E222" s="122">
        <f>'Attach 2'!H558</f>
        <v>713737.64702999999</v>
      </c>
      <c r="F222" s="230"/>
      <c r="G222" s="122">
        <v>0</v>
      </c>
      <c r="H222" s="230"/>
      <c r="I222" s="122">
        <v>0</v>
      </c>
    </row>
    <row r="223" spans="1:9" x14ac:dyDescent="0.2">
      <c r="C223" s="66" t="s">
        <v>476</v>
      </c>
      <c r="E223" s="230"/>
      <c r="F223" s="230"/>
      <c r="G223" s="122"/>
      <c r="H223" s="230"/>
      <c r="I223" s="230"/>
    </row>
    <row r="224" spans="1:9" x14ac:dyDescent="0.2">
      <c r="A224" s="454">
        <f>MAX($A$61:A223)+1</f>
        <v>75</v>
      </c>
      <c r="C224" s="96" t="s">
        <v>475</v>
      </c>
      <c r="E224" s="122">
        <f>'Attach 2'!H564</f>
        <v>75999.023490000007</v>
      </c>
      <c r="F224" s="230"/>
      <c r="G224" s="122">
        <f>G225 * E224/E225</f>
        <v>392.01783049932266</v>
      </c>
      <c r="H224" s="230"/>
      <c r="I224" s="147">
        <f>G224/E224 * 100</f>
        <v>0.51581956253806938</v>
      </c>
    </row>
    <row r="225" spans="1:9" x14ac:dyDescent="0.2">
      <c r="A225" s="454">
        <f>MAX($A$61:A224)+1</f>
        <v>76</v>
      </c>
      <c r="C225" s="66" t="s">
        <v>142</v>
      </c>
      <c r="E225" s="478">
        <f>SUM(E222:E224)</f>
        <v>789736.67052000004</v>
      </c>
      <c r="F225" s="230"/>
      <c r="G225" s="476">
        <f>G36</f>
        <v>4073.6162390789787</v>
      </c>
      <c r="H225" s="230"/>
      <c r="I225" s="139">
        <f>G225/E225 * 100</f>
        <v>0.51581956253806938</v>
      </c>
    </row>
    <row r="226" spans="1:9" x14ac:dyDescent="0.2">
      <c r="E226" s="230"/>
      <c r="F226" s="230"/>
      <c r="G226" s="230"/>
      <c r="H226" s="230"/>
      <c r="I226" s="230"/>
    </row>
    <row r="227" spans="1:9" x14ac:dyDescent="0.2">
      <c r="C227" s="66" t="s">
        <v>25</v>
      </c>
      <c r="E227" s="230"/>
      <c r="F227" s="230"/>
      <c r="G227" s="230"/>
      <c r="H227" s="230"/>
      <c r="I227" s="230"/>
    </row>
    <row r="228" spans="1:9" x14ac:dyDescent="0.2">
      <c r="A228" s="454">
        <f>MAX($A$61:A227)+1</f>
        <v>77</v>
      </c>
      <c r="C228" s="96" t="s">
        <v>345</v>
      </c>
      <c r="E228" s="476">
        <f>'Attach 2'!H588</f>
        <v>6040.4639999999999</v>
      </c>
      <c r="F228" s="230"/>
      <c r="G228" s="476">
        <f>G37</f>
        <v>17.336871388943816</v>
      </c>
      <c r="H228" s="230"/>
      <c r="I228" s="139">
        <f>G228/E228 * 100</f>
        <v>0.28701224589607383</v>
      </c>
    </row>
    <row r="229" spans="1:9" x14ac:dyDescent="0.2">
      <c r="A229" s="454"/>
      <c r="C229" s="96"/>
      <c r="E229" s="122"/>
      <c r="F229" s="230"/>
      <c r="G229" s="122"/>
      <c r="H229" s="230"/>
      <c r="I229" s="147"/>
    </row>
    <row r="230" spans="1:9" x14ac:dyDescent="0.2">
      <c r="C230" s="66" t="s">
        <v>26</v>
      </c>
      <c r="E230" s="230"/>
      <c r="F230" s="230"/>
      <c r="G230" s="230"/>
      <c r="H230" s="230"/>
      <c r="I230" s="230"/>
    </row>
    <row r="231" spans="1:9" x14ac:dyDescent="0.2">
      <c r="C231" s="66" t="s">
        <v>141</v>
      </c>
      <c r="E231" s="230"/>
      <c r="F231" s="230"/>
      <c r="G231" s="230"/>
      <c r="H231" s="230"/>
      <c r="I231" s="230"/>
    </row>
    <row r="232" spans="1:9" x14ac:dyDescent="0.2">
      <c r="C232" s="96" t="s">
        <v>345</v>
      </c>
      <c r="E232" s="230"/>
      <c r="F232" s="230"/>
      <c r="G232" s="230"/>
      <c r="H232" s="230"/>
      <c r="I232" s="230"/>
    </row>
    <row r="233" spans="1:9" x14ac:dyDescent="0.2">
      <c r="A233" s="454">
        <f>MAX($A$61:A232)+1</f>
        <v>78</v>
      </c>
      <c r="C233" s="482" t="s">
        <v>205</v>
      </c>
      <c r="E233" s="122">
        <f>'Attach 2'!H606</f>
        <v>14363.064</v>
      </c>
      <c r="F233" s="230"/>
      <c r="G233" s="122">
        <v>535.50661281021132</v>
      </c>
      <c r="H233" s="367"/>
      <c r="I233" s="147">
        <v>3.7283591635476334</v>
      </c>
    </row>
    <row r="234" spans="1:9" x14ac:dyDescent="0.2">
      <c r="A234" s="454">
        <f>MAX($A$61:A233)+1</f>
        <v>79</v>
      </c>
      <c r="C234" s="482" t="s">
        <v>206</v>
      </c>
      <c r="E234" s="122">
        <f>'Attach 2'!H607</f>
        <v>12176.784</v>
      </c>
      <c r="F234" s="230"/>
      <c r="G234" s="122">
        <v>322.47401773941993</v>
      </c>
      <c r="H234" s="367"/>
      <c r="I234" s="147">
        <v>2.6482691796078499</v>
      </c>
    </row>
    <row r="235" spans="1:9" x14ac:dyDescent="0.2">
      <c r="A235" s="454">
        <f>MAX($A$61:A234)+1</f>
        <v>80</v>
      </c>
      <c r="C235" s="96" t="s">
        <v>561</v>
      </c>
      <c r="E235" s="122">
        <f>'Attach 2'!H609</f>
        <v>393753.99073000008</v>
      </c>
      <c r="F235" s="230"/>
      <c r="G235" s="230"/>
      <c r="H235" s="230"/>
      <c r="I235" s="230"/>
    </row>
    <row r="236" spans="1:9" x14ac:dyDescent="0.2">
      <c r="C236" s="66" t="s">
        <v>135</v>
      </c>
      <c r="E236" s="230"/>
      <c r="F236" s="230"/>
      <c r="G236" s="230"/>
      <c r="H236" s="230"/>
      <c r="I236" s="230"/>
    </row>
    <row r="237" spans="1:9" x14ac:dyDescent="0.2">
      <c r="A237" s="454">
        <f>MAX($A$61:A236)+1</f>
        <v>81</v>
      </c>
      <c r="C237" s="96" t="s">
        <v>86</v>
      </c>
      <c r="E237" s="122">
        <f>'Attach 2'!H610</f>
        <v>37535.500949999994</v>
      </c>
      <c r="F237" s="230"/>
      <c r="G237" s="122">
        <f>(G238 * (E237/E238))</f>
        <v>81.78896857241071</v>
      </c>
      <c r="H237" s="230"/>
      <c r="I237" s="147">
        <f>G237/E237 * 100</f>
        <v>0.2178976342459357</v>
      </c>
    </row>
    <row r="238" spans="1:9" x14ac:dyDescent="0.2">
      <c r="A238" s="454">
        <f>MAX($A$61:A237)+1</f>
        <v>82</v>
      </c>
      <c r="C238" s="66" t="s">
        <v>210</v>
      </c>
      <c r="E238" s="478">
        <f>SUM(E235:E237)</f>
        <v>431289.49168000009</v>
      </c>
      <c r="F238" s="230"/>
      <c r="G238" s="476">
        <f>G38</f>
        <v>939.76959912204188</v>
      </c>
      <c r="H238" s="230"/>
      <c r="I238" s="139">
        <f>G238/E238 * 100</f>
        <v>0.2178976342459357</v>
      </c>
    </row>
    <row r="239" spans="1:9" x14ac:dyDescent="0.2">
      <c r="E239" s="230"/>
      <c r="F239" s="230"/>
      <c r="G239" s="230"/>
      <c r="H239" s="230"/>
      <c r="I239" s="230"/>
    </row>
    <row r="240" spans="1:9" x14ac:dyDescent="0.2">
      <c r="C240" s="66" t="s">
        <v>27</v>
      </c>
      <c r="E240" s="230"/>
      <c r="F240" s="230"/>
      <c r="G240" s="230"/>
      <c r="H240" s="230"/>
      <c r="I240" s="230"/>
    </row>
    <row r="241" spans="1:9" x14ac:dyDescent="0.2">
      <c r="C241" s="66" t="s">
        <v>141</v>
      </c>
      <c r="E241" s="230"/>
      <c r="F241" s="230"/>
      <c r="G241" s="230"/>
      <c r="H241" s="230"/>
      <c r="I241" s="230"/>
    </row>
    <row r="242" spans="1:9" x14ac:dyDescent="0.2">
      <c r="C242" s="96" t="s">
        <v>345</v>
      </c>
      <c r="E242" s="230"/>
      <c r="F242" s="230"/>
      <c r="G242" s="230"/>
      <c r="H242" s="230"/>
      <c r="I242" s="230"/>
    </row>
    <row r="243" spans="1:9" x14ac:dyDescent="0.2">
      <c r="A243" s="454">
        <f>MAX($A$61:A242)+1</f>
        <v>83</v>
      </c>
      <c r="C243" s="482" t="s">
        <v>222</v>
      </c>
      <c r="E243" s="122">
        <f>'Attach 2'!H648</f>
        <v>60333.714</v>
      </c>
      <c r="F243" s="230"/>
      <c r="G243" s="122">
        <v>1039.4423194902083</v>
      </c>
      <c r="H243" s="367"/>
      <c r="I243" s="147">
        <v>1.7228217037827447</v>
      </c>
    </row>
    <row r="244" spans="1:9" x14ac:dyDescent="0.2">
      <c r="A244" s="454">
        <f>MAX($A$61:A243)+1</f>
        <v>84</v>
      </c>
      <c r="C244" s="482" t="s">
        <v>223</v>
      </c>
      <c r="E244" s="122">
        <f>'Attach 2'!H649</f>
        <v>248379.71</v>
      </c>
      <c r="F244" s="230"/>
      <c r="G244" s="122">
        <v>2384.3770363647227</v>
      </c>
      <c r="H244" s="367"/>
      <c r="I244" s="147">
        <v>0.95997255023959993</v>
      </c>
    </row>
    <row r="245" spans="1:9" x14ac:dyDescent="0.2">
      <c r="A245" s="454">
        <f>MAX($A$61:A244)+1</f>
        <v>85</v>
      </c>
      <c r="C245" s="96" t="s">
        <v>561</v>
      </c>
      <c r="E245" s="122">
        <f>'Attach 2'!H651</f>
        <v>4963881.1019000001</v>
      </c>
      <c r="F245" s="230"/>
      <c r="G245" s="122">
        <v>0</v>
      </c>
      <c r="H245" s="230"/>
      <c r="I245" s="122">
        <v>0</v>
      </c>
    </row>
    <row r="246" spans="1:9" x14ac:dyDescent="0.2">
      <c r="C246" s="66" t="s">
        <v>135</v>
      </c>
      <c r="E246" s="230"/>
      <c r="F246" s="230"/>
      <c r="G246" s="230"/>
      <c r="H246" s="230"/>
      <c r="I246" s="230"/>
    </row>
    <row r="247" spans="1:9" x14ac:dyDescent="0.2">
      <c r="A247" s="454">
        <f>MAX($A$61:A246)+1</f>
        <v>86</v>
      </c>
      <c r="C247" s="96" t="s">
        <v>86</v>
      </c>
      <c r="E247" s="122">
        <f>'Attach 2'!H652</f>
        <v>41762.222750000008</v>
      </c>
      <c r="F247" s="230"/>
      <c r="G247" s="122">
        <f>(G248 * (E247/E248))</f>
        <v>28.805344781575254</v>
      </c>
      <c r="H247" s="230"/>
      <c r="I247" s="147">
        <f>G247/E247 * 100</f>
        <v>6.8974644750141437E-2</v>
      </c>
    </row>
    <row r="248" spans="1:9" x14ac:dyDescent="0.2">
      <c r="A248" s="454">
        <f>MAX($A$61:A247)+1</f>
        <v>87</v>
      </c>
      <c r="C248" s="66" t="s">
        <v>224</v>
      </c>
      <c r="E248" s="478">
        <f>SUM(E245:E247)</f>
        <v>5005643.3246499998</v>
      </c>
      <c r="F248" s="230"/>
      <c r="G248" s="476">
        <f>G39</f>
        <v>3452.6247006365065</v>
      </c>
      <c r="H248" s="230"/>
      <c r="I248" s="139">
        <f>G248/E248 * 100</f>
        <v>6.8974644750141437E-2</v>
      </c>
    </row>
    <row r="249" spans="1:9" x14ac:dyDescent="0.2">
      <c r="E249" s="230"/>
      <c r="F249" s="230"/>
      <c r="G249" s="230"/>
      <c r="H249" s="230"/>
      <c r="I249" s="230"/>
    </row>
    <row r="250" spans="1:9" x14ac:dyDescent="0.2">
      <c r="C250" s="66" t="s">
        <v>28</v>
      </c>
      <c r="E250" s="230"/>
      <c r="F250" s="230"/>
      <c r="G250" s="230"/>
      <c r="H250" s="230"/>
      <c r="I250" s="230"/>
    </row>
    <row r="251" spans="1:9" x14ac:dyDescent="0.2">
      <c r="A251" s="454">
        <f>MAX($A$61:A250)+1</f>
        <v>88</v>
      </c>
      <c r="C251" s="66" t="s">
        <v>141</v>
      </c>
      <c r="E251" s="230"/>
      <c r="F251" s="230"/>
      <c r="G251" s="230"/>
      <c r="H251" s="230"/>
      <c r="I251" s="230"/>
    </row>
    <row r="252" spans="1:9" x14ac:dyDescent="0.2">
      <c r="A252" s="454">
        <f>MAX($A$61:A251)+1</f>
        <v>89</v>
      </c>
      <c r="C252" s="96" t="s">
        <v>345</v>
      </c>
      <c r="E252" s="476">
        <f>'Attach 2'!H681</f>
        <v>28200</v>
      </c>
      <c r="F252" s="230"/>
      <c r="G252" s="476">
        <f>G40</f>
        <v>109.0892213736786</v>
      </c>
      <c r="H252" s="230"/>
      <c r="I252" s="139">
        <f>G252/E252 * 100</f>
        <v>0.38684121054495957</v>
      </c>
    </row>
    <row r="253" spans="1:9" x14ac:dyDescent="0.2"/>
    <row r="254" spans="1:9" ht="13.5" thickBot="1" x14ac:dyDescent="0.25">
      <c r="A254" s="454">
        <f>MAX($A$61:A253)+1</f>
        <v>90</v>
      </c>
      <c r="B254" s="301"/>
      <c r="C254" s="532" t="s">
        <v>457</v>
      </c>
      <c r="G254" s="510">
        <f>+G252+G248+G238+G228+G225+G217+G199+G192+G184+G176+G172+G168+G162+G143+G133+G129+G125+G121+G117+G91+G87+G83+G79+G75+G65</f>
        <v>148822.20000896251</v>
      </c>
    </row>
    <row r="255" spans="1:9" ht="15" customHeight="1" thickTop="1" x14ac:dyDescent="0.2">
      <c r="H255" s="530"/>
      <c r="I255" s="530"/>
    </row>
    <row r="256" spans="1:9" x14ac:dyDescent="0.2">
      <c r="A256" s="76" t="s">
        <v>29</v>
      </c>
      <c r="H256" s="483"/>
      <c r="I256" s="483"/>
    </row>
    <row r="257" spans="1:7" x14ac:dyDescent="0.2">
      <c r="A257" s="77" t="s">
        <v>267</v>
      </c>
      <c r="B257" s="483"/>
      <c r="C257" s="564" t="s">
        <v>997</v>
      </c>
      <c r="D257" s="564"/>
      <c r="E257" s="564"/>
      <c r="F257" s="564"/>
      <c r="G257" s="564"/>
    </row>
    <row r="258" spans="1:7" x14ac:dyDescent="0.2">
      <c r="A258" s="77" t="s">
        <v>268</v>
      </c>
      <c r="C258" s="565" t="s">
        <v>1077</v>
      </c>
      <c r="D258" s="565"/>
      <c r="E258" s="565"/>
      <c r="F258" s="565"/>
      <c r="G258" s="565"/>
    </row>
    <row r="259" spans="1:7" x14ac:dyDescent="0.2"/>
    <row r="260" spans="1:7" x14ac:dyDescent="0.2"/>
    <row r="261" spans="1:7" x14ac:dyDescent="0.2"/>
    <row r="262" spans="1:7" x14ac:dyDescent="0.2"/>
    <row r="263" spans="1:7" x14ac:dyDescent="0.2"/>
    <row r="264" spans="1:7" x14ac:dyDescent="0.2"/>
    <row r="265" spans="1:7" x14ac:dyDescent="0.2"/>
    <row r="266" spans="1:7" x14ac:dyDescent="0.2"/>
    <row r="267" spans="1:7" x14ac:dyDescent="0.2"/>
    <row r="268" spans="1:7" x14ac:dyDescent="0.2"/>
    <row r="269" spans="1:7" x14ac:dyDescent="0.2"/>
    <row r="270" spans="1:7" x14ac:dyDescent="0.2"/>
    <row r="271" spans="1:7" x14ac:dyDescent="0.2"/>
    <row r="272" spans="1:7" x14ac:dyDescent="0.2"/>
    <row r="273" spans="9:9" x14ac:dyDescent="0.2"/>
    <row r="274" spans="9:9" x14ac:dyDescent="0.2"/>
    <row r="275" spans="9:9" x14ac:dyDescent="0.2"/>
    <row r="276" spans="9:9" x14ac:dyDescent="0.2"/>
    <row r="277" spans="9:9" x14ac:dyDescent="0.2"/>
    <row r="278" spans="9:9" x14ac:dyDescent="0.2"/>
    <row r="279" spans="9:9" x14ac:dyDescent="0.2"/>
    <row r="280" spans="9:9" x14ac:dyDescent="0.2"/>
    <row r="281" spans="9:9" x14ac:dyDescent="0.2"/>
    <row r="282" spans="9:9" x14ac:dyDescent="0.2"/>
    <row r="283" spans="9:9" x14ac:dyDescent="0.2"/>
    <row r="284" spans="9:9" x14ac:dyDescent="0.2"/>
    <row r="285" spans="9:9" x14ac:dyDescent="0.2"/>
    <row r="286" spans="9:9" x14ac:dyDescent="0.2">
      <c r="I286" s="484"/>
    </row>
    <row r="287" spans="9:9" x14ac:dyDescent="0.2"/>
    <row r="288" spans="9:9"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sheetData>
  <mergeCells count="3">
    <mergeCell ref="C46:G46"/>
    <mergeCell ref="C257:G257"/>
    <mergeCell ref="C258:G258"/>
  </mergeCells>
  <pageMargins left="0.7" right="0.7" top="0.75" bottom="0.75" header="0.3" footer="0.3"/>
  <pageSetup scale="80" fitToHeight="0" orientation="portrait" horizontalDpi="1200" verticalDpi="1200" r:id="rId1"/>
  <headerFooter>
    <oddHeader>&amp;R&amp;"Arial,Regular"&amp;10Filed: 2022-11-30
EB-2022-0200
Exhibit 8
Tab 2
Schedule 8
Attachment 9
Page &amp;P of &amp;N</oddHeader>
  </headerFooter>
  <rowBreaks count="5" manualBreakCount="5">
    <brk id="46" max="16383" man="1"/>
    <brk id="91" max="8" man="1"/>
    <brk id="143" max="8" man="1"/>
    <brk id="143" max="8" man="1"/>
    <brk id="199"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3BF2E-C7ED-4160-9107-E79A790979D3}">
  <sheetPr>
    <pageSetUpPr fitToPage="1"/>
  </sheetPr>
  <dimension ref="A4:M723"/>
  <sheetViews>
    <sheetView view="pageLayout" zoomScaleNormal="100" zoomScaleSheetLayoutView="80" workbookViewId="0"/>
  </sheetViews>
  <sheetFormatPr defaultColWidth="9.140625" defaultRowHeight="12.75" x14ac:dyDescent="0.2"/>
  <cols>
    <col min="1" max="1" width="4.7109375" style="46" customWidth="1"/>
    <col min="2" max="2" width="1.5703125" style="46" customWidth="1"/>
    <col min="3" max="3" width="35.7109375" style="46" customWidth="1"/>
    <col min="4" max="4" width="1.5703125" style="46" customWidth="1"/>
    <col min="5" max="6" width="15.7109375" style="46" customWidth="1"/>
    <col min="7" max="7" width="1.5703125" style="46" customWidth="1"/>
    <col min="8" max="8" width="10.85546875" style="46" bestFit="1" customWidth="1"/>
    <col min="9" max="9" width="10.140625" style="46" bestFit="1" customWidth="1"/>
    <col min="10" max="10" width="12" style="46" bestFit="1" customWidth="1"/>
    <col min="11" max="11" width="1.5703125" style="46" customWidth="1"/>
    <col min="12" max="13" width="15.7109375" style="46" customWidth="1"/>
    <col min="14" max="16384" width="9.140625" style="46"/>
  </cols>
  <sheetData>
    <row r="4" spans="1:13" x14ac:dyDescent="0.2">
      <c r="A4" s="566" t="s">
        <v>1146</v>
      </c>
      <c r="B4" s="566"/>
      <c r="C4" s="566"/>
      <c r="D4" s="566"/>
      <c r="E4" s="566"/>
      <c r="F4" s="566"/>
      <c r="G4" s="566"/>
      <c r="H4" s="566"/>
      <c r="I4" s="566"/>
      <c r="J4" s="566"/>
      <c r="K4" s="566"/>
      <c r="L4" s="566"/>
      <c r="M4" s="566"/>
    </row>
    <row r="5" spans="1:13" x14ac:dyDescent="0.2">
      <c r="A5" s="566" t="s">
        <v>394</v>
      </c>
      <c r="B5" s="566"/>
      <c r="C5" s="566"/>
      <c r="D5" s="566"/>
      <c r="E5" s="566"/>
      <c r="F5" s="566"/>
      <c r="G5" s="566"/>
      <c r="H5" s="566"/>
      <c r="I5" s="566"/>
      <c r="J5" s="566"/>
      <c r="K5" s="566"/>
      <c r="L5" s="566"/>
      <c r="M5" s="566"/>
    </row>
    <row r="7" spans="1:13" x14ac:dyDescent="0.2">
      <c r="A7" s="454"/>
      <c r="B7" s="66"/>
      <c r="C7" s="66"/>
      <c r="D7" s="66"/>
      <c r="E7" s="567" t="s">
        <v>894</v>
      </c>
      <c r="F7" s="567"/>
      <c r="G7" s="66"/>
      <c r="H7" s="567" t="s">
        <v>893</v>
      </c>
      <c r="I7" s="567"/>
      <c r="J7" s="567"/>
      <c r="K7" s="66"/>
      <c r="L7" s="567" t="s">
        <v>892</v>
      </c>
      <c r="M7" s="567"/>
    </row>
    <row r="8" spans="1:13" x14ac:dyDescent="0.2">
      <c r="A8" s="454"/>
      <c r="B8" s="66"/>
      <c r="C8" s="66"/>
      <c r="D8" s="66"/>
      <c r="E8" s="454"/>
      <c r="F8" s="454"/>
      <c r="G8" s="66"/>
      <c r="H8" s="454"/>
      <c r="I8" s="454"/>
      <c r="J8" s="454" t="s">
        <v>889</v>
      </c>
      <c r="K8" s="66"/>
      <c r="L8" s="454" t="s">
        <v>891</v>
      </c>
      <c r="M8" s="454" t="s">
        <v>890</v>
      </c>
    </row>
    <row r="9" spans="1:13" x14ac:dyDescent="0.2">
      <c r="A9" s="454" t="s">
        <v>0</v>
      </c>
      <c r="B9" s="66"/>
      <c r="C9" s="66"/>
      <c r="D9" s="66"/>
      <c r="E9" s="454" t="s">
        <v>889</v>
      </c>
      <c r="F9" s="454" t="s">
        <v>265</v>
      </c>
      <c r="G9" s="66"/>
      <c r="H9" s="454" t="s">
        <v>889</v>
      </c>
      <c r="I9" s="454" t="s">
        <v>265</v>
      </c>
      <c r="J9" s="454" t="s">
        <v>361</v>
      </c>
      <c r="K9" s="66"/>
      <c r="L9" s="454" t="s">
        <v>888</v>
      </c>
      <c r="M9" s="454" t="s">
        <v>888</v>
      </c>
    </row>
    <row r="10" spans="1:13" ht="14.25" x14ac:dyDescent="0.2">
      <c r="A10" s="534" t="s">
        <v>1</v>
      </c>
      <c r="B10" s="66"/>
      <c r="C10" s="75" t="s">
        <v>33</v>
      </c>
      <c r="D10" s="66"/>
      <c r="E10" s="534" t="s">
        <v>470</v>
      </c>
      <c r="F10" s="534" t="s">
        <v>35</v>
      </c>
      <c r="G10" s="66"/>
      <c r="H10" s="534" t="s">
        <v>470</v>
      </c>
      <c r="I10" s="534" t="s">
        <v>35</v>
      </c>
      <c r="J10" s="534" t="s">
        <v>470</v>
      </c>
      <c r="K10" s="66"/>
      <c r="L10" s="534" t="s">
        <v>2</v>
      </c>
      <c r="M10" s="534" t="s">
        <v>2</v>
      </c>
    </row>
    <row r="11" spans="1:13" x14ac:dyDescent="0.2">
      <c r="A11" s="454"/>
      <c r="B11" s="66"/>
      <c r="C11" s="66"/>
      <c r="D11" s="66"/>
      <c r="E11" s="454" t="s">
        <v>3</v>
      </c>
      <c r="F11" s="454" t="s">
        <v>4</v>
      </c>
      <c r="G11" s="454"/>
      <c r="H11" s="454" t="s">
        <v>119</v>
      </c>
      <c r="I11" s="454" t="s">
        <v>263</v>
      </c>
      <c r="J11" s="454" t="s">
        <v>887</v>
      </c>
      <c r="K11" s="454"/>
      <c r="L11" s="454" t="s">
        <v>886</v>
      </c>
      <c r="M11" s="454" t="s">
        <v>38</v>
      </c>
    </row>
    <row r="13" spans="1:13" ht="14.25" x14ac:dyDescent="0.2">
      <c r="A13" s="454"/>
      <c r="B13" s="66"/>
      <c r="C13" s="76" t="s">
        <v>885</v>
      </c>
      <c r="D13" s="66"/>
      <c r="E13" s="568" t="s">
        <v>884</v>
      </c>
      <c r="F13" s="568"/>
      <c r="G13" s="454"/>
      <c r="H13" s="454"/>
      <c r="I13" s="454"/>
      <c r="J13" s="454"/>
      <c r="K13" s="454"/>
      <c r="L13" s="454"/>
      <c r="M13" s="454"/>
    </row>
    <row r="14" spans="1:13" x14ac:dyDescent="0.2">
      <c r="A14" s="454">
        <f>1</f>
        <v>1</v>
      </c>
      <c r="B14" s="66"/>
      <c r="C14" s="66" t="s">
        <v>856</v>
      </c>
      <c r="D14" s="66"/>
      <c r="E14" s="306">
        <v>523.4028498113031</v>
      </c>
      <c r="F14" s="317">
        <v>21.808452075470964</v>
      </c>
      <c r="G14" s="454"/>
      <c r="H14" s="306">
        <v>555.904054191976</v>
      </c>
      <c r="I14" s="317">
        <v>23.162668924665667</v>
      </c>
      <c r="J14" s="304">
        <f>H14-E14</f>
        <v>32.501204380672903</v>
      </c>
      <c r="K14" s="305"/>
      <c r="L14" s="315">
        <f>J14/E14</f>
        <v>6.2095963734989636E-2</v>
      </c>
      <c r="M14" s="315">
        <f>L14</f>
        <v>6.2095963734989636E-2</v>
      </c>
    </row>
    <row r="15" spans="1:13" x14ac:dyDescent="0.2">
      <c r="A15" s="454">
        <f>A14+1</f>
        <v>2</v>
      </c>
      <c r="B15" s="66"/>
      <c r="C15" s="66" t="s">
        <v>858</v>
      </c>
      <c r="D15" s="66"/>
      <c r="E15" s="306">
        <v>234.95999999999995</v>
      </c>
      <c r="F15" s="317">
        <v>9.7899999999999991</v>
      </c>
      <c r="G15" s="305"/>
      <c r="H15" s="306">
        <v>234.95999999999995</v>
      </c>
      <c r="I15" s="317">
        <v>9.7899999999999991</v>
      </c>
      <c r="J15" s="304">
        <f>H15-E15</f>
        <v>0</v>
      </c>
      <c r="K15" s="305"/>
      <c r="L15" s="120">
        <f>IFERROR(J15/E15,"100.0%")</f>
        <v>0</v>
      </c>
      <c r="M15" s="120">
        <v>0</v>
      </c>
    </row>
    <row r="16" spans="1:13" x14ac:dyDescent="0.2">
      <c r="A16" s="454">
        <f>A15+1</f>
        <v>3</v>
      </c>
      <c r="B16" s="66"/>
      <c r="C16" s="66" t="s">
        <v>855</v>
      </c>
      <c r="D16" s="66"/>
      <c r="E16" s="306">
        <v>94.241865288417301</v>
      </c>
      <c r="F16" s="317">
        <v>3.9267443870173877</v>
      </c>
      <c r="G16" s="305"/>
      <c r="H16" s="306">
        <v>46.615199999999994</v>
      </c>
      <c r="I16" s="317">
        <v>1.9422999999999999</v>
      </c>
      <c r="J16" s="304">
        <f>H16-E16</f>
        <v>-47.626665288417307</v>
      </c>
      <c r="K16" s="305"/>
      <c r="L16" s="133">
        <f>IFERROR(J16/E16,"100.0%")</f>
        <v>-0.50536632676635718</v>
      </c>
      <c r="M16" s="133">
        <f>L16</f>
        <v>-0.50536632676635718</v>
      </c>
    </row>
    <row r="17" spans="1:13" x14ac:dyDescent="0.2">
      <c r="A17" s="454">
        <f>A16+1</f>
        <v>4</v>
      </c>
      <c r="B17" s="66"/>
      <c r="C17" s="66" t="s">
        <v>88</v>
      </c>
      <c r="D17" s="66"/>
      <c r="E17" s="306">
        <v>441.05992846934868</v>
      </c>
      <c r="F17" s="317">
        <v>18.377497019556195</v>
      </c>
      <c r="G17" s="454"/>
      <c r="H17" s="306">
        <v>501.68160000000006</v>
      </c>
      <c r="I17" s="317">
        <v>20.903400000000001</v>
      </c>
      <c r="J17" s="304">
        <f>H17-E17</f>
        <v>60.621671530651383</v>
      </c>
      <c r="K17" s="66"/>
      <c r="L17" s="315">
        <f>J17/E17</f>
        <v>0.13744543001453888</v>
      </c>
      <c r="M17" s="315">
        <f>L17</f>
        <v>0.13744543001453888</v>
      </c>
    </row>
    <row r="18" spans="1:13" x14ac:dyDescent="0.2">
      <c r="A18" s="454">
        <f>A17+1</f>
        <v>5</v>
      </c>
      <c r="B18" s="66"/>
      <c r="C18" s="66" t="s">
        <v>854</v>
      </c>
      <c r="D18" s="66"/>
      <c r="E18" s="312">
        <f>SUM(E14:E17)</f>
        <v>1293.6646435690691</v>
      </c>
      <c r="F18" s="314">
        <v>53.902693482044548</v>
      </c>
      <c r="G18" s="454"/>
      <c r="H18" s="312">
        <f>SUM(H14:H17)</f>
        <v>1339.1608541919759</v>
      </c>
      <c r="I18" s="314">
        <v>55.798368924665667</v>
      </c>
      <c r="J18" s="310">
        <f>SUM(J14:J17)</f>
        <v>45.496210622906979</v>
      </c>
      <c r="K18" s="66"/>
      <c r="L18" s="313">
        <f>J18/E18</f>
        <v>3.5168473413162371E-2</v>
      </c>
      <c r="M18" s="313">
        <f>(J14+J17+J16)/(E14+E17+E16)</f>
        <v>4.2973468473257753E-2</v>
      </c>
    </row>
    <row r="19" spans="1:13" x14ac:dyDescent="0.2">
      <c r="A19" s="454"/>
      <c r="B19" s="66"/>
      <c r="C19" s="66"/>
      <c r="D19" s="66"/>
      <c r="E19" s="306"/>
      <c r="F19" s="305"/>
      <c r="G19" s="454"/>
      <c r="H19" s="306"/>
      <c r="I19" s="305"/>
      <c r="J19" s="304"/>
      <c r="K19" s="66"/>
      <c r="L19" s="303"/>
      <c r="M19" s="303"/>
    </row>
    <row r="20" spans="1:13" x14ac:dyDescent="0.2">
      <c r="A20" s="454">
        <f>A18+1</f>
        <v>6</v>
      </c>
      <c r="B20" s="66"/>
      <c r="C20" s="66" t="s">
        <v>853</v>
      </c>
      <c r="D20" s="66"/>
      <c r="E20" s="312">
        <v>1354.2863150997205</v>
      </c>
      <c r="F20" s="311">
        <v>56.428596462488358</v>
      </c>
      <c r="G20" s="454"/>
      <c r="H20" s="312">
        <v>1383.8464541919759</v>
      </c>
      <c r="I20" s="311">
        <v>57.660268924665658</v>
      </c>
      <c r="J20" s="310">
        <v>29.560139092255596</v>
      </c>
      <c r="K20" s="66"/>
      <c r="L20" s="309">
        <v>2.1827097241308969E-2</v>
      </c>
      <c r="M20" s="309">
        <v>2.640886638104465E-2</v>
      </c>
    </row>
    <row r="21" spans="1:13" x14ac:dyDescent="0.2">
      <c r="A21" s="454">
        <f>A20+1</f>
        <v>7</v>
      </c>
      <c r="B21" s="66"/>
      <c r="C21" s="66" t="s">
        <v>852</v>
      </c>
      <c r="D21" s="66"/>
      <c r="E21" s="303"/>
      <c r="F21" s="303"/>
      <c r="G21" s="303"/>
      <c r="H21" s="303"/>
      <c r="I21" s="303"/>
      <c r="J21" s="304"/>
      <c r="K21" s="66"/>
      <c r="L21" s="309">
        <v>3.4670391294749352E-2</v>
      </c>
      <c r="M21" s="309">
        <v>4.7859454423540289E-2</v>
      </c>
    </row>
    <row r="22" spans="1:13" x14ac:dyDescent="0.2">
      <c r="A22" s="454">
        <f>A21+1</f>
        <v>8</v>
      </c>
      <c r="B22" s="66"/>
      <c r="C22" s="66" t="s">
        <v>851</v>
      </c>
      <c r="D22" s="66"/>
      <c r="E22" s="312">
        <v>1283.3177328762138</v>
      </c>
      <c r="F22" s="311">
        <v>53.471572203175576</v>
      </c>
      <c r="G22" s="454"/>
      <c r="H22" s="312">
        <v>1339.1608541919759</v>
      </c>
      <c r="I22" s="311">
        <v>55.798368924665667</v>
      </c>
      <c r="J22" s="310">
        <v>55.843121315762282</v>
      </c>
      <c r="K22" s="66"/>
      <c r="L22" s="309">
        <v>4.3514649478586138E-2</v>
      </c>
      <c r="M22" s="309">
        <v>5.3267238428770222E-2</v>
      </c>
    </row>
    <row r="23" spans="1:13" x14ac:dyDescent="0.2">
      <c r="A23" s="454">
        <f>A22+1</f>
        <v>9</v>
      </c>
      <c r="B23" s="66"/>
      <c r="C23" s="66" t="s">
        <v>850</v>
      </c>
      <c r="D23" s="66"/>
      <c r="E23" s="303"/>
      <c r="F23" s="303"/>
      <c r="G23" s="303"/>
      <c r="H23" s="303"/>
      <c r="I23" s="303"/>
      <c r="J23" s="304"/>
      <c r="K23" s="66"/>
      <c r="L23" s="309">
        <v>7.1443884138613717E-2</v>
      </c>
      <c r="M23" s="309">
        <v>0.10215028232887402</v>
      </c>
    </row>
    <row r="24" spans="1:13" x14ac:dyDescent="0.2">
      <c r="A24" s="454"/>
      <c r="B24" s="66"/>
      <c r="C24" s="66"/>
      <c r="D24" s="66"/>
      <c r="E24" s="454"/>
      <c r="F24" s="454"/>
      <c r="G24" s="454"/>
      <c r="H24" s="454"/>
      <c r="I24" s="323"/>
      <c r="J24" s="322"/>
      <c r="K24" s="454"/>
      <c r="L24" s="454"/>
      <c r="M24" s="306"/>
    </row>
    <row r="25" spans="1:13" ht="14.25" x14ac:dyDescent="0.2">
      <c r="A25" s="454"/>
      <c r="B25" s="66"/>
      <c r="C25" s="76" t="s">
        <v>883</v>
      </c>
      <c r="D25" s="66"/>
      <c r="E25" s="568" t="s">
        <v>881</v>
      </c>
      <c r="F25" s="568"/>
      <c r="G25" s="66"/>
      <c r="H25" s="66"/>
      <c r="I25" s="66"/>
      <c r="J25" s="304"/>
      <c r="K25" s="66"/>
      <c r="L25" s="66"/>
      <c r="M25" s="66"/>
    </row>
    <row r="26" spans="1:13" x14ac:dyDescent="0.2">
      <c r="A26" s="454">
        <f>A23+1</f>
        <v>10</v>
      </c>
      <c r="B26" s="66"/>
      <c r="C26" s="66" t="s">
        <v>856</v>
      </c>
      <c r="D26" s="66"/>
      <c r="E26" s="306">
        <v>799.29773884635165</v>
      </c>
      <c r="F26" s="317">
        <v>15.833948867796192</v>
      </c>
      <c r="G26" s="454"/>
      <c r="H26" s="306">
        <v>849.26345864830523</v>
      </c>
      <c r="I26" s="317">
        <v>16.823761066725538</v>
      </c>
      <c r="J26" s="304">
        <f>H26-E26</f>
        <v>49.965719801953583</v>
      </c>
      <c r="K26" s="305"/>
      <c r="L26" s="315">
        <f>J26/E26</f>
        <v>6.25120244604601E-2</v>
      </c>
      <c r="M26" s="315">
        <f>L26</f>
        <v>6.25120244604601E-2</v>
      </c>
    </row>
    <row r="27" spans="1:13" x14ac:dyDescent="0.2">
      <c r="A27" s="454">
        <f>A26+1</f>
        <v>11</v>
      </c>
      <c r="B27" s="66"/>
      <c r="C27" s="66" t="s">
        <v>858</v>
      </c>
      <c r="D27" s="66"/>
      <c r="E27" s="306">
        <v>494.19919999999996</v>
      </c>
      <c r="F27" s="317">
        <v>9.7899999999999991</v>
      </c>
      <c r="G27" s="305"/>
      <c r="H27" s="306">
        <v>494.19919999999996</v>
      </c>
      <c r="I27" s="317">
        <v>9.7899999999999991</v>
      </c>
      <c r="J27" s="304">
        <f>H27-E27</f>
        <v>0</v>
      </c>
      <c r="K27" s="305"/>
      <c r="L27" s="120">
        <f>IFERROR(J27/E27,"100.0%")</f>
        <v>0</v>
      </c>
      <c r="M27" s="120">
        <v>0</v>
      </c>
    </row>
    <row r="28" spans="1:13" x14ac:dyDescent="0.2">
      <c r="A28" s="454">
        <f>A27+1</f>
        <v>12</v>
      </c>
      <c r="B28" s="66"/>
      <c r="C28" s="66" t="s">
        <v>855</v>
      </c>
      <c r="D28" s="66"/>
      <c r="E28" s="306">
        <v>198.22205665663773</v>
      </c>
      <c r="F28" s="317">
        <v>3.9267443870173877</v>
      </c>
      <c r="G28" s="305"/>
      <c r="H28" s="306">
        <v>98.047303999999997</v>
      </c>
      <c r="I28" s="317">
        <v>1.9422999999999999</v>
      </c>
      <c r="J28" s="304">
        <f>H28-E28</f>
        <v>-100.17475265663774</v>
      </c>
      <c r="K28" s="305"/>
      <c r="L28" s="133">
        <f>IFERROR(J28/E28,"100.0%")</f>
        <v>-0.50536632676635707</v>
      </c>
      <c r="M28" s="133">
        <f>L28</f>
        <v>-0.50536632676635707</v>
      </c>
    </row>
    <row r="29" spans="1:13" x14ac:dyDescent="0.2">
      <c r="A29" s="454">
        <f>A28+1</f>
        <v>13</v>
      </c>
      <c r="B29" s="66"/>
      <c r="C29" s="66" t="s">
        <v>88</v>
      </c>
      <c r="D29" s="66"/>
      <c r="E29" s="306">
        <v>927.69604954719671</v>
      </c>
      <c r="F29" s="317">
        <v>18.377497019556195</v>
      </c>
      <c r="G29" s="454"/>
      <c r="H29" s="306">
        <v>1055.203632</v>
      </c>
      <c r="I29" s="317">
        <v>20.903400000000001</v>
      </c>
      <c r="J29" s="304">
        <f>H29-E29</f>
        <v>127.50758245280326</v>
      </c>
      <c r="K29" s="66"/>
      <c r="L29" s="315">
        <f>J29/E29</f>
        <v>0.13744543001453871</v>
      </c>
      <c r="M29" s="315">
        <f>L29</f>
        <v>0.13744543001453871</v>
      </c>
    </row>
    <row r="30" spans="1:13" x14ac:dyDescent="0.2">
      <c r="A30" s="454">
        <f>A29+1</f>
        <v>14</v>
      </c>
      <c r="B30" s="66"/>
      <c r="C30" s="66" t="s">
        <v>854</v>
      </c>
      <c r="D30" s="66"/>
      <c r="E30" s="312">
        <f>SUM(E26:E29)</f>
        <v>2419.4150450501861</v>
      </c>
      <c r="F30" s="314">
        <v>47.928190274369769</v>
      </c>
      <c r="G30" s="454"/>
      <c r="H30" s="312">
        <f>SUM(H26:H29)</f>
        <v>2496.7135946483049</v>
      </c>
      <c r="I30" s="314">
        <v>49.459461066725538</v>
      </c>
      <c r="J30" s="310">
        <f>SUM(J26:J29)</f>
        <v>77.298549598119109</v>
      </c>
      <c r="K30" s="66"/>
      <c r="L30" s="313">
        <f>J30/E30</f>
        <v>3.1949272100403797E-2</v>
      </c>
      <c r="M30" s="313">
        <f>(J26+J29+J28)/(E26+E29+E28)</f>
        <v>4.015058872326293E-2</v>
      </c>
    </row>
    <row r="31" spans="1:13" x14ac:dyDescent="0.2">
      <c r="A31" s="454"/>
      <c r="B31" s="66"/>
      <c r="C31" s="66"/>
      <c r="D31" s="66"/>
      <c r="E31" s="306"/>
      <c r="F31" s="305"/>
      <c r="G31" s="454"/>
      <c r="H31" s="306"/>
      <c r="I31" s="305"/>
      <c r="J31" s="304"/>
      <c r="K31" s="66"/>
      <c r="L31" s="303"/>
      <c r="M31" s="303"/>
    </row>
    <row r="32" spans="1:13" x14ac:dyDescent="0.2">
      <c r="A32" s="454">
        <f>A30+1</f>
        <v>15</v>
      </c>
      <c r="B32" s="66"/>
      <c r="C32" s="66" t="s">
        <v>853</v>
      </c>
      <c r="D32" s="66"/>
      <c r="E32" s="312">
        <v>2546.9226275029896</v>
      </c>
      <c r="F32" s="311">
        <v>50.454093254813579</v>
      </c>
      <c r="G32" s="454"/>
      <c r="H32" s="312">
        <v>2590.7023066483052</v>
      </c>
      <c r="I32" s="311">
        <v>51.321361066725537</v>
      </c>
      <c r="J32" s="310">
        <v>43.779679145315839</v>
      </c>
      <c r="K32" s="66"/>
      <c r="L32" s="309">
        <v>1.7189245826535988E-2</v>
      </c>
      <c r="M32" s="309">
        <v>2.1327607294164854E-2</v>
      </c>
    </row>
    <row r="33" spans="1:13" x14ac:dyDescent="0.2">
      <c r="A33" s="454">
        <f>A32+1</f>
        <v>16</v>
      </c>
      <c r="B33" s="66"/>
      <c r="C33" s="66" t="s">
        <v>852</v>
      </c>
      <c r="D33" s="66"/>
      <c r="E33" s="303"/>
      <c r="F33" s="303"/>
      <c r="G33" s="303"/>
      <c r="H33" s="303"/>
      <c r="I33" s="303"/>
      <c r="J33" s="304"/>
      <c r="K33" s="66"/>
      <c r="L33" s="309">
        <v>2.9348476004727599E-2</v>
      </c>
      <c r="M33" s="309">
        <v>4.3888531678953173E-2</v>
      </c>
    </row>
    <row r="34" spans="1:13" x14ac:dyDescent="0.2">
      <c r="A34" s="454">
        <f>A33+1</f>
        <v>17</v>
      </c>
      <c r="B34" s="66"/>
      <c r="C34" s="66" t="s">
        <v>851</v>
      </c>
      <c r="D34" s="66"/>
      <c r="E34" s="312">
        <v>2397.6520428928802</v>
      </c>
      <c r="F34" s="311">
        <v>47.497068995500797</v>
      </c>
      <c r="G34" s="454"/>
      <c r="H34" s="312">
        <v>2496.7135946483049</v>
      </c>
      <c r="I34" s="311">
        <v>49.459461066725538</v>
      </c>
      <c r="J34" s="310">
        <v>99.061551755424915</v>
      </c>
      <c r="K34" s="66"/>
      <c r="L34" s="309">
        <v>4.1316066711624459E-2</v>
      </c>
      <c r="M34" s="309">
        <v>5.2043081668821656E-2</v>
      </c>
    </row>
    <row r="35" spans="1:13" x14ac:dyDescent="0.2">
      <c r="A35" s="454">
        <f>A34+1</f>
        <v>18</v>
      </c>
      <c r="B35" s="66"/>
      <c r="C35" s="66" t="s">
        <v>850</v>
      </c>
      <c r="D35" s="66"/>
      <c r="E35" s="303"/>
      <c r="F35" s="303"/>
      <c r="G35" s="303"/>
      <c r="H35" s="303"/>
      <c r="I35" s="303"/>
      <c r="J35" s="304"/>
      <c r="K35" s="66"/>
      <c r="L35" s="309">
        <v>7.3791701008113803E-2</v>
      </c>
      <c r="M35" s="309">
        <v>0.11678354719735157</v>
      </c>
    </row>
    <row r="36" spans="1:13" x14ac:dyDescent="0.2">
      <c r="A36" s="454"/>
      <c r="B36" s="66"/>
      <c r="C36" s="66"/>
      <c r="D36" s="66"/>
      <c r="E36" s="454"/>
      <c r="F36" s="454"/>
      <c r="G36" s="454"/>
      <c r="H36" s="454"/>
      <c r="I36" s="454"/>
      <c r="J36" s="322"/>
      <c r="K36" s="454"/>
      <c r="L36" s="454"/>
      <c r="M36" s="454"/>
    </row>
    <row r="37" spans="1:13" ht="14.25" x14ac:dyDescent="0.2">
      <c r="A37" s="454"/>
      <c r="B37" s="66"/>
      <c r="C37" s="76" t="s">
        <v>882</v>
      </c>
      <c r="D37" s="66"/>
      <c r="E37" s="568" t="s">
        <v>881</v>
      </c>
      <c r="F37" s="568"/>
      <c r="G37" s="454"/>
      <c r="H37" s="454"/>
      <c r="I37" s="454"/>
      <c r="J37" s="322"/>
      <c r="K37" s="454"/>
      <c r="L37" s="454"/>
      <c r="M37" s="454"/>
    </row>
    <row r="38" spans="1:13" x14ac:dyDescent="0.2">
      <c r="A38" s="454">
        <f>A35+1</f>
        <v>19</v>
      </c>
      <c r="B38" s="66"/>
      <c r="C38" s="66" t="s">
        <v>856</v>
      </c>
      <c r="D38" s="66"/>
      <c r="E38" s="306">
        <v>1473.4404328194944</v>
      </c>
      <c r="F38" s="317">
        <v>29.188598114490777</v>
      </c>
      <c r="G38" s="454"/>
      <c r="H38" s="306">
        <v>1539.9029380000002</v>
      </c>
      <c r="I38" s="317">
        <v>30.505208755942952</v>
      </c>
      <c r="J38" s="304">
        <f>H38-E38</f>
        <v>66.462505180505786</v>
      </c>
      <c r="K38" s="305"/>
      <c r="L38" s="315">
        <f>J38/E38</f>
        <v>4.510701871627535E-2</v>
      </c>
      <c r="M38" s="315">
        <f>L38</f>
        <v>4.510701871627535E-2</v>
      </c>
    </row>
    <row r="39" spans="1:13" x14ac:dyDescent="0.2">
      <c r="A39" s="454">
        <f>A38+1</f>
        <v>20</v>
      </c>
      <c r="B39" s="66"/>
      <c r="C39" s="66" t="s">
        <v>858</v>
      </c>
      <c r="D39" s="66"/>
      <c r="E39" s="306">
        <v>494.19919999999996</v>
      </c>
      <c r="F39" s="317">
        <v>9.7899999999999991</v>
      </c>
      <c r="G39" s="305"/>
      <c r="H39" s="306">
        <v>494.19919999999996</v>
      </c>
      <c r="I39" s="317">
        <v>9.7899999999999991</v>
      </c>
      <c r="J39" s="304">
        <f>H39-E39</f>
        <v>0</v>
      </c>
      <c r="K39" s="305"/>
      <c r="L39" s="120">
        <f>IFERROR(J39/E39,"100.0%")</f>
        <v>0</v>
      </c>
      <c r="M39" s="120">
        <v>0</v>
      </c>
    </row>
    <row r="40" spans="1:13" x14ac:dyDescent="0.2">
      <c r="A40" s="454">
        <f>A39+1</f>
        <v>21</v>
      </c>
      <c r="B40" s="66"/>
      <c r="C40" s="66" t="s">
        <v>855</v>
      </c>
      <c r="D40" s="66"/>
      <c r="E40" s="306">
        <v>198.22205653463902</v>
      </c>
      <c r="F40" s="317">
        <v>3.9267443846006147</v>
      </c>
      <c r="G40" s="305"/>
      <c r="H40" s="306">
        <v>93.059879999999993</v>
      </c>
      <c r="I40" s="317">
        <v>1.8434999999999999</v>
      </c>
      <c r="J40" s="304">
        <f>H40-E40</f>
        <v>-105.16217653463903</v>
      </c>
      <c r="K40" s="305"/>
      <c r="L40" s="133">
        <f>IFERROR(J40/E40,"100.0%")</f>
        <v>-0.53052711879347336</v>
      </c>
      <c r="M40" s="133">
        <f>L40</f>
        <v>-0.53052711879347336</v>
      </c>
    </row>
    <row r="41" spans="1:13" x14ac:dyDescent="0.2">
      <c r="A41" s="454">
        <f>A40+1</f>
        <v>22</v>
      </c>
      <c r="B41" s="66"/>
      <c r="C41" s="66" t="s">
        <v>88</v>
      </c>
      <c r="D41" s="66"/>
      <c r="E41" s="306">
        <v>928.87233049839688</v>
      </c>
      <c r="F41" s="317">
        <v>18.400798940142568</v>
      </c>
      <c r="G41" s="454"/>
      <c r="H41" s="306">
        <v>1055.203632</v>
      </c>
      <c r="I41" s="317">
        <v>20.903400000000001</v>
      </c>
      <c r="J41" s="304">
        <f>H41-E41</f>
        <v>126.33130150160309</v>
      </c>
      <c r="K41" s="66"/>
      <c r="L41" s="315">
        <f>J41/E41</f>
        <v>0.13600502173836809</v>
      </c>
      <c r="M41" s="315">
        <f>L41</f>
        <v>0.13600502173836809</v>
      </c>
    </row>
    <row r="42" spans="1:13" x14ac:dyDescent="0.2">
      <c r="A42" s="454">
        <f>A41+1</f>
        <v>23</v>
      </c>
      <c r="B42" s="66"/>
      <c r="C42" s="66" t="s">
        <v>854</v>
      </c>
      <c r="D42" s="66"/>
      <c r="E42" s="312">
        <f>SUM(E38:E41)</f>
        <v>3094.7340198525303</v>
      </c>
      <c r="F42" s="314">
        <v>61.306141439233961</v>
      </c>
      <c r="G42" s="454"/>
      <c r="H42" s="312">
        <f>SUM(H38:H41)</f>
        <v>3182.3656499999997</v>
      </c>
      <c r="I42" s="314">
        <v>63.042108755942941</v>
      </c>
      <c r="J42" s="310">
        <f>SUM(J38:J41)</f>
        <v>87.631630147469849</v>
      </c>
      <c r="K42" s="66"/>
      <c r="L42" s="313">
        <f>J42/E42</f>
        <v>2.8316368898043669E-2</v>
      </c>
      <c r="M42" s="313">
        <f>(J38+J41+J40)/(E38+E41+E40)</f>
        <v>3.3697541551256455E-2</v>
      </c>
    </row>
    <row r="43" spans="1:13" x14ac:dyDescent="0.2">
      <c r="A43" s="454"/>
      <c r="B43" s="66"/>
      <c r="C43" s="66"/>
      <c r="D43" s="66"/>
      <c r="E43" s="306"/>
      <c r="F43" s="305"/>
      <c r="G43" s="454"/>
      <c r="H43" s="306"/>
      <c r="I43" s="305"/>
      <c r="J43" s="304"/>
      <c r="K43" s="66"/>
      <c r="L43" s="303"/>
      <c r="M43" s="303"/>
    </row>
    <row r="44" spans="1:13" x14ac:dyDescent="0.2">
      <c r="A44" s="454">
        <f>A42+1</f>
        <v>24</v>
      </c>
      <c r="B44" s="66"/>
      <c r="C44" s="66" t="s">
        <v>853</v>
      </c>
      <c r="D44" s="66"/>
      <c r="E44" s="312">
        <v>3221.0653213541336</v>
      </c>
      <c r="F44" s="311">
        <v>63.808742499091395</v>
      </c>
      <c r="G44" s="454"/>
      <c r="H44" s="312">
        <v>3276.354362</v>
      </c>
      <c r="I44" s="311">
        <v>64.90400875594294</v>
      </c>
      <c r="J44" s="310">
        <v>55.289040645866748</v>
      </c>
      <c r="K44" s="66"/>
      <c r="L44" s="309">
        <v>1.7164830616543746E-2</v>
      </c>
      <c r="M44" s="309">
        <v>2.027567111303975E-2</v>
      </c>
    </row>
    <row r="45" spans="1:13" x14ac:dyDescent="0.2">
      <c r="A45" s="454">
        <f>A44+1</f>
        <v>25</v>
      </c>
      <c r="B45" s="66"/>
      <c r="C45" s="66" t="s">
        <v>852</v>
      </c>
      <c r="D45" s="66"/>
      <c r="E45" s="303"/>
      <c r="F45" s="303"/>
      <c r="G45" s="303"/>
      <c r="H45" s="303"/>
      <c r="I45" s="303"/>
      <c r="J45" s="304"/>
      <c r="K45" s="66"/>
      <c r="L45" s="309">
        <v>2.5527502941498591E-2</v>
      </c>
      <c r="M45" s="309">
        <v>3.3074284431200175E-2</v>
      </c>
    </row>
    <row r="46" spans="1:13" x14ac:dyDescent="0.2">
      <c r="A46" s="454">
        <f>A45+1</f>
        <v>26</v>
      </c>
      <c r="B46" s="66"/>
      <c r="C46" s="66" t="s">
        <v>851</v>
      </c>
      <c r="D46" s="66"/>
      <c r="E46" s="312">
        <v>3071.7947509365586</v>
      </c>
      <c r="F46" s="311">
        <v>60.851718520930241</v>
      </c>
      <c r="G46" s="454"/>
      <c r="H46" s="312">
        <v>3182.3656499999997</v>
      </c>
      <c r="I46" s="311">
        <v>63.042108755942941</v>
      </c>
      <c r="J46" s="310">
        <v>110.57089906344127</v>
      </c>
      <c r="K46" s="66"/>
      <c r="L46" s="309">
        <v>3.5995536169768291E-2</v>
      </c>
      <c r="M46" s="309">
        <v>4.2896915702413357E-2</v>
      </c>
    </row>
    <row r="47" spans="1:13" x14ac:dyDescent="0.2">
      <c r="A47" s="454">
        <f>A46+1</f>
        <v>27</v>
      </c>
      <c r="B47" s="66"/>
      <c r="C47" s="66" t="s">
        <v>850</v>
      </c>
      <c r="D47" s="66"/>
      <c r="E47" s="303"/>
      <c r="F47" s="303"/>
      <c r="G47" s="303"/>
      <c r="H47" s="303"/>
      <c r="I47" s="303"/>
      <c r="J47" s="304"/>
      <c r="K47" s="66"/>
      <c r="L47" s="309">
        <v>5.4830599036730057E-2</v>
      </c>
      <c r="M47" s="309">
        <v>7.2629720171320078E-2</v>
      </c>
    </row>
    <row r="48" spans="1:13" x14ac:dyDescent="0.2">
      <c r="A48" s="454"/>
      <c r="B48" s="66"/>
      <c r="C48" s="66"/>
      <c r="D48" s="66"/>
      <c r="E48" s="454"/>
      <c r="F48" s="454"/>
      <c r="G48" s="454"/>
      <c r="H48" s="454"/>
      <c r="I48" s="454"/>
      <c r="J48" s="322"/>
      <c r="K48" s="454"/>
      <c r="L48" s="454"/>
      <c r="M48" s="306"/>
    </row>
    <row r="49" spans="1:13" ht="14.25" x14ac:dyDescent="0.2">
      <c r="A49" s="454"/>
      <c r="B49" s="66"/>
      <c r="C49" s="76" t="s">
        <v>880</v>
      </c>
      <c r="D49" s="66"/>
      <c r="E49" s="568" t="s">
        <v>879</v>
      </c>
      <c r="F49" s="568"/>
      <c r="G49" s="454"/>
      <c r="H49" s="454"/>
      <c r="I49" s="454"/>
      <c r="J49" s="322"/>
      <c r="K49" s="454"/>
      <c r="L49" s="454"/>
      <c r="M49" s="454"/>
    </row>
    <row r="50" spans="1:13" x14ac:dyDescent="0.2">
      <c r="A50" s="454">
        <f>A47+1</f>
        <v>28</v>
      </c>
      <c r="B50" s="66"/>
      <c r="C50" s="66" t="s">
        <v>856</v>
      </c>
      <c r="D50" s="66"/>
      <c r="E50" s="306">
        <v>2906.7763366492927</v>
      </c>
      <c r="F50" s="317">
        <v>12.85842845549541</v>
      </c>
      <c r="G50" s="454"/>
      <c r="H50" s="306">
        <v>2946.9098800000002</v>
      </c>
      <c r="I50" s="317">
        <v>13.035963372555958</v>
      </c>
      <c r="J50" s="304">
        <f>H50-E50</f>
        <v>40.133543350707441</v>
      </c>
      <c r="K50" s="305"/>
      <c r="L50" s="315">
        <f>J50/E50</f>
        <v>1.3806890762352321E-2</v>
      </c>
      <c r="M50" s="315">
        <f>L50</f>
        <v>1.3806890762352321E-2</v>
      </c>
    </row>
    <row r="51" spans="1:13" x14ac:dyDescent="0.2">
      <c r="A51" s="454">
        <f>A50+1</f>
        <v>29</v>
      </c>
      <c r="B51" s="66"/>
      <c r="C51" s="66" t="s">
        <v>858</v>
      </c>
      <c r="D51" s="66"/>
      <c r="E51" s="306">
        <v>2213.1273999999999</v>
      </c>
      <c r="F51" s="317">
        <v>9.7899999999999991</v>
      </c>
      <c r="G51" s="305"/>
      <c r="H51" s="306">
        <v>2213.1273999999999</v>
      </c>
      <c r="I51" s="317">
        <v>9.7899999999999991</v>
      </c>
      <c r="J51" s="304">
        <f>H51-E51</f>
        <v>0</v>
      </c>
      <c r="K51" s="305"/>
      <c r="L51" s="120">
        <f>IFERROR(J51/E51,"100.0%")</f>
        <v>0</v>
      </c>
      <c r="M51" s="120">
        <v>0</v>
      </c>
    </row>
    <row r="52" spans="1:13" x14ac:dyDescent="0.2">
      <c r="A52" s="454">
        <f>A51+1</f>
        <v>30</v>
      </c>
      <c r="B52" s="66"/>
      <c r="C52" s="66" t="s">
        <v>855</v>
      </c>
      <c r="D52" s="66"/>
      <c r="E52" s="306">
        <v>887.6798355828148</v>
      </c>
      <c r="F52" s="317">
        <v>3.9267443846006138</v>
      </c>
      <c r="G52" s="305"/>
      <c r="H52" s="306">
        <v>416.74160999999998</v>
      </c>
      <c r="I52" s="317">
        <v>1.8434999999999999</v>
      </c>
      <c r="J52" s="304">
        <f>H52-E52</f>
        <v>-470.93822558281482</v>
      </c>
      <c r="K52" s="305"/>
      <c r="L52" s="133">
        <f>IFERROR(J52/E52,"100.0%")</f>
        <v>-0.53052711879347325</v>
      </c>
      <c r="M52" s="133">
        <f>L52</f>
        <v>-0.53052711879347325</v>
      </c>
    </row>
    <row r="53" spans="1:13" x14ac:dyDescent="0.2">
      <c r="A53" s="454">
        <f>A52+1</f>
        <v>31</v>
      </c>
      <c r="B53" s="66"/>
      <c r="C53" s="66" t="s">
        <v>88</v>
      </c>
      <c r="D53" s="66"/>
      <c r="E53" s="306">
        <v>4159.6846084086292</v>
      </c>
      <c r="F53" s="317">
        <v>18.400798940142568</v>
      </c>
      <c r="G53" s="454"/>
      <c r="H53" s="306">
        <v>4725.4226040000003</v>
      </c>
      <c r="I53" s="317">
        <v>20.903400000000001</v>
      </c>
      <c r="J53" s="304">
        <f>H53-E53</f>
        <v>565.73799559137115</v>
      </c>
      <c r="K53" s="66"/>
      <c r="L53" s="315">
        <f>J53/E53</f>
        <v>0.13600502173836818</v>
      </c>
      <c r="M53" s="315">
        <f>L53</f>
        <v>0.13600502173836818</v>
      </c>
    </row>
    <row r="54" spans="1:13" x14ac:dyDescent="0.2">
      <c r="A54" s="454">
        <f>A53+1</f>
        <v>32</v>
      </c>
      <c r="B54" s="66"/>
      <c r="C54" s="66" t="s">
        <v>854</v>
      </c>
      <c r="D54" s="66"/>
      <c r="E54" s="312">
        <f>SUM(E50:E53)</f>
        <v>10167.268180640736</v>
      </c>
      <c r="F54" s="314">
        <v>44.975971780238595</v>
      </c>
      <c r="G54" s="454"/>
      <c r="H54" s="312">
        <f>SUM(H50:H53)</f>
        <v>10302.201494000001</v>
      </c>
      <c r="I54" s="314">
        <v>45.572863372555958</v>
      </c>
      <c r="J54" s="310">
        <f>SUM(J50:J53)</f>
        <v>134.93331335926376</v>
      </c>
      <c r="K54" s="66"/>
      <c r="L54" s="313">
        <f>J54/E54</f>
        <v>1.3271343979711995E-2</v>
      </c>
      <c r="M54" s="313">
        <f>(J50+J53+J52)/(E50+E53+E52)</f>
        <v>1.6963908117853851E-2</v>
      </c>
    </row>
    <row r="55" spans="1:13" x14ac:dyDescent="0.2">
      <c r="A55" s="454"/>
      <c r="B55" s="66"/>
      <c r="C55" s="66"/>
      <c r="D55" s="66"/>
      <c r="E55" s="306"/>
      <c r="F55" s="305"/>
      <c r="G55" s="454"/>
      <c r="H55" s="306"/>
      <c r="I55" s="305"/>
      <c r="J55" s="304"/>
      <c r="K55" s="66"/>
      <c r="L55" s="303"/>
      <c r="M55" s="303"/>
    </row>
    <row r="56" spans="1:13" x14ac:dyDescent="0.2">
      <c r="A56" s="454">
        <f>A54+1</f>
        <v>33</v>
      </c>
      <c r="B56" s="66"/>
      <c r="C56" s="66" t="s">
        <v>853</v>
      </c>
      <c r="D56" s="66"/>
      <c r="E56" s="312">
        <v>10733.006176232107</v>
      </c>
      <c r="F56" s="311">
        <v>47.478572840096021</v>
      </c>
      <c r="G56" s="454"/>
      <c r="H56" s="312">
        <v>10723.102608000001</v>
      </c>
      <c r="I56" s="311">
        <v>47.434763372555963</v>
      </c>
      <c r="J56" s="310">
        <v>-9.9035682321073182</v>
      </c>
      <c r="K56" s="66"/>
      <c r="L56" s="514">
        <v>-9.2272081740141427E-4</v>
      </c>
      <c r="M56" s="514">
        <v>-1.1624071764653843E-3</v>
      </c>
    </row>
    <row r="57" spans="1:13" x14ac:dyDescent="0.2">
      <c r="A57" s="454">
        <f>A56+1</f>
        <v>34</v>
      </c>
      <c r="B57" s="66"/>
      <c r="C57" s="66" t="s">
        <v>852</v>
      </c>
      <c r="D57" s="66"/>
      <c r="E57" s="303"/>
      <c r="F57" s="303"/>
      <c r="G57" s="303"/>
      <c r="H57" s="303"/>
      <c r="I57" s="303"/>
      <c r="J57" s="304"/>
      <c r="K57" s="66"/>
      <c r="L57" s="514">
        <v>-1.6485111048447163E-3</v>
      </c>
      <c r="M57" s="513">
        <v>-2.6100099151445712E-3</v>
      </c>
    </row>
    <row r="58" spans="1:13" x14ac:dyDescent="0.2">
      <c r="A58" s="454">
        <f>A57+1</f>
        <v>35</v>
      </c>
      <c r="B58" s="66"/>
      <c r="C58" s="66" t="s">
        <v>851</v>
      </c>
      <c r="D58" s="66"/>
      <c r="E58" s="312">
        <v>10064.541335728998</v>
      </c>
      <c r="F58" s="311">
        <v>44.521548861934882</v>
      </c>
      <c r="G58" s="454"/>
      <c r="H58" s="312">
        <v>10302.201494000001</v>
      </c>
      <c r="I58" s="311">
        <v>45.572863372555958</v>
      </c>
      <c r="J58" s="310">
        <v>237.66015827100057</v>
      </c>
      <c r="K58" s="66"/>
      <c r="L58" s="309">
        <v>2.3613610431238424E-2</v>
      </c>
      <c r="M58" s="309">
        <v>3.0269727238490567E-2</v>
      </c>
    </row>
    <row r="59" spans="1:13" x14ac:dyDescent="0.2">
      <c r="A59" s="454">
        <f>A58+1</f>
        <v>36</v>
      </c>
      <c r="B59" s="66"/>
      <c r="C59" s="66" t="s">
        <v>850</v>
      </c>
      <c r="D59" s="66"/>
      <c r="E59" s="303"/>
      <c r="F59" s="303"/>
      <c r="G59" s="303"/>
      <c r="H59" s="303"/>
      <c r="I59" s="303"/>
      <c r="J59" s="304"/>
      <c r="K59" s="66"/>
      <c r="L59" s="309">
        <v>4.4512993662914419E-2</v>
      </c>
      <c r="M59" s="309">
        <v>7.6027132851820695E-2</v>
      </c>
    </row>
    <row r="60" spans="1:13" x14ac:dyDescent="0.2">
      <c r="A60" s="454"/>
      <c r="B60" s="66"/>
      <c r="C60" s="66"/>
      <c r="D60" s="66"/>
      <c r="E60" s="454"/>
      <c r="F60" s="454"/>
      <c r="G60" s="454"/>
      <c r="H60" s="454"/>
      <c r="I60" s="454"/>
      <c r="J60" s="322"/>
      <c r="K60" s="454"/>
      <c r="L60" s="454"/>
      <c r="M60" s="306"/>
    </row>
    <row r="61" spans="1:13" ht="14.25" x14ac:dyDescent="0.2">
      <c r="A61" s="454"/>
      <c r="B61" s="66"/>
      <c r="C61" s="76" t="s">
        <v>878</v>
      </c>
      <c r="D61" s="66"/>
      <c r="E61" s="66" t="s">
        <v>877</v>
      </c>
      <c r="F61" s="66"/>
      <c r="G61" s="66"/>
      <c r="H61" s="66"/>
      <c r="I61" s="66"/>
      <c r="J61" s="304"/>
      <c r="K61" s="66"/>
      <c r="L61" s="66"/>
      <c r="M61" s="66"/>
    </row>
    <row r="62" spans="1:13" x14ac:dyDescent="0.2">
      <c r="A62" s="454">
        <f>A59+1</f>
        <v>37</v>
      </c>
      <c r="B62" s="66"/>
      <c r="C62" s="66" t="s">
        <v>856</v>
      </c>
      <c r="D62" s="66"/>
      <c r="E62" s="306">
        <v>22068.760649455457</v>
      </c>
      <c r="F62" s="317">
        <v>6.5075785404322479</v>
      </c>
      <c r="G62" s="454"/>
      <c r="H62" s="306">
        <v>20090.296462999999</v>
      </c>
      <c r="I62" s="317">
        <v>5.9241741849588934</v>
      </c>
      <c r="J62" s="304">
        <f>H62-E62</f>
        <v>-1978.4641864554578</v>
      </c>
      <c r="K62" s="305"/>
      <c r="L62" s="133">
        <f>J62/E62</f>
        <v>-8.9649990676040806E-2</v>
      </c>
      <c r="M62" s="133">
        <f>L62</f>
        <v>-8.9649990676040806E-2</v>
      </c>
    </row>
    <row r="63" spans="1:13" x14ac:dyDescent="0.2">
      <c r="A63" s="454">
        <f>A62+1</f>
        <v>38</v>
      </c>
      <c r="B63" s="66"/>
      <c r="C63" s="66" t="s">
        <v>858</v>
      </c>
      <c r="D63" s="66"/>
      <c r="E63" s="306">
        <v>33200.239599999994</v>
      </c>
      <c r="F63" s="317">
        <v>9.7899999999999991</v>
      </c>
      <c r="G63" s="305"/>
      <c r="H63" s="306">
        <v>33200.239599999994</v>
      </c>
      <c r="I63" s="317">
        <v>9.7899999999999991</v>
      </c>
      <c r="J63" s="304">
        <f>H63-E63</f>
        <v>0</v>
      </c>
      <c r="K63" s="305"/>
      <c r="L63" s="120">
        <f>IFERROR(J63/E63,"100.0%")</f>
        <v>0</v>
      </c>
      <c r="M63" s="120">
        <v>0</v>
      </c>
    </row>
    <row r="64" spans="1:13" x14ac:dyDescent="0.2">
      <c r="A64" s="454">
        <f>A63+1</f>
        <v>39</v>
      </c>
      <c r="B64" s="66"/>
      <c r="C64" s="66" t="s">
        <v>855</v>
      </c>
      <c r="D64" s="66"/>
      <c r="E64" s="306">
        <v>13316.532626832986</v>
      </c>
      <c r="F64" s="317">
        <v>3.9267443846006138</v>
      </c>
      <c r="G64" s="305"/>
      <c r="H64" s="306">
        <v>6251.750939999999</v>
      </c>
      <c r="I64" s="317">
        <v>1.8434999999999997</v>
      </c>
      <c r="J64" s="304">
        <f>H64-E64</f>
        <v>-7064.7816868329874</v>
      </c>
      <c r="K64" s="305"/>
      <c r="L64" s="133">
        <f>IFERROR(J64/E64,"100.0%")</f>
        <v>-0.53052711879347336</v>
      </c>
      <c r="M64" s="133">
        <f>L64</f>
        <v>-0.53052711879347336</v>
      </c>
    </row>
    <row r="65" spans="1:13" x14ac:dyDescent="0.2">
      <c r="A65" s="454">
        <f>A64+1</f>
        <v>40</v>
      </c>
      <c r="B65" s="66"/>
      <c r="C65" s="66" t="s">
        <v>88</v>
      </c>
      <c r="D65" s="66"/>
      <c r="E65" s="306">
        <v>62401.525397769081</v>
      </c>
      <c r="F65" s="317">
        <v>18.400798940142568</v>
      </c>
      <c r="G65" s="454"/>
      <c r="H65" s="306">
        <v>70888.446215999997</v>
      </c>
      <c r="I65" s="317">
        <v>20.903400000000001</v>
      </c>
      <c r="J65" s="304">
        <f>H65-E65</f>
        <v>8486.9208182309158</v>
      </c>
      <c r="K65" s="66"/>
      <c r="L65" s="315">
        <f>J65/E65</f>
        <v>0.13600502173836815</v>
      </c>
      <c r="M65" s="315">
        <f>L65</f>
        <v>0.13600502173836815</v>
      </c>
    </row>
    <row r="66" spans="1:13" x14ac:dyDescent="0.2">
      <c r="A66" s="454">
        <f>A65+1</f>
        <v>41</v>
      </c>
      <c r="B66" s="66"/>
      <c r="C66" s="66" t="s">
        <v>854</v>
      </c>
      <c r="D66" s="66"/>
      <c r="E66" s="312">
        <f>SUM(E62:E65)</f>
        <v>130987.05827405752</v>
      </c>
      <c r="F66" s="314">
        <v>38.62512186517543</v>
      </c>
      <c r="G66" s="454"/>
      <c r="H66" s="312">
        <f>SUM(H62:H65)</f>
        <v>130430.73321899999</v>
      </c>
      <c r="I66" s="314">
        <v>38.461074184958889</v>
      </c>
      <c r="J66" s="310">
        <f>SUM(J62:J65)</f>
        <v>-556.32505505752852</v>
      </c>
      <c r="K66" s="66"/>
      <c r="L66" s="514">
        <f>J66/E66</f>
        <v>-4.2471757316173793E-3</v>
      </c>
      <c r="M66" s="514">
        <f>(J62+J65+J64)/(E62+E65+E64)</f>
        <v>-5.6891620220499151E-3</v>
      </c>
    </row>
    <row r="67" spans="1:13" x14ac:dyDescent="0.2">
      <c r="A67" s="454"/>
      <c r="B67" s="66"/>
      <c r="C67" s="66"/>
      <c r="D67" s="66"/>
      <c r="E67" s="306"/>
      <c r="F67" s="305"/>
      <c r="G67" s="454"/>
      <c r="H67" s="306"/>
      <c r="I67" s="305"/>
      <c r="J67" s="304"/>
      <c r="K67" s="66"/>
      <c r="L67" s="303"/>
      <c r="M67" s="303"/>
    </row>
    <row r="68" spans="1:13" x14ac:dyDescent="0.2">
      <c r="A68" s="454">
        <f>A66+1</f>
        <v>42</v>
      </c>
      <c r="B68" s="66"/>
      <c r="C68" s="66" t="s">
        <v>853</v>
      </c>
      <c r="D68" s="66"/>
      <c r="E68" s="312">
        <v>139473.97909228841</v>
      </c>
      <c r="F68" s="311">
        <v>41.127722925032856</v>
      </c>
      <c r="G68" s="454"/>
      <c r="H68" s="312">
        <v>136744.88297499999</v>
      </c>
      <c r="I68" s="311">
        <v>40.322974184958888</v>
      </c>
      <c r="J68" s="310">
        <v>-2729.0961172884436</v>
      </c>
      <c r="K68" s="66"/>
      <c r="L68" s="514">
        <v>-1.9567062867566362E-2</v>
      </c>
      <c r="M68" s="514">
        <v>-2.5679872848423439E-2</v>
      </c>
    </row>
    <row r="69" spans="1:13" x14ac:dyDescent="0.2">
      <c r="A69" s="454">
        <f>A68+1</f>
        <v>43</v>
      </c>
      <c r="B69" s="66"/>
      <c r="C69" s="66" t="s">
        <v>852</v>
      </c>
      <c r="D69" s="66"/>
      <c r="E69" s="303"/>
      <c r="F69" s="303"/>
      <c r="G69" s="303"/>
      <c r="H69" s="303"/>
      <c r="I69" s="303"/>
      <c r="J69" s="304"/>
      <c r="K69" s="66"/>
      <c r="L69" s="514">
        <v>-3.9791133827174127E-2</v>
      </c>
      <c r="M69" s="514">
        <v>-7.7125151852767054E-2</v>
      </c>
    </row>
    <row r="70" spans="1:13" x14ac:dyDescent="0.2">
      <c r="A70" s="454">
        <f>A69+1</f>
        <v>44</v>
      </c>
      <c r="B70" s="66"/>
      <c r="C70" s="66" t="s">
        <v>851</v>
      </c>
      <c r="D70" s="66"/>
      <c r="E70" s="312">
        <v>129446.00109658923</v>
      </c>
      <c r="F70" s="311">
        <v>38.17069894687171</v>
      </c>
      <c r="G70" s="454"/>
      <c r="H70" s="312">
        <v>130430.73321899999</v>
      </c>
      <c r="I70" s="311">
        <v>38.461074184958889</v>
      </c>
      <c r="J70" s="310">
        <v>984.73212241074862</v>
      </c>
      <c r="K70" s="66"/>
      <c r="L70" s="309">
        <v>7.6072811370663136E-3</v>
      </c>
      <c r="M70" s="309">
        <v>1.0231433645476903E-2</v>
      </c>
    </row>
    <row r="71" spans="1:13" x14ac:dyDescent="0.2">
      <c r="A71" s="454">
        <f>A70+1</f>
        <v>45</v>
      </c>
      <c r="B71" s="66"/>
      <c r="C71" s="66" t="s">
        <v>850</v>
      </c>
      <c r="D71" s="66"/>
      <c r="E71" s="303"/>
      <c r="F71" s="303"/>
      <c r="G71" s="303"/>
      <c r="H71" s="303"/>
      <c r="I71" s="303"/>
      <c r="J71" s="304"/>
      <c r="K71" s="66"/>
      <c r="L71" s="309">
        <v>1.6816482935785443E-2</v>
      </c>
      <c r="M71" s="309">
        <v>3.8834242170919034E-2</v>
      </c>
    </row>
    <row r="75" spans="1:13" x14ac:dyDescent="0.2">
      <c r="A75" s="566" t="s">
        <v>1146</v>
      </c>
      <c r="B75" s="566"/>
      <c r="C75" s="566"/>
      <c r="D75" s="566"/>
      <c r="E75" s="566"/>
      <c r="F75" s="566"/>
      <c r="G75" s="566"/>
      <c r="H75" s="566"/>
      <c r="I75" s="566"/>
      <c r="J75" s="566"/>
      <c r="K75" s="566"/>
      <c r="L75" s="566"/>
      <c r="M75" s="566"/>
    </row>
    <row r="76" spans="1:13" x14ac:dyDescent="0.2">
      <c r="A76" s="566" t="s">
        <v>937</v>
      </c>
      <c r="B76" s="566"/>
      <c r="C76" s="566"/>
      <c r="D76" s="566"/>
      <c r="E76" s="566"/>
      <c r="F76" s="566"/>
      <c r="G76" s="566"/>
      <c r="H76" s="566"/>
      <c r="I76" s="566"/>
      <c r="J76" s="566"/>
      <c r="K76" s="566"/>
      <c r="L76" s="566"/>
      <c r="M76" s="566"/>
    </row>
    <row r="78" spans="1:13" x14ac:dyDescent="0.2">
      <c r="A78" s="454"/>
      <c r="B78" s="66"/>
      <c r="C78" s="66"/>
      <c r="D78" s="66"/>
      <c r="E78" s="567" t="s">
        <v>894</v>
      </c>
      <c r="F78" s="567"/>
      <c r="G78" s="66"/>
      <c r="H78" s="567" t="s">
        <v>893</v>
      </c>
      <c r="I78" s="567"/>
      <c r="J78" s="567"/>
      <c r="K78" s="66"/>
      <c r="L78" s="567" t="s">
        <v>892</v>
      </c>
      <c r="M78" s="567"/>
    </row>
    <row r="79" spans="1:13" x14ac:dyDescent="0.2">
      <c r="A79" s="454"/>
      <c r="B79" s="66"/>
      <c r="C79" s="66"/>
      <c r="D79" s="66"/>
      <c r="E79" s="454"/>
      <c r="F79" s="454"/>
      <c r="G79" s="66"/>
      <c r="H79" s="454"/>
      <c r="I79" s="454"/>
      <c r="J79" s="454" t="s">
        <v>889</v>
      </c>
      <c r="K79" s="66"/>
      <c r="L79" s="454" t="s">
        <v>891</v>
      </c>
      <c r="M79" s="454" t="s">
        <v>890</v>
      </c>
    </row>
    <row r="80" spans="1:13" x14ac:dyDescent="0.2">
      <c r="A80" s="454" t="s">
        <v>0</v>
      </c>
      <c r="B80" s="66"/>
      <c r="C80" s="66"/>
      <c r="D80" s="66"/>
      <c r="E80" s="454" t="s">
        <v>889</v>
      </c>
      <c r="F80" s="454" t="s">
        <v>265</v>
      </c>
      <c r="G80" s="66"/>
      <c r="H80" s="454" t="s">
        <v>889</v>
      </c>
      <c r="I80" s="454" t="s">
        <v>265</v>
      </c>
      <c r="J80" s="454" t="s">
        <v>361</v>
      </c>
      <c r="K80" s="66"/>
      <c r="L80" s="454" t="s">
        <v>888</v>
      </c>
      <c r="M80" s="454" t="s">
        <v>888</v>
      </c>
    </row>
    <row r="81" spans="1:13" ht="14.25" x14ac:dyDescent="0.2">
      <c r="A81" s="534" t="s">
        <v>1</v>
      </c>
      <c r="B81" s="66"/>
      <c r="C81" s="75" t="s">
        <v>33</v>
      </c>
      <c r="D81" s="66"/>
      <c r="E81" s="534" t="s">
        <v>470</v>
      </c>
      <c r="F81" s="534" t="s">
        <v>35</v>
      </c>
      <c r="G81" s="66"/>
      <c r="H81" s="534" t="s">
        <v>470</v>
      </c>
      <c r="I81" s="534" t="s">
        <v>35</v>
      </c>
      <c r="J81" s="534" t="s">
        <v>470</v>
      </c>
      <c r="K81" s="66"/>
      <c r="L81" s="534" t="s">
        <v>2</v>
      </c>
      <c r="M81" s="534" t="s">
        <v>2</v>
      </c>
    </row>
    <row r="82" spans="1:13" x14ac:dyDescent="0.2">
      <c r="A82" s="454"/>
      <c r="B82" s="66"/>
      <c r="C82" s="66"/>
      <c r="D82" s="66"/>
      <c r="E82" s="454" t="s">
        <v>3</v>
      </c>
      <c r="F82" s="454" t="s">
        <v>4</v>
      </c>
      <c r="G82" s="454"/>
      <c r="H82" s="454" t="s">
        <v>119</v>
      </c>
      <c r="I82" s="454" t="s">
        <v>263</v>
      </c>
      <c r="J82" s="454" t="s">
        <v>887</v>
      </c>
      <c r="K82" s="454"/>
      <c r="L82" s="454" t="s">
        <v>886</v>
      </c>
      <c r="M82" s="454" t="s">
        <v>38</v>
      </c>
    </row>
    <row r="83" spans="1:13" x14ac:dyDescent="0.2">
      <c r="A83" s="454"/>
      <c r="B83" s="66"/>
      <c r="C83" s="66"/>
      <c r="D83" s="66"/>
      <c r="E83" s="454"/>
      <c r="F83" s="454"/>
      <c r="G83" s="454"/>
      <c r="H83" s="454"/>
      <c r="I83" s="454"/>
      <c r="J83" s="322"/>
      <c r="K83" s="454"/>
      <c r="L83" s="454"/>
      <c r="M83" s="454"/>
    </row>
    <row r="84" spans="1:13" ht="14.25" x14ac:dyDescent="0.2">
      <c r="A84" s="454"/>
      <c r="B84" s="66"/>
      <c r="C84" s="76" t="s">
        <v>876</v>
      </c>
      <c r="D84" s="66"/>
      <c r="E84" s="66" t="s">
        <v>1003</v>
      </c>
      <c r="F84" s="66"/>
      <c r="G84" s="454"/>
      <c r="H84" s="454"/>
      <c r="I84" s="454"/>
      <c r="J84" s="322"/>
      <c r="K84" s="454"/>
      <c r="L84" s="454"/>
      <c r="M84" s="454"/>
    </row>
    <row r="85" spans="1:13" x14ac:dyDescent="0.2">
      <c r="A85" s="454">
        <f>A71+1</f>
        <v>46</v>
      </c>
      <c r="B85" s="66"/>
      <c r="C85" s="66" t="s">
        <v>856</v>
      </c>
      <c r="D85" s="66"/>
      <c r="E85" s="306">
        <v>20571.514708088391</v>
      </c>
      <c r="F85" s="317">
        <v>6.0649299822188256</v>
      </c>
      <c r="G85" s="454"/>
      <c r="H85" s="306">
        <v>22808.777548000002</v>
      </c>
      <c r="I85" s="317">
        <v>6.7245237296130762</v>
      </c>
      <c r="J85" s="304">
        <f>H85-E85</f>
        <v>2237.2628399116111</v>
      </c>
      <c r="K85" s="305"/>
      <c r="L85" s="315">
        <f>J85/E85</f>
        <v>0.10875537711532515</v>
      </c>
      <c r="M85" s="315">
        <f>L85</f>
        <v>0.10875537711532515</v>
      </c>
    </row>
    <row r="86" spans="1:13" x14ac:dyDescent="0.2">
      <c r="A86" s="454">
        <f>A85+1</f>
        <v>47</v>
      </c>
      <c r="B86" s="66"/>
      <c r="C86" s="66" t="s">
        <v>858</v>
      </c>
      <c r="D86" s="66"/>
      <c r="E86" s="306">
        <v>33206.505199999992</v>
      </c>
      <c r="F86" s="317">
        <v>9.7899999999999991</v>
      </c>
      <c r="G86" s="305"/>
      <c r="H86" s="306">
        <v>33206.505199999992</v>
      </c>
      <c r="I86" s="317">
        <v>9.7899999999999991</v>
      </c>
      <c r="J86" s="304">
        <f>H86-E86</f>
        <v>0</v>
      </c>
      <c r="K86" s="305"/>
      <c r="L86" s="120">
        <f>IFERROR(J86/E86,"100.0%")</f>
        <v>0</v>
      </c>
      <c r="M86" s="120">
        <v>0</v>
      </c>
    </row>
    <row r="87" spans="1:13" x14ac:dyDescent="0.2">
      <c r="A87" s="454">
        <f>A86+1</f>
        <v>48</v>
      </c>
      <c r="B87" s="66"/>
      <c r="C87" s="66" t="s">
        <v>855</v>
      </c>
      <c r="D87" s="66"/>
      <c r="E87" s="306">
        <v>13319.051122395083</v>
      </c>
      <c r="F87" s="317">
        <v>3.9267459704927896</v>
      </c>
      <c r="G87" s="305"/>
      <c r="H87" s="306">
        <v>4530.1949279999999</v>
      </c>
      <c r="I87" s="317">
        <v>1.3355999999999999</v>
      </c>
      <c r="J87" s="304">
        <f>H87-E87</f>
        <v>-8788.8561943950845</v>
      </c>
      <c r="K87" s="305"/>
      <c r="L87" s="133">
        <f>IFERROR(J87/E87,"100.0%")</f>
        <v>-0.65987104588983947</v>
      </c>
      <c r="M87" s="133">
        <f>L87</f>
        <v>-0.65987104588983947</v>
      </c>
    </row>
    <row r="88" spans="1:13" x14ac:dyDescent="0.2">
      <c r="A88" s="454">
        <f>A87+1</f>
        <v>49</v>
      </c>
      <c r="B88" s="66"/>
      <c r="C88" s="66" t="s">
        <v>88</v>
      </c>
      <c r="D88" s="66"/>
      <c r="E88" s="306">
        <v>62413.343611453587</v>
      </c>
      <c r="F88" s="317">
        <v>18.400811234906183</v>
      </c>
      <c r="G88" s="454"/>
      <c r="H88" s="306">
        <v>70901.82439200001</v>
      </c>
      <c r="I88" s="317">
        <v>20.903400000000001</v>
      </c>
      <c r="J88" s="304">
        <f>H88-E88</f>
        <v>8488.4807805464225</v>
      </c>
      <c r="K88" s="66"/>
      <c r="L88" s="315">
        <f>J88/E88</f>
        <v>0.1360042627004634</v>
      </c>
      <c r="M88" s="315">
        <f>L88</f>
        <v>0.1360042627004634</v>
      </c>
    </row>
    <row r="89" spans="1:13" x14ac:dyDescent="0.2">
      <c r="A89" s="454">
        <f>A88+1</f>
        <v>50</v>
      </c>
      <c r="B89" s="66"/>
      <c r="C89" s="66" t="s">
        <v>854</v>
      </c>
      <c r="D89" s="66"/>
      <c r="E89" s="312">
        <f>SUM(E85:E88)</f>
        <v>129510.41464193705</v>
      </c>
      <c r="F89" s="314">
        <v>38.182487187617795</v>
      </c>
      <c r="G89" s="454"/>
      <c r="H89" s="312">
        <f>SUM(H85:H88)</f>
        <v>131447.30206800002</v>
      </c>
      <c r="I89" s="314">
        <v>38.753523729613079</v>
      </c>
      <c r="J89" s="310">
        <f>SUM(J85:J88)</f>
        <v>1936.8874260629491</v>
      </c>
      <c r="K89" s="66"/>
      <c r="L89" s="313">
        <f>J89/E89</f>
        <v>1.4955456913777506E-2</v>
      </c>
      <c r="M89" s="313">
        <f>(J85+J88+J87)/(E85+E88+E87)</f>
        <v>2.0112240897455204E-2</v>
      </c>
    </row>
    <row r="90" spans="1:13" x14ac:dyDescent="0.2">
      <c r="A90" s="454"/>
      <c r="B90" s="66"/>
      <c r="C90" s="66"/>
      <c r="D90" s="66"/>
      <c r="E90" s="306"/>
      <c r="F90" s="305"/>
      <c r="G90" s="454"/>
      <c r="H90" s="306"/>
      <c r="I90" s="305"/>
      <c r="J90" s="304"/>
      <c r="K90" s="66"/>
      <c r="L90" s="303"/>
      <c r="M90" s="303"/>
    </row>
    <row r="91" spans="1:13" x14ac:dyDescent="0.2">
      <c r="A91" s="454">
        <f>A89+1</f>
        <v>51</v>
      </c>
      <c r="B91" s="66"/>
      <c r="C91" s="66" t="s">
        <v>853</v>
      </c>
      <c r="D91" s="66"/>
      <c r="E91" s="312">
        <v>137998.89542248347</v>
      </c>
      <c r="F91" s="311">
        <v>40.685075952711614</v>
      </c>
      <c r="G91" s="454"/>
      <c r="H91" s="312">
        <v>137762.98262800003</v>
      </c>
      <c r="I91" s="311">
        <v>40.615523729613088</v>
      </c>
      <c r="J91" s="310">
        <v>-235.91279448347268</v>
      </c>
      <c r="K91" s="66"/>
      <c r="L91" s="514">
        <v>-1.7095266868711225E-3</v>
      </c>
      <c r="M91" s="514">
        <v>-2.2512397511175097E-3</v>
      </c>
    </row>
    <row r="92" spans="1:13" x14ac:dyDescent="0.2">
      <c r="A92" s="454">
        <f>A91+1</f>
        <v>52</v>
      </c>
      <c r="B92" s="66"/>
      <c r="C92" s="66" t="s">
        <v>852</v>
      </c>
      <c r="D92" s="66"/>
      <c r="E92" s="303"/>
      <c r="F92" s="303"/>
      <c r="G92" s="303"/>
      <c r="H92" s="303"/>
      <c r="I92" s="303"/>
      <c r="J92" s="304"/>
      <c r="K92" s="66"/>
      <c r="L92" s="514">
        <v>-3.5159924399128101E-3</v>
      </c>
      <c r="M92" s="514">
        <v>-6.961016693066739E-3</v>
      </c>
    </row>
    <row r="93" spans="1:13" x14ac:dyDescent="0.2">
      <c r="A93" s="454">
        <f>A92+1</f>
        <v>53</v>
      </c>
      <c r="B93" s="66"/>
      <c r="C93" s="66" t="s">
        <v>851</v>
      </c>
      <c r="D93" s="66"/>
      <c r="E93" s="312">
        <v>127969.01810601827</v>
      </c>
      <c r="F93" s="311">
        <v>37.728049962268202</v>
      </c>
      <c r="G93" s="454"/>
      <c r="H93" s="312">
        <v>131447.30206800002</v>
      </c>
      <c r="I93" s="311">
        <v>38.753523729613079</v>
      </c>
      <c r="J93" s="310">
        <v>3478.2839619817373</v>
      </c>
      <c r="K93" s="66"/>
      <c r="L93" s="309">
        <v>2.7180672427290876E-2</v>
      </c>
      <c r="M93" s="514">
        <v>3.6705273586733214E-2</v>
      </c>
    </row>
    <row r="94" spans="1:13" x14ac:dyDescent="0.2">
      <c r="A94" s="454">
        <f>A93+1</f>
        <v>54</v>
      </c>
      <c r="B94" s="66"/>
      <c r="C94" s="66" t="s">
        <v>850</v>
      </c>
      <c r="D94" s="66"/>
      <c r="E94" s="303"/>
      <c r="F94" s="303"/>
      <c r="G94" s="303"/>
      <c r="H94" s="303"/>
      <c r="I94" s="303"/>
      <c r="J94" s="304"/>
      <c r="K94" s="66"/>
      <c r="L94" s="309">
        <v>6.0950674732886248E-2</v>
      </c>
      <c r="M94" s="309">
        <v>0.1457746686537662</v>
      </c>
    </row>
    <row r="96" spans="1:13" ht="14.25" x14ac:dyDescent="0.2">
      <c r="A96" s="454"/>
      <c r="B96" s="66"/>
      <c r="C96" s="76" t="s">
        <v>875</v>
      </c>
      <c r="D96" s="66"/>
      <c r="E96" s="66" t="s">
        <v>1004</v>
      </c>
      <c r="F96" s="66"/>
      <c r="G96" s="454"/>
      <c r="H96" s="454"/>
      <c r="I96" s="454"/>
      <c r="J96" s="322"/>
      <c r="K96" s="454"/>
      <c r="L96" s="454"/>
      <c r="M96" s="454"/>
    </row>
    <row r="97" spans="1:13" x14ac:dyDescent="0.2">
      <c r="A97" s="454">
        <f>A94+1</f>
        <v>55</v>
      </c>
      <c r="B97" s="66"/>
      <c r="C97" s="66" t="s">
        <v>856</v>
      </c>
      <c r="D97" s="66"/>
      <c r="E97" s="306">
        <v>81273.991813933811</v>
      </c>
      <c r="F97" s="317">
        <v>13.578094317584133</v>
      </c>
      <c r="G97" s="454"/>
      <c r="H97" s="306">
        <v>85870.333856000012</v>
      </c>
      <c r="I97" s="317">
        <v>14.345985304234951</v>
      </c>
      <c r="J97" s="304">
        <f>H97-E97</f>
        <v>4596.3420420662005</v>
      </c>
      <c r="K97" s="305"/>
      <c r="L97" s="315">
        <f>J97/E97</f>
        <v>5.6553664210180855E-2</v>
      </c>
      <c r="M97" s="315">
        <f>L97</f>
        <v>5.6553664210180855E-2</v>
      </c>
    </row>
    <row r="98" spans="1:13" x14ac:dyDescent="0.2">
      <c r="A98" s="454">
        <f>A97+1</f>
        <v>56</v>
      </c>
      <c r="B98" s="66"/>
      <c r="C98" s="66" t="s">
        <v>858</v>
      </c>
      <c r="D98" s="66"/>
      <c r="E98" s="306">
        <v>58599.709299999995</v>
      </c>
      <c r="F98" s="317">
        <v>9.7899999999999991</v>
      </c>
      <c r="G98" s="305"/>
      <c r="H98" s="306">
        <v>58599.709299999995</v>
      </c>
      <c r="I98" s="317">
        <v>9.7899999999999991</v>
      </c>
      <c r="J98" s="304">
        <f>H98-E98</f>
        <v>0</v>
      </c>
      <c r="K98" s="305"/>
      <c r="L98" s="120">
        <f>IFERROR(J98/E98,"100.0%")</f>
        <v>0</v>
      </c>
      <c r="M98" s="120">
        <v>0</v>
      </c>
    </row>
    <row r="99" spans="1:13" x14ac:dyDescent="0.2">
      <c r="A99" s="454">
        <f>A98+1</f>
        <v>57</v>
      </c>
      <c r="B99" s="66"/>
      <c r="C99" s="66" t="s">
        <v>855</v>
      </c>
      <c r="D99" s="66"/>
      <c r="E99" s="306">
        <v>23504.205553199576</v>
      </c>
      <c r="F99" s="317">
        <v>3.9267459704927896</v>
      </c>
      <c r="G99" s="305"/>
      <c r="H99" s="306">
        <v>7994.4608520000002</v>
      </c>
      <c r="I99" s="317">
        <v>1.3355999999999999</v>
      </c>
      <c r="J99" s="304">
        <f>H99-E99</f>
        <v>-15509.744701199576</v>
      </c>
      <c r="K99" s="305"/>
      <c r="L99" s="133">
        <f>IFERROR(J99/E99,"100.0%")</f>
        <v>-0.65987104588983936</v>
      </c>
      <c r="M99" s="133">
        <f>L99</f>
        <v>-0.65987104588983936</v>
      </c>
    </row>
    <row r="100" spans="1:13" x14ac:dyDescent="0.2">
      <c r="A100" s="454">
        <f>A99+1</f>
        <v>58</v>
      </c>
      <c r="B100" s="66"/>
      <c r="C100" s="66" t="s">
        <v>88</v>
      </c>
      <c r="D100" s="66"/>
      <c r="E100" s="306">
        <v>110141.18378444089</v>
      </c>
      <c r="F100" s="317">
        <v>18.400811234906183</v>
      </c>
      <c r="G100" s="454"/>
      <c r="H100" s="306">
        <v>125120.85427800001</v>
      </c>
      <c r="I100" s="317">
        <v>20.903400000000001</v>
      </c>
      <c r="J100" s="304">
        <f>H100-E100</f>
        <v>14979.670493559126</v>
      </c>
      <c r="K100" s="66"/>
      <c r="L100" s="315">
        <f>J100/E100</f>
        <v>0.13600426270046348</v>
      </c>
      <c r="M100" s="315">
        <f>L100</f>
        <v>0.13600426270046348</v>
      </c>
    </row>
    <row r="101" spans="1:13" x14ac:dyDescent="0.2">
      <c r="A101" s="454">
        <f>A100+1</f>
        <v>59</v>
      </c>
      <c r="B101" s="66"/>
      <c r="C101" s="66" t="s">
        <v>854</v>
      </c>
      <c r="D101" s="66"/>
      <c r="E101" s="312">
        <f>SUM(E97:E100)</f>
        <v>273519.0904515743</v>
      </c>
      <c r="F101" s="314">
        <v>45.695651522983113</v>
      </c>
      <c r="G101" s="454"/>
      <c r="H101" s="312">
        <f>SUM(H97:H100)</f>
        <v>277585.35828599997</v>
      </c>
      <c r="I101" s="314">
        <v>46.374985304234947</v>
      </c>
      <c r="J101" s="310">
        <f>SUM(J97:J100)</f>
        <v>4066.2678344257511</v>
      </c>
      <c r="K101" s="66"/>
      <c r="L101" s="313">
        <f>J101/E101</f>
        <v>1.4866486385694058E-2</v>
      </c>
      <c r="M101" s="313">
        <f>(J97+J100+J99)/(E97+E100+E99)</f>
        <v>1.8919968095189942E-2</v>
      </c>
    </row>
    <row r="102" spans="1:13" x14ac:dyDescent="0.2">
      <c r="A102" s="454"/>
      <c r="B102" s="66"/>
      <c r="C102" s="66"/>
      <c r="D102" s="66"/>
      <c r="E102" s="454"/>
      <c r="F102" s="454"/>
      <c r="G102" s="454"/>
      <c r="H102" s="454"/>
      <c r="I102" s="454"/>
      <c r="J102" s="322"/>
      <c r="K102" s="454"/>
      <c r="L102" s="454"/>
      <c r="M102" s="454"/>
    </row>
    <row r="103" spans="1:13" x14ac:dyDescent="0.2">
      <c r="A103" s="454">
        <f>A118+1</f>
        <v>69</v>
      </c>
      <c r="B103" s="66"/>
      <c r="C103" s="66" t="s">
        <v>853</v>
      </c>
      <c r="D103" s="66"/>
      <c r="E103" s="312">
        <v>288498.7609451334</v>
      </c>
      <c r="F103" s="311">
        <v>48.198240288076924</v>
      </c>
      <c r="G103" s="454"/>
      <c r="H103" s="312">
        <v>288730.67582600005</v>
      </c>
      <c r="I103" s="311">
        <v>48.236985304234956</v>
      </c>
      <c r="J103" s="310">
        <v>231.91488086662503</v>
      </c>
      <c r="K103" s="66"/>
      <c r="L103" s="309">
        <v>8.0386785754941428E-4</v>
      </c>
      <c r="M103" s="309">
        <v>1.0087683233448183E-3</v>
      </c>
    </row>
    <row r="104" spans="1:13" x14ac:dyDescent="0.2">
      <c r="A104" s="454">
        <f>A103+1</f>
        <v>70</v>
      </c>
      <c r="B104" s="66"/>
      <c r="C104" s="66" t="s">
        <v>852</v>
      </c>
      <c r="D104" s="66"/>
      <c r="E104" s="303"/>
      <c r="F104" s="303"/>
      <c r="G104" s="303"/>
      <c r="H104" s="303"/>
      <c r="I104" s="303"/>
      <c r="J104" s="304"/>
      <c r="K104" s="66"/>
      <c r="L104" s="309">
        <v>1.4194996471532046E-3</v>
      </c>
      <c r="M104" s="309">
        <v>2.2133887267979627E-3</v>
      </c>
    </row>
    <row r="105" spans="1:13" x14ac:dyDescent="0.2">
      <c r="A105" s="454">
        <f>A104+1</f>
        <v>71</v>
      </c>
      <c r="B105" s="66"/>
      <c r="C105" s="66" t="s">
        <v>851</v>
      </c>
      <c r="D105" s="66"/>
      <c r="E105" s="312">
        <v>270798.97918491601</v>
      </c>
      <c r="F105" s="311">
        <v>45.241214297633512</v>
      </c>
      <c r="G105" s="454"/>
      <c r="H105" s="312">
        <v>277585.35828599997</v>
      </c>
      <c r="I105" s="311">
        <v>46.374985304234947</v>
      </c>
      <c r="J105" s="310">
        <v>6786.3791010840587</v>
      </c>
      <c r="K105" s="66"/>
      <c r="L105" s="309">
        <v>2.5060578594168024E-2</v>
      </c>
      <c r="M105" s="309">
        <v>3.1981161409106541E-2</v>
      </c>
    </row>
    <row r="106" spans="1:13" x14ac:dyDescent="0.2">
      <c r="A106" s="454">
        <f>A105+1</f>
        <v>72</v>
      </c>
      <c r="B106" s="66"/>
      <c r="C106" s="66" t="s">
        <v>850</v>
      </c>
      <c r="D106" s="66"/>
      <c r="E106" s="303"/>
      <c r="F106" s="303"/>
      <c r="G106" s="303"/>
      <c r="H106" s="303"/>
      <c r="I106" s="303"/>
      <c r="J106" s="304"/>
      <c r="K106" s="66"/>
      <c r="L106" s="309">
        <v>4.6584750493050039E-2</v>
      </c>
      <c r="M106" s="309">
        <v>7.7934113221796719E-2</v>
      </c>
    </row>
    <row r="107" spans="1:13" x14ac:dyDescent="0.2">
      <c r="A107" s="454"/>
      <c r="B107" s="66"/>
      <c r="C107" s="66"/>
      <c r="D107" s="66"/>
      <c r="E107" s="306"/>
      <c r="F107" s="317"/>
      <c r="G107" s="454"/>
      <c r="H107" s="306"/>
      <c r="I107" s="317"/>
      <c r="J107" s="304"/>
      <c r="K107" s="66"/>
      <c r="L107" s="303"/>
      <c r="M107" s="303"/>
    </row>
    <row r="108" spans="1:13" ht="14.25" x14ac:dyDescent="0.2">
      <c r="A108" s="454"/>
      <c r="B108" s="66"/>
      <c r="C108" s="76" t="s">
        <v>874</v>
      </c>
      <c r="D108" s="66"/>
      <c r="E108" s="66" t="s">
        <v>1005</v>
      </c>
      <c r="F108" s="66"/>
      <c r="G108" s="66"/>
      <c r="H108" s="66"/>
      <c r="I108" s="66"/>
      <c r="J108" s="304"/>
      <c r="K108" s="66"/>
      <c r="L108" s="66"/>
      <c r="M108" s="66"/>
    </row>
    <row r="109" spans="1:13" x14ac:dyDescent="0.2">
      <c r="A109" s="454">
        <f>A101+1</f>
        <v>60</v>
      </c>
      <c r="B109" s="66"/>
      <c r="C109" s="66" t="s">
        <v>856</v>
      </c>
      <c r="D109" s="66"/>
      <c r="E109" s="306">
        <v>165180.95692481115</v>
      </c>
      <c r="F109" s="317">
        <v>11.012063794987411</v>
      </c>
      <c r="G109" s="454"/>
      <c r="H109" s="306">
        <v>166942.44</v>
      </c>
      <c r="I109" s="317">
        <v>11.129496</v>
      </c>
      <c r="J109" s="304">
        <f>H109-E109</f>
        <v>1761.4830751888512</v>
      </c>
      <c r="K109" s="305"/>
      <c r="L109" s="315">
        <f>J109/E109</f>
        <v>1.0663959744407233E-2</v>
      </c>
      <c r="M109" s="315">
        <f>L109</f>
        <v>1.0663959744407233E-2</v>
      </c>
    </row>
    <row r="110" spans="1:13" x14ac:dyDescent="0.2">
      <c r="A110" s="454">
        <f>A109+1</f>
        <v>61</v>
      </c>
      <c r="B110" s="66"/>
      <c r="C110" s="66" t="s">
        <v>858</v>
      </c>
      <c r="D110" s="66"/>
      <c r="E110" s="306">
        <v>146849.99999999997</v>
      </c>
      <c r="F110" s="317">
        <v>9.7899999999999991</v>
      </c>
      <c r="G110" s="305"/>
      <c r="H110" s="306">
        <v>146849.99999999997</v>
      </c>
      <c r="I110" s="317">
        <v>9.7899999999999991</v>
      </c>
      <c r="J110" s="304">
        <f>H110-E110</f>
        <v>0</v>
      </c>
      <c r="K110" s="305"/>
      <c r="L110" s="120">
        <f>IFERROR(J110/E110,"100.0%")</f>
        <v>0</v>
      </c>
      <c r="M110" s="120">
        <v>0</v>
      </c>
    </row>
    <row r="111" spans="1:13" x14ac:dyDescent="0.2">
      <c r="A111" s="454">
        <f>A110+1</f>
        <v>62</v>
      </c>
      <c r="B111" s="66"/>
      <c r="C111" s="66" t="s">
        <v>855</v>
      </c>
      <c r="D111" s="66"/>
      <c r="E111" s="306">
        <v>58901.189557391845</v>
      </c>
      <c r="F111" s="317">
        <v>3.9267459704927896</v>
      </c>
      <c r="G111" s="305"/>
      <c r="H111" s="306">
        <v>20033.999999999996</v>
      </c>
      <c r="I111" s="317">
        <v>1.3355999999999999</v>
      </c>
      <c r="J111" s="304">
        <f>H111-E111</f>
        <v>-38867.189557391845</v>
      </c>
      <c r="K111" s="305"/>
      <c r="L111" s="133">
        <f>IFERROR(J111/E111,"100.0%")</f>
        <v>-0.65987104588983947</v>
      </c>
      <c r="M111" s="133">
        <f>L111</f>
        <v>-0.65987104588983947</v>
      </c>
    </row>
    <row r="112" spans="1:13" x14ac:dyDescent="0.2">
      <c r="A112" s="454">
        <f>A111+1</f>
        <v>63</v>
      </c>
      <c r="B112" s="66"/>
      <c r="C112" s="66" t="s">
        <v>88</v>
      </c>
      <c r="D112" s="66"/>
      <c r="E112" s="306">
        <v>276012.1685235927</v>
      </c>
      <c r="F112" s="317">
        <v>18.400811234906183</v>
      </c>
      <c r="G112" s="454"/>
      <c r="H112" s="306">
        <v>313551.00000000006</v>
      </c>
      <c r="I112" s="317">
        <v>20.903400000000001</v>
      </c>
      <c r="J112" s="304">
        <f>H112-E112</f>
        <v>37538.831476407358</v>
      </c>
      <c r="K112" s="66"/>
      <c r="L112" s="315">
        <f>J112/E112</f>
        <v>0.1360042627004637</v>
      </c>
      <c r="M112" s="315">
        <f>L112</f>
        <v>0.1360042627004637</v>
      </c>
    </row>
    <row r="113" spans="1:13" x14ac:dyDescent="0.2">
      <c r="A113" s="454">
        <f>A112+1</f>
        <v>64</v>
      </c>
      <c r="B113" s="66"/>
      <c r="C113" s="66" t="s">
        <v>854</v>
      </c>
      <c r="D113" s="66"/>
      <c r="E113" s="312">
        <f>SUM(E109:E112)</f>
        <v>646944.31500579568</v>
      </c>
      <c r="F113" s="314">
        <v>43.129621000386379</v>
      </c>
      <c r="G113" s="454"/>
      <c r="H113" s="312">
        <f>SUM(H109:H112)</f>
        <v>647377.43999999994</v>
      </c>
      <c r="I113" s="314">
        <v>43.158496</v>
      </c>
      <c r="J113" s="310">
        <f>SUM(J109:J112)</f>
        <v>433.12499420436507</v>
      </c>
      <c r="K113" s="66"/>
      <c r="L113" s="313">
        <f>J113/E113</f>
        <v>6.6949346977488301E-4</v>
      </c>
      <c r="M113" s="313">
        <f>(J109+J112+J111)/(E109+E112+E111)</f>
        <v>8.6608661847984705E-4</v>
      </c>
    </row>
    <row r="114" spans="1:13" x14ac:dyDescent="0.2">
      <c r="A114" s="454"/>
      <c r="B114" s="66"/>
      <c r="C114" s="66"/>
      <c r="D114" s="66"/>
      <c r="E114" s="306"/>
      <c r="F114" s="305"/>
      <c r="G114" s="454"/>
      <c r="H114" s="306"/>
      <c r="I114" s="305"/>
      <c r="J114" s="304"/>
      <c r="K114" s="66"/>
      <c r="L114" s="303"/>
      <c r="M114" s="303"/>
    </row>
    <row r="115" spans="1:13" x14ac:dyDescent="0.2">
      <c r="A115" s="454">
        <f>A113+1</f>
        <v>65</v>
      </c>
      <c r="B115" s="66"/>
      <c r="C115" s="66" t="s">
        <v>853</v>
      </c>
      <c r="D115" s="66"/>
      <c r="E115" s="312">
        <v>684483.14648220304</v>
      </c>
      <c r="F115" s="311">
        <v>45.632209765480205</v>
      </c>
      <c r="G115" s="454"/>
      <c r="H115" s="312">
        <v>675307.44</v>
      </c>
      <c r="I115" s="311">
        <v>45.020496000000001</v>
      </c>
      <c r="J115" s="310">
        <v>-9175.7064822029934</v>
      </c>
      <c r="K115" s="66"/>
      <c r="L115" s="514">
        <v>-1.3405306660010755E-2</v>
      </c>
      <c r="M115" s="514">
        <v>-1.706685412207324E-2</v>
      </c>
    </row>
    <row r="116" spans="1:13" x14ac:dyDescent="0.2">
      <c r="A116" s="454">
        <f>A115+1</f>
        <v>66</v>
      </c>
      <c r="B116" s="66"/>
      <c r="C116" s="66" t="s">
        <v>852</v>
      </c>
      <c r="D116" s="66"/>
      <c r="E116" s="303"/>
      <c r="F116" s="303"/>
      <c r="G116" s="303"/>
      <c r="H116" s="303"/>
      <c r="I116" s="303"/>
      <c r="J116" s="304"/>
      <c r="K116" s="66"/>
      <c r="L116" s="514">
        <v>-2.4736886703464068E-2</v>
      </c>
      <c r="M116" s="514">
        <v>-4.0947958711792083E-2</v>
      </c>
    </row>
    <row r="117" spans="1:13" x14ac:dyDescent="0.2">
      <c r="A117" s="454">
        <f>A116+1</f>
        <v>67</v>
      </c>
      <c r="B117" s="66"/>
      <c r="C117" s="66" t="s">
        <v>851</v>
      </c>
      <c r="D117" s="66"/>
      <c r="E117" s="312">
        <v>640127.75662555173</v>
      </c>
      <c r="F117" s="311">
        <v>42.675183775036786</v>
      </c>
      <c r="G117" s="454"/>
      <c r="H117" s="312">
        <v>647377.43999999994</v>
      </c>
      <c r="I117" s="311">
        <v>43.158496</v>
      </c>
      <c r="J117" s="310">
        <v>7249.6833744482246</v>
      </c>
      <c r="K117" s="66"/>
      <c r="L117" s="309">
        <v>1.13253695054017E-2</v>
      </c>
      <c r="M117" s="309">
        <v>1.4696959830587849E-2</v>
      </c>
    </row>
    <row r="118" spans="1:13" x14ac:dyDescent="0.2">
      <c r="A118" s="454">
        <f>A117+1</f>
        <v>68</v>
      </c>
      <c r="B118" s="66"/>
      <c r="C118" s="66" t="s">
        <v>850</v>
      </c>
      <c r="D118" s="66"/>
      <c r="E118" s="303"/>
      <c r="F118" s="303"/>
      <c r="G118" s="303"/>
      <c r="H118" s="303"/>
      <c r="I118" s="303"/>
      <c r="J118" s="304"/>
      <c r="K118" s="66"/>
      <c r="L118" s="309">
        <v>2.2199018231908674E-2</v>
      </c>
      <c r="M118" s="309">
        <v>4.0337251450836761E-2</v>
      </c>
    </row>
    <row r="119" spans="1:13" x14ac:dyDescent="0.2">
      <c r="A119" s="454"/>
      <c r="B119" s="66"/>
      <c r="C119" s="66"/>
      <c r="D119" s="66"/>
      <c r="E119" s="454"/>
      <c r="F119" s="454"/>
      <c r="G119" s="454"/>
      <c r="H119" s="454"/>
      <c r="I119" s="454"/>
      <c r="J119" s="322"/>
      <c r="K119" s="454"/>
      <c r="L119" s="454"/>
      <c r="M119" s="454"/>
    </row>
    <row r="120" spans="1:13" ht="14.25" x14ac:dyDescent="0.2">
      <c r="A120" s="454"/>
      <c r="B120" s="66"/>
      <c r="C120" s="76" t="s">
        <v>873</v>
      </c>
      <c r="D120" s="66"/>
      <c r="E120" s="66" t="s">
        <v>1006</v>
      </c>
      <c r="F120" s="66"/>
      <c r="G120" s="454"/>
      <c r="H120" s="454"/>
      <c r="I120" s="454"/>
      <c r="J120" s="322"/>
      <c r="K120" s="454"/>
      <c r="L120" s="454"/>
      <c r="M120" s="454"/>
    </row>
    <row r="121" spans="1:13" x14ac:dyDescent="0.2">
      <c r="A121" s="454">
        <f>A106+1</f>
        <v>73</v>
      </c>
      <c r="B121" s="66"/>
      <c r="C121" s="66" t="s">
        <v>856</v>
      </c>
      <c r="D121" s="66"/>
      <c r="E121" s="306">
        <v>25475.136952215598</v>
      </c>
      <c r="F121" s="317">
        <v>4.2560138450795231</v>
      </c>
      <c r="G121" s="454"/>
      <c r="H121" s="306">
        <v>26694.153560000002</v>
      </c>
      <c r="I121" s="317">
        <v>4.4596693374854652</v>
      </c>
      <c r="J121" s="304">
        <f>H121-E121</f>
        <v>1219.0166077844042</v>
      </c>
      <c r="K121" s="305"/>
      <c r="L121" s="315">
        <f>J121/E121</f>
        <v>4.7851228830327643E-2</v>
      </c>
      <c r="M121" s="315">
        <f>L121</f>
        <v>4.7851228830327643E-2</v>
      </c>
    </row>
    <row r="122" spans="1:13" x14ac:dyDescent="0.2">
      <c r="A122" s="454">
        <f>A121+1</f>
        <v>74</v>
      </c>
      <c r="B122" s="66"/>
      <c r="C122" s="66" t="s">
        <v>858</v>
      </c>
      <c r="D122" s="66"/>
      <c r="E122" s="306">
        <v>58599.807199999996</v>
      </c>
      <c r="F122" s="317">
        <v>9.7899999999999991</v>
      </c>
      <c r="G122" s="305"/>
      <c r="H122" s="306">
        <v>58599.807199999996</v>
      </c>
      <c r="I122" s="317">
        <v>9.7899999999999991</v>
      </c>
      <c r="J122" s="304">
        <f>H122-E122</f>
        <v>0</v>
      </c>
      <c r="K122" s="305"/>
      <c r="L122" s="120">
        <f>IFERROR(J122/E122,"100.0%")</f>
        <v>0</v>
      </c>
      <c r="M122" s="120">
        <v>0</v>
      </c>
    </row>
    <row r="123" spans="1:13" x14ac:dyDescent="0.2">
      <c r="A123" s="454">
        <f>A122+1</f>
        <v>75</v>
      </c>
      <c r="B123" s="66"/>
      <c r="C123" s="66" t="s">
        <v>855</v>
      </c>
      <c r="D123" s="66"/>
      <c r="E123" s="306">
        <v>23504.235340945856</v>
      </c>
      <c r="F123" s="317">
        <v>3.9267443867607117</v>
      </c>
      <c r="G123" s="305"/>
      <c r="H123" s="306">
        <v>7189.4002479999999</v>
      </c>
      <c r="I123" s="317">
        <v>1.2010999999999998</v>
      </c>
      <c r="J123" s="304">
        <f>H123-E123</f>
        <v>-16314.835092945856</v>
      </c>
      <c r="K123" s="305"/>
      <c r="L123" s="133">
        <f>IFERROR(J123/E123,"100.0%")</f>
        <v>-0.69412320189478305</v>
      </c>
      <c r="M123" s="133">
        <f>L123</f>
        <v>-0.69412320189478305</v>
      </c>
    </row>
    <row r="124" spans="1:13" x14ac:dyDescent="0.2">
      <c r="A124" s="454">
        <f>A123+1</f>
        <v>76</v>
      </c>
      <c r="B124" s="66"/>
      <c r="C124" s="66" t="s">
        <v>88</v>
      </c>
      <c r="D124" s="66"/>
      <c r="E124" s="306">
        <v>109773.96803496112</v>
      </c>
      <c r="F124" s="317">
        <v>18.339431448884859</v>
      </c>
      <c r="G124" s="454"/>
      <c r="H124" s="306">
        <v>125121.063312</v>
      </c>
      <c r="I124" s="317">
        <v>20.903400000000001</v>
      </c>
      <c r="J124" s="304">
        <f>H124-E124</f>
        <v>15347.095277038883</v>
      </c>
      <c r="K124" s="66"/>
      <c r="L124" s="315">
        <f>J124/E124</f>
        <v>0.13980632705334198</v>
      </c>
      <c r="M124" s="315">
        <f>L124</f>
        <v>0.13980632705334198</v>
      </c>
    </row>
    <row r="125" spans="1:13" x14ac:dyDescent="0.2">
      <c r="A125" s="454">
        <f>A124+1</f>
        <v>77</v>
      </c>
      <c r="B125" s="66"/>
      <c r="C125" s="66" t="s">
        <v>854</v>
      </c>
      <c r="D125" s="66"/>
      <c r="E125" s="312">
        <f>SUM(E121:E124)</f>
        <v>217353.14752812259</v>
      </c>
      <c r="F125" s="314">
        <v>36.312189680725091</v>
      </c>
      <c r="G125" s="454"/>
      <c r="H125" s="312">
        <f>SUM(H121:H124)</f>
        <v>217604.42431999999</v>
      </c>
      <c r="I125" s="314">
        <v>36.354169337485466</v>
      </c>
      <c r="J125" s="310">
        <f>SUM(J121:J124)</f>
        <v>251.27679187743161</v>
      </c>
      <c r="K125" s="66"/>
      <c r="L125" s="313">
        <f>J125/E125</f>
        <v>1.1560761587081215E-3</v>
      </c>
      <c r="M125" s="313">
        <f>(J121+J124+J123)/(E121+E124+E123)</f>
        <v>1.5828126284339911E-3</v>
      </c>
    </row>
    <row r="126" spans="1:13" x14ac:dyDescent="0.2">
      <c r="A126" s="454"/>
      <c r="B126" s="66"/>
      <c r="C126" s="66"/>
      <c r="D126" s="66"/>
      <c r="E126" s="306"/>
      <c r="F126" s="305"/>
      <c r="G126" s="454"/>
      <c r="H126" s="306"/>
      <c r="I126" s="305"/>
      <c r="J126" s="304"/>
      <c r="K126" s="66"/>
      <c r="L126" s="303"/>
      <c r="M126" s="303"/>
    </row>
    <row r="127" spans="1:13" x14ac:dyDescent="0.2">
      <c r="A127" s="454">
        <f>A125+1</f>
        <v>78</v>
      </c>
      <c r="B127" s="66"/>
      <c r="C127" s="66" t="s">
        <v>853</v>
      </c>
      <c r="D127" s="66"/>
      <c r="E127" s="312">
        <v>232700.24280516146</v>
      </c>
      <c r="F127" s="311">
        <v>38.876158231840236</v>
      </c>
      <c r="G127" s="454"/>
      <c r="H127" s="312">
        <v>228749.16191199998</v>
      </c>
      <c r="I127" s="311">
        <v>38.216069337485465</v>
      </c>
      <c r="J127" s="310">
        <v>-3951.080893161452</v>
      </c>
      <c r="K127" s="66"/>
      <c r="L127" s="514">
        <v>-1.6979272756795828E-2</v>
      </c>
      <c r="M127" s="514">
        <v>-2.2694261961078727E-2</v>
      </c>
    </row>
    <row r="128" spans="1:13" x14ac:dyDescent="0.2">
      <c r="A128" s="454">
        <f>A127+1</f>
        <v>79</v>
      </c>
      <c r="B128" s="66"/>
      <c r="C128" s="66" t="s">
        <v>852</v>
      </c>
      <c r="D128" s="66"/>
      <c r="E128" s="303"/>
      <c r="F128" s="303"/>
      <c r="G128" s="303"/>
      <c r="H128" s="303"/>
      <c r="I128" s="303"/>
      <c r="J128" s="304"/>
      <c r="K128" s="66"/>
      <c r="L128" s="514">
        <v>-3.672718932953576E-2</v>
      </c>
      <c r="M128" s="514">
        <v>-8.0668263151937245E-2</v>
      </c>
    </row>
    <row r="129" spans="1:13" x14ac:dyDescent="0.2">
      <c r="A129" s="454">
        <f>A128+1</f>
        <v>80</v>
      </c>
      <c r="B129" s="66"/>
      <c r="C129" s="66" t="s">
        <v>851</v>
      </c>
      <c r="D129" s="66"/>
      <c r="E129" s="312">
        <v>215000.44345162375</v>
      </c>
      <c r="F129" s="311">
        <v>35.91913424232898</v>
      </c>
      <c r="G129" s="454"/>
      <c r="H129" s="312">
        <v>217604.42431999999</v>
      </c>
      <c r="I129" s="311">
        <v>36.354169337485466</v>
      </c>
      <c r="J129" s="310">
        <v>2603.9808683762503</v>
      </c>
      <c r="K129" s="66"/>
      <c r="L129" s="309">
        <v>1.21115139418871E-2</v>
      </c>
      <c r="M129" s="309">
        <v>1.6649426311711797E-2</v>
      </c>
    </row>
    <row r="130" spans="1:13" x14ac:dyDescent="0.2">
      <c r="A130" s="454">
        <f>A129+1</f>
        <v>81</v>
      </c>
      <c r="B130" s="66"/>
      <c r="C130" s="66" t="s">
        <v>850</v>
      </c>
      <c r="D130" s="66"/>
      <c r="E130" s="303"/>
      <c r="F130" s="303"/>
      <c r="G130" s="303"/>
      <c r="H130" s="303"/>
      <c r="I130" s="303"/>
      <c r="J130" s="304"/>
      <c r="K130" s="66"/>
      <c r="L130" s="309">
        <v>2.8971949565418431E-2</v>
      </c>
      <c r="M130" s="309">
        <v>8.3248606795319396E-2</v>
      </c>
    </row>
    <row r="131" spans="1:13" x14ac:dyDescent="0.2">
      <c r="A131" s="454"/>
      <c r="B131" s="66"/>
      <c r="C131" s="66"/>
      <c r="D131" s="66"/>
      <c r="E131" s="454"/>
      <c r="F131" s="454"/>
      <c r="G131" s="454"/>
      <c r="H131" s="454"/>
      <c r="I131" s="454"/>
      <c r="J131" s="322"/>
      <c r="K131" s="454"/>
      <c r="L131" s="454"/>
      <c r="M131" s="306"/>
    </row>
    <row r="132" spans="1:13" ht="14.25" x14ac:dyDescent="0.2">
      <c r="A132" s="454"/>
      <c r="B132" s="66"/>
      <c r="C132" s="76" t="s">
        <v>872</v>
      </c>
      <c r="D132" s="66"/>
      <c r="E132" s="66" t="s">
        <v>1007</v>
      </c>
      <c r="F132" s="66"/>
      <c r="G132" s="66"/>
      <c r="H132" s="66"/>
      <c r="I132" s="66"/>
      <c r="J132" s="304"/>
      <c r="K132" s="66"/>
      <c r="L132" s="66"/>
      <c r="M132" s="66"/>
    </row>
    <row r="133" spans="1:13" x14ac:dyDescent="0.2">
      <c r="A133" s="454">
        <f>A130+1</f>
        <v>82</v>
      </c>
      <c r="B133" s="66"/>
      <c r="C133" s="66" t="s">
        <v>856</v>
      </c>
      <c r="D133" s="66"/>
      <c r="E133" s="306">
        <v>247553.19860274871</v>
      </c>
      <c r="F133" s="317">
        <v>2.4814577070318795</v>
      </c>
      <c r="G133" s="454"/>
      <c r="H133" s="306">
        <v>247001.87221600002</v>
      </c>
      <c r="I133" s="317">
        <v>2.4759312459753895</v>
      </c>
      <c r="J133" s="304">
        <f>H133-E133</f>
        <v>-551.32638674869668</v>
      </c>
      <c r="K133" s="305"/>
      <c r="L133" s="133">
        <f>J133/E133</f>
        <v>-2.2271026585821501E-3</v>
      </c>
      <c r="M133" s="133">
        <f>L133</f>
        <v>-2.2271026585821501E-3</v>
      </c>
    </row>
    <row r="134" spans="1:13" x14ac:dyDescent="0.2">
      <c r="A134" s="454">
        <f>A133+1</f>
        <v>83</v>
      </c>
      <c r="B134" s="66"/>
      <c r="C134" s="66" t="s">
        <v>858</v>
      </c>
      <c r="D134" s="66"/>
      <c r="E134" s="306">
        <v>976662.14799999993</v>
      </c>
      <c r="F134" s="317">
        <v>9.7899999999999991</v>
      </c>
      <c r="G134" s="305"/>
      <c r="H134" s="306">
        <v>976662.14799999993</v>
      </c>
      <c r="I134" s="317">
        <v>9.7899999999999991</v>
      </c>
      <c r="J134" s="304">
        <f>H134-E134</f>
        <v>0</v>
      </c>
      <c r="K134" s="305"/>
      <c r="L134" s="120">
        <f>IFERROR(J134/E134,"100.0%")</f>
        <v>0</v>
      </c>
      <c r="M134" s="120">
        <v>0</v>
      </c>
    </row>
    <row r="135" spans="1:13" x14ac:dyDescent="0.2">
      <c r="A135" s="454">
        <f>A134+1</f>
        <v>84</v>
      </c>
      <c r="B135" s="66"/>
      <c r="C135" s="66" t="s">
        <v>855</v>
      </c>
      <c r="D135" s="66"/>
      <c r="E135" s="306">
        <v>391736.73211651266</v>
      </c>
      <c r="F135" s="317">
        <v>3.9267443867607108</v>
      </c>
      <c r="G135" s="305"/>
      <c r="H135" s="306">
        <v>119823.17732</v>
      </c>
      <c r="I135" s="317">
        <v>1.2011000000000001</v>
      </c>
      <c r="J135" s="304">
        <f>H135-E135</f>
        <v>-271913.55479651265</v>
      </c>
      <c r="K135" s="305"/>
      <c r="L135" s="133">
        <f>IFERROR(J135/E135,"100.0%")</f>
        <v>-0.69412320189478305</v>
      </c>
      <c r="M135" s="133">
        <f>L135</f>
        <v>-0.69412320189478305</v>
      </c>
    </row>
    <row r="136" spans="1:13" x14ac:dyDescent="0.2">
      <c r="A136" s="454">
        <f>A135+1</f>
        <v>85</v>
      </c>
      <c r="B136" s="66"/>
      <c r="C136" s="66" t="s">
        <v>88</v>
      </c>
      <c r="D136" s="66"/>
      <c r="E136" s="306">
        <v>1829563.6886584919</v>
      </c>
      <c r="F136" s="317">
        <v>18.339431448884859</v>
      </c>
      <c r="G136" s="454"/>
      <c r="H136" s="306">
        <v>2085348.2680800001</v>
      </c>
      <c r="I136" s="317">
        <v>20.903400000000001</v>
      </c>
      <c r="J136" s="304">
        <f>H136-E136</f>
        <v>255784.57942150813</v>
      </c>
      <c r="K136" s="66"/>
      <c r="L136" s="315">
        <f>J136/E136</f>
        <v>0.13980632705334212</v>
      </c>
      <c r="M136" s="315">
        <f>L136</f>
        <v>0.13980632705334212</v>
      </c>
    </row>
    <row r="137" spans="1:13" x14ac:dyDescent="0.2">
      <c r="A137" s="454">
        <f>A136+1</f>
        <v>86</v>
      </c>
      <c r="B137" s="66"/>
      <c r="C137" s="66" t="s">
        <v>854</v>
      </c>
      <c r="D137" s="66"/>
      <c r="E137" s="312">
        <f>SUM(E133:E136)</f>
        <v>3445515.7673777533</v>
      </c>
      <c r="F137" s="314">
        <v>34.537633542677447</v>
      </c>
      <c r="G137" s="454"/>
      <c r="H137" s="312">
        <f>SUM(H133:H136)</f>
        <v>3428835.4656159999</v>
      </c>
      <c r="I137" s="314">
        <v>34.370431245975382</v>
      </c>
      <c r="J137" s="310">
        <f>SUM(J133:J136)</f>
        <v>-16680.301761753217</v>
      </c>
      <c r="K137" s="66"/>
      <c r="L137" s="514">
        <f>J137/E137</f>
        <v>-4.8411625103222033E-3</v>
      </c>
      <c r="M137" s="514">
        <f>(J133+J136+J135)/(E133+E136+E135)</f>
        <v>-6.756294350880673E-3</v>
      </c>
    </row>
    <row r="138" spans="1:13" x14ac:dyDescent="0.2">
      <c r="A138" s="454"/>
      <c r="B138" s="66"/>
      <c r="C138" s="66"/>
      <c r="D138" s="66"/>
      <c r="E138" s="306"/>
      <c r="F138" s="305"/>
      <c r="G138" s="454"/>
      <c r="H138" s="306"/>
      <c r="I138" s="305"/>
      <c r="J138" s="304"/>
      <c r="K138" s="66"/>
      <c r="L138" s="303"/>
      <c r="M138" s="303"/>
    </row>
    <row r="139" spans="1:13" x14ac:dyDescent="0.2">
      <c r="A139" s="454">
        <f>A137+1</f>
        <v>87</v>
      </c>
      <c r="B139" s="66"/>
      <c r="C139" s="66" t="s">
        <v>853</v>
      </c>
      <c r="D139" s="66"/>
      <c r="E139" s="312">
        <v>3701300.3467992614</v>
      </c>
      <c r="F139" s="311">
        <v>37.101602093792593</v>
      </c>
      <c r="G139" s="454"/>
      <c r="H139" s="312">
        <v>3614580.8438960002</v>
      </c>
      <c r="I139" s="311">
        <v>36.232331245975388</v>
      </c>
      <c r="J139" s="310">
        <v>-86719.502903261338</v>
      </c>
      <c r="K139" s="66"/>
      <c r="L139" s="514">
        <v>-2.3429469315629288E-2</v>
      </c>
      <c r="M139" s="514">
        <v>-3.1827896614485665E-2</v>
      </c>
    </row>
    <row r="140" spans="1:13" x14ac:dyDescent="0.2">
      <c r="A140" s="454">
        <f>A139+1</f>
        <v>88</v>
      </c>
      <c r="B140" s="66"/>
      <c r="C140" s="66" t="s">
        <v>852</v>
      </c>
      <c r="D140" s="66"/>
      <c r="E140" s="303"/>
      <c r="F140" s="303"/>
      <c r="G140" s="303"/>
      <c r="H140" s="303"/>
      <c r="I140" s="303"/>
      <c r="J140" s="304"/>
      <c r="K140" s="66"/>
      <c r="L140" s="514">
        <v>-5.3664650112639309E-2</v>
      </c>
      <c r="M140" s="514">
        <v>-0.13564972438357309</v>
      </c>
    </row>
    <row r="141" spans="1:13" x14ac:dyDescent="0.2">
      <c r="A141" s="454">
        <f>A140+1</f>
        <v>89</v>
      </c>
      <c r="B141" s="66"/>
      <c r="C141" s="66" t="s">
        <v>851</v>
      </c>
      <c r="D141" s="66"/>
      <c r="E141" s="312">
        <v>3406304.0851768316</v>
      </c>
      <c r="F141" s="311">
        <v>34.144578104281344</v>
      </c>
      <c r="G141" s="454"/>
      <c r="H141" s="312">
        <v>3428835.4656159999</v>
      </c>
      <c r="I141" s="311">
        <v>34.370431245975382</v>
      </c>
      <c r="J141" s="310">
        <v>22531.380439168381</v>
      </c>
      <c r="K141" s="66"/>
      <c r="L141" s="309">
        <v>6.614612164902685E-3</v>
      </c>
      <c r="M141" s="309">
        <v>9.273539485142878E-3</v>
      </c>
    </row>
    <row r="142" spans="1:13" x14ac:dyDescent="0.2">
      <c r="A142" s="454">
        <f>A141+1</f>
        <v>90</v>
      </c>
      <c r="B142" s="66"/>
      <c r="C142" s="66" t="s">
        <v>850</v>
      </c>
      <c r="D142" s="66"/>
      <c r="E142" s="303"/>
      <c r="F142" s="303"/>
      <c r="G142" s="303"/>
      <c r="H142" s="303"/>
      <c r="I142" s="303"/>
      <c r="J142" s="304"/>
      <c r="K142" s="66"/>
      <c r="L142" s="309">
        <v>1.7056876655183947E-2</v>
      </c>
      <c r="M142" s="309">
        <v>6.544233153712592E-2</v>
      </c>
    </row>
    <row r="143" spans="1:13" x14ac:dyDescent="0.2">
      <c r="A143" s="454"/>
      <c r="B143" s="66"/>
      <c r="C143" s="66"/>
      <c r="D143" s="66"/>
      <c r="E143" s="454"/>
      <c r="F143" s="454"/>
      <c r="G143" s="454"/>
      <c r="H143" s="454"/>
      <c r="I143" s="454"/>
      <c r="J143" s="322"/>
      <c r="K143" s="454"/>
      <c r="L143" s="454"/>
      <c r="M143" s="454"/>
    </row>
    <row r="144" spans="1:13" ht="14.25" x14ac:dyDescent="0.2">
      <c r="A144" s="454"/>
      <c r="B144" s="66"/>
      <c r="C144" s="76" t="s">
        <v>871</v>
      </c>
      <c r="D144" s="66"/>
      <c r="E144" s="66" t="s">
        <v>1008</v>
      </c>
      <c r="F144" s="66"/>
      <c r="G144" s="454"/>
      <c r="H144" s="454"/>
      <c r="I144" s="454"/>
      <c r="J144" s="322"/>
      <c r="K144" s="454"/>
      <c r="L144" s="454"/>
      <c r="M144" s="454"/>
    </row>
    <row r="145" spans="1:13" x14ac:dyDescent="0.2">
      <c r="A145" s="454">
        <f>A142+1</f>
        <v>91</v>
      </c>
      <c r="B145" s="66"/>
      <c r="C145" s="66" t="s">
        <v>856</v>
      </c>
      <c r="D145" s="66"/>
      <c r="E145" s="306">
        <v>299590.53038095532</v>
      </c>
      <c r="F145" s="317">
        <v>3.0030763498253013</v>
      </c>
      <c r="G145" s="454"/>
      <c r="H145" s="306">
        <v>345296.56103899999</v>
      </c>
      <c r="I145" s="317">
        <v>3.461230683138266</v>
      </c>
      <c r="J145" s="304">
        <f>H145-E145</f>
        <v>45706.030658044678</v>
      </c>
      <c r="K145" s="305"/>
      <c r="L145" s="315">
        <f>J145/E145</f>
        <v>0.15256166675203486</v>
      </c>
      <c r="M145" s="315">
        <f>L145</f>
        <v>0.15256166675203486</v>
      </c>
    </row>
    <row r="146" spans="1:13" x14ac:dyDescent="0.2">
      <c r="A146" s="454">
        <f>A145+1</f>
        <v>92</v>
      </c>
      <c r="B146" s="66"/>
      <c r="C146" s="66" t="s">
        <v>858</v>
      </c>
      <c r="D146" s="66"/>
      <c r="E146" s="306">
        <v>976662.24589999986</v>
      </c>
      <c r="F146" s="317">
        <v>9.7899999999999991</v>
      </c>
      <c r="G146" s="305"/>
      <c r="H146" s="306">
        <v>976662.24589999986</v>
      </c>
      <c r="I146" s="317">
        <v>9.7899999999999991</v>
      </c>
      <c r="J146" s="304">
        <f>H146-E146</f>
        <v>0</v>
      </c>
      <c r="K146" s="305"/>
      <c r="L146" s="120">
        <f>IFERROR(J146/E146,"100.0%")</f>
        <v>0</v>
      </c>
      <c r="M146" s="120">
        <v>0</v>
      </c>
    </row>
    <row r="147" spans="1:13" x14ac:dyDescent="0.2">
      <c r="A147" s="454">
        <f>A146+1</f>
        <v>93</v>
      </c>
      <c r="B147" s="66"/>
      <c r="C147" s="66" t="s">
        <v>855</v>
      </c>
      <c r="D147" s="66"/>
      <c r="E147" s="306">
        <v>391736.77138395654</v>
      </c>
      <c r="F147" s="317">
        <v>3.9267443867607108</v>
      </c>
      <c r="G147" s="305"/>
      <c r="H147" s="306">
        <v>119823.189331</v>
      </c>
      <c r="I147" s="317">
        <v>1.2011000000000001</v>
      </c>
      <c r="J147" s="304">
        <f>H147-E147</f>
        <v>-271913.58205295657</v>
      </c>
      <c r="K147" s="305"/>
      <c r="L147" s="133">
        <f>IFERROR(J147/E147,"100.0%")</f>
        <v>-0.69412320189478316</v>
      </c>
      <c r="M147" s="133">
        <f>L147</f>
        <v>-0.69412320189478316</v>
      </c>
    </row>
    <row r="148" spans="1:13" x14ac:dyDescent="0.2">
      <c r="A148" s="454">
        <f>A147+1</f>
        <v>94</v>
      </c>
      <c r="B148" s="66"/>
      <c r="C148" s="66" t="s">
        <v>88</v>
      </c>
      <c r="D148" s="66"/>
      <c r="E148" s="306">
        <v>1829563.8720528064</v>
      </c>
      <c r="F148" s="317">
        <v>18.339431448884859</v>
      </c>
      <c r="G148" s="454"/>
      <c r="H148" s="306">
        <v>2085348.4771140001</v>
      </c>
      <c r="I148" s="317">
        <v>20.903400000000001</v>
      </c>
      <c r="J148" s="304">
        <f>H148-E148</f>
        <v>255784.6050611937</v>
      </c>
      <c r="K148" s="66"/>
      <c r="L148" s="315">
        <f>J148/E148</f>
        <v>0.13980632705334214</v>
      </c>
      <c r="M148" s="315">
        <f>L148</f>
        <v>0.13980632705334214</v>
      </c>
    </row>
    <row r="149" spans="1:13" x14ac:dyDescent="0.2">
      <c r="A149" s="454">
        <f>A148+1</f>
        <v>95</v>
      </c>
      <c r="B149" s="66"/>
      <c r="C149" s="66" t="s">
        <v>854</v>
      </c>
      <c r="D149" s="66"/>
      <c r="E149" s="312">
        <f>SUM(E145:E148)</f>
        <v>3497553.4197177179</v>
      </c>
      <c r="F149" s="314">
        <v>35.059252185470861</v>
      </c>
      <c r="G149" s="454"/>
      <c r="H149" s="312">
        <f>SUM(H145:H148)</f>
        <v>3527130.4733839999</v>
      </c>
      <c r="I149" s="314">
        <v>35.355730683138262</v>
      </c>
      <c r="J149" s="310">
        <f>SUM(J145:J148)</f>
        <v>29577.053666281805</v>
      </c>
      <c r="K149" s="66"/>
      <c r="L149" s="313">
        <f>J149/E149</f>
        <v>8.4564980479037034E-3</v>
      </c>
      <c r="M149" s="313">
        <f>(J145+J148+J147)/(E145+E148+E147)</f>
        <v>1.1732776874096221E-2</v>
      </c>
    </row>
    <row r="153" spans="1:13" x14ac:dyDescent="0.2">
      <c r="A153" s="566" t="s">
        <v>1146</v>
      </c>
      <c r="B153" s="566"/>
      <c r="C153" s="566"/>
      <c r="D153" s="566"/>
      <c r="E153" s="566"/>
      <c r="F153" s="566"/>
      <c r="G153" s="566"/>
      <c r="H153" s="566"/>
      <c r="I153" s="566"/>
      <c r="J153" s="566"/>
      <c r="K153" s="566"/>
      <c r="L153" s="566"/>
      <c r="M153" s="566"/>
    </row>
    <row r="154" spans="1:13" x14ac:dyDescent="0.2">
      <c r="A154" s="566" t="s">
        <v>937</v>
      </c>
      <c r="B154" s="566"/>
      <c r="C154" s="566"/>
      <c r="D154" s="566"/>
      <c r="E154" s="566"/>
      <c r="F154" s="566"/>
      <c r="G154" s="566"/>
      <c r="H154" s="566"/>
      <c r="I154" s="566"/>
      <c r="J154" s="566"/>
      <c r="K154" s="566"/>
      <c r="L154" s="566"/>
      <c r="M154" s="566"/>
    </row>
    <row r="156" spans="1:13" x14ac:dyDescent="0.2">
      <c r="A156" s="454"/>
      <c r="B156" s="66"/>
      <c r="C156" s="66"/>
      <c r="D156" s="66"/>
      <c r="E156" s="567" t="s">
        <v>894</v>
      </c>
      <c r="F156" s="567"/>
      <c r="G156" s="66"/>
      <c r="H156" s="567" t="s">
        <v>893</v>
      </c>
      <c r="I156" s="567"/>
      <c r="J156" s="567"/>
      <c r="K156" s="66"/>
      <c r="L156" s="567" t="s">
        <v>892</v>
      </c>
      <c r="M156" s="567"/>
    </row>
    <row r="157" spans="1:13" x14ac:dyDescent="0.2">
      <c r="A157" s="454"/>
      <c r="B157" s="66"/>
      <c r="C157" s="66"/>
      <c r="D157" s="66"/>
      <c r="E157" s="454"/>
      <c r="F157" s="454"/>
      <c r="G157" s="66"/>
      <c r="H157" s="454"/>
      <c r="I157" s="454"/>
      <c r="J157" s="454" t="s">
        <v>889</v>
      </c>
      <c r="K157" s="66"/>
      <c r="L157" s="454" t="s">
        <v>891</v>
      </c>
      <c r="M157" s="454" t="s">
        <v>890</v>
      </c>
    </row>
    <row r="158" spans="1:13" x14ac:dyDescent="0.2">
      <c r="A158" s="454" t="s">
        <v>0</v>
      </c>
      <c r="B158" s="66"/>
      <c r="C158" s="66"/>
      <c r="D158" s="66"/>
      <c r="E158" s="454" t="s">
        <v>889</v>
      </c>
      <c r="F158" s="454" t="s">
        <v>265</v>
      </c>
      <c r="G158" s="66"/>
      <c r="H158" s="454" t="s">
        <v>889</v>
      </c>
      <c r="I158" s="454" t="s">
        <v>265</v>
      </c>
      <c r="J158" s="454" t="s">
        <v>361</v>
      </c>
      <c r="K158" s="66"/>
      <c r="L158" s="454" t="s">
        <v>888</v>
      </c>
      <c r="M158" s="454" t="s">
        <v>888</v>
      </c>
    </row>
    <row r="159" spans="1:13" ht="14.25" x14ac:dyDescent="0.2">
      <c r="A159" s="534" t="s">
        <v>1</v>
      </c>
      <c r="B159" s="66"/>
      <c r="C159" s="75" t="s">
        <v>33</v>
      </c>
      <c r="D159" s="66"/>
      <c r="E159" s="534" t="s">
        <v>470</v>
      </c>
      <c r="F159" s="534" t="s">
        <v>35</v>
      </c>
      <c r="G159" s="66"/>
      <c r="H159" s="534" t="s">
        <v>470</v>
      </c>
      <c r="I159" s="534" t="s">
        <v>35</v>
      </c>
      <c r="J159" s="534" t="s">
        <v>470</v>
      </c>
      <c r="K159" s="66"/>
      <c r="L159" s="534" t="s">
        <v>2</v>
      </c>
      <c r="M159" s="534" t="s">
        <v>2</v>
      </c>
    </row>
    <row r="160" spans="1:13" x14ac:dyDescent="0.2">
      <c r="A160" s="454"/>
      <c r="B160" s="66"/>
      <c r="C160" s="66"/>
      <c r="D160" s="66"/>
      <c r="E160" s="454" t="s">
        <v>3</v>
      </c>
      <c r="F160" s="454" t="s">
        <v>4</v>
      </c>
      <c r="G160" s="454"/>
      <c r="H160" s="454" t="s">
        <v>119</v>
      </c>
      <c r="I160" s="454" t="s">
        <v>263</v>
      </c>
      <c r="J160" s="454" t="s">
        <v>887</v>
      </c>
      <c r="K160" s="454"/>
      <c r="L160" s="454" t="s">
        <v>886</v>
      </c>
      <c r="M160" s="454" t="s">
        <v>38</v>
      </c>
    </row>
    <row r="161" spans="1:13" x14ac:dyDescent="0.2">
      <c r="A161" s="454"/>
      <c r="B161" s="66"/>
      <c r="C161" s="66"/>
      <c r="D161" s="66"/>
      <c r="E161" s="306"/>
      <c r="F161" s="305"/>
      <c r="G161" s="454"/>
      <c r="H161" s="306"/>
      <c r="I161" s="305"/>
      <c r="J161" s="304"/>
      <c r="K161" s="66"/>
      <c r="L161" s="303"/>
      <c r="M161" s="303"/>
    </row>
    <row r="162" spans="1:13" x14ac:dyDescent="0.2">
      <c r="A162" s="454">
        <f>A149+1</f>
        <v>96</v>
      </c>
      <c r="B162" s="66"/>
      <c r="C162" s="66" t="s">
        <v>853</v>
      </c>
      <c r="D162" s="66"/>
      <c r="E162" s="312">
        <v>3753338.0247789118</v>
      </c>
      <c r="F162" s="311">
        <v>37.623220736586013</v>
      </c>
      <c r="G162" s="454"/>
      <c r="H162" s="312">
        <v>3712875.8702830002</v>
      </c>
      <c r="I162" s="311">
        <v>37.217630683138267</v>
      </c>
      <c r="J162" s="310">
        <v>-40462.154495911847</v>
      </c>
      <c r="K162" s="66"/>
      <c r="L162" s="514">
        <v>-1.0780311879395741E-2</v>
      </c>
      <c r="M162" s="514">
        <v>-1.4572156678749336E-2</v>
      </c>
    </row>
    <row r="163" spans="1:13" x14ac:dyDescent="0.2">
      <c r="A163" s="454">
        <f>A162+1</f>
        <v>97</v>
      </c>
      <c r="B163" s="66"/>
      <c r="C163" s="66" t="s">
        <v>852</v>
      </c>
      <c r="D163" s="66"/>
      <c r="E163" s="303"/>
      <c r="F163" s="303"/>
      <c r="G163" s="303"/>
      <c r="H163" s="303"/>
      <c r="I163" s="303"/>
      <c r="J163" s="304"/>
      <c r="K163" s="66"/>
      <c r="L163" s="514">
        <v>-2.4258038398715692E-2</v>
      </c>
      <c r="M163" s="514">
        <v>-5.8528217231714565E-2</v>
      </c>
    </row>
    <row r="164" spans="1:13" x14ac:dyDescent="0.2">
      <c r="A164" s="454">
        <f>A163+1</f>
        <v>98</v>
      </c>
      <c r="B164" s="66"/>
      <c r="C164" s="66" t="s">
        <v>851</v>
      </c>
      <c r="D164" s="66"/>
      <c r="E164" s="312">
        <v>3458341.7335862424</v>
      </c>
      <c r="F164" s="311">
        <v>34.666196747074764</v>
      </c>
      <c r="G164" s="454"/>
      <c r="H164" s="312">
        <v>3527130.4733839999</v>
      </c>
      <c r="I164" s="311">
        <v>35.355730683138262</v>
      </c>
      <c r="J164" s="310">
        <v>68788.739797757778</v>
      </c>
      <c r="K164" s="66"/>
      <c r="L164" s="309">
        <v>1.9890671627301855E-2</v>
      </c>
      <c r="M164" s="309">
        <v>2.7718623673636419E-2</v>
      </c>
    </row>
    <row r="165" spans="1:13" x14ac:dyDescent="0.2">
      <c r="A165" s="454">
        <f>A164+1</f>
        <v>99</v>
      </c>
      <c r="B165" s="66"/>
      <c r="C165" s="66" t="s">
        <v>850</v>
      </c>
      <c r="D165" s="66"/>
      <c r="E165" s="303"/>
      <c r="F165" s="303"/>
      <c r="G165" s="303"/>
      <c r="H165" s="303"/>
      <c r="I165" s="303"/>
      <c r="J165" s="304"/>
      <c r="K165" s="66"/>
      <c r="L165" s="309">
        <v>5.0101294724857588E-2</v>
      </c>
      <c r="M165" s="309">
        <v>0.17356385940741104</v>
      </c>
    </row>
    <row r="166" spans="1:13" x14ac:dyDescent="0.2">
      <c r="A166" s="454"/>
      <c r="B166" s="66"/>
      <c r="C166" s="66"/>
      <c r="D166" s="66"/>
      <c r="E166" s="303"/>
      <c r="F166" s="303"/>
      <c r="G166" s="303"/>
      <c r="H166" s="303"/>
      <c r="I166" s="303"/>
      <c r="J166" s="304"/>
      <c r="K166" s="66"/>
      <c r="L166" s="316"/>
      <c r="M166" s="316"/>
    </row>
    <row r="167" spans="1:13" ht="14.25" x14ac:dyDescent="0.2">
      <c r="A167" s="454"/>
      <c r="B167" s="66"/>
      <c r="C167" s="76" t="s">
        <v>870</v>
      </c>
      <c r="D167" s="66"/>
      <c r="E167" s="66" t="s">
        <v>1009</v>
      </c>
      <c r="F167" s="66"/>
      <c r="G167" s="454"/>
      <c r="H167" s="454"/>
      <c r="I167" s="454"/>
      <c r="J167" s="454"/>
      <c r="K167" s="454"/>
      <c r="L167" s="454"/>
      <c r="M167" s="454"/>
    </row>
    <row r="168" spans="1:13" x14ac:dyDescent="0.2">
      <c r="A168" s="454">
        <f>A165+1</f>
        <v>100</v>
      </c>
      <c r="B168" s="66"/>
      <c r="C168" s="66" t="s">
        <v>856</v>
      </c>
      <c r="D168" s="66"/>
      <c r="E168" s="306">
        <v>92519.801099430799</v>
      </c>
      <c r="F168" s="317">
        <v>2.0690494428164627</v>
      </c>
      <c r="G168" s="454"/>
      <c r="H168" s="306">
        <v>91458.080750000008</v>
      </c>
      <c r="I168" s="317">
        <v>2.0453058563483526</v>
      </c>
      <c r="J168" s="304">
        <f>H168-E168</f>
        <v>-1061.7203494307905</v>
      </c>
      <c r="K168" s="305"/>
      <c r="L168" s="133">
        <f>J168/E168</f>
        <v>-1.1475601296308044E-2</v>
      </c>
      <c r="M168" s="133">
        <f>L168</f>
        <v>-1.1475601296308044E-2</v>
      </c>
    </row>
    <row r="169" spans="1:13" x14ac:dyDescent="0.2">
      <c r="A169" s="454">
        <f>A168+1</f>
        <v>101</v>
      </c>
      <c r="B169" s="66"/>
      <c r="C169" s="66" t="s">
        <v>858</v>
      </c>
      <c r="D169" s="66"/>
      <c r="E169" s="306">
        <v>437770.52110000001</v>
      </c>
      <c r="F169" s="317">
        <v>9.7899999999999991</v>
      </c>
      <c r="G169" s="305"/>
      <c r="H169" s="306">
        <v>437770.52110000001</v>
      </c>
      <c r="I169" s="317">
        <v>9.7899999999999991</v>
      </c>
      <c r="J169" s="304">
        <f>H169-E169</f>
        <v>0</v>
      </c>
      <c r="K169" s="305"/>
      <c r="L169" s="120">
        <f>IFERROR(J169/E169,"100.0%")</f>
        <v>0</v>
      </c>
      <c r="M169" s="120">
        <v>0</v>
      </c>
    </row>
    <row r="170" spans="1:13" x14ac:dyDescent="0.2">
      <c r="A170" s="454">
        <f>A169+1</f>
        <v>102</v>
      </c>
      <c r="B170" s="66"/>
      <c r="C170" s="66" t="s">
        <v>855</v>
      </c>
      <c r="D170" s="66"/>
      <c r="E170" s="306">
        <v>175588.69975570761</v>
      </c>
      <c r="F170" s="317">
        <v>3.9267453785809003</v>
      </c>
      <c r="G170" s="305"/>
      <c r="H170" s="306">
        <v>41134.331191000005</v>
      </c>
      <c r="I170" s="317">
        <v>0.91990000000000005</v>
      </c>
      <c r="J170" s="304">
        <f>H170-E170</f>
        <v>-134454.36856470761</v>
      </c>
      <c r="K170" s="305"/>
      <c r="L170" s="133">
        <f>IFERROR(J170/E170,"100.0%")</f>
        <v>-0.76573474689299925</v>
      </c>
      <c r="M170" s="133">
        <f>L170</f>
        <v>-0.76573474689299925</v>
      </c>
    </row>
    <row r="171" spans="1:13" x14ac:dyDescent="0.2">
      <c r="A171" s="454">
        <f>A170+1</f>
        <v>103</v>
      </c>
      <c r="B171" s="66"/>
      <c r="C171" s="66" t="s">
        <v>88</v>
      </c>
      <c r="D171" s="66"/>
      <c r="E171" s="306">
        <v>820067.6672171657</v>
      </c>
      <c r="F171" s="317">
        <v>18.339431448884859</v>
      </c>
      <c r="G171" s="454"/>
      <c r="H171" s="306">
        <v>934718.31570600008</v>
      </c>
      <c r="I171" s="317">
        <v>20.903400000000001</v>
      </c>
      <c r="J171" s="304">
        <f>H171-E171</f>
        <v>114650.64848883438</v>
      </c>
      <c r="K171" s="66"/>
      <c r="L171" s="315">
        <f>J171/E171</f>
        <v>0.13980632705334212</v>
      </c>
      <c r="M171" s="315">
        <f>L171</f>
        <v>0.13980632705334212</v>
      </c>
    </row>
    <row r="172" spans="1:13" x14ac:dyDescent="0.2">
      <c r="A172" s="454">
        <f>A171+1</f>
        <v>104</v>
      </c>
      <c r="B172" s="66"/>
      <c r="C172" s="66" t="s">
        <v>854</v>
      </c>
      <c r="D172" s="66"/>
      <c r="E172" s="312">
        <f>SUM(E168:E171)</f>
        <v>1525946.6891723042</v>
      </c>
      <c r="F172" s="314">
        <v>34.125226270282219</v>
      </c>
      <c r="G172" s="454"/>
      <c r="H172" s="312">
        <f>SUM(H168:H171)</f>
        <v>1505081.248747</v>
      </c>
      <c r="I172" s="314">
        <v>33.658605856348352</v>
      </c>
      <c r="J172" s="310">
        <f>SUM(J168:J171)</f>
        <v>-20865.440425303997</v>
      </c>
      <c r="K172" s="66"/>
      <c r="L172" s="514">
        <f>J172/E172</f>
        <v>-1.3673767618069094E-2</v>
      </c>
      <c r="M172" s="514">
        <f>(J168+J171+J170)/(E168+E171+E170)</f>
        <v>-1.9174689758430369E-2</v>
      </c>
    </row>
    <row r="173" spans="1:13" x14ac:dyDescent="0.2">
      <c r="A173" s="454"/>
      <c r="B173" s="66"/>
      <c r="C173" s="66"/>
      <c r="D173" s="66"/>
      <c r="E173" s="306"/>
      <c r="F173" s="305"/>
      <c r="G173" s="454"/>
      <c r="H173" s="306"/>
      <c r="I173" s="305"/>
      <c r="J173" s="304"/>
      <c r="K173" s="66"/>
      <c r="L173" s="303"/>
      <c r="M173" s="303"/>
    </row>
    <row r="174" spans="1:13" x14ac:dyDescent="0.2">
      <c r="A174" s="454">
        <f>A172+1</f>
        <v>105</v>
      </c>
      <c r="B174" s="66"/>
      <c r="C174" s="66" t="s">
        <v>853</v>
      </c>
      <c r="D174" s="66"/>
      <c r="E174" s="312">
        <v>1640597.3376611385</v>
      </c>
      <c r="F174" s="311">
        <v>36.689194821397365</v>
      </c>
      <c r="G174" s="454"/>
      <c r="H174" s="312">
        <v>1588338.1367180001</v>
      </c>
      <c r="I174" s="311">
        <v>35.520505856348358</v>
      </c>
      <c r="J174" s="310">
        <v>-52259.200943138392</v>
      </c>
      <c r="K174" s="66"/>
      <c r="L174" s="514">
        <v>-3.1853764323206774E-2</v>
      </c>
      <c r="M174" s="514">
        <v>-4.3446986900862891E-2</v>
      </c>
    </row>
    <row r="175" spans="1:13" x14ac:dyDescent="0.2">
      <c r="A175" s="454">
        <f>A174+1</f>
        <v>106</v>
      </c>
      <c r="B175" s="66"/>
      <c r="C175" s="66" t="s">
        <v>852</v>
      </c>
      <c r="D175" s="66"/>
      <c r="E175" s="303"/>
      <c r="F175" s="303"/>
      <c r="G175" s="303"/>
      <c r="H175" s="303"/>
      <c r="I175" s="303"/>
      <c r="J175" s="304"/>
      <c r="K175" s="66"/>
      <c r="L175" s="514">
        <v>-7.4034217362617255E-2</v>
      </c>
      <c r="M175" s="514">
        <v>-0.19491810508229479</v>
      </c>
    </row>
    <row r="176" spans="1:13" x14ac:dyDescent="0.2">
      <c r="A176" s="454">
        <f>A175+1</f>
        <v>107</v>
      </c>
      <c r="B176" s="66"/>
      <c r="C176" s="66" t="s">
        <v>851</v>
      </c>
      <c r="D176" s="66"/>
      <c r="E176" s="312">
        <v>1508370.7450121504</v>
      </c>
      <c r="F176" s="311">
        <v>33.73216989705832</v>
      </c>
      <c r="G176" s="454">
        <v>0</v>
      </c>
      <c r="H176" s="312">
        <v>1505081.248747</v>
      </c>
      <c r="I176" s="311">
        <v>33.658605856348352</v>
      </c>
      <c r="J176" s="310">
        <v>-3289.4962651503229</v>
      </c>
      <c r="K176" s="66"/>
      <c r="L176" s="514">
        <v>-2.1808274099905226E-3</v>
      </c>
      <c r="M176" s="514">
        <v>-3.0725719943621526E-3</v>
      </c>
    </row>
    <row r="177" spans="1:13" x14ac:dyDescent="0.2">
      <c r="A177" s="454">
        <f>A176+1</f>
        <v>108</v>
      </c>
      <c r="B177" s="66"/>
      <c r="C177" s="66" t="s">
        <v>850</v>
      </c>
      <c r="D177" s="66"/>
      <c r="E177" s="303"/>
      <c r="F177" s="303"/>
      <c r="G177" s="303"/>
      <c r="H177" s="303"/>
      <c r="I177" s="303"/>
      <c r="J177" s="304"/>
      <c r="K177" s="66"/>
      <c r="L177" s="133">
        <v>-5.7343019868826613E-3</v>
      </c>
      <c r="M177" s="133">
        <v>-2.4208493305523306E-2</v>
      </c>
    </row>
    <row r="178" spans="1:13" x14ac:dyDescent="0.2">
      <c r="A178" s="454"/>
      <c r="B178" s="66"/>
      <c r="C178" s="66"/>
      <c r="D178" s="66"/>
      <c r="E178" s="454"/>
      <c r="F178" s="454"/>
      <c r="G178" s="454"/>
      <c r="H178" s="454"/>
      <c r="I178" s="454"/>
      <c r="J178" s="322"/>
      <c r="K178" s="454"/>
      <c r="L178" s="454"/>
      <c r="M178" s="454"/>
    </row>
    <row r="179" spans="1:13" ht="14.25" x14ac:dyDescent="0.2">
      <c r="A179" s="454"/>
      <c r="B179" s="66"/>
      <c r="C179" s="76" t="s">
        <v>869</v>
      </c>
      <c r="D179" s="66"/>
      <c r="E179" s="66" t="s">
        <v>1010</v>
      </c>
      <c r="F179" s="66"/>
      <c r="G179" s="454"/>
      <c r="H179" s="454"/>
      <c r="I179" s="454"/>
      <c r="J179" s="454"/>
      <c r="K179" s="454"/>
      <c r="L179" s="454"/>
      <c r="M179" s="454"/>
    </row>
    <row r="180" spans="1:13" x14ac:dyDescent="0.2">
      <c r="A180" s="454">
        <f>A177+1</f>
        <v>109</v>
      </c>
      <c r="B180" s="66"/>
      <c r="C180" s="66" t="s">
        <v>856</v>
      </c>
      <c r="D180" s="66"/>
      <c r="E180" s="306">
        <v>1266100.1967695309</v>
      </c>
      <c r="F180" s="317">
        <v>1.8130438565367601</v>
      </c>
      <c r="G180" s="454"/>
      <c r="H180" s="306">
        <v>1269092.1702560002</v>
      </c>
      <c r="I180" s="317">
        <v>1.8173283350973075</v>
      </c>
      <c r="J180" s="304">
        <f>H180-E180</f>
        <v>2991.9734864693601</v>
      </c>
      <c r="K180" s="305"/>
      <c r="L180" s="315">
        <f>J180/E180</f>
        <v>2.3631411590515623E-3</v>
      </c>
      <c r="M180" s="315">
        <f>L180</f>
        <v>2.3631411590515623E-3</v>
      </c>
    </row>
    <row r="181" spans="1:13" x14ac:dyDescent="0.2">
      <c r="A181" s="454">
        <f>A180+1</f>
        <v>110</v>
      </c>
      <c r="B181" s="66"/>
      <c r="C181" s="66" t="s">
        <v>858</v>
      </c>
      <c r="D181" s="66"/>
      <c r="E181" s="306">
        <v>6836636.0149999997</v>
      </c>
      <c r="F181" s="317">
        <v>9.7899999999999991</v>
      </c>
      <c r="G181" s="305"/>
      <c r="H181" s="306">
        <v>6836636.0149999997</v>
      </c>
      <c r="I181" s="317">
        <v>9.7899999999999991</v>
      </c>
      <c r="J181" s="304">
        <f>H181-E181</f>
        <v>0</v>
      </c>
      <c r="K181" s="305"/>
      <c r="L181" s="120">
        <f>IFERROR(J181/E181,"100.0%")</f>
        <v>0</v>
      </c>
      <c r="M181" s="120">
        <v>0</v>
      </c>
    </row>
    <row r="182" spans="1:13" x14ac:dyDescent="0.2">
      <c r="A182" s="454">
        <f>A181+1</f>
        <v>111</v>
      </c>
      <c r="B182" s="66"/>
      <c r="C182" s="66" t="s">
        <v>855</v>
      </c>
      <c r="D182" s="66"/>
      <c r="E182" s="306">
        <v>2742158.2101063319</v>
      </c>
      <c r="F182" s="317">
        <v>3.9267453785808994</v>
      </c>
      <c r="G182" s="305"/>
      <c r="H182" s="306">
        <v>642392.38715000008</v>
      </c>
      <c r="I182" s="317">
        <v>0.91990000000000005</v>
      </c>
      <c r="J182" s="304">
        <f>H182-E182</f>
        <v>-2099765.822956332</v>
      </c>
      <c r="K182" s="305"/>
      <c r="L182" s="133">
        <f>IFERROR(J182/E182,"100.0%")</f>
        <v>-0.76573474689299925</v>
      </c>
      <c r="M182" s="133">
        <f>L182</f>
        <v>-0.76573474689299925</v>
      </c>
    </row>
    <row r="183" spans="1:13" x14ac:dyDescent="0.2">
      <c r="A183" s="454">
        <f>A182+1</f>
        <v>112</v>
      </c>
      <c r="B183" s="66"/>
      <c r="C183" s="66" t="s">
        <v>88</v>
      </c>
      <c r="D183" s="66"/>
      <c r="E183" s="306">
        <v>12806947.654552588</v>
      </c>
      <c r="F183" s="317">
        <v>18.339431448884856</v>
      </c>
      <c r="G183" s="454"/>
      <c r="H183" s="306">
        <v>14597439.9669</v>
      </c>
      <c r="I183" s="317">
        <v>20.903400000000001</v>
      </c>
      <c r="J183" s="304">
        <f>H183-E183</f>
        <v>1790492.3123474121</v>
      </c>
      <c r="K183" s="66"/>
      <c r="L183" s="315">
        <f>J183/E183</f>
        <v>0.13980632705334214</v>
      </c>
      <c r="M183" s="315">
        <f>L183</f>
        <v>0.13980632705334214</v>
      </c>
    </row>
    <row r="184" spans="1:13" x14ac:dyDescent="0.2">
      <c r="A184" s="454">
        <f>A183+1</f>
        <v>113</v>
      </c>
      <c r="B184" s="66"/>
      <c r="C184" s="66" t="s">
        <v>854</v>
      </c>
      <c r="D184" s="66"/>
      <c r="E184" s="312">
        <f>SUM(E180:E183)</f>
        <v>23651842.076428451</v>
      </c>
      <c r="F184" s="314">
        <v>33.869220684002514</v>
      </c>
      <c r="G184" s="454"/>
      <c r="H184" s="312">
        <f>SUM(H180:H183)</f>
        <v>23345560.539306</v>
      </c>
      <c r="I184" s="314">
        <v>33.430628335097303</v>
      </c>
      <c r="J184" s="310">
        <f>SUM(J180:J183)</f>
        <v>-306281.53712245054</v>
      </c>
      <c r="K184" s="66"/>
      <c r="L184" s="514">
        <f>J184/E184</f>
        <v>-1.2949584904750075E-2</v>
      </c>
      <c r="M184" s="514">
        <f>(J180+J183+J182)/(E180+E183+E182)</f>
        <v>-1.8214557466828447E-2</v>
      </c>
    </row>
    <row r="185" spans="1:13" x14ac:dyDescent="0.2">
      <c r="A185" s="454"/>
      <c r="B185" s="66"/>
      <c r="C185" s="66"/>
      <c r="D185" s="66"/>
      <c r="E185" s="306"/>
      <c r="F185" s="305"/>
      <c r="G185" s="454"/>
      <c r="H185" s="306"/>
      <c r="I185" s="305"/>
      <c r="J185" s="304"/>
      <c r="K185" s="66"/>
      <c r="L185" s="303"/>
      <c r="M185" s="303"/>
    </row>
    <row r="186" spans="1:13" x14ac:dyDescent="0.2">
      <c r="A186" s="454">
        <f>A184+1</f>
        <v>114</v>
      </c>
      <c r="B186" s="66"/>
      <c r="C186" s="66" t="s">
        <v>853</v>
      </c>
      <c r="D186" s="66"/>
      <c r="E186" s="312">
        <v>25442334.388775863</v>
      </c>
      <c r="F186" s="311">
        <v>36.433189235117659</v>
      </c>
      <c r="G186" s="454"/>
      <c r="H186" s="312">
        <v>24645778.373456001</v>
      </c>
      <c r="I186" s="311">
        <v>35.292528335097309</v>
      </c>
      <c r="J186" s="310">
        <v>-796556.01531986264</v>
      </c>
      <c r="K186" s="66"/>
      <c r="L186" s="514">
        <v>-3.130829125771066E-2</v>
      </c>
      <c r="M186" s="514">
        <v>-4.2812476012326572E-2</v>
      </c>
    </row>
    <row r="187" spans="1:13" x14ac:dyDescent="0.2">
      <c r="A187" s="454">
        <f>A186+1</f>
        <v>115</v>
      </c>
      <c r="B187" s="66"/>
      <c r="C187" s="66" t="s">
        <v>852</v>
      </c>
      <c r="D187" s="66"/>
      <c r="E187" s="303"/>
      <c r="F187" s="303"/>
      <c r="G187" s="303"/>
      <c r="H187" s="303"/>
      <c r="I187" s="303"/>
      <c r="J187" s="304"/>
      <c r="K187" s="66"/>
      <c r="L187" s="514">
        <v>-7.3449863533303142E-2</v>
      </c>
      <c r="M187" s="514">
        <v>-0.19872870819741345</v>
      </c>
    </row>
    <row r="188" spans="1:13" x14ac:dyDescent="0.2">
      <c r="A188" s="454">
        <f>A187+1</f>
        <v>116</v>
      </c>
      <c r="B188" s="66"/>
      <c r="C188" s="66" t="s">
        <v>851</v>
      </c>
      <c r="D188" s="66"/>
      <c r="E188" s="312">
        <v>23377359.608899564</v>
      </c>
      <c r="F188" s="311">
        <v>33.476164310778614</v>
      </c>
      <c r="G188" s="454">
        <v>0</v>
      </c>
      <c r="H188" s="312">
        <v>23345560.539306</v>
      </c>
      <c r="I188" s="311">
        <v>33.430628335097303</v>
      </c>
      <c r="J188" s="310">
        <v>-31799.069593561697</v>
      </c>
      <c r="K188" s="66"/>
      <c r="L188" s="514">
        <v>-1.360250692360315E-3</v>
      </c>
      <c r="M188" s="514">
        <v>-1.9224714936467238E-3</v>
      </c>
    </row>
    <row r="189" spans="1:13" x14ac:dyDescent="0.2">
      <c r="A189" s="454">
        <f>A188+1</f>
        <v>117</v>
      </c>
      <c r="B189" s="66"/>
      <c r="C189" s="66" t="s">
        <v>850</v>
      </c>
      <c r="D189" s="66"/>
      <c r="E189" s="303"/>
      <c r="F189" s="303"/>
      <c r="G189" s="303"/>
      <c r="H189" s="303"/>
      <c r="I189" s="303"/>
      <c r="J189" s="304"/>
      <c r="K189" s="66"/>
      <c r="L189" s="133">
        <v>-3.6217950607939386E-3</v>
      </c>
      <c r="M189" s="133">
        <v>-1.6363576140791959E-2</v>
      </c>
    </row>
    <row r="190" spans="1:13" x14ac:dyDescent="0.2">
      <c r="A190" s="454"/>
      <c r="B190" s="66"/>
      <c r="C190" s="66"/>
      <c r="D190" s="66"/>
      <c r="E190" s="454"/>
      <c r="F190" s="454"/>
      <c r="G190" s="454"/>
      <c r="H190" s="454"/>
      <c r="I190" s="454"/>
      <c r="J190" s="322"/>
      <c r="K190" s="454"/>
      <c r="L190" s="454"/>
      <c r="M190" s="454"/>
    </row>
    <row r="191" spans="1:13" ht="14.25" x14ac:dyDescent="0.2">
      <c r="A191" s="454"/>
      <c r="B191" s="66"/>
      <c r="C191" s="76" t="s">
        <v>868</v>
      </c>
      <c r="D191" s="66"/>
      <c r="E191" s="66" t="s">
        <v>1011</v>
      </c>
      <c r="F191" s="66"/>
      <c r="G191" s="454"/>
      <c r="H191" s="454"/>
      <c r="I191" s="454"/>
      <c r="J191" s="454"/>
      <c r="K191" s="454"/>
      <c r="L191" s="454"/>
      <c r="M191" s="454"/>
    </row>
    <row r="192" spans="1:13" x14ac:dyDescent="0.2">
      <c r="A192" s="454">
        <f>A189+1</f>
        <v>118</v>
      </c>
      <c r="B192" s="66"/>
      <c r="C192" s="66" t="s">
        <v>856</v>
      </c>
      <c r="D192" s="66"/>
      <c r="E192" s="306">
        <v>3135864.1676275972</v>
      </c>
      <c r="F192" s="317">
        <v>1.522264159042523</v>
      </c>
      <c r="G192" s="305"/>
      <c r="H192" s="306">
        <v>2981126.66</v>
      </c>
      <c r="I192" s="317">
        <v>1.44714886407767</v>
      </c>
      <c r="J192" s="304">
        <f>H192-E192</f>
        <v>-154737.50762759708</v>
      </c>
      <c r="K192" s="305"/>
      <c r="L192" s="133">
        <f>IFERROR(J192/E192,"100.0%")</f>
        <v>-4.9344454783786761E-2</v>
      </c>
      <c r="M192" s="133">
        <f>L192</f>
        <v>-4.9344454783786761E-2</v>
      </c>
    </row>
    <row r="193" spans="1:13" x14ac:dyDescent="0.2">
      <c r="A193" s="454">
        <f>A192+1</f>
        <v>119</v>
      </c>
      <c r="B193" s="66"/>
      <c r="C193" s="66" t="s">
        <v>858</v>
      </c>
      <c r="D193" s="66"/>
      <c r="E193" s="306">
        <v>20167399.999999996</v>
      </c>
      <c r="F193" s="317">
        <v>9.7899999999999991</v>
      </c>
      <c r="G193" s="305"/>
      <c r="H193" s="306">
        <v>20167399.999999996</v>
      </c>
      <c r="I193" s="317">
        <v>9.7899999999999991</v>
      </c>
      <c r="J193" s="304">
        <f>H193-E193</f>
        <v>0</v>
      </c>
      <c r="K193" s="305"/>
      <c r="L193" s="120">
        <f>IFERROR(J193/E193,"100.0%")</f>
        <v>0</v>
      </c>
      <c r="M193" s="315">
        <f>L193</f>
        <v>0</v>
      </c>
    </row>
    <row r="194" spans="1:13" x14ac:dyDescent="0.2">
      <c r="A194" s="454">
        <f>A193+1</f>
        <v>120</v>
      </c>
      <c r="B194" s="66"/>
      <c r="C194" s="66" t="s">
        <v>88</v>
      </c>
      <c r="D194" s="66"/>
      <c r="E194" s="306">
        <v>37779228.7847028</v>
      </c>
      <c r="F194" s="317">
        <v>18.339431448884856</v>
      </c>
      <c r="G194" s="454"/>
      <c r="H194" s="306">
        <v>43061004</v>
      </c>
      <c r="I194" s="317">
        <v>20.903400000000001</v>
      </c>
      <c r="J194" s="304">
        <f>H194-E194</f>
        <v>5281775.2152971998</v>
      </c>
      <c r="K194" s="66"/>
      <c r="L194" s="315">
        <f>J194/E194</f>
        <v>0.1398063270533422</v>
      </c>
      <c r="M194" s="315">
        <f>L194</f>
        <v>0.1398063270533422</v>
      </c>
    </row>
    <row r="195" spans="1:13" x14ac:dyDescent="0.2">
      <c r="A195" s="454">
        <f>A194+1</f>
        <v>121</v>
      </c>
      <c r="B195" s="66"/>
      <c r="C195" s="66" t="s">
        <v>854</v>
      </c>
      <c r="D195" s="66"/>
      <c r="E195" s="312">
        <f>SUM(E192:E194)</f>
        <v>61082492.952330396</v>
      </c>
      <c r="F195" s="314">
        <v>29.651695607927376</v>
      </c>
      <c r="G195" s="454"/>
      <c r="H195" s="312">
        <f>SUM(H192:H194)</f>
        <v>66209530.659999996</v>
      </c>
      <c r="I195" s="314">
        <v>32.140548864077665</v>
      </c>
      <c r="J195" s="310">
        <f>SUM(J192:J194)</f>
        <v>5127037.7076696027</v>
      </c>
      <c r="K195" s="66"/>
      <c r="L195" s="313">
        <f>J195/E195</f>
        <v>8.3936287794782904E-2</v>
      </c>
      <c r="M195" s="313">
        <f>(J194+J192)/(E194+E192)</f>
        <v>0.12530920346785093</v>
      </c>
    </row>
    <row r="196" spans="1:13" x14ac:dyDescent="0.2">
      <c r="A196" s="454"/>
      <c r="B196" s="66"/>
      <c r="C196" s="66"/>
      <c r="D196" s="66"/>
      <c r="E196" s="306"/>
      <c r="F196" s="305"/>
      <c r="G196" s="454"/>
      <c r="H196" s="306"/>
      <c r="I196" s="305"/>
      <c r="J196" s="304"/>
      <c r="K196" s="66"/>
      <c r="L196" s="303"/>
      <c r="M196" s="303"/>
    </row>
    <row r="197" spans="1:13" x14ac:dyDescent="0.2">
      <c r="A197" s="454">
        <f>A195+1</f>
        <v>122</v>
      </c>
      <c r="B197" s="66"/>
      <c r="C197" s="66" t="s">
        <v>867</v>
      </c>
      <c r="D197" s="66"/>
      <c r="E197" s="312">
        <v>66364268.167627595</v>
      </c>
      <c r="F197" s="311">
        <v>32.215664159042525</v>
      </c>
      <c r="G197" s="454"/>
      <c r="H197" s="312">
        <v>66209530.659999996</v>
      </c>
      <c r="I197" s="311">
        <v>32.140548864077665</v>
      </c>
      <c r="J197" s="310">
        <v>-154737.50762759708</v>
      </c>
      <c r="K197" s="66"/>
      <c r="L197" s="514">
        <v>-2.3316388758593716E-3</v>
      </c>
      <c r="M197" s="514">
        <v>-3.3495237613537883E-3</v>
      </c>
    </row>
    <row r="198" spans="1:13" x14ac:dyDescent="0.2">
      <c r="A198" s="454">
        <f>A197+1</f>
        <v>123</v>
      </c>
      <c r="B198" s="66"/>
      <c r="C198" s="66" t="s">
        <v>866</v>
      </c>
      <c r="D198" s="66"/>
      <c r="E198" s="303"/>
      <c r="F198" s="303"/>
      <c r="G198" s="303"/>
      <c r="H198" s="303"/>
      <c r="I198" s="303"/>
      <c r="J198" s="304"/>
      <c r="K198" s="66"/>
      <c r="L198" s="133">
        <v>-6.6401645071918793E-3</v>
      </c>
      <c r="M198" s="133">
        <v>-4.9344454783786761E-2</v>
      </c>
    </row>
    <row r="199" spans="1:13" x14ac:dyDescent="0.2">
      <c r="A199" s="454"/>
      <c r="B199" s="66"/>
      <c r="C199" s="66"/>
      <c r="D199" s="66"/>
      <c r="E199" s="303"/>
      <c r="F199" s="303"/>
      <c r="G199" s="303"/>
      <c r="H199" s="303"/>
      <c r="I199" s="303"/>
      <c r="J199" s="304"/>
      <c r="K199" s="303"/>
      <c r="L199" s="303"/>
      <c r="M199" s="303"/>
    </row>
    <row r="200" spans="1:13" ht="14.25" x14ac:dyDescent="0.2">
      <c r="A200" s="454"/>
      <c r="B200" s="66"/>
      <c r="C200" s="76" t="s">
        <v>865</v>
      </c>
      <c r="D200" s="66"/>
      <c r="E200" s="568" t="s">
        <v>864</v>
      </c>
      <c r="F200" s="568"/>
      <c r="G200" s="303"/>
      <c r="H200" s="303"/>
      <c r="I200" s="303"/>
      <c r="J200" s="304"/>
      <c r="K200" s="303"/>
      <c r="L200" s="303"/>
      <c r="M200" s="303"/>
    </row>
    <row r="201" spans="1:13" x14ac:dyDescent="0.2">
      <c r="A201" s="454">
        <f>A198+1</f>
        <v>124</v>
      </c>
      <c r="B201" s="66"/>
      <c r="C201" s="66" t="s">
        <v>856</v>
      </c>
      <c r="D201" s="66"/>
      <c r="E201" s="306">
        <v>14843.730786704673</v>
      </c>
      <c r="F201" s="317">
        <v>2.47987790618338</v>
      </c>
      <c r="G201" s="454"/>
      <c r="H201" s="306">
        <v>26726.967238999998</v>
      </c>
      <c r="I201" s="317">
        <v>4.4651588274996783</v>
      </c>
      <c r="J201" s="304">
        <f>H201-E201</f>
        <v>11883.236452295325</v>
      </c>
      <c r="K201" s="305"/>
      <c r="L201" s="315">
        <f>J201/E201</f>
        <v>0.80055591300126361</v>
      </c>
      <c r="M201" s="315">
        <f>L201</f>
        <v>0.80055591300126361</v>
      </c>
    </row>
    <row r="202" spans="1:13" x14ac:dyDescent="0.2">
      <c r="A202" s="454">
        <f>A201+1</f>
        <v>125</v>
      </c>
      <c r="B202" s="66"/>
      <c r="C202" s="66" t="s">
        <v>858</v>
      </c>
      <c r="D202" s="66"/>
      <c r="E202" s="306">
        <v>58599.709299999995</v>
      </c>
      <c r="F202" s="317">
        <v>9.7899999999999991</v>
      </c>
      <c r="G202" s="305"/>
      <c r="H202" s="306">
        <v>58599.709299999995</v>
      </c>
      <c r="I202" s="317">
        <v>9.7899999999999991</v>
      </c>
      <c r="J202" s="304">
        <f>H202-E202</f>
        <v>0</v>
      </c>
      <c r="K202" s="305"/>
      <c r="L202" s="120">
        <f>IFERROR(J202/E202,"100.0%")</f>
        <v>0</v>
      </c>
      <c r="M202" s="120">
        <v>0</v>
      </c>
    </row>
    <row r="203" spans="1:13" x14ac:dyDescent="0.2">
      <c r="A203" s="454">
        <f>A202+1</f>
        <v>126</v>
      </c>
      <c r="B203" s="66"/>
      <c r="C203" s="66" t="s">
        <v>855</v>
      </c>
      <c r="D203" s="66"/>
      <c r="E203" s="306">
        <v>18461.476007894285</v>
      </c>
      <c r="F203" s="317">
        <v>3.0842789542180382</v>
      </c>
      <c r="G203" s="305"/>
      <c r="H203" s="306">
        <v>269.56013869863091</v>
      </c>
      <c r="I203" s="317">
        <v>4.5034246575342593E-2</v>
      </c>
      <c r="J203" s="304">
        <f>H203-E203</f>
        <v>-18191.915869195655</v>
      </c>
      <c r="K203" s="305"/>
      <c r="L203" s="133">
        <f>IFERROR(J203/E203,"100.0%")</f>
        <v>-0.98539877642592799</v>
      </c>
      <c r="M203" s="133">
        <f>L203</f>
        <v>-0.98539877642592799</v>
      </c>
    </row>
    <row r="204" spans="1:13" x14ac:dyDescent="0.2">
      <c r="A204" s="454">
        <f>A203+1</f>
        <v>127</v>
      </c>
      <c r="B204" s="66"/>
      <c r="C204" s="66" t="s">
        <v>88</v>
      </c>
      <c r="D204" s="66"/>
      <c r="E204" s="306">
        <v>109797.37345480292</v>
      </c>
      <c r="F204" s="317">
        <v>18.343372330048751</v>
      </c>
      <c r="G204" s="454"/>
      <c r="H204" s="306">
        <v>125120.85427800001</v>
      </c>
      <c r="I204" s="317">
        <v>20.903400000000001</v>
      </c>
      <c r="J204" s="304">
        <f>H204-E204</f>
        <v>15323.480823197096</v>
      </c>
      <c r="K204" s="66"/>
      <c r="L204" s="315">
        <f>J204/E204</f>
        <v>0.1395614516180104</v>
      </c>
      <c r="M204" s="315">
        <f>L204</f>
        <v>0.1395614516180104</v>
      </c>
    </row>
    <row r="205" spans="1:13" x14ac:dyDescent="0.2">
      <c r="A205" s="454">
        <f>A204+1</f>
        <v>128</v>
      </c>
      <c r="B205" s="66"/>
      <c r="C205" s="66" t="s">
        <v>854</v>
      </c>
      <c r="D205" s="66"/>
      <c r="E205" s="312">
        <f>SUM(E201:E204)</f>
        <v>201702.28954940184</v>
      </c>
      <c r="F205" s="314">
        <v>33.697529190450162</v>
      </c>
      <c r="G205" s="454"/>
      <c r="H205" s="312">
        <f>SUM(H201:H204)</f>
        <v>210717.09095569863</v>
      </c>
      <c r="I205" s="314">
        <v>35.203593074075023</v>
      </c>
      <c r="J205" s="310">
        <f>SUM(J201:J204)</f>
        <v>9014.8014062967668</v>
      </c>
      <c r="K205" s="66"/>
      <c r="L205" s="313">
        <f>J205/E205</f>
        <v>4.4693599792226556E-2</v>
      </c>
      <c r="M205" s="313">
        <f>(J201+J204+J203)/(E201+E204+E203)</f>
        <v>6.2995379891722422E-2</v>
      </c>
    </row>
    <row r="206" spans="1:13" x14ac:dyDescent="0.2">
      <c r="A206" s="454"/>
      <c r="B206" s="66"/>
      <c r="C206" s="66"/>
      <c r="D206" s="66"/>
      <c r="E206" s="306"/>
      <c r="F206" s="305"/>
      <c r="G206" s="454"/>
      <c r="H206" s="306"/>
      <c r="I206" s="305"/>
      <c r="J206" s="304"/>
      <c r="K206" s="66"/>
      <c r="L206" s="303"/>
      <c r="M206" s="303"/>
    </row>
    <row r="207" spans="1:13" x14ac:dyDescent="0.2">
      <c r="A207" s="454">
        <f>A205+1</f>
        <v>129</v>
      </c>
      <c r="B207" s="66"/>
      <c r="C207" s="66" t="s">
        <v>853</v>
      </c>
      <c r="D207" s="66"/>
      <c r="E207" s="312">
        <v>217025.77037259896</v>
      </c>
      <c r="F207" s="311">
        <v>36.257556860401422</v>
      </c>
      <c r="G207" s="454"/>
      <c r="H207" s="312">
        <v>221862.40849569865</v>
      </c>
      <c r="I207" s="311">
        <v>37.065593074075025</v>
      </c>
      <c r="J207" s="310">
        <v>4836.6381230996667</v>
      </c>
      <c r="K207" s="66"/>
      <c r="L207" s="309">
        <v>2.2286008315030623E-2</v>
      </c>
      <c r="M207" s="309">
        <v>3.0529308690463941E-2</v>
      </c>
    </row>
    <row r="208" spans="1:13" x14ac:dyDescent="0.2">
      <c r="A208" s="454">
        <f>A207+1</f>
        <v>130</v>
      </c>
      <c r="B208" s="66"/>
      <c r="C208" s="66" t="s">
        <v>852</v>
      </c>
      <c r="D208" s="66"/>
      <c r="E208" s="303"/>
      <c r="F208" s="303"/>
      <c r="G208" s="303"/>
      <c r="H208" s="303"/>
      <c r="I208" s="303"/>
      <c r="J208" s="304"/>
      <c r="K208" s="66"/>
      <c r="L208" s="309">
        <v>5.2626544135258788E-2</v>
      </c>
      <c r="M208" s="309">
        <v>0.14522168119022205</v>
      </c>
    </row>
    <row r="209" spans="1:13" x14ac:dyDescent="0.2">
      <c r="A209" s="454">
        <f>A208+1</f>
        <v>131</v>
      </c>
      <c r="B209" s="66"/>
      <c r="C209" s="66" t="s">
        <v>851</v>
      </c>
      <c r="D209" s="66"/>
      <c r="E209" s="312">
        <v>199326.00547080347</v>
      </c>
      <c r="F209" s="311">
        <v>33.300533686421652</v>
      </c>
      <c r="G209" s="454">
        <v>0</v>
      </c>
      <c r="H209" s="312">
        <v>210717.09095569863</v>
      </c>
      <c r="I209" s="311">
        <v>35.203593074075023</v>
      </c>
      <c r="J209" s="310">
        <v>11391.08548489518</v>
      </c>
      <c r="K209" s="66"/>
      <c r="L209" s="309">
        <v>5.7148014670688335E-2</v>
      </c>
      <c r="M209" s="309">
        <v>8.0944967606263865E-2</v>
      </c>
    </row>
    <row r="210" spans="1:13" x14ac:dyDescent="0.2">
      <c r="A210" s="454">
        <f>A209+1</f>
        <v>132</v>
      </c>
      <c r="B210" s="66"/>
      <c r="C210" s="66" t="s">
        <v>850</v>
      </c>
      <c r="D210" s="66"/>
      <c r="E210" s="303"/>
      <c r="F210" s="303"/>
      <c r="G210" s="303"/>
      <c r="H210" s="303"/>
      <c r="I210" s="303"/>
      <c r="J210" s="304"/>
      <c r="K210" s="66"/>
      <c r="L210" s="309">
        <v>0.1535080153033892</v>
      </c>
      <c r="M210" s="309">
        <v>0.72994315464711412</v>
      </c>
    </row>
    <row r="211" spans="1:13" x14ac:dyDescent="0.2">
      <c r="A211" s="454"/>
      <c r="B211" s="66"/>
      <c r="C211" s="66"/>
      <c r="D211" s="66"/>
      <c r="E211" s="454"/>
      <c r="F211" s="454"/>
      <c r="G211" s="454"/>
      <c r="H211" s="454"/>
      <c r="I211" s="454"/>
      <c r="J211" s="322"/>
      <c r="K211" s="454"/>
      <c r="L211" s="454"/>
      <c r="M211" s="454"/>
    </row>
    <row r="212" spans="1:13" ht="14.25" x14ac:dyDescent="0.2">
      <c r="A212" s="454"/>
      <c r="B212" s="66"/>
      <c r="C212" s="76" t="s">
        <v>863</v>
      </c>
      <c r="D212" s="66"/>
      <c r="E212" s="66" t="s">
        <v>1003</v>
      </c>
      <c r="F212" s="66"/>
      <c r="G212" s="454"/>
      <c r="H212" s="454"/>
      <c r="I212" s="454"/>
      <c r="J212" s="322"/>
      <c r="K212" s="454"/>
      <c r="L212" s="454"/>
      <c r="M212" s="454"/>
    </row>
    <row r="213" spans="1:13" x14ac:dyDescent="0.2">
      <c r="A213" s="454">
        <f>A210+1</f>
        <v>133</v>
      </c>
      <c r="B213" s="66"/>
      <c r="C213" s="66" t="s">
        <v>856</v>
      </c>
      <c r="D213" s="66"/>
      <c r="E213" s="306">
        <v>29477.627862160123</v>
      </c>
      <c r="F213" s="317">
        <v>8.6906458548533916</v>
      </c>
      <c r="G213" s="454"/>
      <c r="H213" s="306">
        <v>8590.6964520000001</v>
      </c>
      <c r="I213" s="317">
        <v>2.532724168307841</v>
      </c>
      <c r="J213" s="304">
        <f>H213-E213</f>
        <v>-20886.931410160123</v>
      </c>
      <c r="K213" s="305"/>
      <c r="L213" s="133">
        <f>J213/E213</f>
        <v>-0.7085689360022176</v>
      </c>
      <c r="M213" s="133">
        <f>L213</f>
        <v>-0.7085689360022176</v>
      </c>
    </row>
    <row r="214" spans="1:13" x14ac:dyDescent="0.2">
      <c r="A214" s="454">
        <f>A213+1</f>
        <v>134</v>
      </c>
      <c r="B214" s="66"/>
      <c r="C214" s="66" t="s">
        <v>858</v>
      </c>
      <c r="D214" s="66"/>
      <c r="E214" s="306">
        <v>33206.505199999992</v>
      </c>
      <c r="F214" s="317">
        <v>9.7899999999999991</v>
      </c>
      <c r="G214" s="305"/>
      <c r="H214" s="306">
        <v>33206.505199999992</v>
      </c>
      <c r="I214" s="317">
        <v>9.7899999999999991</v>
      </c>
      <c r="J214" s="304">
        <f>H214-E214</f>
        <v>0</v>
      </c>
      <c r="K214" s="305"/>
      <c r="L214" s="120">
        <f>IFERROR(J214/E214,"100.0%")</f>
        <v>0</v>
      </c>
      <c r="M214" s="120">
        <v>0</v>
      </c>
    </row>
    <row r="215" spans="1:13" x14ac:dyDescent="0.2">
      <c r="A215" s="454">
        <f>A214+1</f>
        <v>135</v>
      </c>
      <c r="B215" s="66"/>
      <c r="C215" s="66" t="s">
        <v>855</v>
      </c>
      <c r="D215" s="66"/>
      <c r="E215" s="306">
        <v>11460.48630717643</v>
      </c>
      <c r="F215" s="317">
        <v>3.3788006377514628</v>
      </c>
      <c r="G215" s="305"/>
      <c r="H215" s="306">
        <v>1151.729116438356</v>
      </c>
      <c r="I215" s="317">
        <v>0.33955479452054793</v>
      </c>
      <c r="J215" s="304">
        <f>H215-E215</f>
        <v>-10308.757190738073</v>
      </c>
      <c r="K215" s="305"/>
      <c r="L215" s="133">
        <f>IFERROR(J215/E215,"100.0%")</f>
        <v>-0.89950434165109061</v>
      </c>
      <c r="M215" s="133">
        <f>L215</f>
        <v>-0.89950434165109061</v>
      </c>
    </row>
    <row r="216" spans="1:13" x14ac:dyDescent="0.2">
      <c r="A216" s="454">
        <f>A215+1</f>
        <v>136</v>
      </c>
      <c r="B216" s="66"/>
      <c r="C216" s="66" t="s">
        <v>88</v>
      </c>
      <c r="D216" s="66"/>
      <c r="E216" s="306">
        <v>62218.51773884576</v>
      </c>
      <c r="F216" s="317">
        <v>18.343372330048751</v>
      </c>
      <c r="G216" s="454"/>
      <c r="H216" s="306">
        <v>70901.82439200001</v>
      </c>
      <c r="I216" s="317">
        <v>20.903400000000001</v>
      </c>
      <c r="J216" s="304">
        <f>H216-E216</f>
        <v>8683.3066531542499</v>
      </c>
      <c r="K216" s="66"/>
      <c r="L216" s="315">
        <f>J216/E216</f>
        <v>0.13956145161801048</v>
      </c>
      <c r="M216" s="315">
        <f>L216</f>
        <v>0.13956145161801048</v>
      </c>
    </row>
    <row r="217" spans="1:13" x14ac:dyDescent="0.2">
      <c r="A217" s="454">
        <f>A216+1</f>
        <v>137</v>
      </c>
      <c r="B217" s="66"/>
      <c r="C217" s="66" t="s">
        <v>854</v>
      </c>
      <c r="D217" s="66"/>
      <c r="E217" s="312">
        <f>SUM(E213:E216)</f>
        <v>136363.1371081823</v>
      </c>
      <c r="F217" s="314">
        <v>40.202818822653605</v>
      </c>
      <c r="G217" s="454"/>
      <c r="H217" s="312">
        <f>SUM(H213:H216)</f>
        <v>113850.75516043836</v>
      </c>
      <c r="I217" s="314">
        <v>33.565678962828393</v>
      </c>
      <c r="J217" s="310">
        <f>SUM(J213:J216)</f>
        <v>-22512.381947743947</v>
      </c>
      <c r="K217" s="66"/>
      <c r="L217" s="514">
        <f>J217/E217</f>
        <v>-0.16509140538387568</v>
      </c>
      <c r="M217" s="514">
        <f>(J213+J216+J215)/(E213+E216+E215)</f>
        <v>-0.21823494555136094</v>
      </c>
    </row>
    <row r="218" spans="1:13" x14ac:dyDescent="0.2">
      <c r="A218" s="454"/>
      <c r="B218" s="66"/>
      <c r="C218" s="66"/>
      <c r="D218" s="66"/>
      <c r="E218" s="306"/>
      <c r="F218" s="305"/>
      <c r="G218" s="454"/>
      <c r="H218" s="306"/>
      <c r="I218" s="305"/>
      <c r="J218" s="304"/>
      <c r="K218" s="66"/>
      <c r="L218" s="303"/>
      <c r="M218" s="303"/>
    </row>
    <row r="219" spans="1:13" x14ac:dyDescent="0.2">
      <c r="A219" s="454">
        <f>A217+1</f>
        <v>138</v>
      </c>
      <c r="B219" s="66"/>
      <c r="C219" s="66" t="s">
        <v>853</v>
      </c>
      <c r="D219" s="66"/>
      <c r="E219" s="312">
        <v>145046.44376133656</v>
      </c>
      <c r="F219" s="311">
        <v>42.762846492604858</v>
      </c>
      <c r="G219" s="454"/>
      <c r="H219" s="312">
        <v>120166.43572043836</v>
      </c>
      <c r="I219" s="311">
        <v>35.427678962828388</v>
      </c>
      <c r="J219" s="310">
        <v>-24880.008040898196</v>
      </c>
      <c r="K219" s="66"/>
      <c r="L219" s="514">
        <v>-0.17153132055989218</v>
      </c>
      <c r="M219" s="514">
        <v>-0.22246085218701378</v>
      </c>
    </row>
    <row r="220" spans="1:13" x14ac:dyDescent="0.2">
      <c r="A220" s="454">
        <f>A219+1</f>
        <v>139</v>
      </c>
      <c r="B220" s="66"/>
      <c r="C220" s="66" t="s">
        <v>852</v>
      </c>
      <c r="D220" s="66"/>
      <c r="E220" s="303"/>
      <c r="F220" s="303"/>
      <c r="G220" s="303"/>
      <c r="H220" s="303"/>
      <c r="I220" s="303"/>
      <c r="J220" s="304"/>
      <c r="K220" s="66"/>
      <c r="L220" s="514">
        <v>-0.33556053362366628</v>
      </c>
      <c r="M220" s="514">
        <v>-0.60774680382160373</v>
      </c>
    </row>
    <row r="221" spans="1:13" x14ac:dyDescent="0.2">
      <c r="A221" s="454">
        <f>A220+1</f>
        <v>140</v>
      </c>
      <c r="B221" s="66"/>
      <c r="C221" s="66" t="s">
        <v>851</v>
      </c>
      <c r="D221" s="66"/>
      <c r="E221" s="312">
        <v>135016.56644567396</v>
      </c>
      <c r="F221" s="311">
        <v>39.80582050239807</v>
      </c>
      <c r="G221" s="454">
        <v>0</v>
      </c>
      <c r="H221" s="312">
        <v>113850.75516043836</v>
      </c>
      <c r="I221" s="311">
        <v>33.565678962828393</v>
      </c>
      <c r="J221" s="310">
        <v>-21165.811285235606</v>
      </c>
      <c r="K221" s="66"/>
      <c r="L221" s="514">
        <v>-0.15676455002839967</v>
      </c>
      <c r="M221" s="514">
        <v>-0.20789508449622865</v>
      </c>
    </row>
    <row r="222" spans="1:13" x14ac:dyDescent="0.2">
      <c r="A222" s="454">
        <f>A221+1</f>
        <v>141</v>
      </c>
      <c r="B222" s="66"/>
      <c r="C222" s="66" t="s">
        <v>850</v>
      </c>
      <c r="D222" s="66"/>
      <c r="E222" s="303"/>
      <c r="F222" s="303"/>
      <c r="G222" s="303"/>
      <c r="H222" s="303"/>
      <c r="I222" s="303"/>
      <c r="J222" s="304"/>
      <c r="K222" s="66"/>
      <c r="L222" s="133">
        <v>-0.33012394041165366</v>
      </c>
      <c r="M222" s="133">
        <v>-0.68479516917897876</v>
      </c>
    </row>
    <row r="226" spans="1:13" x14ac:dyDescent="0.2">
      <c r="A226" s="566" t="s">
        <v>1146</v>
      </c>
      <c r="B226" s="566"/>
      <c r="C226" s="566"/>
      <c r="D226" s="566"/>
      <c r="E226" s="566"/>
      <c r="F226" s="566"/>
      <c r="G226" s="566"/>
      <c r="H226" s="566"/>
      <c r="I226" s="566"/>
      <c r="J226" s="566"/>
      <c r="K226" s="566"/>
      <c r="L226" s="566"/>
      <c r="M226" s="566"/>
    </row>
    <row r="227" spans="1:13" x14ac:dyDescent="0.2">
      <c r="A227" s="566" t="s">
        <v>937</v>
      </c>
      <c r="B227" s="566"/>
      <c r="C227" s="566"/>
      <c r="D227" s="566"/>
      <c r="E227" s="566"/>
      <c r="F227" s="566"/>
      <c r="G227" s="566"/>
      <c r="H227" s="566"/>
      <c r="I227" s="566"/>
      <c r="J227" s="566"/>
      <c r="K227" s="566"/>
      <c r="L227" s="566"/>
      <c r="M227" s="566"/>
    </row>
    <row r="229" spans="1:13" x14ac:dyDescent="0.2">
      <c r="A229" s="454"/>
      <c r="B229" s="66"/>
      <c r="C229" s="66"/>
      <c r="D229" s="66"/>
      <c r="E229" s="567" t="s">
        <v>894</v>
      </c>
      <c r="F229" s="567"/>
      <c r="G229" s="66"/>
      <c r="H229" s="567" t="s">
        <v>893</v>
      </c>
      <c r="I229" s="567"/>
      <c r="J229" s="567"/>
      <c r="K229" s="66"/>
      <c r="L229" s="567" t="s">
        <v>892</v>
      </c>
      <c r="M229" s="567"/>
    </row>
    <row r="230" spans="1:13" x14ac:dyDescent="0.2">
      <c r="A230" s="454"/>
      <c r="B230" s="66"/>
      <c r="C230" s="66"/>
      <c r="D230" s="66"/>
      <c r="E230" s="454"/>
      <c r="F230" s="454"/>
      <c r="G230" s="66"/>
      <c r="H230" s="454"/>
      <c r="I230" s="454"/>
      <c r="J230" s="454" t="s">
        <v>889</v>
      </c>
      <c r="K230" s="66"/>
      <c r="L230" s="454" t="s">
        <v>891</v>
      </c>
      <c r="M230" s="454" t="s">
        <v>890</v>
      </c>
    </row>
    <row r="231" spans="1:13" x14ac:dyDescent="0.2">
      <c r="A231" s="454" t="s">
        <v>0</v>
      </c>
      <c r="B231" s="66"/>
      <c r="C231" s="66"/>
      <c r="D231" s="66"/>
      <c r="E231" s="454" t="s">
        <v>889</v>
      </c>
      <c r="F231" s="454" t="s">
        <v>265</v>
      </c>
      <c r="G231" s="66"/>
      <c r="H231" s="454" t="s">
        <v>889</v>
      </c>
      <c r="I231" s="454" t="s">
        <v>265</v>
      </c>
      <c r="J231" s="454" t="s">
        <v>361</v>
      </c>
      <c r="K231" s="66"/>
      <c r="L231" s="454" t="s">
        <v>888</v>
      </c>
      <c r="M231" s="454" t="s">
        <v>888</v>
      </c>
    </row>
    <row r="232" spans="1:13" ht="14.25" x14ac:dyDescent="0.2">
      <c r="A232" s="534" t="s">
        <v>1</v>
      </c>
      <c r="B232" s="66"/>
      <c r="C232" s="75" t="s">
        <v>33</v>
      </c>
      <c r="D232" s="66"/>
      <c r="E232" s="534" t="s">
        <v>470</v>
      </c>
      <c r="F232" s="534" t="s">
        <v>35</v>
      </c>
      <c r="G232" s="66"/>
      <c r="H232" s="534" t="s">
        <v>470</v>
      </c>
      <c r="I232" s="534" t="s">
        <v>35</v>
      </c>
      <c r="J232" s="534" t="s">
        <v>470</v>
      </c>
      <c r="K232" s="66"/>
      <c r="L232" s="534" t="s">
        <v>2</v>
      </c>
      <c r="M232" s="534" t="s">
        <v>2</v>
      </c>
    </row>
    <row r="233" spans="1:13" x14ac:dyDescent="0.2">
      <c r="A233" s="454"/>
      <c r="B233" s="66"/>
      <c r="C233" s="66"/>
      <c r="D233" s="66"/>
      <c r="E233" s="454" t="s">
        <v>3</v>
      </c>
      <c r="F233" s="454" t="s">
        <v>4</v>
      </c>
      <c r="G233" s="454"/>
      <c r="H233" s="454" t="s">
        <v>119</v>
      </c>
      <c r="I233" s="454" t="s">
        <v>263</v>
      </c>
      <c r="J233" s="454" t="s">
        <v>887</v>
      </c>
      <c r="K233" s="454"/>
      <c r="L233" s="454" t="s">
        <v>886</v>
      </c>
      <c r="M233" s="454" t="s">
        <v>38</v>
      </c>
    </row>
    <row r="234" spans="1:13" x14ac:dyDescent="0.2">
      <c r="A234" s="454"/>
      <c r="B234" s="66"/>
      <c r="C234" s="66"/>
      <c r="D234" s="66"/>
      <c r="E234" s="454"/>
      <c r="F234" s="454"/>
      <c r="G234" s="454"/>
      <c r="H234" s="454"/>
      <c r="I234" s="454"/>
      <c r="J234" s="321"/>
      <c r="K234" s="454"/>
      <c r="L234" s="454"/>
      <c r="M234" s="306"/>
    </row>
    <row r="235" spans="1:13" ht="14.25" x14ac:dyDescent="0.2">
      <c r="A235" s="454"/>
      <c r="B235" s="66"/>
      <c r="C235" s="76" t="s">
        <v>862</v>
      </c>
      <c r="D235" s="66"/>
      <c r="E235" s="66" t="s">
        <v>1012</v>
      </c>
      <c r="F235" s="66"/>
      <c r="G235" s="66"/>
      <c r="H235" s="66"/>
      <c r="I235" s="66"/>
      <c r="J235" s="308"/>
      <c r="K235" s="66"/>
      <c r="L235" s="66"/>
      <c r="M235" s="66"/>
    </row>
    <row r="236" spans="1:13" x14ac:dyDescent="0.2">
      <c r="A236" s="454">
        <f>A222+1</f>
        <v>142</v>
      </c>
      <c r="B236" s="66"/>
      <c r="C236" s="66" t="s">
        <v>856</v>
      </c>
      <c r="D236" s="66"/>
      <c r="E236" s="306">
        <v>47616.033070465986</v>
      </c>
      <c r="F236" s="317">
        <v>7.9550047146712046</v>
      </c>
      <c r="G236" s="454"/>
      <c r="H236" s="306">
        <v>12817.580054</v>
      </c>
      <c r="I236" s="317">
        <v>2.1413776659922781</v>
      </c>
      <c r="J236" s="304">
        <f>H236-E236</f>
        <v>-34798.453016465988</v>
      </c>
      <c r="K236" s="305"/>
      <c r="L236" s="133">
        <f>J236/E236</f>
        <v>-0.73081377789217494</v>
      </c>
      <c r="M236" s="133">
        <f>L236</f>
        <v>-0.73081377789217494</v>
      </c>
    </row>
    <row r="237" spans="1:13" x14ac:dyDescent="0.2">
      <c r="A237" s="454">
        <f>A236+1</f>
        <v>143</v>
      </c>
      <c r="B237" s="66"/>
      <c r="C237" s="66" t="s">
        <v>858</v>
      </c>
      <c r="D237" s="66"/>
      <c r="E237" s="306">
        <v>58599.709299999995</v>
      </c>
      <c r="F237" s="317">
        <v>9.7899999999999991</v>
      </c>
      <c r="G237" s="305"/>
      <c r="H237" s="306">
        <v>58599.709299999995</v>
      </c>
      <c r="I237" s="317">
        <v>9.7899999999999991</v>
      </c>
      <c r="J237" s="304">
        <f>H237-E237</f>
        <v>0</v>
      </c>
      <c r="K237" s="305"/>
      <c r="L237" s="120">
        <f>IFERROR(J237/E237,"100.0%")</f>
        <v>0</v>
      </c>
      <c r="M237" s="120">
        <v>0</v>
      </c>
    </row>
    <row r="238" spans="1:13" x14ac:dyDescent="0.2">
      <c r="A238" s="454">
        <f>A237+1</f>
        <v>144</v>
      </c>
      <c r="B238" s="66"/>
      <c r="C238" s="66" t="s">
        <v>855</v>
      </c>
      <c r="D238" s="66"/>
      <c r="E238" s="306">
        <v>20224.385613369799</v>
      </c>
      <c r="F238" s="317">
        <v>3.3788006377514628</v>
      </c>
      <c r="G238" s="305"/>
      <c r="H238" s="306">
        <v>2032.4629469178089</v>
      </c>
      <c r="I238" s="317">
        <v>0.3395547945205481</v>
      </c>
      <c r="J238" s="304">
        <f>H238-E238</f>
        <v>-18191.922666451988</v>
      </c>
      <c r="K238" s="305"/>
      <c r="L238" s="133">
        <f>IFERROR(J238/E238,"100.0%")</f>
        <v>-0.8995043416510905</v>
      </c>
      <c r="M238" s="133">
        <f>L238</f>
        <v>-0.8995043416510905</v>
      </c>
    </row>
    <row r="239" spans="1:13" x14ac:dyDescent="0.2">
      <c r="A239" s="454">
        <f>A238+1</f>
        <v>145</v>
      </c>
      <c r="B239" s="66"/>
      <c r="C239" s="66" t="s">
        <v>88</v>
      </c>
      <c r="D239" s="66"/>
      <c r="E239" s="306">
        <v>109797.37345480292</v>
      </c>
      <c r="F239" s="317">
        <v>18.343372330048751</v>
      </c>
      <c r="G239" s="454"/>
      <c r="H239" s="306">
        <v>125120.85427800001</v>
      </c>
      <c r="I239" s="317">
        <v>20.903400000000001</v>
      </c>
      <c r="J239" s="304">
        <f>H239-E239</f>
        <v>15323.480823197096</v>
      </c>
      <c r="K239" s="66"/>
      <c r="L239" s="315">
        <f>J239/E239</f>
        <v>0.1395614516180104</v>
      </c>
      <c r="M239" s="315">
        <f>L239</f>
        <v>0.1395614516180104</v>
      </c>
    </row>
    <row r="240" spans="1:13" x14ac:dyDescent="0.2">
      <c r="A240" s="454">
        <f>A239+1</f>
        <v>146</v>
      </c>
      <c r="B240" s="66"/>
      <c r="C240" s="66" t="s">
        <v>854</v>
      </c>
      <c r="D240" s="66"/>
      <c r="E240" s="312">
        <f>SUM(E236:E239)</f>
        <v>236237.50143863869</v>
      </c>
      <c r="F240" s="314">
        <v>39.467177682471416</v>
      </c>
      <c r="G240" s="454"/>
      <c r="H240" s="312">
        <f>SUM(H236:H239)</f>
        <v>198570.60657891782</v>
      </c>
      <c r="I240" s="314">
        <v>33.174332460512829</v>
      </c>
      <c r="J240" s="310">
        <f>SUM(J236:J239)</f>
        <v>-37666.89485972088</v>
      </c>
      <c r="K240" s="66"/>
      <c r="L240" s="514">
        <f>J240/E240</f>
        <v>-0.15944502727271112</v>
      </c>
      <c r="M240" s="514">
        <f>(J236+J239+J238)/(E236+E239+E238)</f>
        <v>-0.21204325051689155</v>
      </c>
    </row>
    <row r="241" spans="1:13" x14ac:dyDescent="0.2">
      <c r="A241" s="454"/>
      <c r="B241" s="66"/>
      <c r="C241" s="66"/>
      <c r="D241" s="66"/>
      <c r="E241" s="306"/>
      <c r="F241" s="305"/>
      <c r="G241" s="454"/>
      <c r="H241" s="306"/>
      <c r="I241" s="305"/>
      <c r="J241" s="304"/>
      <c r="K241" s="66"/>
      <c r="L241" s="303"/>
      <c r="M241" s="303"/>
    </row>
    <row r="242" spans="1:13" x14ac:dyDescent="0.2">
      <c r="A242" s="454">
        <f>A240+1</f>
        <v>147</v>
      </c>
      <c r="B242" s="66"/>
      <c r="C242" s="66" t="s">
        <v>853</v>
      </c>
      <c r="D242" s="66"/>
      <c r="E242" s="312">
        <v>251560.98226183577</v>
      </c>
      <c r="F242" s="311">
        <v>42.027205352422662</v>
      </c>
      <c r="G242" s="454"/>
      <c r="H242" s="312">
        <v>209715.92411891781</v>
      </c>
      <c r="I242" s="311">
        <v>35.036332460512824</v>
      </c>
      <c r="J242" s="310">
        <v>-41845.05814291798</v>
      </c>
      <c r="K242" s="66"/>
      <c r="L242" s="514">
        <v>-0.16634160737758527</v>
      </c>
      <c r="M242" s="514">
        <v>-0.21685728696034343</v>
      </c>
    </row>
    <row r="243" spans="1:13" x14ac:dyDescent="0.2">
      <c r="A243" s="454">
        <f>A242+1</f>
        <v>148</v>
      </c>
      <c r="B243" s="66"/>
      <c r="C243" s="66" t="s">
        <v>852</v>
      </c>
      <c r="D243" s="66"/>
      <c r="E243" s="303"/>
      <c r="F243" s="303"/>
      <c r="G243" s="303"/>
      <c r="H243" s="303"/>
      <c r="I243" s="303"/>
      <c r="J243" s="304"/>
      <c r="K243" s="66"/>
      <c r="L243" s="514">
        <v>-0.33094760983053967</v>
      </c>
      <c r="M243" s="514">
        <v>-0.61681603614407421</v>
      </c>
    </row>
    <row r="244" spans="1:13" x14ac:dyDescent="0.2">
      <c r="A244" s="454">
        <f>A243+1</f>
        <v>149</v>
      </c>
      <c r="B244" s="66"/>
      <c r="C244" s="66" t="s">
        <v>851</v>
      </c>
      <c r="D244" s="66"/>
      <c r="E244" s="312">
        <v>233861.20050303475</v>
      </c>
      <c r="F244" s="311">
        <v>39.070179362215882</v>
      </c>
      <c r="G244" s="454">
        <v>0</v>
      </c>
      <c r="H244" s="312">
        <v>198570.60657891782</v>
      </c>
      <c r="I244" s="311">
        <v>33.174332460512829</v>
      </c>
      <c r="J244" s="310">
        <v>-35290.593924116925</v>
      </c>
      <c r="K244" s="66"/>
      <c r="L244" s="514">
        <v>-0.15090401421102331</v>
      </c>
      <c r="M244" s="514">
        <v>-0.20135965797092251</v>
      </c>
    </row>
    <row r="245" spans="1:13" x14ac:dyDescent="0.2">
      <c r="A245" s="454">
        <f>A244+1</f>
        <v>150</v>
      </c>
      <c r="B245" s="66"/>
      <c r="C245" s="66" t="s">
        <v>850</v>
      </c>
      <c r="D245" s="66"/>
      <c r="E245" s="303"/>
      <c r="F245" s="303"/>
      <c r="G245" s="303"/>
      <c r="H245" s="303"/>
      <c r="I245" s="303"/>
      <c r="J245" s="304"/>
      <c r="K245" s="66"/>
      <c r="L245" s="133">
        <v>-0.32454001802683385</v>
      </c>
      <c r="M245" s="133">
        <v>-0.70383218260429947</v>
      </c>
    </row>
    <row r="246" spans="1:13" x14ac:dyDescent="0.2">
      <c r="A246" s="454"/>
      <c r="B246" s="66"/>
      <c r="C246" s="66"/>
      <c r="D246" s="66"/>
      <c r="E246" s="303"/>
      <c r="F246" s="303"/>
      <c r="G246" s="303"/>
      <c r="H246" s="303"/>
      <c r="I246" s="303"/>
      <c r="J246" s="304"/>
      <c r="K246" s="66"/>
      <c r="L246" s="316"/>
      <c r="M246" s="316"/>
    </row>
    <row r="247" spans="1:13" ht="14.25" x14ac:dyDescent="0.2">
      <c r="A247" s="454"/>
      <c r="B247" s="66"/>
      <c r="C247" s="76" t="s">
        <v>861</v>
      </c>
      <c r="D247" s="66"/>
      <c r="E247" s="66" t="s">
        <v>1007</v>
      </c>
      <c r="F247" s="66"/>
      <c r="G247" s="454"/>
      <c r="H247" s="454"/>
      <c r="I247" s="454"/>
      <c r="J247" s="454"/>
      <c r="K247" s="454"/>
      <c r="L247" s="454"/>
      <c r="M247" s="454"/>
    </row>
    <row r="248" spans="1:13" x14ac:dyDescent="0.2">
      <c r="A248" s="454">
        <f>A245+1</f>
        <v>151</v>
      </c>
      <c r="B248" s="66"/>
      <c r="C248" s="66" t="s">
        <v>856</v>
      </c>
      <c r="D248" s="66"/>
      <c r="E248" s="306">
        <v>108253.72897367828</v>
      </c>
      <c r="F248" s="317">
        <v>1.0851285767781291</v>
      </c>
      <c r="G248" s="454"/>
      <c r="H248" s="306">
        <v>167302.97227600001</v>
      </c>
      <c r="I248" s="317">
        <v>1.6770344811008691</v>
      </c>
      <c r="J248" s="304">
        <f>H248-E248</f>
        <v>59049.243302321731</v>
      </c>
      <c r="K248" s="305"/>
      <c r="L248" s="315">
        <f>J248/E248</f>
        <v>0.54547075525388555</v>
      </c>
      <c r="M248" s="315">
        <f>L248</f>
        <v>0.54547075525388555</v>
      </c>
    </row>
    <row r="249" spans="1:13" x14ac:dyDescent="0.2">
      <c r="A249" s="454">
        <f>A248+1</f>
        <v>152</v>
      </c>
      <c r="B249" s="66"/>
      <c r="C249" s="66" t="s">
        <v>858</v>
      </c>
      <c r="D249" s="66"/>
      <c r="E249" s="306">
        <v>976662.14799999993</v>
      </c>
      <c r="F249" s="317">
        <v>9.7899999999999991</v>
      </c>
      <c r="G249" s="305"/>
      <c r="H249" s="306">
        <v>976662.14799999993</v>
      </c>
      <c r="I249" s="317">
        <v>9.7899999999999991</v>
      </c>
      <c r="J249" s="304">
        <f>H249-E249</f>
        <v>0</v>
      </c>
      <c r="K249" s="305"/>
      <c r="L249" s="120">
        <f>IFERROR(J249/E249,"100.0%")</f>
        <v>0</v>
      </c>
      <c r="M249" s="120">
        <v>0</v>
      </c>
    </row>
    <row r="250" spans="1:13" x14ac:dyDescent="0.2">
      <c r="A250" s="454">
        <f>A249+1</f>
        <v>153</v>
      </c>
      <c r="B250" s="66"/>
      <c r="C250" s="66" t="s">
        <v>855</v>
      </c>
      <c r="D250" s="66"/>
      <c r="E250" s="306">
        <v>271476.67630410165</v>
      </c>
      <c r="F250" s="317">
        <v>2.721265144205379</v>
      </c>
      <c r="G250" s="305"/>
      <c r="H250" s="320">
        <v>-31722.011712328749</v>
      </c>
      <c r="I250" s="319">
        <v>-0.31797945205479433</v>
      </c>
      <c r="J250" s="304">
        <f>H250-E250</f>
        <v>-303198.68801643042</v>
      </c>
      <c r="K250" s="305"/>
      <c r="L250" s="133">
        <f>IFERROR(J250/E250,"100.0%")</f>
        <v>-1.11684986034231</v>
      </c>
      <c r="M250" s="133">
        <f>L250</f>
        <v>-1.11684986034231</v>
      </c>
    </row>
    <row r="251" spans="1:13" x14ac:dyDescent="0.2">
      <c r="A251" s="454">
        <f>A250+1</f>
        <v>154</v>
      </c>
      <c r="B251" s="66"/>
      <c r="C251" s="66" t="s">
        <v>88</v>
      </c>
      <c r="D251" s="66"/>
      <c r="E251" s="306">
        <v>1829563.66371061</v>
      </c>
      <c r="F251" s="317">
        <v>18.339431198808857</v>
      </c>
      <c r="G251" s="454"/>
      <c r="H251" s="306">
        <v>2085348.2680800001</v>
      </c>
      <c r="I251" s="317">
        <v>20.903400000000001</v>
      </c>
      <c r="J251" s="304">
        <f>H251-E251</f>
        <v>255784.60436939006</v>
      </c>
      <c r="K251" s="66"/>
      <c r="L251" s="315">
        <f>J251/E251</f>
        <v>0.13980634259571117</v>
      </c>
      <c r="M251" s="315">
        <f>L251</f>
        <v>0.13980634259571117</v>
      </c>
    </row>
    <row r="252" spans="1:13" x14ac:dyDescent="0.2">
      <c r="A252" s="454">
        <f>A251+1</f>
        <v>155</v>
      </c>
      <c r="B252" s="66"/>
      <c r="C252" s="66" t="s">
        <v>854</v>
      </c>
      <c r="D252" s="66"/>
      <c r="E252" s="312">
        <f>SUM(E248:E251)</f>
        <v>3185956.2169883898</v>
      </c>
      <c r="F252" s="314">
        <v>31.93582491979236</v>
      </c>
      <c r="G252" s="454"/>
      <c r="H252" s="312">
        <f>SUM(H248:H251)</f>
        <v>3197591.3766436712</v>
      </c>
      <c r="I252" s="314">
        <v>32.052455029046072</v>
      </c>
      <c r="J252" s="310">
        <f>SUM(J248:J251)</f>
        <v>11635.159655281372</v>
      </c>
      <c r="K252" s="66"/>
      <c r="L252" s="313">
        <f>J252/E252</f>
        <v>3.652014925139121E-3</v>
      </c>
      <c r="M252" s="313">
        <f>(J248+J251+J250)/(E248+E251+E250)</f>
        <v>5.2664603678626654E-3</v>
      </c>
    </row>
    <row r="253" spans="1:13" x14ac:dyDescent="0.2">
      <c r="A253" s="454"/>
      <c r="B253" s="66"/>
      <c r="C253" s="66"/>
      <c r="D253" s="66"/>
      <c r="E253" s="306"/>
      <c r="F253" s="305"/>
      <c r="G253" s="454"/>
      <c r="H253" s="306"/>
      <c r="I253" s="305"/>
      <c r="J253" s="304"/>
      <c r="K253" s="66"/>
      <c r="L253" s="303"/>
      <c r="M253" s="303"/>
    </row>
    <row r="254" spans="1:13" x14ac:dyDescent="0.2">
      <c r="A254" s="454">
        <f>A252+1</f>
        <v>156</v>
      </c>
      <c r="B254" s="66"/>
      <c r="C254" s="66" t="s">
        <v>853</v>
      </c>
      <c r="D254" s="66"/>
      <c r="E254" s="312">
        <v>3441740.8213577801</v>
      </c>
      <c r="F254" s="311">
        <v>34.499793720983511</v>
      </c>
      <c r="G254" s="454"/>
      <c r="H254" s="312">
        <v>3383346.7310436713</v>
      </c>
      <c r="I254" s="311">
        <v>33.914455029046074</v>
      </c>
      <c r="J254" s="310">
        <v>-58394.090314108733</v>
      </c>
      <c r="K254" s="66"/>
      <c r="L254" s="514">
        <v>-1.6966440340813356E-2</v>
      </c>
      <c r="M254" s="514">
        <v>-2.3688530084343254E-2</v>
      </c>
    </row>
    <row r="255" spans="1:13" x14ac:dyDescent="0.2">
      <c r="A255" s="454">
        <f>A254+1</f>
        <v>157</v>
      </c>
      <c r="B255" s="66"/>
      <c r="C255" s="66" t="s">
        <v>852</v>
      </c>
      <c r="D255" s="66"/>
      <c r="E255" s="303"/>
      <c r="F255" s="303"/>
      <c r="G255" s="303"/>
      <c r="H255" s="303"/>
      <c r="I255" s="303"/>
      <c r="J255" s="304"/>
      <c r="K255" s="66"/>
      <c r="L255" s="514">
        <v>-4.3051025437287276E-2</v>
      </c>
      <c r="M255" s="514">
        <v>-0.15377775785795283</v>
      </c>
    </row>
    <row r="256" spans="1:13" x14ac:dyDescent="0.2">
      <c r="A256" s="454">
        <f>A255+1</f>
        <v>158</v>
      </c>
      <c r="B256" s="66"/>
      <c r="C256" s="66" t="s">
        <v>851</v>
      </c>
      <c r="D256" s="66"/>
      <c r="E256" s="312">
        <v>3146744.5421498399</v>
      </c>
      <c r="F256" s="311">
        <v>31.542769555196209</v>
      </c>
      <c r="G256" s="454">
        <v>0</v>
      </c>
      <c r="H256" s="312">
        <v>3197591.3766436712</v>
      </c>
      <c r="I256" s="311">
        <v>32.052455029046072</v>
      </c>
      <c r="J256" s="310">
        <v>50846.834493831004</v>
      </c>
      <c r="K256" s="66"/>
      <c r="L256" s="309">
        <v>1.6158551739027631E-2</v>
      </c>
      <c r="M256" s="309">
        <v>2.3430831304334394E-2</v>
      </c>
    </row>
    <row r="257" spans="1:13" x14ac:dyDescent="0.2">
      <c r="A257" s="454">
        <f>A256+1</f>
        <v>159</v>
      </c>
      <c r="B257" s="66"/>
      <c r="C257" s="66" t="s">
        <v>850</v>
      </c>
      <c r="D257" s="66"/>
      <c r="E257" s="303"/>
      <c r="F257" s="303"/>
      <c r="G257" s="303"/>
      <c r="H257" s="303"/>
      <c r="I257" s="303"/>
      <c r="J257" s="304"/>
      <c r="K257" s="66"/>
      <c r="L257" s="309">
        <v>4.7905608617658732E-2</v>
      </c>
      <c r="M257" s="309">
        <v>0.60007504475731066</v>
      </c>
    </row>
    <row r="258" spans="1:13" x14ac:dyDescent="0.2">
      <c r="A258" s="454"/>
      <c r="B258" s="66"/>
      <c r="C258" s="66"/>
      <c r="D258" s="66"/>
      <c r="E258" s="454"/>
      <c r="F258" s="454"/>
      <c r="G258" s="454"/>
      <c r="H258" s="454"/>
      <c r="I258" s="454"/>
      <c r="J258" s="321"/>
      <c r="K258" s="454"/>
      <c r="L258" s="454"/>
      <c r="M258" s="306"/>
    </row>
    <row r="259" spans="1:13" ht="14.25" x14ac:dyDescent="0.2">
      <c r="A259" s="454"/>
      <c r="B259" s="66"/>
      <c r="C259" s="76" t="s">
        <v>860</v>
      </c>
      <c r="D259" s="66"/>
      <c r="E259" s="66" t="s">
        <v>1008</v>
      </c>
      <c r="F259" s="66"/>
      <c r="G259" s="66"/>
      <c r="H259" s="66"/>
      <c r="I259" s="66"/>
      <c r="J259" s="308"/>
      <c r="K259" s="66"/>
      <c r="L259" s="66"/>
      <c r="M259" s="66"/>
    </row>
    <row r="260" spans="1:13" x14ac:dyDescent="0.2">
      <c r="A260" s="454">
        <f>A257+1</f>
        <v>160</v>
      </c>
      <c r="B260" s="66"/>
      <c r="C260" s="66" t="s">
        <v>856</v>
      </c>
      <c r="D260" s="66"/>
      <c r="E260" s="306">
        <v>116258.12915287106</v>
      </c>
      <c r="F260" s="317">
        <v>1.1653640643780387</v>
      </c>
      <c r="G260" s="454"/>
      <c r="H260" s="306">
        <v>175184.43604700002</v>
      </c>
      <c r="I260" s="317">
        <v>1.7560376026613953</v>
      </c>
      <c r="J260" s="304">
        <f>H260-E260</f>
        <v>58926.306894128968</v>
      </c>
      <c r="K260" s="305"/>
      <c r="L260" s="315">
        <f>J260/E260</f>
        <v>0.50685751889784092</v>
      </c>
      <c r="M260" s="315">
        <f>L260</f>
        <v>0.50685751889784092</v>
      </c>
    </row>
    <row r="261" spans="1:13" x14ac:dyDescent="0.2">
      <c r="A261" s="454">
        <f>A260+1</f>
        <v>161</v>
      </c>
      <c r="B261" s="66"/>
      <c r="C261" s="66" t="s">
        <v>858</v>
      </c>
      <c r="D261" s="66"/>
      <c r="E261" s="306">
        <v>976662.24589999986</v>
      </c>
      <c r="F261" s="317">
        <v>9.7899999999999991</v>
      </c>
      <c r="G261" s="305"/>
      <c r="H261" s="306">
        <v>976662.24589999986</v>
      </c>
      <c r="I261" s="317">
        <v>9.7899999999999991</v>
      </c>
      <c r="J261" s="304">
        <f>H261-E261</f>
        <v>0</v>
      </c>
      <c r="K261" s="305"/>
      <c r="L261" s="120">
        <f>IFERROR(J261/E261,"100.0%")</f>
        <v>0</v>
      </c>
      <c r="M261" s="120">
        <v>0</v>
      </c>
    </row>
    <row r="262" spans="1:13" x14ac:dyDescent="0.2">
      <c r="A262" s="454">
        <f>A261+1</f>
        <v>162</v>
      </c>
      <c r="B262" s="66"/>
      <c r="C262" s="66" t="s">
        <v>855</v>
      </c>
      <c r="D262" s="66"/>
      <c r="E262" s="306">
        <v>271476.7035167531</v>
      </c>
      <c r="F262" s="317">
        <v>2.721265144205379</v>
      </c>
      <c r="G262" s="305"/>
      <c r="H262" s="320">
        <v>-31722.01489212329</v>
      </c>
      <c r="I262" s="319">
        <v>-0.31797945205479455</v>
      </c>
      <c r="J262" s="304">
        <f>H262-E262</f>
        <v>-303198.71840887639</v>
      </c>
      <c r="K262" s="305"/>
      <c r="L262" s="133">
        <f>IFERROR(J262/E262,"100.0%")</f>
        <v>-1.11684986034231</v>
      </c>
      <c r="M262" s="133">
        <f>L262</f>
        <v>-1.11684986034231</v>
      </c>
    </row>
    <row r="263" spans="1:13" x14ac:dyDescent="0.2">
      <c r="A263" s="454">
        <f>A262+1</f>
        <v>163</v>
      </c>
      <c r="B263" s="66"/>
      <c r="C263" s="66" t="s">
        <v>88</v>
      </c>
      <c r="D263" s="66"/>
      <c r="E263" s="306">
        <v>1829563.8471049222</v>
      </c>
      <c r="F263" s="317">
        <v>18.33943119880886</v>
      </c>
      <c r="G263" s="454"/>
      <c r="H263" s="306">
        <v>2085348.4771140001</v>
      </c>
      <c r="I263" s="317">
        <v>20.903400000000001</v>
      </c>
      <c r="J263" s="304">
        <f>H263-E263</f>
        <v>255784.63000907796</v>
      </c>
      <c r="K263" s="66"/>
      <c r="L263" s="315">
        <f>J263/E263</f>
        <v>0.13980634259571109</v>
      </c>
      <c r="M263" s="315">
        <f>L263</f>
        <v>0.13980634259571109</v>
      </c>
    </row>
    <row r="264" spans="1:13" x14ac:dyDescent="0.2">
      <c r="A264" s="454">
        <f>A263+1</f>
        <v>164</v>
      </c>
      <c r="B264" s="66"/>
      <c r="C264" s="66" t="s">
        <v>854</v>
      </c>
      <c r="D264" s="66"/>
      <c r="E264" s="312">
        <f>SUM(E260:E263)</f>
        <v>3193960.9256745465</v>
      </c>
      <c r="F264" s="314">
        <v>32.016060407392274</v>
      </c>
      <c r="G264" s="454"/>
      <c r="H264" s="312">
        <f>SUM(H260:H263)</f>
        <v>3205473.144168877</v>
      </c>
      <c r="I264" s="314">
        <v>32.131458150606605</v>
      </c>
      <c r="J264" s="310">
        <f>SUM(J260:J263)</f>
        <v>11512.218494330533</v>
      </c>
      <c r="K264" s="66"/>
      <c r="L264" s="313">
        <f>J264/E264</f>
        <v>3.6043704861227184E-3</v>
      </c>
      <c r="M264" s="313">
        <f>(J260+J263+J262)/(E260+E263+E262)</f>
        <v>5.1920016907695491E-3</v>
      </c>
    </row>
    <row r="265" spans="1:13" x14ac:dyDescent="0.2">
      <c r="A265" s="454"/>
      <c r="B265" s="66"/>
      <c r="C265" s="66"/>
      <c r="D265" s="66"/>
      <c r="E265" s="306"/>
      <c r="F265" s="305"/>
      <c r="G265" s="454"/>
      <c r="H265" s="306"/>
      <c r="I265" s="305"/>
      <c r="J265" s="304"/>
      <c r="K265" s="66"/>
      <c r="L265" s="303"/>
      <c r="M265" s="303"/>
    </row>
    <row r="266" spans="1:13" x14ac:dyDescent="0.2">
      <c r="A266" s="454">
        <f>A264+1</f>
        <v>165</v>
      </c>
      <c r="B266" s="66"/>
      <c r="C266" s="66" t="s">
        <v>853</v>
      </c>
      <c r="D266" s="66"/>
      <c r="E266" s="312">
        <v>3449745.555683624</v>
      </c>
      <c r="F266" s="311">
        <v>34.580029208583419</v>
      </c>
      <c r="G266" s="454"/>
      <c r="H266" s="312">
        <v>3391228.5171888769</v>
      </c>
      <c r="I266" s="311">
        <v>33.993458150606607</v>
      </c>
      <c r="J266" s="310">
        <v>-58517.038494747481</v>
      </c>
      <c r="K266" s="66"/>
      <c r="L266" s="514">
        <v>-1.6962711466745078E-2</v>
      </c>
      <c r="M266" s="514">
        <v>-2.3661571878008131E-2</v>
      </c>
    </row>
    <row r="267" spans="1:13" x14ac:dyDescent="0.2">
      <c r="A267" s="454">
        <f>A266+1</f>
        <v>166</v>
      </c>
      <c r="B267" s="66"/>
      <c r="C267" s="66" t="s">
        <v>852</v>
      </c>
      <c r="D267" s="66"/>
      <c r="E267" s="303"/>
      <c r="F267" s="303"/>
      <c r="G267" s="303"/>
      <c r="H267" s="303"/>
      <c r="I267" s="303"/>
      <c r="J267" s="304"/>
      <c r="K267" s="66"/>
      <c r="L267" s="514">
        <v>-4.2888569181117171E-2</v>
      </c>
      <c r="M267" s="514">
        <v>-0.15092025158494823</v>
      </c>
    </row>
    <row r="268" spans="1:13" x14ac:dyDescent="0.2">
      <c r="A268" s="454">
        <f>A267+1</f>
        <v>167</v>
      </c>
      <c r="B268" s="66"/>
      <c r="C268" s="66" t="s">
        <v>851</v>
      </c>
      <c r="D268" s="66"/>
      <c r="E268" s="312">
        <v>3154749.2469054428</v>
      </c>
      <c r="F268" s="311">
        <v>31.62300504279612</v>
      </c>
      <c r="G268" s="454">
        <v>0</v>
      </c>
      <c r="H268" s="312">
        <v>3205473.144168877</v>
      </c>
      <c r="I268" s="311">
        <v>32.131458150606605</v>
      </c>
      <c r="J268" s="310">
        <v>50723.897263433915</v>
      </c>
      <c r="K268" s="66"/>
      <c r="L268" s="309">
        <v>1.6078582889968201E-2</v>
      </c>
      <c r="M268" s="309">
        <v>2.3288278769405851E-2</v>
      </c>
    </row>
    <row r="269" spans="1:13" x14ac:dyDescent="0.2">
      <c r="A269" s="454">
        <f>A268+1</f>
        <v>168</v>
      </c>
      <c r="B269" s="66"/>
      <c r="C269" s="66" t="s">
        <v>850</v>
      </c>
      <c r="D269" s="66"/>
      <c r="E269" s="303"/>
      <c r="F269" s="303"/>
      <c r="G269" s="303"/>
      <c r="H269" s="303"/>
      <c r="I269" s="303"/>
      <c r="J269" s="304"/>
      <c r="K269" s="66"/>
      <c r="L269" s="309">
        <v>4.7432074762136386E-2</v>
      </c>
      <c r="M269" s="309">
        <v>0.54695605596235197</v>
      </c>
    </row>
    <row r="270" spans="1:13" x14ac:dyDescent="0.2">
      <c r="A270" s="454"/>
      <c r="B270" s="66"/>
      <c r="C270" s="66"/>
      <c r="D270" s="66"/>
      <c r="E270" s="454"/>
      <c r="F270" s="454"/>
      <c r="G270" s="454"/>
      <c r="H270" s="454"/>
      <c r="I270" s="454"/>
      <c r="J270" s="454"/>
      <c r="K270" s="454"/>
      <c r="L270" s="454"/>
      <c r="M270" s="454"/>
    </row>
    <row r="271" spans="1:13" ht="14.25" x14ac:dyDescent="0.2">
      <c r="A271" s="454"/>
      <c r="B271" s="66"/>
      <c r="C271" s="76" t="s">
        <v>859</v>
      </c>
      <c r="D271" s="66"/>
      <c r="E271" s="66" t="s">
        <v>1013</v>
      </c>
      <c r="F271" s="66"/>
      <c r="G271" s="66"/>
      <c r="H271" s="66"/>
      <c r="I271" s="66"/>
      <c r="J271" s="308"/>
      <c r="K271" s="66"/>
      <c r="L271" s="66"/>
      <c r="M271" s="66"/>
    </row>
    <row r="272" spans="1:13" x14ac:dyDescent="0.2">
      <c r="A272" s="454">
        <f>A269+1</f>
        <v>169</v>
      </c>
      <c r="B272" s="66"/>
      <c r="C272" s="66" t="s">
        <v>856</v>
      </c>
      <c r="D272" s="66"/>
      <c r="E272" s="306">
        <v>617885.9078814172</v>
      </c>
      <c r="F272" s="317">
        <v>0.88480694670404725</v>
      </c>
      <c r="G272" s="454"/>
      <c r="H272" s="306">
        <v>1149210.7409779998</v>
      </c>
      <c r="I272" s="317">
        <v>1.6456592291135184</v>
      </c>
      <c r="J272" s="304">
        <f>H272-E272</f>
        <v>531324.83309658256</v>
      </c>
      <c r="K272" s="305"/>
      <c r="L272" s="315">
        <f>J272/E272</f>
        <v>0.85990767279086877</v>
      </c>
      <c r="M272" s="315">
        <f>L272</f>
        <v>0.85990767279086877</v>
      </c>
    </row>
    <row r="273" spans="1:13" x14ac:dyDescent="0.2">
      <c r="A273" s="454">
        <f>A272+1</f>
        <v>170</v>
      </c>
      <c r="B273" s="66"/>
      <c r="C273" s="66" t="s">
        <v>858</v>
      </c>
      <c r="D273" s="66"/>
      <c r="E273" s="306">
        <v>6836636.0149999997</v>
      </c>
      <c r="F273" s="317">
        <v>9.7900000000000009</v>
      </c>
      <c r="G273" s="305"/>
      <c r="H273" s="306">
        <v>6836636.0149999997</v>
      </c>
      <c r="I273" s="317">
        <v>9.7900000000000009</v>
      </c>
      <c r="J273" s="304">
        <f>H273-E273</f>
        <v>0</v>
      </c>
      <c r="K273" s="305"/>
      <c r="L273" s="120">
        <f>IFERROR(J273/E273,"100.0%")</f>
        <v>0</v>
      </c>
      <c r="M273" s="120">
        <v>0</v>
      </c>
    </row>
    <row r="274" spans="1:13" x14ac:dyDescent="0.2">
      <c r="A274" s="454">
        <f>A273+1</f>
        <v>171</v>
      </c>
      <c r="B274" s="66"/>
      <c r="C274" s="66" t="s">
        <v>855</v>
      </c>
      <c r="D274" s="66"/>
      <c r="E274" s="306">
        <v>1900337.0062552262</v>
      </c>
      <c r="F274" s="317">
        <v>2.7212651442053795</v>
      </c>
      <c r="G274" s="305"/>
      <c r="H274" s="320">
        <v>-222054.1137842465</v>
      </c>
      <c r="I274" s="319">
        <v>-0.31797945205479444</v>
      </c>
      <c r="J274" s="304">
        <f>H274-E274</f>
        <v>-2122391.1200394728</v>
      </c>
      <c r="K274" s="305"/>
      <c r="L274" s="133">
        <f>IFERROR(J274/E274,"100.0%")</f>
        <v>-1.11684986034231</v>
      </c>
      <c r="M274" s="133">
        <f>L274</f>
        <v>-1.11684986034231</v>
      </c>
    </row>
    <row r="275" spans="1:13" x14ac:dyDescent="0.2">
      <c r="A275" s="454">
        <f>A274+1</f>
        <v>172</v>
      </c>
      <c r="B275" s="66"/>
      <c r="C275" s="66" t="s">
        <v>88</v>
      </c>
      <c r="D275" s="66"/>
      <c r="E275" s="306">
        <v>12806947.47991739</v>
      </c>
      <c r="F275" s="317">
        <v>18.339431198808857</v>
      </c>
      <c r="G275" s="454"/>
      <c r="H275" s="306">
        <v>14597439.9669</v>
      </c>
      <c r="I275" s="317">
        <v>20.903400000000001</v>
      </c>
      <c r="J275" s="304">
        <f>H275-E275</f>
        <v>1790492.4869826101</v>
      </c>
      <c r="K275" s="66"/>
      <c r="L275" s="315">
        <f>J275/E275</f>
        <v>0.13980634259571115</v>
      </c>
      <c r="M275" s="315">
        <f>L275</f>
        <v>0.13980634259571115</v>
      </c>
    </row>
    <row r="276" spans="1:13" x14ac:dyDescent="0.2">
      <c r="A276" s="454">
        <f>A275+1</f>
        <v>173</v>
      </c>
      <c r="B276" s="66"/>
      <c r="C276" s="66" t="s">
        <v>854</v>
      </c>
      <c r="D276" s="66"/>
      <c r="E276" s="312">
        <f>SUM(E272:E275)</f>
        <v>22161806.409054033</v>
      </c>
      <c r="F276" s="314">
        <v>31.735503289718281</v>
      </c>
      <c r="G276" s="454"/>
      <c r="H276" s="312">
        <f>SUM(H272:H275)</f>
        <v>22361232.609093755</v>
      </c>
      <c r="I276" s="314">
        <v>32.021079777058723</v>
      </c>
      <c r="J276" s="310">
        <f>SUM(J272:J275)</f>
        <v>199426.2000397197</v>
      </c>
      <c r="K276" s="66"/>
      <c r="L276" s="313">
        <f>J276/E276</f>
        <v>8.9986437187830354E-3</v>
      </c>
      <c r="M276" s="313">
        <f>(J272+J275+J274)/(E272+E275+E274)</f>
        <v>1.3012984189532697E-2</v>
      </c>
    </row>
    <row r="277" spans="1:13" x14ac:dyDescent="0.2">
      <c r="A277" s="454"/>
      <c r="B277" s="66"/>
      <c r="C277" s="66"/>
      <c r="D277" s="66"/>
      <c r="E277" s="306"/>
      <c r="F277" s="305"/>
      <c r="G277" s="454"/>
      <c r="H277" s="306"/>
      <c r="I277" s="305"/>
      <c r="J277" s="304"/>
      <c r="K277" s="66"/>
      <c r="L277" s="303"/>
      <c r="M277" s="303"/>
    </row>
    <row r="278" spans="1:13" x14ac:dyDescent="0.2">
      <c r="A278" s="454">
        <f>A276+1</f>
        <v>174</v>
      </c>
      <c r="B278" s="66"/>
      <c r="C278" s="66" t="s">
        <v>853</v>
      </c>
      <c r="D278" s="66"/>
      <c r="E278" s="312">
        <v>23952298.896036644</v>
      </c>
      <c r="F278" s="311">
        <v>34.299472090909426</v>
      </c>
      <c r="G278" s="454"/>
      <c r="H278" s="312">
        <v>23661520.276093751</v>
      </c>
      <c r="I278" s="311">
        <v>33.883079777058725</v>
      </c>
      <c r="J278" s="310">
        <v>-290778.61994289036</v>
      </c>
      <c r="K278" s="66"/>
      <c r="L278" s="514">
        <v>-1.2139904449464145E-2</v>
      </c>
      <c r="M278" s="514">
        <v>-1.6989036414421291E-2</v>
      </c>
    </row>
    <row r="279" spans="1:13" x14ac:dyDescent="0.2">
      <c r="A279" s="454">
        <f>A278+1</f>
        <v>175</v>
      </c>
      <c r="B279" s="66"/>
      <c r="C279" s="66" t="s">
        <v>852</v>
      </c>
      <c r="D279" s="66"/>
      <c r="E279" s="303"/>
      <c r="F279" s="303"/>
      <c r="G279" s="303"/>
      <c r="H279" s="303"/>
      <c r="I279" s="303"/>
      <c r="J279" s="304"/>
      <c r="K279" s="66"/>
      <c r="L279" s="514">
        <v>-3.1083164604142909E-2</v>
      </c>
      <c r="M279" s="514">
        <v>-0.11546976969772429</v>
      </c>
    </row>
    <row r="280" spans="1:13" x14ac:dyDescent="0.2">
      <c r="A280" s="454">
        <f>A279+1</f>
        <v>176</v>
      </c>
      <c r="B280" s="66"/>
      <c r="C280" s="66" t="s">
        <v>851</v>
      </c>
      <c r="D280" s="66"/>
      <c r="E280" s="312">
        <v>21887324.64587865</v>
      </c>
      <c r="F280" s="311">
        <v>31.34244792512213</v>
      </c>
      <c r="G280" s="454">
        <v>0</v>
      </c>
      <c r="H280" s="312">
        <v>22361232.609093755</v>
      </c>
      <c r="I280" s="311">
        <v>32.021079777058723</v>
      </c>
      <c r="J280" s="310">
        <v>473907.9632151043</v>
      </c>
      <c r="K280" s="66"/>
      <c r="L280" s="309">
        <v>2.165216493484691E-2</v>
      </c>
      <c r="M280" s="309">
        <v>3.1487460463623843E-2</v>
      </c>
    </row>
    <row r="281" spans="1:13" x14ac:dyDescent="0.2">
      <c r="A281" s="454">
        <f>A280+1</f>
        <v>177</v>
      </c>
      <c r="B281" s="66"/>
      <c r="C281" s="66" t="s">
        <v>850</v>
      </c>
      <c r="D281" s="66"/>
      <c r="E281" s="303"/>
      <c r="F281" s="303"/>
      <c r="G281" s="303"/>
      <c r="H281" s="303"/>
      <c r="I281" s="303"/>
      <c r="J281" s="304"/>
      <c r="K281" s="66"/>
      <c r="L281" s="309">
        <v>6.500897943991911E-2</v>
      </c>
      <c r="M281" s="309">
        <v>1.045580496708157</v>
      </c>
    </row>
    <row r="282" spans="1:13" x14ac:dyDescent="0.2">
      <c r="A282" s="454"/>
      <c r="B282" s="66"/>
      <c r="C282" s="66"/>
      <c r="D282" s="66"/>
      <c r="E282" s="303"/>
      <c r="F282" s="303"/>
      <c r="G282" s="303"/>
      <c r="H282" s="303"/>
      <c r="I282" s="303"/>
      <c r="J282" s="304"/>
      <c r="K282" s="66"/>
      <c r="L282" s="316"/>
      <c r="M282" s="316"/>
    </row>
    <row r="283" spans="1:13" ht="14.25" x14ac:dyDescent="0.2">
      <c r="A283" s="454"/>
      <c r="B283" s="66"/>
      <c r="C283" s="76" t="s">
        <v>857</v>
      </c>
      <c r="D283" s="66"/>
      <c r="E283" s="66" t="s">
        <v>1014</v>
      </c>
      <c r="F283" s="66"/>
      <c r="G283" s="66"/>
      <c r="H283" s="66"/>
      <c r="I283" s="66"/>
      <c r="J283" s="308"/>
      <c r="K283" s="66"/>
      <c r="L283" s="66"/>
      <c r="M283" s="66"/>
    </row>
    <row r="284" spans="1:13" x14ac:dyDescent="0.2">
      <c r="A284" s="454">
        <f>A281+1</f>
        <v>178</v>
      </c>
      <c r="B284" s="66"/>
      <c r="C284" s="66" t="s">
        <v>856</v>
      </c>
      <c r="D284" s="66"/>
      <c r="E284" s="306">
        <v>5954981.6104730107</v>
      </c>
      <c r="F284" s="317">
        <v>4.2442936065795029</v>
      </c>
      <c r="G284" s="454"/>
      <c r="H284" s="306">
        <v>5213907.1407999992</v>
      </c>
      <c r="I284" s="317">
        <v>3.7161076541492282</v>
      </c>
      <c r="J284" s="304">
        <f>H284-E284</f>
        <v>-741074.46967301145</v>
      </c>
      <c r="K284" s="305"/>
      <c r="L284" s="66"/>
      <c r="M284" s="133">
        <f>J284/E284</f>
        <v>-0.12444613907282026</v>
      </c>
    </row>
    <row r="285" spans="1:13" x14ac:dyDescent="0.2">
      <c r="A285" s="454">
        <f>A284+1</f>
        <v>179</v>
      </c>
      <c r="B285" s="66"/>
      <c r="C285" s="66" t="s">
        <v>855</v>
      </c>
      <c r="D285" s="66"/>
      <c r="E285" s="306">
        <v>5248929.6594909895</v>
      </c>
      <c r="F285" s="317">
        <v>3.7410692513278083</v>
      </c>
      <c r="G285" s="305"/>
      <c r="H285" s="306">
        <v>1722987.6589808217</v>
      </c>
      <c r="I285" s="317">
        <v>1.2280248678462027</v>
      </c>
      <c r="J285" s="304">
        <f>H285-E285</f>
        <v>-3525942.0005101678</v>
      </c>
      <c r="K285" s="305"/>
      <c r="L285" s="66"/>
      <c r="M285" s="133">
        <f>J285/E285</f>
        <v>-0.67174495168451032</v>
      </c>
    </row>
    <row r="286" spans="1:13" x14ac:dyDescent="0.2">
      <c r="A286" s="454">
        <f>A285+1</f>
        <v>180</v>
      </c>
      <c r="B286" s="66"/>
      <c r="C286" s="66" t="s">
        <v>88</v>
      </c>
      <c r="D286" s="66"/>
      <c r="E286" s="306">
        <v>25731108.039998189</v>
      </c>
      <c r="F286" s="317">
        <v>18.339330746597561</v>
      </c>
      <c r="G286" s="454"/>
      <c r="H286" s="306">
        <v>29328640.790399998</v>
      </c>
      <c r="I286" s="317">
        <v>20.903400000000001</v>
      </c>
      <c r="J286" s="304">
        <f>H286-E286</f>
        <v>3597532.7504018098</v>
      </c>
      <c r="K286" s="66"/>
      <c r="L286" s="66"/>
      <c r="M286" s="315">
        <f>J286/E286</f>
        <v>0.13981258579341238</v>
      </c>
    </row>
    <row r="287" spans="1:13" x14ac:dyDescent="0.2">
      <c r="A287" s="454">
        <f>A286+1</f>
        <v>181</v>
      </c>
      <c r="B287" s="66"/>
      <c r="C287" s="66" t="s">
        <v>854</v>
      </c>
      <c r="D287" s="66"/>
      <c r="E287" s="312">
        <f>SUM(E284:E286)</f>
        <v>36935019.309962191</v>
      </c>
      <c r="F287" s="314">
        <v>26.324693604504873</v>
      </c>
      <c r="G287" s="454"/>
      <c r="H287" s="312">
        <f>SUM(H284:H286)</f>
        <v>36265535.590180822</v>
      </c>
      <c r="I287" s="314">
        <v>25.847532521995433</v>
      </c>
      <c r="J287" s="310">
        <f>SUM(J284:J286)</f>
        <v>-669483.71978136897</v>
      </c>
      <c r="K287" s="66"/>
      <c r="L287" s="66"/>
      <c r="M287" s="514">
        <f>(J284+J286+J285)/(E284+E286+E285)</f>
        <v>-1.8125988080932041E-2</v>
      </c>
    </row>
    <row r="288" spans="1:13" x14ac:dyDescent="0.2">
      <c r="A288" s="454"/>
      <c r="B288" s="66"/>
      <c r="C288" s="66"/>
      <c r="D288" s="66"/>
      <c r="E288" s="306"/>
      <c r="F288" s="305"/>
      <c r="G288" s="454"/>
      <c r="H288" s="306"/>
      <c r="I288" s="305"/>
      <c r="J288" s="304"/>
      <c r="K288" s="66"/>
      <c r="L288" s="66"/>
      <c r="M288" s="303"/>
    </row>
    <row r="289" spans="1:13" x14ac:dyDescent="0.2">
      <c r="A289" s="454">
        <f>A287+1</f>
        <v>182</v>
      </c>
      <c r="B289" s="66"/>
      <c r="C289" s="66" t="s">
        <v>853</v>
      </c>
      <c r="D289" s="66"/>
      <c r="E289" s="312">
        <v>40532552.060364</v>
      </c>
      <c r="F289" s="311">
        <v>28.888762857907313</v>
      </c>
      <c r="G289" s="454"/>
      <c r="H289" s="312">
        <v>38878025.862180822</v>
      </c>
      <c r="I289" s="311">
        <v>27.709532521995435</v>
      </c>
      <c r="J289" s="310">
        <v>-1654526.1981831789</v>
      </c>
      <c r="K289" s="66"/>
      <c r="L289" s="66"/>
      <c r="M289" s="514">
        <v>-4.0819689708142218E-2</v>
      </c>
    </row>
    <row r="290" spans="1:13" x14ac:dyDescent="0.2">
      <c r="A290" s="454">
        <f>A289+1</f>
        <v>183</v>
      </c>
      <c r="B290" s="66"/>
      <c r="C290" s="66" t="s">
        <v>852</v>
      </c>
      <c r="D290" s="66"/>
      <c r="E290" s="303"/>
      <c r="F290" s="303"/>
      <c r="G290" s="303"/>
      <c r="H290" s="303"/>
      <c r="I290" s="303"/>
      <c r="J290" s="304"/>
      <c r="K290" s="66"/>
      <c r="L290" s="66"/>
      <c r="M290" s="514">
        <v>-0.14767398262236461</v>
      </c>
    </row>
    <row r="291" spans="1:13" x14ac:dyDescent="0.2">
      <c r="A291" s="454">
        <f>A290+1</f>
        <v>184</v>
      </c>
      <c r="B291" s="66"/>
      <c r="C291" s="66" t="s">
        <v>851</v>
      </c>
      <c r="D291" s="66"/>
      <c r="E291" s="312">
        <v>36383681.834276825</v>
      </c>
      <c r="F291" s="311">
        <v>25.931738885886823</v>
      </c>
      <c r="G291" s="454">
        <v>0</v>
      </c>
      <c r="H291" s="312">
        <v>36265535.590180822</v>
      </c>
      <c r="I291" s="311">
        <v>25.847532521995433</v>
      </c>
      <c r="J291" s="310">
        <v>-118146.24409600487</v>
      </c>
      <c r="K291" s="66"/>
      <c r="L291" s="66"/>
      <c r="M291" s="514">
        <v>-3.2472316747421664E-3</v>
      </c>
    </row>
    <row r="292" spans="1:13" x14ac:dyDescent="0.2">
      <c r="A292" s="454">
        <f>A291+1</f>
        <v>185</v>
      </c>
      <c r="B292" s="66"/>
      <c r="C292" s="66" t="s">
        <v>850</v>
      </c>
      <c r="D292" s="66"/>
      <c r="E292" s="303"/>
      <c r="F292" s="303"/>
      <c r="G292" s="303"/>
      <c r="H292" s="303"/>
      <c r="I292" s="303"/>
      <c r="J292" s="304"/>
      <c r="K292" s="66"/>
      <c r="L292" s="66"/>
      <c r="M292" s="133">
        <v>-1.6746358151742538E-2</v>
      </c>
    </row>
    <row r="293" spans="1:13" x14ac:dyDescent="0.2">
      <c r="A293" s="454"/>
      <c r="B293" s="66"/>
      <c r="C293" s="66"/>
      <c r="D293" s="66"/>
      <c r="E293" s="454"/>
      <c r="F293" s="454"/>
      <c r="G293" s="454"/>
      <c r="H293" s="454"/>
      <c r="I293" s="454"/>
      <c r="J293" s="454"/>
      <c r="K293" s="454"/>
      <c r="L293" s="454"/>
      <c r="M293" s="454"/>
    </row>
    <row r="294" spans="1:13" x14ac:dyDescent="0.2">
      <c r="A294" s="76" t="s">
        <v>29</v>
      </c>
      <c r="B294" s="76"/>
      <c r="C294" s="66"/>
      <c r="D294" s="66"/>
      <c r="E294" s="66"/>
      <c r="F294" s="305"/>
      <c r="G294" s="66"/>
      <c r="H294" s="66"/>
      <c r="I294" s="66"/>
      <c r="J294" s="308"/>
      <c r="K294" s="66"/>
      <c r="L294" s="66"/>
      <c r="M294" s="66"/>
    </row>
    <row r="295" spans="1:13" x14ac:dyDescent="0.2">
      <c r="A295" s="411" t="s">
        <v>267</v>
      </c>
      <c r="B295" s="301"/>
      <c r="C295" s="307" t="s">
        <v>950</v>
      </c>
      <c r="D295" s="66"/>
      <c r="E295" s="306"/>
      <c r="F295" s="305"/>
      <c r="G295" s="66"/>
      <c r="H295" s="306"/>
      <c r="I295" s="305"/>
      <c r="J295" s="304"/>
      <c r="K295" s="66"/>
      <c r="L295" s="303"/>
      <c r="M295" s="303"/>
    </row>
    <row r="296" spans="1:13" x14ac:dyDescent="0.2">
      <c r="A296" s="411" t="s">
        <v>268</v>
      </c>
      <c r="B296" s="66"/>
      <c r="C296" s="569" t="s">
        <v>1066</v>
      </c>
      <c r="D296" s="570"/>
      <c r="E296" s="570"/>
      <c r="F296" s="570"/>
      <c r="G296" s="570"/>
      <c r="H296" s="570"/>
      <c r="I296" s="570"/>
      <c r="J296" s="570"/>
      <c r="K296" s="570"/>
      <c r="L296" s="570"/>
      <c r="M296" s="570"/>
    </row>
    <row r="297" spans="1:13" x14ac:dyDescent="0.2">
      <c r="A297" s="454"/>
      <c r="B297" s="66"/>
      <c r="C297" s="76"/>
      <c r="D297" s="76"/>
      <c r="E297" s="76"/>
      <c r="F297" s="76"/>
      <c r="G297" s="76"/>
      <c r="H297" s="76"/>
      <c r="I297" s="76"/>
      <c r="J297" s="76"/>
      <c r="K297" s="66"/>
      <c r="L297" s="542"/>
      <c r="M297" s="542"/>
    </row>
    <row r="298" spans="1:13" x14ac:dyDescent="0.2">
      <c r="A298" s="454"/>
      <c r="B298" s="66"/>
      <c r="C298" s="76"/>
      <c r="D298" s="76"/>
      <c r="E298" s="76"/>
      <c r="F298" s="76"/>
      <c r="G298" s="76"/>
      <c r="H298" s="76"/>
      <c r="I298" s="76"/>
      <c r="J298" s="76"/>
      <c r="K298" s="66"/>
      <c r="L298" s="542"/>
      <c r="M298" s="542"/>
    </row>
    <row r="299" spans="1:13" x14ac:dyDescent="0.2">
      <c r="A299" s="454"/>
      <c r="B299" s="66"/>
      <c r="C299" s="76"/>
      <c r="D299" s="76"/>
      <c r="E299" s="76"/>
      <c r="F299" s="76"/>
      <c r="G299" s="76"/>
      <c r="H299" s="76"/>
      <c r="I299" s="76"/>
      <c r="J299" s="76"/>
      <c r="K299" s="66"/>
      <c r="L299" s="542"/>
      <c r="M299" s="542"/>
    </row>
    <row r="300" spans="1:13" x14ac:dyDescent="0.2">
      <c r="A300" s="454"/>
      <c r="B300" s="66"/>
      <c r="C300" s="76"/>
      <c r="D300" s="76"/>
      <c r="E300" s="76"/>
      <c r="F300" s="76"/>
      <c r="G300" s="76"/>
      <c r="H300" s="76"/>
      <c r="I300" s="76"/>
      <c r="J300" s="76"/>
      <c r="K300" s="66"/>
      <c r="L300" s="230"/>
      <c r="M300" s="230"/>
    </row>
    <row r="301" spans="1:13" x14ac:dyDescent="0.2">
      <c r="A301" s="454"/>
      <c r="B301" s="66"/>
      <c r="C301" s="533"/>
      <c r="D301" s="533"/>
      <c r="E301" s="533"/>
      <c r="F301" s="533"/>
      <c r="G301" s="533"/>
      <c r="H301" s="533"/>
      <c r="I301" s="533"/>
      <c r="J301" s="533"/>
      <c r="K301" s="76"/>
      <c r="L301" s="302"/>
      <c r="M301" s="230"/>
    </row>
    <row r="723" spans="1:13" x14ac:dyDescent="0.2">
      <c r="A723" s="454"/>
      <c r="B723" s="301"/>
      <c r="C723" s="66"/>
      <c r="D723" s="66"/>
      <c r="E723" s="66"/>
      <c r="F723" s="66"/>
      <c r="G723" s="66"/>
      <c r="H723" s="66"/>
      <c r="I723" s="66"/>
      <c r="J723" s="66"/>
      <c r="K723" s="66"/>
      <c r="L723" s="66"/>
      <c r="M723" s="66"/>
    </row>
  </sheetData>
  <mergeCells count="26">
    <mergeCell ref="E25:F25"/>
    <mergeCell ref="C296:M296"/>
    <mergeCell ref="E200:F200"/>
    <mergeCell ref="E49:F49"/>
    <mergeCell ref="A4:M4"/>
    <mergeCell ref="A5:M5"/>
    <mergeCell ref="E37:F37"/>
    <mergeCell ref="E7:F7"/>
    <mergeCell ref="H7:J7"/>
    <mergeCell ref="L7:M7"/>
    <mergeCell ref="E13:F13"/>
    <mergeCell ref="A75:M75"/>
    <mergeCell ref="A76:M76"/>
    <mergeCell ref="E78:F78"/>
    <mergeCell ref="H78:J78"/>
    <mergeCell ref="L78:M78"/>
    <mergeCell ref="A153:M153"/>
    <mergeCell ref="A154:M154"/>
    <mergeCell ref="E156:F156"/>
    <mergeCell ref="H156:J156"/>
    <mergeCell ref="L156:M156"/>
    <mergeCell ref="A226:M226"/>
    <mergeCell ref="A227:M227"/>
    <mergeCell ref="E229:F229"/>
    <mergeCell ref="H229:J229"/>
    <mergeCell ref="L229:M229"/>
  </mergeCells>
  <pageMargins left="0.7" right="0.7" top="0.75" bottom="0.75" header="0.3" footer="0.3"/>
  <pageSetup scale="63" fitToHeight="0" orientation="portrait" r:id="rId1"/>
  <headerFooter>
    <oddHeader>&amp;R&amp;"Arial,Regular"&amp;10Filed: 2022-11-30
EB-2022-0200
Exhibit 8
Tab 2
Schedule 8
Attachment 10
Page &amp;P of 9</oddHeader>
  </headerFooter>
  <rowBreaks count="3" manualBreakCount="3">
    <brk id="71" max="16383" man="1"/>
    <brk id="149" max="16383" man="1"/>
    <brk id="22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9648-2C3C-4593-972F-2D5A16C44B53}">
  <sheetPr>
    <pageSetUpPr fitToPage="1"/>
  </sheetPr>
  <dimension ref="A4:M142"/>
  <sheetViews>
    <sheetView view="pageLayout" zoomScaleNormal="100" zoomScaleSheetLayoutView="80" workbookViewId="0"/>
  </sheetViews>
  <sheetFormatPr defaultColWidth="9.140625" defaultRowHeight="12.75" x14ac:dyDescent="0.2"/>
  <cols>
    <col min="1" max="1" width="4.7109375" style="46" customWidth="1"/>
    <col min="2" max="2" width="1.5703125" style="46" customWidth="1"/>
    <col min="3" max="3" width="35.7109375" style="46" customWidth="1"/>
    <col min="4" max="4" width="1.5703125" style="46" customWidth="1"/>
    <col min="5" max="6" width="15.7109375" style="46" customWidth="1"/>
    <col min="7" max="7" width="1.5703125" style="46" customWidth="1"/>
    <col min="8" max="8" width="10.85546875" style="46" bestFit="1" customWidth="1"/>
    <col min="9" max="9" width="10.140625" style="46" bestFit="1" customWidth="1"/>
    <col min="10" max="10" width="13" style="46" bestFit="1" customWidth="1"/>
    <col min="11" max="11" width="1.5703125" style="46" customWidth="1"/>
    <col min="12" max="13" width="15.7109375" style="46" customWidth="1"/>
    <col min="14" max="16384" width="9.140625" style="46"/>
  </cols>
  <sheetData>
    <row r="4" spans="1:13" x14ac:dyDescent="0.2">
      <c r="A4" s="566" t="s">
        <v>1146</v>
      </c>
      <c r="B4" s="566"/>
      <c r="C4" s="566"/>
      <c r="D4" s="566"/>
      <c r="E4" s="566"/>
      <c r="F4" s="566"/>
      <c r="G4" s="566"/>
      <c r="H4" s="566"/>
      <c r="I4" s="566"/>
      <c r="J4" s="566"/>
      <c r="K4" s="566"/>
      <c r="L4" s="566"/>
      <c r="M4" s="566"/>
    </row>
    <row r="5" spans="1:13" x14ac:dyDescent="0.2">
      <c r="A5" s="566" t="s">
        <v>911</v>
      </c>
      <c r="B5" s="566"/>
      <c r="C5" s="566"/>
      <c r="D5" s="566"/>
      <c r="E5" s="566"/>
      <c r="F5" s="566"/>
      <c r="G5" s="566"/>
      <c r="H5" s="566"/>
      <c r="I5" s="566"/>
      <c r="J5" s="566"/>
      <c r="K5" s="566"/>
      <c r="L5" s="566"/>
      <c r="M5" s="566"/>
    </row>
    <row r="6" spans="1:13" x14ac:dyDescent="0.2">
      <c r="A6" s="324"/>
      <c r="B6" s="324"/>
      <c r="C6" s="324"/>
      <c r="D6" s="324"/>
      <c r="E6" s="324"/>
      <c r="F6" s="324"/>
      <c r="G6" s="324"/>
      <c r="H6" s="324"/>
      <c r="I6" s="324"/>
      <c r="J6" s="324"/>
      <c r="K6" s="324"/>
      <c r="L6" s="324"/>
      <c r="M6" s="324"/>
    </row>
    <row r="7" spans="1:13" x14ac:dyDescent="0.2">
      <c r="A7" s="454"/>
      <c r="B7" s="66"/>
      <c r="C7" s="66"/>
      <c r="D7" s="66"/>
      <c r="E7" s="567" t="s">
        <v>894</v>
      </c>
      <c r="F7" s="567"/>
      <c r="G7" s="66"/>
      <c r="H7" s="567" t="s">
        <v>893</v>
      </c>
      <c r="I7" s="567"/>
      <c r="J7" s="567"/>
      <c r="K7" s="66"/>
      <c r="L7" s="567" t="s">
        <v>892</v>
      </c>
      <c r="M7" s="567"/>
    </row>
    <row r="8" spans="1:13" x14ac:dyDescent="0.2">
      <c r="A8" s="454"/>
      <c r="B8" s="66"/>
      <c r="C8" s="66"/>
      <c r="D8" s="66"/>
      <c r="E8" s="454"/>
      <c r="F8" s="454"/>
      <c r="G8" s="66"/>
      <c r="H8" s="454"/>
      <c r="I8" s="454"/>
      <c r="J8" s="454" t="s">
        <v>889</v>
      </c>
      <c r="K8" s="66"/>
      <c r="L8" s="454" t="s">
        <v>891</v>
      </c>
      <c r="M8" s="454" t="s">
        <v>890</v>
      </c>
    </row>
    <row r="9" spans="1:13" x14ac:dyDescent="0.2">
      <c r="A9" s="454" t="s">
        <v>0</v>
      </c>
      <c r="B9" s="66"/>
      <c r="C9" s="66"/>
      <c r="D9" s="66"/>
      <c r="E9" s="454" t="s">
        <v>889</v>
      </c>
      <c r="F9" s="454" t="s">
        <v>265</v>
      </c>
      <c r="G9" s="66"/>
      <c r="H9" s="454" t="s">
        <v>889</v>
      </c>
      <c r="I9" s="454" t="s">
        <v>265</v>
      </c>
      <c r="J9" s="454" t="s">
        <v>361</v>
      </c>
      <c r="K9" s="66"/>
      <c r="L9" s="454" t="s">
        <v>888</v>
      </c>
      <c r="M9" s="454" t="s">
        <v>888</v>
      </c>
    </row>
    <row r="10" spans="1:13" ht="14.25" x14ac:dyDescent="0.2">
      <c r="A10" s="534" t="s">
        <v>1</v>
      </c>
      <c r="B10" s="66"/>
      <c r="C10" s="75" t="s">
        <v>33</v>
      </c>
      <c r="D10" s="66"/>
      <c r="E10" s="534" t="s">
        <v>470</v>
      </c>
      <c r="F10" s="534" t="s">
        <v>35</v>
      </c>
      <c r="G10" s="66"/>
      <c r="H10" s="534" t="s">
        <v>470</v>
      </c>
      <c r="I10" s="534" t="s">
        <v>35</v>
      </c>
      <c r="J10" s="534" t="s">
        <v>470</v>
      </c>
      <c r="K10" s="66"/>
      <c r="L10" s="534" t="s">
        <v>2</v>
      </c>
      <c r="M10" s="534" t="s">
        <v>2</v>
      </c>
    </row>
    <row r="11" spans="1:13" x14ac:dyDescent="0.2">
      <c r="A11" s="454"/>
      <c r="B11" s="66"/>
      <c r="C11" s="66"/>
      <c r="D11" s="66"/>
      <c r="E11" s="454" t="s">
        <v>3</v>
      </c>
      <c r="F11" s="454" t="s">
        <v>4</v>
      </c>
      <c r="G11" s="454"/>
      <c r="H11" s="454" t="s">
        <v>119</v>
      </c>
      <c r="I11" s="454" t="s">
        <v>263</v>
      </c>
      <c r="J11" s="454" t="s">
        <v>887</v>
      </c>
      <c r="K11" s="454"/>
      <c r="L11" s="454" t="s">
        <v>886</v>
      </c>
      <c r="M11" s="454" t="s">
        <v>38</v>
      </c>
    </row>
    <row r="12" spans="1:13" x14ac:dyDescent="0.2">
      <c r="A12" s="454"/>
      <c r="B12" s="66"/>
      <c r="C12" s="66"/>
      <c r="D12" s="66"/>
      <c r="E12" s="454"/>
      <c r="F12" s="454"/>
      <c r="G12" s="454"/>
      <c r="H12" s="454"/>
      <c r="I12" s="454"/>
      <c r="J12" s="454"/>
      <c r="K12" s="454"/>
      <c r="L12" s="454"/>
      <c r="M12" s="454"/>
    </row>
    <row r="13" spans="1:13" ht="14.25" x14ac:dyDescent="0.2">
      <c r="A13" s="454"/>
      <c r="B13" s="66"/>
      <c r="C13" s="76" t="s">
        <v>910</v>
      </c>
      <c r="D13" s="66"/>
      <c r="E13" s="568" t="s">
        <v>909</v>
      </c>
      <c r="F13" s="568"/>
      <c r="G13" s="454"/>
      <c r="H13" s="454"/>
      <c r="I13" s="454"/>
      <c r="J13" s="454"/>
      <c r="K13" s="454"/>
      <c r="L13" s="454"/>
      <c r="M13" s="454"/>
    </row>
    <row r="14" spans="1:13" x14ac:dyDescent="0.2">
      <c r="A14" s="454">
        <f>1</f>
        <v>1</v>
      </c>
      <c r="B14" s="66"/>
      <c r="C14" s="66" t="s">
        <v>856</v>
      </c>
      <c r="D14" s="66"/>
      <c r="E14" s="306">
        <v>516.88424539999994</v>
      </c>
      <c r="F14" s="305">
        <v>23.494738427272726</v>
      </c>
      <c r="G14" s="305"/>
      <c r="H14" s="306">
        <v>435.43983500000002</v>
      </c>
      <c r="I14" s="305">
        <v>19.792719772727274</v>
      </c>
      <c r="J14" s="304">
        <f>H14-E14</f>
        <v>-81.444410399999924</v>
      </c>
      <c r="K14" s="305"/>
      <c r="L14" s="133">
        <f>J14/E14</f>
        <v>-0.15756798765838323</v>
      </c>
      <c r="M14" s="133">
        <f>L14</f>
        <v>-0.15756798765838323</v>
      </c>
    </row>
    <row r="15" spans="1:13" x14ac:dyDescent="0.2">
      <c r="A15" s="454">
        <f>A14+1</f>
        <v>2</v>
      </c>
      <c r="B15" s="66"/>
      <c r="C15" s="66" t="s">
        <v>858</v>
      </c>
      <c r="D15" s="66"/>
      <c r="E15" s="306">
        <v>215.37999999999997</v>
      </c>
      <c r="F15" s="305">
        <v>9.7899999999999991</v>
      </c>
      <c r="G15" s="305"/>
      <c r="H15" s="306">
        <v>215.37999999999997</v>
      </c>
      <c r="I15" s="305">
        <v>9.7899999999999991</v>
      </c>
      <c r="J15" s="304">
        <f>H15-E15</f>
        <v>0</v>
      </c>
      <c r="K15" s="305"/>
      <c r="L15" s="120">
        <f>IFERROR(J15/E15,"100.0%")</f>
        <v>0</v>
      </c>
      <c r="M15" s="120">
        <v>0</v>
      </c>
    </row>
    <row r="16" spans="1:13" x14ac:dyDescent="0.2">
      <c r="A16" s="454">
        <f>A15+1</f>
        <v>3</v>
      </c>
      <c r="B16" s="66"/>
      <c r="C16" s="66" t="s">
        <v>855</v>
      </c>
      <c r="D16" s="66"/>
      <c r="E16" s="306">
        <v>188.26060000000001</v>
      </c>
      <c r="F16" s="305">
        <v>8.5573000000000015</v>
      </c>
      <c r="G16" s="305"/>
      <c r="H16" s="306">
        <v>121.6292</v>
      </c>
      <c r="I16" s="305">
        <v>5.5286</v>
      </c>
      <c r="J16" s="304">
        <f>H16-E16</f>
        <v>-66.631400000000014</v>
      </c>
      <c r="K16" s="66"/>
      <c r="L16" s="133">
        <f>J16/E16</f>
        <v>-0.35393173080294021</v>
      </c>
      <c r="M16" s="133">
        <f>L16</f>
        <v>-0.35393173080294021</v>
      </c>
    </row>
    <row r="17" spans="1:13" x14ac:dyDescent="0.2">
      <c r="A17" s="454">
        <f>A16+1</f>
        <v>4</v>
      </c>
      <c r="B17" s="66"/>
      <c r="C17" s="66" t="s">
        <v>88</v>
      </c>
      <c r="D17" s="66"/>
      <c r="E17" s="306">
        <v>490.93276972764289</v>
      </c>
      <c r="F17" s="305">
        <v>22.315125896711042</v>
      </c>
      <c r="G17" s="66"/>
      <c r="H17" s="306">
        <v>459.87480000000005</v>
      </c>
      <c r="I17" s="305">
        <v>20.903400000000001</v>
      </c>
      <c r="J17" s="304">
        <f>H17-E17</f>
        <v>-31.057969727642842</v>
      </c>
      <c r="K17" s="66"/>
      <c r="L17" s="133">
        <f>J17/E17</f>
        <v>-6.3263183154127239E-2</v>
      </c>
      <c r="M17" s="133">
        <f>L17</f>
        <v>-6.3263183154127239E-2</v>
      </c>
    </row>
    <row r="18" spans="1:13" x14ac:dyDescent="0.2">
      <c r="A18" s="454">
        <f>A17+1</f>
        <v>5</v>
      </c>
      <c r="B18" s="66"/>
      <c r="C18" s="66" t="s">
        <v>854</v>
      </c>
      <c r="D18" s="66"/>
      <c r="E18" s="312">
        <f>SUM(E14:E17)</f>
        <v>1411.4576151276428</v>
      </c>
      <c r="F18" s="311">
        <v>64.157164323983764</v>
      </c>
      <c r="G18" s="454"/>
      <c r="H18" s="312">
        <f>SUM(H14:H17)</f>
        <v>1232.3238350000001</v>
      </c>
      <c r="I18" s="311">
        <v>56.014719772727283</v>
      </c>
      <c r="J18" s="310">
        <f>SUM(J14:J17)</f>
        <v>-179.13378012764278</v>
      </c>
      <c r="K18" s="66"/>
      <c r="L18" s="514">
        <f>J18/E18</f>
        <v>-0.12691403426339737</v>
      </c>
      <c r="M18" s="514">
        <f>(J14+J17+J16)/(E14+E17+E16)</f>
        <v>-0.14976768887069758</v>
      </c>
    </row>
    <row r="19" spans="1:13" x14ac:dyDescent="0.2">
      <c r="A19" s="454"/>
      <c r="B19" s="66"/>
      <c r="C19" s="66"/>
      <c r="D19" s="66"/>
      <c r="E19" s="306"/>
      <c r="F19" s="305"/>
      <c r="G19" s="454"/>
      <c r="H19" s="306"/>
      <c r="I19" s="305"/>
      <c r="J19" s="304"/>
      <c r="K19" s="66"/>
      <c r="L19" s="303"/>
      <c r="M19" s="303"/>
    </row>
    <row r="20" spans="1:13" x14ac:dyDescent="0.2">
      <c r="A20" s="454">
        <f>A18+1</f>
        <v>6</v>
      </c>
      <c r="B20" s="66"/>
      <c r="C20" s="66" t="s">
        <v>867</v>
      </c>
      <c r="D20" s="66"/>
      <c r="E20" s="312">
        <f>SUM(E14:E16)+H17</f>
        <v>1380.3996454000001</v>
      </c>
      <c r="F20" s="311">
        <v>62.745438427272724</v>
      </c>
      <c r="G20" s="454"/>
      <c r="H20" s="312">
        <f>SUM(H14:H17)</f>
        <v>1232.3238350000001</v>
      </c>
      <c r="I20" s="311">
        <v>56.014719772727283</v>
      </c>
      <c r="J20" s="310">
        <f>J14+J15+J16</f>
        <v>-148.07581039999994</v>
      </c>
      <c r="K20" s="66"/>
      <c r="L20" s="514">
        <f>J20/E20</f>
        <v>-0.10727024662273935</v>
      </c>
      <c r="M20" s="514">
        <f>(J20-J15)/(E20-E15)</f>
        <v>-0.12710155660006858</v>
      </c>
    </row>
    <row r="21" spans="1:13" x14ac:dyDescent="0.2">
      <c r="A21" s="454">
        <f>A20+1</f>
        <v>7</v>
      </c>
      <c r="B21" s="66"/>
      <c r="C21" s="66" t="s">
        <v>866</v>
      </c>
      <c r="D21" s="66"/>
      <c r="E21" s="303"/>
      <c r="F21" s="303"/>
      <c r="G21" s="303"/>
      <c r="H21" s="303"/>
      <c r="I21" s="303"/>
      <c r="J21" s="304"/>
      <c r="K21" s="66"/>
      <c r="L21" s="133">
        <v>-0.16086019963497666</v>
      </c>
      <c r="M21" s="133">
        <v>-0.20999346640051331</v>
      </c>
    </row>
    <row r="22" spans="1:13" x14ac:dyDescent="0.2">
      <c r="A22" s="454"/>
      <c r="B22" s="66"/>
      <c r="C22" s="66"/>
      <c r="D22" s="66"/>
      <c r="E22" s="454"/>
      <c r="F22" s="454"/>
      <c r="G22" s="454"/>
      <c r="H22" s="454"/>
      <c r="I22" s="454"/>
      <c r="J22" s="322"/>
      <c r="K22" s="454"/>
      <c r="L22" s="133"/>
      <c r="M22" s="306"/>
    </row>
    <row r="23" spans="1:13" ht="14.25" x14ac:dyDescent="0.2">
      <c r="A23" s="454"/>
      <c r="B23" s="66"/>
      <c r="C23" s="76" t="s">
        <v>908</v>
      </c>
      <c r="D23" s="66"/>
      <c r="E23" s="568" t="s">
        <v>907</v>
      </c>
      <c r="F23" s="568"/>
      <c r="G23" s="454"/>
      <c r="H23" s="454"/>
      <c r="I23" s="454"/>
      <c r="J23" s="322"/>
      <c r="K23" s="454"/>
      <c r="L23" s="454"/>
      <c r="M23" s="454"/>
    </row>
    <row r="24" spans="1:13" x14ac:dyDescent="0.2">
      <c r="A24" s="454">
        <f>A21+1</f>
        <v>8</v>
      </c>
      <c r="B24" s="66"/>
      <c r="C24" s="66" t="s">
        <v>856</v>
      </c>
      <c r="D24" s="66"/>
      <c r="E24" s="306">
        <v>4238.4152000000004</v>
      </c>
      <c r="F24" s="305">
        <v>10.596038</v>
      </c>
      <c r="G24" s="305"/>
      <c r="H24" s="306">
        <v>2866.9187999999999</v>
      </c>
      <c r="I24" s="305">
        <v>7.1672970000000005</v>
      </c>
      <c r="J24" s="304">
        <f>H24-E24</f>
        <v>-1371.4964000000004</v>
      </c>
      <c r="K24" s="305"/>
      <c r="L24" s="133">
        <f>J24/E24</f>
        <v>-0.32358708037853401</v>
      </c>
      <c r="M24" s="133">
        <f>L24</f>
        <v>-0.32358708037853401</v>
      </c>
    </row>
    <row r="25" spans="1:13" x14ac:dyDescent="0.2">
      <c r="A25" s="454">
        <f>A24+1</f>
        <v>9</v>
      </c>
      <c r="B25" s="66"/>
      <c r="C25" s="66" t="s">
        <v>858</v>
      </c>
      <c r="D25" s="66"/>
      <c r="E25" s="306">
        <v>3915.9999999999995</v>
      </c>
      <c r="F25" s="305">
        <v>9.7899999999999991</v>
      </c>
      <c r="G25" s="305"/>
      <c r="H25" s="306">
        <v>3915.9999999999995</v>
      </c>
      <c r="I25" s="305">
        <v>9.7899999999999991</v>
      </c>
      <c r="J25" s="304">
        <f>H25-E25</f>
        <v>0</v>
      </c>
      <c r="K25" s="305"/>
      <c r="L25" s="133">
        <f>IFERROR(J25/E25,"100.0%")</f>
        <v>0</v>
      </c>
      <c r="M25" s="120">
        <v>0</v>
      </c>
    </row>
    <row r="26" spans="1:13" x14ac:dyDescent="0.2">
      <c r="A26" s="454">
        <f>A25+1</f>
        <v>10</v>
      </c>
      <c r="B26" s="66"/>
      <c r="C26" s="66" t="s">
        <v>855</v>
      </c>
      <c r="D26" s="66"/>
      <c r="E26" s="306">
        <v>3422.9199999999996</v>
      </c>
      <c r="F26" s="305">
        <v>8.5572999999999997</v>
      </c>
      <c r="G26" s="305"/>
      <c r="H26" s="306">
        <v>2211.44</v>
      </c>
      <c r="I26" s="305">
        <v>5.5286</v>
      </c>
      <c r="J26" s="304">
        <f>H26-E26</f>
        <v>-1211.4799999999996</v>
      </c>
      <c r="K26" s="66"/>
      <c r="L26" s="133">
        <f>J26/E26</f>
        <v>-0.3539317308029401</v>
      </c>
      <c r="M26" s="133">
        <f>L26</f>
        <v>-0.3539317308029401</v>
      </c>
    </row>
    <row r="27" spans="1:13" x14ac:dyDescent="0.2">
      <c r="A27" s="454">
        <f>A26+1</f>
        <v>11</v>
      </c>
      <c r="B27" s="66"/>
      <c r="C27" s="66" t="s">
        <v>88</v>
      </c>
      <c r="D27" s="66"/>
      <c r="E27" s="306">
        <v>8926.050358684417</v>
      </c>
      <c r="F27" s="305">
        <v>22.315125896711045</v>
      </c>
      <c r="G27" s="66"/>
      <c r="H27" s="306">
        <v>8361.36</v>
      </c>
      <c r="I27" s="305">
        <v>20.903400000000001</v>
      </c>
      <c r="J27" s="304">
        <f>H27-E27</f>
        <v>-564.69035868441642</v>
      </c>
      <c r="K27" s="66"/>
      <c r="L27" s="133">
        <f>J27/E27</f>
        <v>-6.326318315412735E-2</v>
      </c>
      <c r="M27" s="133">
        <f>L27</f>
        <v>-6.326318315412735E-2</v>
      </c>
    </row>
    <row r="28" spans="1:13" x14ac:dyDescent="0.2">
      <c r="A28" s="454">
        <f>A27+1</f>
        <v>12</v>
      </c>
      <c r="B28" s="66"/>
      <c r="C28" s="66" t="s">
        <v>854</v>
      </c>
      <c r="D28" s="66"/>
      <c r="E28" s="312">
        <f>SUM(E24:E27)</f>
        <v>20503.385558684415</v>
      </c>
      <c r="F28" s="311">
        <v>51.258463896711035</v>
      </c>
      <c r="G28" s="454"/>
      <c r="H28" s="312">
        <f>SUM(H24:H27)</f>
        <v>17355.718800000002</v>
      </c>
      <c r="I28" s="311">
        <v>43.389297000000006</v>
      </c>
      <c r="J28" s="310">
        <f>SUM(J24:J27)</f>
        <v>-3147.6667586844164</v>
      </c>
      <c r="K28" s="66"/>
      <c r="L28" s="514">
        <f>J28/E28</f>
        <v>-0.15351936633465835</v>
      </c>
      <c r="M28" s="514">
        <f>(J24+J27+J26)/(E24+E27+E26)</f>
        <v>-0.18976268125849638</v>
      </c>
    </row>
    <row r="29" spans="1:13" x14ac:dyDescent="0.2">
      <c r="A29" s="454"/>
      <c r="B29" s="66"/>
      <c r="C29" s="66"/>
      <c r="D29" s="66"/>
      <c r="E29" s="306"/>
      <c r="F29" s="305"/>
      <c r="G29" s="454"/>
      <c r="H29" s="306"/>
      <c r="I29" s="305"/>
      <c r="J29" s="304"/>
      <c r="K29" s="66"/>
      <c r="L29" s="303"/>
      <c r="M29" s="303"/>
    </row>
    <row r="30" spans="1:13" x14ac:dyDescent="0.2">
      <c r="A30" s="454">
        <f>A28+1</f>
        <v>13</v>
      </c>
      <c r="B30" s="66"/>
      <c r="C30" s="66" t="s">
        <v>867</v>
      </c>
      <c r="D30" s="66"/>
      <c r="E30" s="312">
        <f>SUM(E24:E26)+H27</f>
        <v>19938.695200000002</v>
      </c>
      <c r="F30" s="311">
        <v>49.846738000000009</v>
      </c>
      <c r="G30" s="454"/>
      <c r="H30" s="312">
        <f>SUM(H24:H27)</f>
        <v>17355.718800000002</v>
      </c>
      <c r="I30" s="311">
        <v>43.389297000000006</v>
      </c>
      <c r="J30" s="310">
        <f>J24+J25+J26</f>
        <v>-2582.9764</v>
      </c>
      <c r="K30" s="66"/>
      <c r="L30" s="514">
        <f>J30/E30</f>
        <v>-0.129545909303032</v>
      </c>
      <c r="M30" s="514">
        <f>(J30-J25)/(E30-E25)</f>
        <v>-0.16120736041961278</v>
      </c>
    </row>
    <row r="31" spans="1:13" x14ac:dyDescent="0.2">
      <c r="A31" s="454">
        <f>A30+1</f>
        <v>14</v>
      </c>
      <c r="B31" s="66"/>
      <c r="C31" s="66" t="s">
        <v>866</v>
      </c>
      <c r="D31" s="66"/>
      <c r="E31" s="303"/>
      <c r="F31" s="303"/>
      <c r="G31" s="303"/>
      <c r="H31" s="303"/>
      <c r="I31" s="303"/>
      <c r="J31" s="304"/>
      <c r="K31" s="66"/>
      <c r="L31" s="133">
        <v>-0.22310629824383071</v>
      </c>
      <c r="M31" s="133">
        <v>-0.33714441837762166</v>
      </c>
    </row>
    <row r="32" spans="1:13" x14ac:dyDescent="0.2">
      <c r="A32" s="454"/>
      <c r="B32" s="66"/>
      <c r="C32" s="66"/>
      <c r="D32" s="66"/>
      <c r="E32" s="454"/>
      <c r="F32" s="454"/>
      <c r="G32" s="454"/>
      <c r="H32" s="454"/>
      <c r="I32" s="454"/>
      <c r="J32" s="321"/>
      <c r="K32" s="454"/>
      <c r="L32" s="454"/>
      <c r="M32" s="306"/>
    </row>
    <row r="33" spans="1:13" ht="14.25" x14ac:dyDescent="0.2">
      <c r="A33" s="454"/>
      <c r="B33" s="66"/>
      <c r="C33" s="76" t="s">
        <v>906</v>
      </c>
      <c r="D33" s="66"/>
      <c r="E33" s="568" t="s">
        <v>905</v>
      </c>
      <c r="F33" s="568"/>
      <c r="G33" s="66"/>
      <c r="H33" s="66"/>
      <c r="I33" s="66"/>
      <c r="J33" s="308"/>
      <c r="K33" s="66"/>
      <c r="L33" s="66"/>
      <c r="M33" s="66"/>
    </row>
    <row r="34" spans="1:13" x14ac:dyDescent="0.2">
      <c r="A34" s="454">
        <f>A31+1</f>
        <v>15</v>
      </c>
      <c r="B34" s="66"/>
      <c r="C34" s="66" t="s">
        <v>856</v>
      </c>
      <c r="D34" s="66"/>
      <c r="E34" s="306">
        <v>6143.1103363599996</v>
      </c>
      <c r="F34" s="305">
        <v>10.238517227266666</v>
      </c>
      <c r="G34" s="305"/>
      <c r="H34" s="306">
        <v>4381.7509164999992</v>
      </c>
      <c r="I34" s="305">
        <v>7.3029181941666659</v>
      </c>
      <c r="J34" s="304">
        <f>H34-E34</f>
        <v>-1761.3594198600003</v>
      </c>
      <c r="K34" s="305"/>
      <c r="L34" s="133">
        <f>J34/E34</f>
        <v>-0.286721110873562</v>
      </c>
      <c r="M34" s="133">
        <f>L34</f>
        <v>-0.286721110873562</v>
      </c>
    </row>
    <row r="35" spans="1:13" x14ac:dyDescent="0.2">
      <c r="A35" s="454">
        <f>A34+1</f>
        <v>16</v>
      </c>
      <c r="B35" s="66"/>
      <c r="C35" s="66" t="s">
        <v>858</v>
      </c>
      <c r="D35" s="66"/>
      <c r="E35" s="306">
        <v>5874</v>
      </c>
      <c r="F35" s="305">
        <v>9.7900000000000009</v>
      </c>
      <c r="G35" s="305"/>
      <c r="H35" s="306">
        <v>5874</v>
      </c>
      <c r="I35" s="305">
        <v>9.7900000000000009</v>
      </c>
      <c r="J35" s="304">
        <f>H35-E35</f>
        <v>0</v>
      </c>
      <c r="K35" s="305"/>
      <c r="L35" s="133">
        <f>IFERROR(J35/E35,"100.0%")</f>
        <v>0</v>
      </c>
      <c r="M35" s="133">
        <v>0</v>
      </c>
    </row>
    <row r="36" spans="1:13" x14ac:dyDescent="0.2">
      <c r="A36" s="454">
        <f>A35+1</f>
        <v>17</v>
      </c>
      <c r="B36" s="66"/>
      <c r="C36" s="66" t="s">
        <v>855</v>
      </c>
      <c r="D36" s="66"/>
      <c r="E36" s="306">
        <v>4073.7000000000003</v>
      </c>
      <c r="F36" s="305">
        <v>6.7895000000000012</v>
      </c>
      <c r="G36" s="305"/>
      <c r="H36" s="306">
        <v>2947.62</v>
      </c>
      <c r="I36" s="305">
        <v>4.9127000000000001</v>
      </c>
      <c r="J36" s="304">
        <f>H36-E36</f>
        <v>-1126.0800000000004</v>
      </c>
      <c r="K36" s="66"/>
      <c r="L36" s="133">
        <f>J36/E36</f>
        <v>-0.27642683555490105</v>
      </c>
      <c r="M36" s="133">
        <f>L36</f>
        <v>-0.27642683555490105</v>
      </c>
    </row>
    <row r="37" spans="1:13" x14ac:dyDescent="0.2">
      <c r="A37" s="454">
        <f>A36+1</f>
        <v>18</v>
      </c>
      <c r="B37" s="66"/>
      <c r="C37" s="66" t="s">
        <v>88</v>
      </c>
      <c r="D37" s="66"/>
      <c r="E37" s="306">
        <v>13389.075538026626</v>
      </c>
      <c r="F37" s="305">
        <v>22.315125896711045</v>
      </c>
      <c r="G37" s="66"/>
      <c r="H37" s="306">
        <v>12542.04</v>
      </c>
      <c r="I37" s="305">
        <v>20.903400000000001</v>
      </c>
      <c r="J37" s="304">
        <f>H37-E37</f>
        <v>-847.03553802662464</v>
      </c>
      <c r="K37" s="66"/>
      <c r="L37" s="133">
        <f>J37/E37</f>
        <v>-6.326318315412735E-2</v>
      </c>
      <c r="M37" s="133">
        <f>L37</f>
        <v>-6.326318315412735E-2</v>
      </c>
    </row>
    <row r="38" spans="1:13" x14ac:dyDescent="0.2">
      <c r="A38" s="454">
        <f>A37+1</f>
        <v>19</v>
      </c>
      <c r="B38" s="66"/>
      <c r="C38" s="66" t="s">
        <v>854</v>
      </c>
      <c r="D38" s="66"/>
      <c r="E38" s="312">
        <f>SUM(E34:E37)</f>
        <v>29479.885874386626</v>
      </c>
      <c r="F38" s="311">
        <v>49.13314312397771</v>
      </c>
      <c r="G38" s="454"/>
      <c r="H38" s="312">
        <f>SUM(H34:H37)</f>
        <v>25745.410916500001</v>
      </c>
      <c r="I38" s="311">
        <v>42.90901819416667</v>
      </c>
      <c r="J38" s="310">
        <f>SUM(J34:J37)</f>
        <v>-3734.4749578866254</v>
      </c>
      <c r="K38" s="66"/>
      <c r="L38" s="514">
        <f>J38/E38</f>
        <v>-0.12667874542659935</v>
      </c>
      <c r="M38" s="514">
        <f>(J34+J37+J36)/(E34+E37+E36)</f>
        <v>-0.15820100875513793</v>
      </c>
    </row>
    <row r="39" spans="1:13" x14ac:dyDescent="0.2">
      <c r="A39" s="454"/>
      <c r="B39" s="66"/>
      <c r="C39" s="66"/>
      <c r="D39" s="66"/>
      <c r="E39" s="306"/>
      <c r="F39" s="305"/>
      <c r="G39" s="454"/>
      <c r="H39" s="306"/>
      <c r="I39" s="305"/>
      <c r="J39" s="304"/>
      <c r="K39" s="66"/>
      <c r="L39" s="303"/>
      <c r="M39" s="303"/>
    </row>
    <row r="40" spans="1:13" x14ac:dyDescent="0.2">
      <c r="A40" s="454">
        <f>A38+1</f>
        <v>20</v>
      </c>
      <c r="B40" s="66"/>
      <c r="C40" s="66" t="s">
        <v>867</v>
      </c>
      <c r="D40" s="66"/>
      <c r="E40" s="312">
        <f>SUM(E34:E36)+H37</f>
        <v>28632.850336360003</v>
      </c>
      <c r="F40" s="311">
        <v>47.72141722726667</v>
      </c>
      <c r="G40" s="454"/>
      <c r="H40" s="312">
        <f>SUM(H34:H37)</f>
        <v>25745.410916500001</v>
      </c>
      <c r="I40" s="311">
        <v>42.90901819416667</v>
      </c>
      <c r="J40" s="310">
        <f>J34+J35+J36</f>
        <v>-2887.4394198600007</v>
      </c>
      <c r="K40" s="66"/>
      <c r="L40" s="514">
        <f>J40/E40</f>
        <v>-0.10084359000030561</v>
      </c>
      <c r="M40" s="514">
        <f>(J40-J35)/(E40-E35)</f>
        <v>-0.12687105794825534</v>
      </c>
    </row>
    <row r="41" spans="1:13" x14ac:dyDescent="0.2">
      <c r="A41" s="454">
        <f>A40+1</f>
        <v>21</v>
      </c>
      <c r="B41" s="66"/>
      <c r="C41" s="66" t="s">
        <v>866</v>
      </c>
      <c r="D41" s="66"/>
      <c r="E41" s="303"/>
      <c r="F41" s="303"/>
      <c r="G41" s="303"/>
      <c r="H41" s="303"/>
      <c r="I41" s="303"/>
      <c r="J41" s="304"/>
      <c r="K41" s="66"/>
      <c r="L41" s="133">
        <v>-0.17944648898976368</v>
      </c>
      <c r="M41" s="133">
        <v>-0.28261652363106549</v>
      </c>
    </row>
    <row r="42" spans="1:13" x14ac:dyDescent="0.2">
      <c r="A42" s="454"/>
      <c r="B42" s="66"/>
      <c r="C42" s="66"/>
      <c r="D42" s="66"/>
      <c r="E42" s="66"/>
      <c r="F42" s="66"/>
      <c r="G42" s="454"/>
      <c r="H42" s="454"/>
      <c r="I42" s="454"/>
      <c r="J42" s="304"/>
      <c r="K42" s="66"/>
      <c r="L42" s="66"/>
      <c r="M42" s="66"/>
    </row>
    <row r="43" spans="1:13" ht="14.25" x14ac:dyDescent="0.2">
      <c r="A43" s="454"/>
      <c r="B43" s="66"/>
      <c r="C43" s="76" t="s">
        <v>904</v>
      </c>
      <c r="D43" s="66"/>
      <c r="E43" s="568" t="s">
        <v>903</v>
      </c>
      <c r="F43" s="568"/>
      <c r="G43" s="66"/>
      <c r="H43" s="66"/>
      <c r="I43" s="66"/>
      <c r="J43" s="304"/>
      <c r="K43" s="66"/>
      <c r="L43" s="66"/>
      <c r="M43" s="326"/>
    </row>
    <row r="44" spans="1:13" x14ac:dyDescent="0.2">
      <c r="A44" s="454">
        <f>A61+1</f>
        <v>29</v>
      </c>
      <c r="B44" s="66"/>
      <c r="C44" s="66" t="s">
        <v>856</v>
      </c>
      <c r="D44" s="66"/>
      <c r="E44" s="306">
        <v>8765.3971026999989</v>
      </c>
      <c r="F44" s="305">
        <v>9.425158174946235</v>
      </c>
      <c r="G44" s="305"/>
      <c r="H44" s="306">
        <v>6081.9295056700003</v>
      </c>
      <c r="I44" s="305">
        <v>6.5397091458817211</v>
      </c>
      <c r="J44" s="304">
        <f>H44-E44</f>
        <v>-2683.4675970299986</v>
      </c>
      <c r="K44" s="305"/>
      <c r="L44" s="133">
        <f>J44/E44</f>
        <v>-0.30614330025087078</v>
      </c>
      <c r="M44" s="133">
        <f>L44</f>
        <v>-0.30614330025087078</v>
      </c>
    </row>
    <row r="45" spans="1:13" x14ac:dyDescent="0.2">
      <c r="A45" s="454">
        <f>A44+1</f>
        <v>30</v>
      </c>
      <c r="B45" s="66"/>
      <c r="C45" s="66" t="s">
        <v>858</v>
      </c>
      <c r="D45" s="66"/>
      <c r="E45" s="306">
        <v>9104.6999999999989</v>
      </c>
      <c r="F45" s="305">
        <v>9.7899999999999991</v>
      </c>
      <c r="G45" s="305"/>
      <c r="H45" s="306">
        <v>9104.6999999999989</v>
      </c>
      <c r="I45" s="305">
        <v>9.7899999999999991</v>
      </c>
      <c r="J45" s="304">
        <f>H45-E45</f>
        <v>0</v>
      </c>
      <c r="K45" s="305"/>
      <c r="L45" s="133">
        <f>IFERROR(J45/E45,"100.0%")</f>
        <v>0</v>
      </c>
      <c r="M45" s="133">
        <v>0</v>
      </c>
    </row>
    <row r="46" spans="1:13" x14ac:dyDescent="0.2">
      <c r="A46" s="454">
        <f>A45+1</f>
        <v>31</v>
      </c>
      <c r="B46" s="66"/>
      <c r="C46" s="66" t="s">
        <v>855</v>
      </c>
      <c r="D46" s="66"/>
      <c r="E46" s="306">
        <v>6314.2349999999997</v>
      </c>
      <c r="F46" s="305">
        <v>6.7894999999999994</v>
      </c>
      <c r="G46" s="305"/>
      <c r="H46" s="306">
        <v>4568.8109999999997</v>
      </c>
      <c r="I46" s="305">
        <v>4.9127000000000001</v>
      </c>
      <c r="J46" s="304">
        <f>H46-E46</f>
        <v>-1745.424</v>
      </c>
      <c r="K46" s="66"/>
      <c r="L46" s="133">
        <f>J46/E46</f>
        <v>-0.27642683555490094</v>
      </c>
      <c r="M46" s="133">
        <f>L46</f>
        <v>-0.27642683555490094</v>
      </c>
    </row>
    <row r="47" spans="1:13" x14ac:dyDescent="0.2">
      <c r="A47" s="454">
        <f>A46+1</f>
        <v>32</v>
      </c>
      <c r="B47" s="66"/>
      <c r="C47" s="66" t="s">
        <v>88</v>
      </c>
      <c r="D47" s="66"/>
      <c r="E47" s="306">
        <v>20753.067083941271</v>
      </c>
      <c r="F47" s="305">
        <v>22.315125896711045</v>
      </c>
      <c r="G47" s="66"/>
      <c r="H47" s="306">
        <v>19440.162</v>
      </c>
      <c r="I47" s="305">
        <v>20.903400000000001</v>
      </c>
      <c r="J47" s="304">
        <f>H47-E47</f>
        <v>-1312.9050839412703</v>
      </c>
      <c r="K47" s="66"/>
      <c r="L47" s="133">
        <f>J47/E47</f>
        <v>-6.3263183154127448E-2</v>
      </c>
      <c r="M47" s="133">
        <f>L47</f>
        <v>-6.3263183154127448E-2</v>
      </c>
    </row>
    <row r="48" spans="1:13" x14ac:dyDescent="0.2">
      <c r="A48" s="454">
        <f>A47+1</f>
        <v>33</v>
      </c>
      <c r="B48" s="66"/>
      <c r="C48" s="66" t="s">
        <v>854</v>
      </c>
      <c r="D48" s="66"/>
      <c r="E48" s="312">
        <f>SUM(E44:E47)</f>
        <v>44937.399186641269</v>
      </c>
      <c r="F48" s="311">
        <v>48.319784071657281</v>
      </c>
      <c r="G48" s="454"/>
      <c r="H48" s="312">
        <f>SUM(H44:H47)</f>
        <v>39195.602505670002</v>
      </c>
      <c r="I48" s="311">
        <v>42.145809145881721</v>
      </c>
      <c r="J48" s="310">
        <f>SUM(J44:J47)</f>
        <v>-5741.7966809712689</v>
      </c>
      <c r="K48" s="66"/>
      <c r="L48" s="514">
        <f>J48/E48</f>
        <v>-0.12777323086998227</v>
      </c>
      <c r="M48" s="514">
        <f>(J44+J47+J46)/(E44+E47+E46)</f>
        <v>-0.16023902221443195</v>
      </c>
    </row>
    <row r="49" spans="1:13" x14ac:dyDescent="0.2">
      <c r="A49" s="454"/>
      <c r="B49" s="66"/>
      <c r="C49" s="66"/>
      <c r="D49" s="66"/>
      <c r="E49" s="306"/>
      <c r="F49" s="305"/>
      <c r="G49" s="454"/>
      <c r="H49" s="306"/>
      <c r="I49" s="305"/>
      <c r="J49" s="304"/>
      <c r="K49" s="66"/>
      <c r="L49" s="303"/>
      <c r="M49" s="303"/>
    </row>
    <row r="50" spans="1:13" x14ac:dyDescent="0.2">
      <c r="A50" s="454">
        <f>A48+1</f>
        <v>34</v>
      </c>
      <c r="B50" s="66"/>
      <c r="C50" s="66" t="s">
        <v>867</v>
      </c>
      <c r="D50" s="66"/>
      <c r="E50" s="312">
        <f>SUM(E44:E46)+H47</f>
        <v>43624.494102700002</v>
      </c>
      <c r="F50" s="311">
        <v>46.908058174946241</v>
      </c>
      <c r="G50" s="454"/>
      <c r="H50" s="312">
        <f>SUM(H44:H47)</f>
        <v>39195.602505670002</v>
      </c>
      <c r="I50" s="311">
        <v>42.145809145881721</v>
      </c>
      <c r="J50" s="310">
        <f>J44+J45+J46</f>
        <v>-4428.8915970299986</v>
      </c>
      <c r="K50" s="66"/>
      <c r="L50" s="514">
        <f>J50/E50</f>
        <v>-0.10152304773101967</v>
      </c>
      <c r="M50" s="514">
        <f>(J50-J45)/(E50-E45)</f>
        <v>-0.12830005833330238</v>
      </c>
    </row>
    <row r="51" spans="1:13" x14ac:dyDescent="0.2">
      <c r="A51" s="454">
        <f>A50+1</f>
        <v>35</v>
      </c>
      <c r="B51" s="66"/>
      <c r="C51" s="66" t="s">
        <v>866</v>
      </c>
      <c r="D51" s="66"/>
      <c r="E51" s="303"/>
      <c r="F51" s="303"/>
      <c r="G51" s="303"/>
      <c r="H51" s="303"/>
      <c r="I51" s="303"/>
      <c r="J51" s="304"/>
      <c r="K51" s="66"/>
      <c r="L51" s="133">
        <v>-0.18313061440863806</v>
      </c>
      <c r="M51" s="133">
        <v>-0.29370024194668587</v>
      </c>
    </row>
    <row r="52" spans="1:13" x14ac:dyDescent="0.2">
      <c r="A52" s="454"/>
      <c r="B52" s="66"/>
      <c r="C52" s="66"/>
      <c r="D52" s="66"/>
      <c r="E52" s="66"/>
      <c r="F52" s="66"/>
      <c r="G52" s="66"/>
      <c r="H52" s="66"/>
      <c r="I52" s="66"/>
      <c r="J52" s="304"/>
      <c r="K52" s="66"/>
      <c r="L52" s="66"/>
      <c r="M52" s="66"/>
    </row>
    <row r="53" spans="1:13" ht="14.25" x14ac:dyDescent="0.2">
      <c r="A53" s="454"/>
      <c r="B53" s="66"/>
      <c r="C53" s="76" t="s">
        <v>902</v>
      </c>
      <c r="D53" s="66"/>
      <c r="E53" s="568" t="s">
        <v>901</v>
      </c>
      <c r="F53" s="568"/>
      <c r="G53" s="66"/>
      <c r="H53" s="66"/>
      <c r="I53" s="66"/>
      <c r="J53" s="304"/>
      <c r="K53" s="66"/>
      <c r="L53" s="66"/>
      <c r="M53" s="326"/>
    </row>
    <row r="54" spans="1:13" x14ac:dyDescent="0.2">
      <c r="A54" s="454">
        <f>A41+1</f>
        <v>22</v>
      </c>
      <c r="B54" s="66"/>
      <c r="C54" s="66" t="s">
        <v>856</v>
      </c>
      <c r="D54" s="66"/>
      <c r="E54" s="306">
        <v>20396.777521399999</v>
      </c>
      <c r="F54" s="305">
        <v>8.158711008560001</v>
      </c>
      <c r="G54" s="305"/>
      <c r="H54" s="306">
        <v>13559.148764640002</v>
      </c>
      <c r="I54" s="305">
        <v>5.4236595058560013</v>
      </c>
      <c r="J54" s="304">
        <f>H54-E54</f>
        <v>-6837.6287567599975</v>
      </c>
      <c r="K54" s="305"/>
      <c r="L54" s="133">
        <f>J54/E54</f>
        <v>-0.33523083485055705</v>
      </c>
      <c r="M54" s="133">
        <f>L54</f>
        <v>-0.33523083485055705</v>
      </c>
    </row>
    <row r="55" spans="1:13" x14ac:dyDescent="0.2">
      <c r="A55" s="454">
        <f>A54+1</f>
        <v>23</v>
      </c>
      <c r="B55" s="66"/>
      <c r="C55" s="66" t="s">
        <v>858</v>
      </c>
      <c r="D55" s="66"/>
      <c r="E55" s="306">
        <v>24475</v>
      </c>
      <c r="F55" s="305">
        <v>9.7900000000000009</v>
      </c>
      <c r="G55" s="305"/>
      <c r="H55" s="306">
        <v>24475</v>
      </c>
      <c r="I55" s="305">
        <v>9.7900000000000009</v>
      </c>
      <c r="J55" s="304">
        <f>H55-E55</f>
        <v>0</v>
      </c>
      <c r="K55" s="305"/>
      <c r="L55" s="133">
        <f>IFERROR(J55/E55,"100.0%")</f>
        <v>0</v>
      </c>
      <c r="M55" s="133">
        <v>0</v>
      </c>
    </row>
    <row r="56" spans="1:13" x14ac:dyDescent="0.2">
      <c r="A56" s="454">
        <f>A55+1</f>
        <v>24</v>
      </c>
      <c r="B56" s="66"/>
      <c r="C56" s="66" t="s">
        <v>855</v>
      </c>
      <c r="D56" s="66"/>
      <c r="E56" s="306">
        <v>16973.75</v>
      </c>
      <c r="F56" s="305">
        <v>6.7894999999999994</v>
      </c>
      <c r="G56" s="305"/>
      <c r="H56" s="306">
        <v>12281.75</v>
      </c>
      <c r="I56" s="305">
        <v>4.9127000000000001</v>
      </c>
      <c r="J56" s="304">
        <f>H56-E56</f>
        <v>-4692</v>
      </c>
      <c r="K56" s="66"/>
      <c r="L56" s="133">
        <f>J56/E56</f>
        <v>-0.27642683555490094</v>
      </c>
      <c r="M56" s="133">
        <f>L56</f>
        <v>-0.27642683555490094</v>
      </c>
    </row>
    <row r="57" spans="1:13" x14ac:dyDescent="0.2">
      <c r="A57" s="454">
        <f>A56+1</f>
        <v>25</v>
      </c>
      <c r="B57" s="66"/>
      <c r="C57" s="66" t="s">
        <v>88</v>
      </c>
      <c r="D57" s="66"/>
      <c r="E57" s="306">
        <v>55787.814741777598</v>
      </c>
      <c r="F57" s="305">
        <v>22.315125896711038</v>
      </c>
      <c r="G57" s="66"/>
      <c r="H57" s="306">
        <v>52258.5</v>
      </c>
      <c r="I57" s="305">
        <v>20.903400000000001</v>
      </c>
      <c r="J57" s="304">
        <f>H57-E57</f>
        <v>-3529.3147417775981</v>
      </c>
      <c r="K57" s="66"/>
      <c r="L57" s="133">
        <f>J57/E57</f>
        <v>-6.3263183154127281E-2</v>
      </c>
      <c r="M57" s="133">
        <f>L57</f>
        <v>-6.3263183154127281E-2</v>
      </c>
    </row>
    <row r="58" spans="1:13" x14ac:dyDescent="0.2">
      <c r="A58" s="454">
        <f>A57+1</f>
        <v>26</v>
      </c>
      <c r="B58" s="66"/>
      <c r="C58" s="66" t="s">
        <v>854</v>
      </c>
      <c r="D58" s="66"/>
      <c r="E58" s="312">
        <f>SUM(E54:E57)</f>
        <v>117633.34226317759</v>
      </c>
      <c r="F58" s="311">
        <v>47.053336905271038</v>
      </c>
      <c r="G58" s="454"/>
      <c r="H58" s="312">
        <f>SUM(H54:H57)</f>
        <v>102574.39876464001</v>
      </c>
      <c r="I58" s="311">
        <v>41.029759505855999</v>
      </c>
      <c r="J58" s="310">
        <f>SUM(J54:J57)</f>
        <v>-15058.943498537596</v>
      </c>
      <c r="K58" s="66"/>
      <c r="L58" s="514">
        <f>J58/E58</f>
        <v>-0.12801594521429704</v>
      </c>
      <c r="M58" s="514">
        <f>(J54+J57+J56)/(E54+E57+E56)</f>
        <v>-0.16164889941896163</v>
      </c>
    </row>
    <row r="59" spans="1:13" x14ac:dyDescent="0.2">
      <c r="A59" s="454"/>
      <c r="B59" s="66"/>
      <c r="C59" s="66"/>
      <c r="D59" s="66"/>
      <c r="E59" s="306"/>
      <c r="F59" s="305"/>
      <c r="G59" s="454"/>
      <c r="H59" s="306"/>
      <c r="I59" s="305"/>
      <c r="J59" s="304"/>
      <c r="K59" s="66"/>
      <c r="L59" s="303"/>
      <c r="M59" s="303"/>
    </row>
    <row r="60" spans="1:13" x14ac:dyDescent="0.2">
      <c r="A60" s="454">
        <f>A58+1</f>
        <v>27</v>
      </c>
      <c r="B60" s="66"/>
      <c r="C60" s="66" t="s">
        <v>867</v>
      </c>
      <c r="D60" s="66"/>
      <c r="E60" s="312">
        <f>SUM(E54:E56)+H57</f>
        <v>114104.0275214</v>
      </c>
      <c r="F60" s="311">
        <v>45.641611008559998</v>
      </c>
      <c r="G60" s="454"/>
      <c r="H60" s="312">
        <f>SUM(H54:H57)</f>
        <v>102574.39876464001</v>
      </c>
      <c r="I60" s="311">
        <v>41.029759505855999</v>
      </c>
      <c r="J60" s="310">
        <f>J54+J55+J56</f>
        <v>-11529.628756759997</v>
      </c>
      <c r="K60" s="66"/>
      <c r="L60" s="514">
        <f>J60/E60</f>
        <v>-0.10104488866177522</v>
      </c>
      <c r="M60" s="514">
        <f>(J60-J55)/(E60-E55)</f>
        <v>-0.12863721804866354</v>
      </c>
    </row>
    <row r="61" spans="1:13" x14ac:dyDescent="0.2">
      <c r="A61" s="454">
        <f>A60+1</f>
        <v>28</v>
      </c>
      <c r="B61" s="66"/>
      <c r="C61" s="66" t="s">
        <v>866</v>
      </c>
      <c r="D61" s="66"/>
      <c r="E61" s="303"/>
      <c r="F61" s="303"/>
      <c r="G61" s="303"/>
      <c r="H61" s="303"/>
      <c r="I61" s="303"/>
      <c r="J61" s="304"/>
      <c r="K61" s="66"/>
      <c r="L61" s="133">
        <v>-0.18642623353435669</v>
      </c>
      <c r="M61" s="133">
        <v>-0.30852196962319117</v>
      </c>
    </row>
    <row r="62" spans="1:13" x14ac:dyDescent="0.2">
      <c r="A62" s="454"/>
      <c r="B62" s="66"/>
      <c r="C62" s="66"/>
      <c r="D62" s="66"/>
      <c r="E62" s="66"/>
      <c r="F62" s="66"/>
      <c r="G62" s="66"/>
      <c r="H62" s="66"/>
      <c r="I62" s="66"/>
      <c r="J62" s="304"/>
      <c r="K62" s="66"/>
      <c r="L62" s="66"/>
      <c r="M62" s="66"/>
    </row>
    <row r="63" spans="1:13" ht="14.25" x14ac:dyDescent="0.2">
      <c r="A63" s="454"/>
      <c r="B63" s="66"/>
      <c r="C63" s="76" t="s">
        <v>900</v>
      </c>
      <c r="D63" s="66"/>
      <c r="E63" s="66" t="s">
        <v>1015</v>
      </c>
      <c r="F63" s="66"/>
      <c r="G63" s="66"/>
      <c r="H63" s="66"/>
      <c r="I63" s="66"/>
      <c r="J63" s="304"/>
      <c r="K63" s="66"/>
      <c r="L63" s="66"/>
      <c r="M63" s="66"/>
    </row>
    <row r="64" spans="1:13" x14ac:dyDescent="0.2">
      <c r="A64" s="454">
        <f>A51+1</f>
        <v>36</v>
      </c>
      <c r="B64" s="66"/>
      <c r="C64" s="66" t="s">
        <v>856</v>
      </c>
      <c r="D64" s="66"/>
      <c r="E64" s="306">
        <v>95250.744000000006</v>
      </c>
      <c r="F64" s="305">
        <v>3.1750248000000001</v>
      </c>
      <c r="G64" s="305"/>
      <c r="H64" s="306">
        <v>85868.64</v>
      </c>
      <c r="I64" s="305">
        <v>2.8622879999999999</v>
      </c>
      <c r="J64" s="304">
        <f>H64-E64</f>
        <v>-9382.1040000000066</v>
      </c>
      <c r="K64" s="305"/>
      <c r="L64" s="133">
        <f>J64/E64</f>
        <v>-9.8499010149464092E-2</v>
      </c>
      <c r="M64" s="133">
        <f>L64</f>
        <v>-9.8499010149464092E-2</v>
      </c>
    </row>
    <row r="65" spans="1:13" x14ac:dyDescent="0.2">
      <c r="A65" s="454">
        <f>A64+1</f>
        <v>37</v>
      </c>
      <c r="B65" s="66"/>
      <c r="C65" s="66" t="s">
        <v>858</v>
      </c>
      <c r="D65" s="66"/>
      <c r="E65" s="306">
        <v>293699.99999999994</v>
      </c>
      <c r="F65" s="305">
        <v>9.7899999999999991</v>
      </c>
      <c r="G65" s="305"/>
      <c r="H65" s="306">
        <v>293699.99999999994</v>
      </c>
      <c r="I65" s="305">
        <v>9.7899999999999991</v>
      </c>
      <c r="J65" s="304">
        <f>H65-E65</f>
        <v>0</v>
      </c>
      <c r="K65" s="305"/>
      <c r="L65" s="133">
        <f>IFERROR(J65/E65,"100.0%")</f>
        <v>0</v>
      </c>
      <c r="M65" s="133">
        <v>0</v>
      </c>
    </row>
    <row r="66" spans="1:13" x14ac:dyDescent="0.2">
      <c r="A66" s="454">
        <f>A65+1</f>
        <v>38</v>
      </c>
      <c r="B66" s="66"/>
      <c r="C66" s="66" t="s">
        <v>855</v>
      </c>
      <c r="D66" s="66"/>
      <c r="E66" s="306">
        <v>75893.003199999977</v>
      </c>
      <c r="F66" s="305">
        <v>2.5297667733333329</v>
      </c>
      <c r="G66" s="305"/>
      <c r="H66" s="306">
        <v>65967.04800000001</v>
      </c>
      <c r="I66" s="305">
        <v>2.1989016000000006</v>
      </c>
      <c r="J66" s="304">
        <f>H66-E66</f>
        <v>-9925.9551999999676</v>
      </c>
      <c r="K66" s="66"/>
      <c r="L66" s="133">
        <f>J66/E66</f>
        <v>-0.13078880504757745</v>
      </c>
      <c r="M66" s="133">
        <f>L66</f>
        <v>-0.13078880504757745</v>
      </c>
    </row>
    <row r="67" spans="1:13" x14ac:dyDescent="0.2">
      <c r="A67" s="454">
        <f>A66+1</f>
        <v>39</v>
      </c>
      <c r="B67" s="66"/>
      <c r="C67" s="66" t="s">
        <v>88</v>
      </c>
      <c r="D67" s="66"/>
      <c r="E67" s="306">
        <v>650010.77690133126</v>
      </c>
      <c r="F67" s="305">
        <v>21.667025896711042</v>
      </c>
      <c r="G67" s="66"/>
      <c r="H67" s="306">
        <v>627102.00000000012</v>
      </c>
      <c r="I67" s="305">
        <v>20.903400000000001</v>
      </c>
      <c r="J67" s="304">
        <f>H67-E67</f>
        <v>-22908.776901331148</v>
      </c>
      <c r="K67" s="66"/>
      <c r="L67" s="133">
        <f>J67/E67</f>
        <v>-3.5243687820899927E-2</v>
      </c>
      <c r="M67" s="133">
        <f>L67</f>
        <v>-3.5243687820899927E-2</v>
      </c>
    </row>
    <row r="68" spans="1:13" x14ac:dyDescent="0.2">
      <c r="A68" s="454">
        <f>A67+1</f>
        <v>40</v>
      </c>
      <c r="B68" s="66"/>
      <c r="C68" s="66" t="s">
        <v>854</v>
      </c>
      <c r="D68" s="66"/>
      <c r="E68" s="312">
        <f>SUM(E64:E67)</f>
        <v>1114854.5241013311</v>
      </c>
      <c r="F68" s="311">
        <v>37.161817470044376</v>
      </c>
      <c r="G68" s="454"/>
      <c r="H68" s="312">
        <f>SUM(H64:H67)</f>
        <v>1072637.6880000001</v>
      </c>
      <c r="I68" s="311">
        <v>35.754589600000003</v>
      </c>
      <c r="J68" s="310">
        <f>SUM(J64:J67)</f>
        <v>-42216.836101331122</v>
      </c>
      <c r="K68" s="66"/>
      <c r="L68" s="514">
        <f>J68/E68</f>
        <v>-3.7867573919890159E-2</v>
      </c>
      <c r="M68" s="514">
        <f>(J64+J67+J66)/(E64+E67+E66)</f>
        <v>-5.1411561237555248E-2</v>
      </c>
    </row>
    <row r="69" spans="1:13" x14ac:dyDescent="0.2">
      <c r="A69" s="454"/>
      <c r="B69" s="66"/>
      <c r="C69" s="66"/>
      <c r="D69" s="66"/>
      <c r="E69" s="306"/>
      <c r="F69" s="305"/>
      <c r="G69" s="454"/>
      <c r="H69" s="306"/>
      <c r="I69" s="305"/>
      <c r="J69" s="304"/>
      <c r="K69" s="66"/>
      <c r="L69" s="303"/>
      <c r="M69" s="303"/>
    </row>
    <row r="70" spans="1:13" x14ac:dyDescent="0.2">
      <c r="A70" s="454">
        <f>A68+1</f>
        <v>41</v>
      </c>
      <c r="B70" s="66"/>
      <c r="C70" s="66" t="s">
        <v>867</v>
      </c>
      <c r="D70" s="66"/>
      <c r="E70" s="312">
        <f>SUM(E64:E66)+H67</f>
        <v>1091945.7472000001</v>
      </c>
      <c r="F70" s="311">
        <v>36.398191573333335</v>
      </c>
      <c r="G70" s="454"/>
      <c r="H70" s="312">
        <f>SUM(H64:H67)</f>
        <v>1072637.6880000001</v>
      </c>
      <c r="I70" s="311">
        <v>35.754589600000003</v>
      </c>
      <c r="J70" s="310">
        <f>J64+J65+J66</f>
        <v>-19308.059199999974</v>
      </c>
      <c r="K70" s="66"/>
      <c r="L70" s="514">
        <f>J70/E70</f>
        <v>-1.7682251384292923E-2</v>
      </c>
      <c r="M70" s="514">
        <f>(J70-J65)/(E70-E65)</f>
        <v>-2.4188114083572246E-2</v>
      </c>
    </row>
    <row r="71" spans="1:13" x14ac:dyDescent="0.2">
      <c r="A71" s="454">
        <f>A70+1</f>
        <v>42</v>
      </c>
      <c r="B71" s="66"/>
      <c r="C71" s="66" t="s">
        <v>866</v>
      </c>
      <c r="D71" s="66"/>
      <c r="E71" s="303"/>
      <c r="F71" s="303"/>
      <c r="G71" s="303"/>
      <c r="H71" s="303"/>
      <c r="I71" s="303"/>
      <c r="J71" s="304"/>
      <c r="K71" s="66"/>
      <c r="L71" s="133">
        <v>-4.1536665419945218E-2</v>
      </c>
      <c r="M71" s="133">
        <v>-0.11281778923209176</v>
      </c>
    </row>
    <row r="75" spans="1:13" x14ac:dyDescent="0.2">
      <c r="A75" s="566" t="s">
        <v>1146</v>
      </c>
      <c r="B75" s="566"/>
      <c r="C75" s="566"/>
      <c r="D75" s="566"/>
      <c r="E75" s="566"/>
      <c r="F75" s="566"/>
      <c r="G75" s="566"/>
      <c r="H75" s="566"/>
      <c r="I75" s="566"/>
      <c r="J75" s="566"/>
      <c r="K75" s="566"/>
      <c r="L75" s="566"/>
      <c r="M75" s="566"/>
    </row>
    <row r="76" spans="1:13" x14ac:dyDescent="0.2">
      <c r="A76" s="566" t="s">
        <v>951</v>
      </c>
      <c r="B76" s="566"/>
      <c r="C76" s="566"/>
      <c r="D76" s="566"/>
      <c r="E76" s="566"/>
      <c r="F76" s="566"/>
      <c r="G76" s="566"/>
      <c r="H76" s="566"/>
      <c r="I76" s="566"/>
      <c r="J76" s="566"/>
      <c r="K76" s="566"/>
      <c r="L76" s="566"/>
      <c r="M76" s="566"/>
    </row>
    <row r="77" spans="1:13" x14ac:dyDescent="0.2">
      <c r="A77" s="324"/>
      <c r="B77" s="324"/>
      <c r="C77" s="324"/>
      <c r="D77" s="324"/>
      <c r="E77" s="324"/>
      <c r="F77" s="324"/>
      <c r="G77" s="324"/>
      <c r="H77" s="324"/>
      <c r="I77" s="324"/>
      <c r="J77" s="324"/>
      <c r="K77" s="324"/>
      <c r="L77" s="324"/>
      <c r="M77" s="324"/>
    </row>
    <row r="78" spans="1:13" x14ac:dyDescent="0.2">
      <c r="A78" s="454"/>
      <c r="B78" s="66"/>
      <c r="C78" s="66"/>
      <c r="D78" s="66"/>
      <c r="E78" s="567" t="s">
        <v>894</v>
      </c>
      <c r="F78" s="567"/>
      <c r="G78" s="66"/>
      <c r="H78" s="567" t="s">
        <v>893</v>
      </c>
      <c r="I78" s="567"/>
      <c r="J78" s="567"/>
      <c r="K78" s="66"/>
      <c r="L78" s="567" t="s">
        <v>892</v>
      </c>
      <c r="M78" s="567"/>
    </row>
    <row r="79" spans="1:13" x14ac:dyDescent="0.2">
      <c r="A79" s="454"/>
      <c r="B79" s="66"/>
      <c r="C79" s="66"/>
      <c r="D79" s="66"/>
      <c r="E79" s="454"/>
      <c r="F79" s="454"/>
      <c r="G79" s="66"/>
      <c r="H79" s="454"/>
      <c r="I79" s="454"/>
      <c r="J79" s="454" t="s">
        <v>889</v>
      </c>
      <c r="K79" s="66"/>
      <c r="L79" s="454" t="s">
        <v>891</v>
      </c>
      <c r="M79" s="454" t="s">
        <v>890</v>
      </c>
    </row>
    <row r="80" spans="1:13" x14ac:dyDescent="0.2">
      <c r="A80" s="454" t="s">
        <v>0</v>
      </c>
      <c r="B80" s="66"/>
      <c r="C80" s="66"/>
      <c r="D80" s="66"/>
      <c r="E80" s="454" t="s">
        <v>889</v>
      </c>
      <c r="F80" s="454" t="s">
        <v>265</v>
      </c>
      <c r="G80" s="66"/>
      <c r="H80" s="454" t="s">
        <v>889</v>
      </c>
      <c r="I80" s="454" t="s">
        <v>265</v>
      </c>
      <c r="J80" s="454" t="s">
        <v>361</v>
      </c>
      <c r="K80" s="66"/>
      <c r="L80" s="454" t="s">
        <v>888</v>
      </c>
      <c r="M80" s="454" t="s">
        <v>888</v>
      </c>
    </row>
    <row r="81" spans="1:13" ht="14.25" x14ac:dyDescent="0.2">
      <c r="A81" s="534" t="s">
        <v>1</v>
      </c>
      <c r="B81" s="66"/>
      <c r="C81" s="75" t="s">
        <v>33</v>
      </c>
      <c r="D81" s="66"/>
      <c r="E81" s="534" t="s">
        <v>470</v>
      </c>
      <c r="F81" s="534" t="s">
        <v>35</v>
      </c>
      <c r="G81" s="66"/>
      <c r="H81" s="534" t="s">
        <v>470</v>
      </c>
      <c r="I81" s="534" t="s">
        <v>35</v>
      </c>
      <c r="J81" s="534" t="s">
        <v>470</v>
      </c>
      <c r="K81" s="66"/>
      <c r="L81" s="534" t="s">
        <v>2</v>
      </c>
      <c r="M81" s="534" t="s">
        <v>2</v>
      </c>
    </row>
    <row r="82" spans="1:13" x14ac:dyDescent="0.2">
      <c r="A82" s="454"/>
      <c r="B82" s="66"/>
      <c r="C82" s="66"/>
      <c r="D82" s="66"/>
      <c r="E82" s="454" t="s">
        <v>3</v>
      </c>
      <c r="F82" s="454" t="s">
        <v>4</v>
      </c>
      <c r="G82" s="454"/>
      <c r="H82" s="454" t="s">
        <v>119</v>
      </c>
      <c r="I82" s="454" t="s">
        <v>263</v>
      </c>
      <c r="J82" s="454" t="s">
        <v>887</v>
      </c>
      <c r="K82" s="454"/>
      <c r="L82" s="454" t="s">
        <v>886</v>
      </c>
      <c r="M82" s="454" t="s">
        <v>38</v>
      </c>
    </row>
    <row r="83" spans="1:13" x14ac:dyDescent="0.2">
      <c r="A83" s="454"/>
      <c r="B83" s="66"/>
      <c r="C83" s="66"/>
      <c r="D83" s="66"/>
      <c r="E83" s="66"/>
      <c r="F83" s="66"/>
      <c r="G83" s="66"/>
      <c r="H83" s="66"/>
      <c r="I83" s="66"/>
      <c r="J83" s="304"/>
      <c r="K83" s="66"/>
      <c r="L83" s="66"/>
      <c r="M83" s="66"/>
    </row>
    <row r="84" spans="1:13" ht="14.25" x14ac:dyDescent="0.2">
      <c r="A84" s="454"/>
      <c r="B84" s="66"/>
      <c r="C84" s="76" t="s">
        <v>899</v>
      </c>
      <c r="D84" s="66"/>
      <c r="E84" s="66" t="s">
        <v>1016</v>
      </c>
      <c r="F84" s="66"/>
      <c r="G84" s="66"/>
      <c r="H84" s="66"/>
      <c r="I84" s="66"/>
      <c r="J84" s="304"/>
      <c r="K84" s="66"/>
      <c r="L84" s="66"/>
      <c r="M84" s="66"/>
    </row>
    <row r="85" spans="1:13" x14ac:dyDescent="0.2">
      <c r="A85" s="454">
        <f>A71+1</f>
        <v>43</v>
      </c>
      <c r="B85" s="66"/>
      <c r="C85" s="66" t="s">
        <v>856</v>
      </c>
      <c r="D85" s="66"/>
      <c r="E85" s="306">
        <v>372039.84</v>
      </c>
      <c r="F85" s="305">
        <v>2.4802656000000001</v>
      </c>
      <c r="G85" s="305"/>
      <c r="H85" s="306">
        <v>331965.59999999998</v>
      </c>
      <c r="I85" s="305">
        <v>2.213104</v>
      </c>
      <c r="J85" s="304">
        <f>H85-E85</f>
        <v>-40074.240000000049</v>
      </c>
      <c r="K85" s="305"/>
      <c r="L85" s="133">
        <f>J85/E85</f>
        <v>-0.10771491569290011</v>
      </c>
      <c r="M85" s="133">
        <f>L85</f>
        <v>-0.10771491569290011</v>
      </c>
    </row>
    <row r="86" spans="1:13" x14ac:dyDescent="0.2">
      <c r="A86" s="454">
        <f>A85+1</f>
        <v>44</v>
      </c>
      <c r="B86" s="66"/>
      <c r="C86" s="66" t="s">
        <v>858</v>
      </c>
      <c r="D86" s="66"/>
      <c r="E86" s="306">
        <v>1468500</v>
      </c>
      <c r="F86" s="305">
        <v>9.7900000000000009</v>
      </c>
      <c r="G86" s="305"/>
      <c r="H86" s="306">
        <v>1468500</v>
      </c>
      <c r="I86" s="305">
        <v>9.7900000000000009</v>
      </c>
      <c r="J86" s="304">
        <f>H86-E86</f>
        <v>0</v>
      </c>
      <c r="K86" s="305"/>
      <c r="L86" s="133">
        <f>IFERROR(J86/E86,"100.0%")</f>
        <v>0</v>
      </c>
      <c r="M86" s="133">
        <v>0</v>
      </c>
    </row>
    <row r="87" spans="1:13" x14ac:dyDescent="0.2">
      <c r="A87" s="454">
        <f>A86+1</f>
        <v>45</v>
      </c>
      <c r="B87" s="66"/>
      <c r="C87" s="66" t="s">
        <v>855</v>
      </c>
      <c r="D87" s="66"/>
      <c r="E87" s="306">
        <v>325255.72799999994</v>
      </c>
      <c r="F87" s="305">
        <v>2.1683715199999996</v>
      </c>
      <c r="G87" s="305"/>
      <c r="H87" s="306">
        <v>307720.92000000004</v>
      </c>
      <c r="I87" s="305">
        <v>2.0514728000000004</v>
      </c>
      <c r="J87" s="304">
        <f>H87-E87</f>
        <v>-17534.807999999903</v>
      </c>
      <c r="K87" s="66"/>
      <c r="L87" s="133">
        <f>J87/E87</f>
        <v>-5.3910835353528058E-2</v>
      </c>
      <c r="M87" s="133">
        <f>L87</f>
        <v>-5.3910835353528058E-2</v>
      </c>
    </row>
    <row r="88" spans="1:13" x14ac:dyDescent="0.2">
      <c r="A88" s="454">
        <f>A87+1</f>
        <v>46</v>
      </c>
      <c r="B88" s="66"/>
      <c r="C88" s="66" t="s">
        <v>88</v>
      </c>
      <c r="D88" s="66"/>
      <c r="E88" s="306">
        <v>3250053.8845066563</v>
      </c>
      <c r="F88" s="305">
        <v>21.667025896711042</v>
      </c>
      <c r="G88" s="66"/>
      <c r="H88" s="306">
        <v>3135510</v>
      </c>
      <c r="I88" s="305">
        <v>20.903400000000001</v>
      </c>
      <c r="J88" s="304">
        <f>H88-E88</f>
        <v>-114543.88450665632</v>
      </c>
      <c r="K88" s="66"/>
      <c r="L88" s="133">
        <f>J88/E88</f>
        <v>-3.5243687820900108E-2</v>
      </c>
      <c r="M88" s="133">
        <f>L88</f>
        <v>-3.5243687820900108E-2</v>
      </c>
    </row>
    <row r="89" spans="1:13" x14ac:dyDescent="0.2">
      <c r="A89" s="454">
        <f>A88+1</f>
        <v>47</v>
      </c>
      <c r="B89" s="66"/>
      <c r="C89" s="66" t="s">
        <v>854</v>
      </c>
      <c r="D89" s="66"/>
      <c r="E89" s="312">
        <f>SUM(E85:E88)</f>
        <v>5415849.4525066558</v>
      </c>
      <c r="F89" s="311">
        <v>36.105663016711034</v>
      </c>
      <c r="G89" s="454"/>
      <c r="H89" s="312">
        <f>SUM(H85:H88)</f>
        <v>5243696.5199999996</v>
      </c>
      <c r="I89" s="311">
        <v>34.957976799999997</v>
      </c>
      <c r="J89" s="310">
        <f>SUM(J85:J88)</f>
        <v>-172152.93250665627</v>
      </c>
      <c r="K89" s="66"/>
      <c r="L89" s="514">
        <f>J89/E89</f>
        <v>-3.1786875543037392E-2</v>
      </c>
      <c r="M89" s="514">
        <f>(J85+J88+J87)/(E85+E88+E87)</f>
        <v>-4.3612285807970524E-2</v>
      </c>
    </row>
    <row r="90" spans="1:13" x14ac:dyDescent="0.2">
      <c r="A90" s="454"/>
      <c r="B90" s="66"/>
      <c r="C90" s="66"/>
      <c r="D90" s="66"/>
      <c r="E90" s="306"/>
      <c r="F90" s="305"/>
      <c r="G90" s="454"/>
      <c r="H90" s="306"/>
      <c r="I90" s="305"/>
      <c r="J90" s="304"/>
      <c r="K90" s="66"/>
      <c r="L90" s="303"/>
      <c r="M90" s="303"/>
    </row>
    <row r="91" spans="1:13" x14ac:dyDescent="0.2">
      <c r="A91" s="454">
        <f>A89+1</f>
        <v>48</v>
      </c>
      <c r="B91" s="66"/>
      <c r="C91" s="66" t="s">
        <v>867</v>
      </c>
      <c r="D91" s="66"/>
      <c r="E91" s="312">
        <f>SUM(E85:E87)+H88</f>
        <v>5301305.568</v>
      </c>
      <c r="F91" s="311">
        <v>35.342037120000001</v>
      </c>
      <c r="G91" s="454"/>
      <c r="H91" s="312">
        <f>SUM(H85:H88)</f>
        <v>5243696.5199999996</v>
      </c>
      <c r="I91" s="311">
        <v>34.957976799999997</v>
      </c>
      <c r="J91" s="310">
        <f>J85+J86+J87</f>
        <v>-57609.047999999952</v>
      </c>
      <c r="K91" s="66"/>
      <c r="L91" s="514">
        <f>J91/E91</f>
        <v>-1.086695480217977E-2</v>
      </c>
      <c r="M91" s="514">
        <f>(J91-J86)/(E91-E86)</f>
        <v>-1.5030516674515526E-2</v>
      </c>
    </row>
    <row r="92" spans="1:13" x14ac:dyDescent="0.2">
      <c r="A92" s="454">
        <f>A91+1</f>
        <v>49</v>
      </c>
      <c r="B92" s="66"/>
      <c r="C92" s="66" t="s">
        <v>866</v>
      </c>
      <c r="D92" s="66"/>
      <c r="E92" s="303"/>
      <c r="F92" s="303"/>
      <c r="G92" s="303"/>
      <c r="H92" s="303"/>
      <c r="I92" s="303"/>
      <c r="J92" s="304"/>
      <c r="K92" s="66"/>
      <c r="L92" s="133">
        <v>-2.6599485589121851E-2</v>
      </c>
      <c r="M92" s="133">
        <v>-8.2617831868967193E-2</v>
      </c>
    </row>
    <row r="93" spans="1:13" x14ac:dyDescent="0.2">
      <c r="A93" s="454"/>
      <c r="B93" s="66"/>
      <c r="C93" s="66"/>
      <c r="D93" s="66"/>
      <c r="E93" s="66"/>
      <c r="F93" s="66"/>
      <c r="G93" s="66"/>
      <c r="H93" s="66"/>
      <c r="I93" s="66"/>
      <c r="J93" s="304"/>
      <c r="K93" s="66"/>
      <c r="L93" s="133"/>
      <c r="M93" s="133"/>
    </row>
    <row r="94" spans="1:13" ht="14.25" x14ac:dyDescent="0.2">
      <c r="A94" s="454"/>
      <c r="B94" s="66"/>
      <c r="C94" s="76" t="s">
        <v>898</v>
      </c>
      <c r="D94" s="66"/>
      <c r="E94" s="568" t="s">
        <v>897</v>
      </c>
      <c r="F94" s="568"/>
      <c r="G94" s="66"/>
      <c r="H94" s="66"/>
      <c r="I94" s="66"/>
      <c r="J94" s="304"/>
      <c r="K94" s="66"/>
      <c r="L94" s="133"/>
      <c r="M94" s="133"/>
    </row>
    <row r="95" spans="1:13" x14ac:dyDescent="0.2">
      <c r="A95" s="454">
        <f>A92+1</f>
        <v>50</v>
      </c>
      <c r="B95" s="66"/>
      <c r="C95" s="66" t="s">
        <v>856</v>
      </c>
      <c r="D95" s="66"/>
      <c r="E95" s="306">
        <v>78232.881915181279</v>
      </c>
      <c r="F95" s="305">
        <v>3.4388079962717049</v>
      </c>
      <c r="G95" s="305"/>
      <c r="H95" s="306">
        <v>47381.545000000006</v>
      </c>
      <c r="I95" s="305">
        <v>2.0827052747252752</v>
      </c>
      <c r="J95" s="304">
        <f>H95-E95</f>
        <v>-30851.336915181273</v>
      </c>
      <c r="K95" s="305"/>
      <c r="L95" s="133">
        <f>J95/E95</f>
        <v>-0.39435255559969978</v>
      </c>
      <c r="M95" s="133">
        <f>L95</f>
        <v>-0.39435255559969978</v>
      </c>
    </row>
    <row r="96" spans="1:13" x14ac:dyDescent="0.2">
      <c r="A96" s="454">
        <f>A95+1</f>
        <v>51</v>
      </c>
      <c r="B96" s="66"/>
      <c r="C96" s="66" t="s">
        <v>858</v>
      </c>
      <c r="D96" s="66"/>
      <c r="E96" s="306">
        <v>222722.49999999997</v>
      </c>
      <c r="F96" s="305">
        <v>9.7899999999999991</v>
      </c>
      <c r="G96" s="305"/>
      <c r="H96" s="306">
        <v>222722.49999999997</v>
      </c>
      <c r="I96" s="305">
        <v>9.7899999999999991</v>
      </c>
      <c r="J96" s="304">
        <f>H96-E96</f>
        <v>0</v>
      </c>
      <c r="K96" s="305"/>
      <c r="L96" s="133">
        <f>IFERROR(J96/E96,"100.0%")</f>
        <v>0</v>
      </c>
      <c r="M96" s="133">
        <v>0</v>
      </c>
    </row>
    <row r="97" spans="1:13" x14ac:dyDescent="0.2">
      <c r="A97" s="454">
        <f>A96+1</f>
        <v>52</v>
      </c>
      <c r="B97" s="66"/>
      <c r="C97" s="66" t="s">
        <v>855</v>
      </c>
      <c r="D97" s="66"/>
      <c r="E97" s="306">
        <v>25809.875</v>
      </c>
      <c r="F97" s="305">
        <v>1.1344999999999998</v>
      </c>
      <c r="G97" s="305"/>
      <c r="H97" s="306">
        <v>20190.625</v>
      </c>
      <c r="I97" s="305">
        <v>0.88749999999999996</v>
      </c>
      <c r="J97" s="304">
        <f>H97-E97</f>
        <v>-5619.25</v>
      </c>
      <c r="K97" s="66"/>
      <c r="L97" s="133">
        <f>J97/E97</f>
        <v>-0.21771705597179375</v>
      </c>
      <c r="M97" s="133">
        <f>L97</f>
        <v>-0.21771705597179375</v>
      </c>
    </row>
    <row r="98" spans="1:13" x14ac:dyDescent="0.2">
      <c r="A98" s="454">
        <f>A97+1</f>
        <v>53</v>
      </c>
      <c r="B98" s="66"/>
      <c r="C98" s="66" t="s">
        <v>88</v>
      </c>
      <c r="D98" s="66"/>
      <c r="E98" s="306">
        <v>497922.03009802982</v>
      </c>
      <c r="F98" s="305">
        <v>21.886682641671641</v>
      </c>
      <c r="G98" s="66"/>
      <c r="H98" s="306">
        <v>475552.35</v>
      </c>
      <c r="I98" s="305">
        <v>20.903400000000001</v>
      </c>
      <c r="J98" s="304">
        <f>H98-E98</f>
        <v>-22369.680098029843</v>
      </c>
      <c r="K98" s="66"/>
      <c r="L98" s="133">
        <f>J98/E98</f>
        <v>-4.4926070239603072E-2</v>
      </c>
      <c r="M98" s="133">
        <f>L98</f>
        <v>-4.4926070239603072E-2</v>
      </c>
    </row>
    <row r="99" spans="1:13" x14ac:dyDescent="0.2">
      <c r="A99" s="454">
        <f>A98+1</f>
        <v>54</v>
      </c>
      <c r="B99" s="66"/>
      <c r="C99" s="66" t="s">
        <v>854</v>
      </c>
      <c r="D99" s="66"/>
      <c r="E99" s="312">
        <f>SUM(E95:E98)</f>
        <v>824687.28701321105</v>
      </c>
      <c r="F99" s="311">
        <v>36.249990637943341</v>
      </c>
      <c r="G99" s="454"/>
      <c r="H99" s="312">
        <f>SUM(H95:H98)</f>
        <v>765847.02</v>
      </c>
      <c r="I99" s="311">
        <v>33.663605274725278</v>
      </c>
      <c r="J99" s="310">
        <f>SUM(J95:J98)</f>
        <v>-58840.267013211116</v>
      </c>
      <c r="K99" s="66"/>
      <c r="L99" s="514">
        <f>J99/E99</f>
        <v>-7.1348580170690235E-2</v>
      </c>
      <c r="M99" s="514">
        <f>(J95+J98+J97)/(E95+E98+E97)</f>
        <v>-9.7747024880243991E-2</v>
      </c>
    </row>
    <row r="100" spans="1:13" x14ac:dyDescent="0.2">
      <c r="A100" s="454"/>
      <c r="B100" s="66"/>
      <c r="C100" s="66"/>
      <c r="D100" s="66"/>
      <c r="E100" s="306"/>
      <c r="F100" s="305"/>
      <c r="G100" s="454"/>
      <c r="H100" s="306"/>
      <c r="I100" s="305"/>
      <c r="J100" s="304"/>
      <c r="K100" s="66"/>
      <c r="L100" s="303"/>
      <c r="M100" s="303"/>
    </row>
    <row r="101" spans="1:13" x14ac:dyDescent="0.2">
      <c r="A101" s="454">
        <f>A99+1</f>
        <v>55</v>
      </c>
      <c r="B101" s="66"/>
      <c r="C101" s="66" t="s">
        <v>867</v>
      </c>
      <c r="D101" s="66"/>
      <c r="E101" s="312">
        <f>SUM(E95:E97)+H98</f>
        <v>802317.60691518127</v>
      </c>
      <c r="F101" s="311">
        <v>35.266707996271705</v>
      </c>
      <c r="G101" s="454"/>
      <c r="H101" s="312">
        <f>SUM(H95:H98)</f>
        <v>765847.02</v>
      </c>
      <c r="I101" s="311">
        <v>33.663605274725278</v>
      </c>
      <c r="J101" s="310">
        <f>J95+J96+J97</f>
        <v>-36470.586915181273</v>
      </c>
      <c r="K101" s="66"/>
      <c r="L101" s="514">
        <f>J101/E101</f>
        <v>-4.5456545638337016E-2</v>
      </c>
      <c r="M101" s="514">
        <f>(J101-J96)/(E101-E96)</f>
        <v>-6.2924249152638945E-2</v>
      </c>
    </row>
    <row r="102" spans="1:13" x14ac:dyDescent="0.2">
      <c r="A102" s="454">
        <f>A101+1</f>
        <v>56</v>
      </c>
      <c r="B102" s="66"/>
      <c r="C102" s="66" t="s">
        <v>866</v>
      </c>
      <c r="D102" s="66"/>
      <c r="E102" s="303"/>
      <c r="F102" s="303"/>
      <c r="G102" s="303"/>
      <c r="H102" s="303"/>
      <c r="I102" s="303"/>
      <c r="J102" s="304"/>
      <c r="K102" s="66"/>
      <c r="L102" s="133">
        <v>-0.11161096886333906</v>
      </c>
      <c r="M102" s="133">
        <v>-0.35053460708382783</v>
      </c>
    </row>
    <row r="103" spans="1:13" x14ac:dyDescent="0.2">
      <c r="A103" s="454"/>
      <c r="B103" s="66"/>
      <c r="C103" s="66"/>
      <c r="D103" s="66"/>
      <c r="E103" s="66"/>
      <c r="F103" s="66"/>
      <c r="G103" s="66"/>
      <c r="H103" s="66"/>
      <c r="I103" s="66"/>
      <c r="J103" s="304"/>
      <c r="K103" s="66"/>
      <c r="L103" s="133"/>
      <c r="M103" s="133"/>
    </row>
    <row r="104" spans="1:13" ht="14.25" x14ac:dyDescent="0.2">
      <c r="A104" s="454"/>
      <c r="B104" s="66"/>
      <c r="C104" s="76" t="s">
        <v>876</v>
      </c>
      <c r="D104" s="66"/>
      <c r="E104" s="66" t="s">
        <v>1018</v>
      </c>
      <c r="F104" s="66"/>
      <c r="G104" s="66"/>
      <c r="H104" s="66"/>
      <c r="I104" s="66"/>
      <c r="J104" s="304"/>
      <c r="K104" s="66"/>
      <c r="L104" s="133"/>
      <c r="M104" s="133"/>
    </row>
    <row r="105" spans="1:13" x14ac:dyDescent="0.2">
      <c r="A105" s="454">
        <f>A102+1</f>
        <v>57</v>
      </c>
      <c r="B105" s="66"/>
      <c r="C105" s="66" t="s">
        <v>856</v>
      </c>
      <c r="D105" s="66"/>
      <c r="E105" s="306">
        <v>340126.31999999995</v>
      </c>
      <c r="F105" s="305">
        <v>1.259727111111111</v>
      </c>
      <c r="G105" s="305"/>
      <c r="H105" s="306">
        <v>208372.8</v>
      </c>
      <c r="I105" s="305">
        <v>0.77175111111111105</v>
      </c>
      <c r="J105" s="304">
        <f>H105-E105</f>
        <v>-131753.51999999996</v>
      </c>
      <c r="K105" s="305"/>
      <c r="L105" s="133">
        <f>J105/E105</f>
        <v>-0.38736643491747413</v>
      </c>
      <c r="M105" s="133">
        <f>L105</f>
        <v>-0.38736643491747413</v>
      </c>
    </row>
    <row r="106" spans="1:13" x14ac:dyDescent="0.2">
      <c r="A106" s="454">
        <f>A105+1</f>
        <v>58</v>
      </c>
      <c r="B106" s="66"/>
      <c r="C106" s="66" t="s">
        <v>858</v>
      </c>
      <c r="D106" s="66"/>
      <c r="E106" s="306">
        <v>2643299.9999999995</v>
      </c>
      <c r="F106" s="305">
        <v>9.7899999999999991</v>
      </c>
      <c r="G106" s="305"/>
      <c r="H106" s="306">
        <v>2643299.9999999995</v>
      </c>
      <c r="I106" s="305">
        <v>9.7899999999999991</v>
      </c>
      <c r="J106" s="304">
        <f>H106-E106</f>
        <v>0</v>
      </c>
      <c r="K106" s="305"/>
      <c r="L106" s="133">
        <f>IFERROR(J106/E106,"100.0%")</f>
        <v>0</v>
      </c>
      <c r="M106" s="133">
        <v>0</v>
      </c>
    </row>
    <row r="107" spans="1:13" x14ac:dyDescent="0.2">
      <c r="A107" s="454">
        <f>A106+1</f>
        <v>59</v>
      </c>
      <c r="B107" s="66"/>
      <c r="C107" s="66" t="s">
        <v>855</v>
      </c>
      <c r="D107" s="66"/>
      <c r="E107" s="306">
        <v>1428391.7999999998</v>
      </c>
      <c r="F107" s="305">
        <v>5.2903399999999996</v>
      </c>
      <c r="G107" s="305"/>
      <c r="H107" s="306">
        <v>536206.19999999995</v>
      </c>
      <c r="I107" s="305">
        <v>1.9859488888888888</v>
      </c>
      <c r="J107" s="304">
        <f>H107-E107</f>
        <v>-892185.59999999986</v>
      </c>
      <c r="K107" s="66"/>
      <c r="L107" s="133">
        <f>J107/E107</f>
        <v>-0.62460845826754252</v>
      </c>
      <c r="M107" s="133">
        <f>L107</f>
        <v>-0.62460845826754252</v>
      </c>
    </row>
    <row r="108" spans="1:13" x14ac:dyDescent="0.2">
      <c r="A108" s="454">
        <f>A107+1</f>
        <v>60</v>
      </c>
      <c r="B108" s="66"/>
      <c r="C108" s="66" t="s">
        <v>88</v>
      </c>
      <c r="D108" s="66"/>
      <c r="E108" s="306">
        <v>5850096.9921119809</v>
      </c>
      <c r="F108" s="305">
        <v>21.667025896711039</v>
      </c>
      <c r="G108" s="66"/>
      <c r="H108" s="306">
        <v>5643918</v>
      </c>
      <c r="I108" s="305">
        <v>20.903400000000001</v>
      </c>
      <c r="J108" s="304">
        <f>H108-E108</f>
        <v>-206178.99211198092</v>
      </c>
      <c r="K108" s="66"/>
      <c r="L108" s="133">
        <f>J108/E108</f>
        <v>-3.5243687820900031E-2</v>
      </c>
      <c r="M108" s="133">
        <f>L108</f>
        <v>-3.5243687820900031E-2</v>
      </c>
    </row>
    <row r="109" spans="1:13" x14ac:dyDescent="0.2">
      <c r="A109" s="454">
        <f>A108+1</f>
        <v>61</v>
      </c>
      <c r="B109" s="66"/>
      <c r="C109" s="66" t="s">
        <v>854</v>
      </c>
      <c r="D109" s="66"/>
      <c r="E109" s="312">
        <f>SUM(E105:E108)</f>
        <v>10261915.11211198</v>
      </c>
      <c r="F109" s="311">
        <v>38.007093007822149</v>
      </c>
      <c r="G109" s="454"/>
      <c r="H109" s="312">
        <f>SUM(H105:H108)</f>
        <v>9031797</v>
      </c>
      <c r="I109" s="311">
        <v>33.451099999999997</v>
      </c>
      <c r="J109" s="310">
        <f>SUM(J105:J108)</f>
        <v>-1230118.1121119808</v>
      </c>
      <c r="K109" s="66"/>
      <c r="L109" s="514">
        <f>J109/E109</f>
        <v>-0.11987217772441826</v>
      </c>
      <c r="M109" s="514">
        <f>(J105+J108+J107)/(E105+E108+E107)</f>
        <v>-0.16146216786254947</v>
      </c>
    </row>
    <row r="110" spans="1:13" x14ac:dyDescent="0.2">
      <c r="A110" s="454"/>
      <c r="B110" s="66"/>
      <c r="C110" s="66"/>
      <c r="D110" s="66"/>
      <c r="E110" s="306"/>
      <c r="F110" s="305"/>
      <c r="G110" s="454"/>
      <c r="H110" s="306"/>
      <c r="I110" s="305"/>
      <c r="J110" s="304"/>
      <c r="K110" s="66"/>
      <c r="L110" s="303"/>
      <c r="M110" s="303"/>
    </row>
    <row r="111" spans="1:13" x14ac:dyDescent="0.2">
      <c r="A111" s="454">
        <f>A109+1</f>
        <v>62</v>
      </c>
      <c r="B111" s="66"/>
      <c r="C111" s="66" t="s">
        <v>867</v>
      </c>
      <c r="D111" s="66"/>
      <c r="E111" s="312">
        <f>SUM(E105:E107)+H108</f>
        <v>10055736.119999999</v>
      </c>
      <c r="F111" s="311">
        <f>SUM(F105:F107)+I108</f>
        <v>37.243467111111116</v>
      </c>
      <c r="G111" s="454"/>
      <c r="H111" s="312">
        <f>SUM(H105:H108)</f>
        <v>9031797</v>
      </c>
      <c r="I111" s="311">
        <f>I109</f>
        <v>33.451099999999997</v>
      </c>
      <c r="J111" s="310">
        <f>J105+J106+J107</f>
        <v>-1023939.1199999999</v>
      </c>
      <c r="K111" s="66"/>
      <c r="L111" s="514">
        <f>J111/E111</f>
        <v>-0.10182637131492268</v>
      </c>
      <c r="M111" s="514">
        <f>(J111-J106)/(E111-E106)</f>
        <v>-0.13813800259772085</v>
      </c>
    </row>
    <row r="112" spans="1:13" x14ac:dyDescent="0.2">
      <c r="A112" s="454">
        <f>A111+1</f>
        <v>63</v>
      </c>
      <c r="B112" s="66"/>
      <c r="C112" s="66" t="s">
        <v>866</v>
      </c>
      <c r="D112" s="66"/>
      <c r="E112" s="303"/>
      <c r="F112" s="303"/>
      <c r="G112" s="303"/>
      <c r="H112" s="303"/>
      <c r="I112" s="303"/>
      <c r="J112" s="304"/>
      <c r="K112" s="66"/>
      <c r="L112" s="514">
        <v>-0.23209005723925902</v>
      </c>
      <c r="M112" s="514">
        <v>-0.57898141298094252</v>
      </c>
    </row>
    <row r="113" spans="1:13" x14ac:dyDescent="0.2">
      <c r="A113" s="454">
        <f>A112+1</f>
        <v>64</v>
      </c>
      <c r="B113" s="66"/>
      <c r="C113" s="66" t="s">
        <v>896</v>
      </c>
      <c r="D113" s="66"/>
      <c r="E113" s="312">
        <f>SUM(E105:E106)+H108+H107</f>
        <v>9163550.5199999996</v>
      </c>
      <c r="F113" s="314">
        <f>SUM(F105:F106)+I108+I107</f>
        <v>33.939076</v>
      </c>
      <c r="G113" s="303"/>
      <c r="H113" s="312">
        <f>SUM(H105:H108)</f>
        <v>9031797</v>
      </c>
      <c r="I113" s="311">
        <f>I109</f>
        <v>33.451099999999997</v>
      </c>
      <c r="J113" s="310">
        <f>H113-E113</f>
        <v>-131753.51999999955</v>
      </c>
      <c r="K113" s="66"/>
      <c r="L113" s="514">
        <f>J113/E113</f>
        <v>-1.4377998976754652E-2</v>
      </c>
      <c r="M113" s="514">
        <f>(J113-J106)/(E113-E106)</f>
        <v>-2.0206818679107987E-2</v>
      </c>
    </row>
    <row r="114" spans="1:13" x14ac:dyDescent="0.2">
      <c r="A114" s="454">
        <f>A113+1</f>
        <v>65</v>
      </c>
      <c r="B114" s="66"/>
      <c r="C114" s="66" t="s">
        <v>895</v>
      </c>
      <c r="D114" s="66"/>
      <c r="E114" s="303"/>
      <c r="F114" s="303"/>
      <c r="G114" s="303"/>
      <c r="H114" s="303"/>
      <c r="I114" s="303"/>
      <c r="J114" s="304"/>
      <c r="K114" s="66"/>
      <c r="L114" s="133">
        <v>-4.4161814594435835E-2</v>
      </c>
      <c r="M114" s="133">
        <v>-0.38736643491747413</v>
      </c>
    </row>
    <row r="115" spans="1:13" x14ac:dyDescent="0.2">
      <c r="A115" s="454"/>
      <c r="B115" s="66"/>
      <c r="C115" s="66"/>
      <c r="D115" s="66"/>
      <c r="E115" s="66"/>
      <c r="F115" s="66"/>
      <c r="G115" s="66"/>
      <c r="H115" s="66"/>
      <c r="I115" s="66"/>
      <c r="J115" s="304"/>
      <c r="K115" s="66"/>
      <c r="L115" s="133"/>
      <c r="M115" s="133"/>
    </row>
    <row r="116" spans="1:13" ht="14.25" x14ac:dyDescent="0.2">
      <c r="A116" s="454"/>
      <c r="B116" s="66"/>
      <c r="C116" s="76" t="s">
        <v>874</v>
      </c>
      <c r="D116" s="66"/>
      <c r="E116" s="66" t="s">
        <v>1017</v>
      </c>
      <c r="F116" s="66"/>
      <c r="G116" s="66"/>
      <c r="H116" s="66"/>
      <c r="I116" s="66"/>
      <c r="J116" s="304"/>
      <c r="K116" s="66"/>
      <c r="L116" s="133"/>
      <c r="M116" s="133"/>
    </row>
    <row r="117" spans="1:13" x14ac:dyDescent="0.2">
      <c r="A117" s="454">
        <f>A114+1</f>
        <v>66</v>
      </c>
      <c r="B117" s="66"/>
      <c r="C117" s="66" t="s">
        <v>856</v>
      </c>
      <c r="D117" s="66"/>
      <c r="E117" s="306">
        <v>2776822.3200000003</v>
      </c>
      <c r="F117" s="305">
        <v>1.1570093000000001</v>
      </c>
      <c r="G117" s="305"/>
      <c r="H117" s="306">
        <v>1650154.7999999998</v>
      </c>
      <c r="I117" s="305">
        <v>0.68756449999999991</v>
      </c>
      <c r="J117" s="304">
        <f>H117-E117</f>
        <v>-1126667.5200000005</v>
      </c>
      <c r="K117" s="305"/>
      <c r="L117" s="133">
        <f>J117/E117</f>
        <v>-0.40573986743235352</v>
      </c>
      <c r="M117" s="133">
        <f>L117</f>
        <v>-0.40573986743235352</v>
      </c>
    </row>
    <row r="118" spans="1:13" x14ac:dyDescent="0.2">
      <c r="A118" s="454">
        <f>A117+1</f>
        <v>67</v>
      </c>
      <c r="B118" s="66"/>
      <c r="C118" s="66" t="s">
        <v>858</v>
      </c>
      <c r="D118" s="66"/>
      <c r="E118" s="306">
        <v>23496000</v>
      </c>
      <c r="F118" s="305">
        <v>9.7900000000000009</v>
      </c>
      <c r="G118" s="305"/>
      <c r="H118" s="306">
        <v>23496000</v>
      </c>
      <c r="I118" s="305">
        <v>9.7900000000000009</v>
      </c>
      <c r="J118" s="304">
        <f>H118-E118</f>
        <v>0</v>
      </c>
      <c r="K118" s="305"/>
      <c r="L118" s="133">
        <f>IFERROR(J118/E118,"100.0%")</f>
        <v>0</v>
      </c>
      <c r="M118" s="133">
        <v>0</v>
      </c>
    </row>
    <row r="119" spans="1:13" x14ac:dyDescent="0.2">
      <c r="A119" s="454">
        <f>A118+1</f>
        <v>68</v>
      </c>
      <c r="B119" s="66"/>
      <c r="C119" s="66" t="s">
        <v>855</v>
      </c>
      <c r="D119" s="66"/>
      <c r="E119" s="306">
        <v>12141330.300000001</v>
      </c>
      <c r="F119" s="305">
        <v>5.0588876250000006</v>
      </c>
      <c r="G119" s="305"/>
      <c r="H119" s="306">
        <v>4680277.2</v>
      </c>
      <c r="I119" s="305">
        <v>1.9501154999999999</v>
      </c>
      <c r="J119" s="304">
        <f>H119-E119</f>
        <v>-7461053.1000000006</v>
      </c>
      <c r="K119" s="66"/>
      <c r="L119" s="133">
        <f>J119/E119</f>
        <v>-0.61451693641840877</v>
      </c>
      <c r="M119" s="133">
        <f>L119</f>
        <v>-0.61451693641840877</v>
      </c>
    </row>
    <row r="120" spans="1:13" x14ac:dyDescent="0.2">
      <c r="A120" s="454">
        <f>A119+1</f>
        <v>69</v>
      </c>
      <c r="B120" s="66"/>
      <c r="C120" s="66" t="s">
        <v>88</v>
      </c>
      <c r="D120" s="66"/>
      <c r="E120" s="306">
        <v>52000862.152106501</v>
      </c>
      <c r="F120" s="305">
        <v>21.667025896711042</v>
      </c>
      <c r="G120" s="66"/>
      <c r="H120" s="306">
        <v>50168160</v>
      </c>
      <c r="I120" s="305">
        <v>20.903400000000001</v>
      </c>
      <c r="J120" s="304">
        <f>H120-E120</f>
        <v>-1832702.1521065012</v>
      </c>
      <c r="K120" s="66"/>
      <c r="L120" s="133">
        <f>J120/E120</f>
        <v>-3.5243687820900108E-2</v>
      </c>
      <c r="M120" s="133">
        <f>L120</f>
        <v>-3.5243687820900108E-2</v>
      </c>
    </row>
    <row r="121" spans="1:13" x14ac:dyDescent="0.2">
      <c r="A121" s="454">
        <f>A120+1</f>
        <v>70</v>
      </c>
      <c r="B121" s="66"/>
      <c r="C121" s="66" t="s">
        <v>854</v>
      </c>
      <c r="D121" s="66"/>
      <c r="E121" s="312">
        <f>SUM(E117:E120)</f>
        <v>90415014.772106498</v>
      </c>
      <c r="F121" s="311">
        <v>37.67292282171104</v>
      </c>
      <c r="G121" s="454"/>
      <c r="H121" s="312">
        <f>SUM(H117:H120)</f>
        <v>79994592</v>
      </c>
      <c r="I121" s="311">
        <v>33.33108</v>
      </c>
      <c r="J121" s="310">
        <f>SUM(J117:J120)</f>
        <v>-10420422.772106502</v>
      </c>
      <c r="K121" s="66"/>
      <c r="L121" s="514">
        <f>J121/E121</f>
        <v>-0.11525102106515672</v>
      </c>
      <c r="M121" s="514">
        <f>(J117+J120+J119)/(E117+E120+E119)</f>
        <v>-0.1557169185409166</v>
      </c>
    </row>
    <row r="122" spans="1:13" x14ac:dyDescent="0.2">
      <c r="A122" s="454"/>
      <c r="B122" s="66"/>
      <c r="C122" s="66"/>
      <c r="D122" s="66"/>
      <c r="E122" s="306"/>
      <c r="F122" s="305"/>
      <c r="G122" s="454"/>
      <c r="H122" s="306"/>
      <c r="I122" s="305"/>
      <c r="J122" s="304"/>
      <c r="K122" s="66"/>
      <c r="L122" s="303"/>
      <c r="M122" s="303"/>
    </row>
    <row r="123" spans="1:13" x14ac:dyDescent="0.2">
      <c r="A123" s="454">
        <f>A121+1</f>
        <v>71</v>
      </c>
      <c r="B123" s="66"/>
      <c r="C123" s="66" t="s">
        <v>867</v>
      </c>
      <c r="D123" s="66"/>
      <c r="E123" s="312">
        <f>SUM(E117:E119)+H120</f>
        <v>88582312.620000005</v>
      </c>
      <c r="F123" s="311">
        <f>SUM(F117:F119)+I120</f>
        <v>36.909296925000007</v>
      </c>
      <c r="G123" s="454"/>
      <c r="H123" s="312">
        <f>SUM(H117:H120)</f>
        <v>79994592</v>
      </c>
      <c r="I123" s="311">
        <v>33.33108</v>
      </c>
      <c r="J123" s="310">
        <f>J117+J118+J119</f>
        <v>-8587720.620000001</v>
      </c>
      <c r="K123" s="66"/>
      <c r="L123" s="514">
        <f>J123/E123</f>
        <v>-9.694622285195427E-2</v>
      </c>
      <c r="M123" s="514">
        <f>(J123-J118)/(E123-E118)</f>
        <v>-0.13194357268537485</v>
      </c>
    </row>
    <row r="124" spans="1:13" x14ac:dyDescent="0.2">
      <c r="A124" s="454">
        <f>A123+1</f>
        <v>72</v>
      </c>
      <c r="B124" s="66"/>
      <c r="C124" s="66" t="s">
        <v>866</v>
      </c>
      <c r="D124" s="66"/>
      <c r="E124" s="303"/>
      <c r="F124" s="303"/>
      <c r="G124" s="303"/>
      <c r="H124" s="303"/>
      <c r="I124" s="303"/>
      <c r="J124" s="304"/>
      <c r="K124" s="66"/>
      <c r="L124" s="514">
        <v>-0.22355616444156254</v>
      </c>
      <c r="M124" s="514">
        <v>-0.57565576909884175</v>
      </c>
    </row>
    <row r="125" spans="1:13" x14ac:dyDescent="0.2">
      <c r="A125" s="454">
        <f>A124+1</f>
        <v>73</v>
      </c>
      <c r="B125" s="66"/>
      <c r="C125" s="66" t="s">
        <v>896</v>
      </c>
      <c r="D125" s="66"/>
      <c r="E125" s="312">
        <f>SUM(E117:E118)+H120+H119</f>
        <v>81121259.519999996</v>
      </c>
      <c r="F125" s="314">
        <f>SUM(F117:F118)+I120+I119</f>
        <v>33.800524800000005</v>
      </c>
      <c r="G125" s="303"/>
      <c r="H125" s="312">
        <f>SUM(H117:H120)</f>
        <v>79994592</v>
      </c>
      <c r="I125" s="311">
        <f>I121</f>
        <v>33.33108</v>
      </c>
      <c r="J125" s="310">
        <f>H125-E125</f>
        <v>-1126667.5199999958</v>
      </c>
      <c r="K125" s="66"/>
      <c r="L125" s="514">
        <f>J125/E125</f>
        <v>-1.388868376386861E-2</v>
      </c>
      <c r="M125" s="514">
        <f>(J125-J118)/(E125-E118)</f>
        <v>-1.9551625960295475E-2</v>
      </c>
    </row>
    <row r="126" spans="1:13" x14ac:dyDescent="0.2">
      <c r="A126" s="454">
        <f>A125+1</f>
        <v>74</v>
      </c>
      <c r="B126" s="66"/>
      <c r="C126" s="66" t="s">
        <v>895</v>
      </c>
      <c r="D126" s="66"/>
      <c r="E126" s="303"/>
      <c r="F126" s="303"/>
      <c r="G126" s="303"/>
      <c r="H126" s="303"/>
      <c r="I126" s="303"/>
      <c r="J126" s="304"/>
      <c r="K126" s="66"/>
      <c r="L126" s="133">
        <v>-0.22355616444156254</v>
      </c>
      <c r="M126" s="133">
        <v>-0.40573986743235335</v>
      </c>
    </row>
    <row r="127" spans="1:13" x14ac:dyDescent="0.2">
      <c r="A127" s="454"/>
      <c r="B127" s="66"/>
      <c r="C127" s="66"/>
      <c r="D127" s="66"/>
      <c r="E127" s="66"/>
      <c r="F127" s="66"/>
      <c r="G127" s="66"/>
      <c r="H127" s="66"/>
      <c r="I127" s="66"/>
      <c r="J127" s="66"/>
      <c r="K127" s="66"/>
      <c r="L127" s="66"/>
      <c r="M127" s="66"/>
    </row>
    <row r="128" spans="1:13" x14ac:dyDescent="0.2">
      <c r="A128" s="76" t="s">
        <v>29</v>
      </c>
      <c r="B128" s="76"/>
      <c r="C128" s="66"/>
      <c r="D128" s="66"/>
      <c r="E128" s="66"/>
      <c r="F128" s="66"/>
      <c r="G128" s="66"/>
      <c r="H128" s="66"/>
      <c r="I128" s="66"/>
      <c r="J128" s="66"/>
      <c r="K128" s="66"/>
      <c r="L128" s="66"/>
      <c r="M128" s="66"/>
    </row>
    <row r="129" spans="1:13" x14ac:dyDescent="0.2">
      <c r="A129" s="411" t="s">
        <v>267</v>
      </c>
      <c r="B129" s="531"/>
      <c r="C129" s="301" t="s">
        <v>1071</v>
      </c>
      <c r="D129" s="66"/>
      <c r="E129" s="66"/>
      <c r="F129" s="66"/>
      <c r="G129" s="66"/>
      <c r="H129" s="66"/>
      <c r="I129" s="66"/>
      <c r="J129" s="66"/>
      <c r="K129" s="66"/>
      <c r="L129" s="66"/>
      <c r="M129" s="66"/>
    </row>
    <row r="130" spans="1:13" x14ac:dyDescent="0.2">
      <c r="A130" s="411" t="s">
        <v>268</v>
      </c>
      <c r="B130" s="531"/>
      <c r="C130" s="569" t="s">
        <v>1065</v>
      </c>
      <c r="D130" s="570"/>
      <c r="E130" s="570"/>
      <c r="F130" s="570"/>
      <c r="G130" s="570"/>
      <c r="H130" s="570"/>
      <c r="I130" s="570"/>
      <c r="J130" s="570"/>
      <c r="K130" s="570"/>
      <c r="L130" s="570"/>
      <c r="M130" s="570"/>
    </row>
    <row r="131" spans="1:13" x14ac:dyDescent="0.2">
      <c r="A131" s="454"/>
      <c r="B131" s="66"/>
      <c r="C131" s="66"/>
      <c r="D131" s="66"/>
      <c r="E131" s="66"/>
      <c r="F131" s="66"/>
      <c r="G131" s="66"/>
      <c r="H131" s="66"/>
      <c r="I131" s="66"/>
      <c r="J131" s="66"/>
      <c r="K131" s="66"/>
      <c r="L131" s="66"/>
      <c r="M131" s="66"/>
    </row>
    <row r="132" spans="1:13" x14ac:dyDescent="0.2">
      <c r="A132" s="454"/>
      <c r="B132" s="66"/>
      <c r="C132" s="66"/>
      <c r="D132" s="66"/>
      <c r="E132" s="66"/>
      <c r="F132" s="66"/>
      <c r="G132" s="66"/>
      <c r="H132" s="66"/>
      <c r="I132" s="66"/>
      <c r="J132" s="66"/>
      <c r="K132" s="66"/>
      <c r="L132" s="325"/>
      <c r="M132" s="325"/>
    </row>
    <row r="133" spans="1:13" x14ac:dyDescent="0.2">
      <c r="A133" s="454"/>
      <c r="B133" s="66"/>
      <c r="C133" s="66"/>
      <c r="D133" s="66"/>
      <c r="E133" s="66"/>
      <c r="F133" s="66"/>
      <c r="G133" s="66"/>
      <c r="H133" s="66"/>
      <c r="I133" s="66"/>
      <c r="J133" s="66"/>
      <c r="K133" s="66"/>
      <c r="L133" s="325"/>
      <c r="M133" s="325"/>
    </row>
    <row r="134" spans="1:13" x14ac:dyDescent="0.2">
      <c r="A134" s="454"/>
      <c r="B134" s="66"/>
      <c r="C134" s="66"/>
      <c r="D134" s="66"/>
      <c r="E134" s="66"/>
      <c r="F134" s="66"/>
      <c r="G134" s="66"/>
      <c r="H134" s="66"/>
      <c r="I134" s="66"/>
      <c r="J134" s="66"/>
      <c r="K134" s="66"/>
      <c r="L134" s="325"/>
      <c r="M134" s="325"/>
    </row>
    <row r="135" spans="1:13" x14ac:dyDescent="0.2">
      <c r="A135" s="454"/>
      <c r="B135" s="66"/>
      <c r="C135" s="66"/>
      <c r="D135" s="66"/>
      <c r="E135" s="66"/>
      <c r="F135" s="66"/>
      <c r="G135" s="66"/>
      <c r="H135" s="66"/>
      <c r="I135" s="66"/>
      <c r="J135" s="66"/>
      <c r="K135" s="66"/>
      <c r="L135" s="325"/>
      <c r="M135" s="325"/>
    </row>
    <row r="136" spans="1:13" x14ac:dyDescent="0.2">
      <c r="A136" s="454"/>
      <c r="B136" s="66"/>
      <c r="C136" s="66"/>
      <c r="D136" s="66"/>
      <c r="E136" s="66"/>
      <c r="F136" s="66"/>
      <c r="G136" s="66"/>
      <c r="H136" s="66"/>
      <c r="I136" s="66"/>
      <c r="J136" s="66"/>
      <c r="K136" s="66"/>
      <c r="L136" s="325"/>
      <c r="M136" s="325"/>
    </row>
    <row r="137" spans="1:13" x14ac:dyDescent="0.2">
      <c r="A137" s="454"/>
      <c r="B137" s="66"/>
      <c r="C137" s="66"/>
      <c r="D137" s="66"/>
      <c r="E137" s="66"/>
      <c r="F137" s="66"/>
      <c r="G137" s="66"/>
      <c r="H137" s="66"/>
      <c r="I137" s="66"/>
      <c r="J137" s="66"/>
      <c r="K137" s="66"/>
      <c r="L137" s="325"/>
      <c r="M137" s="325"/>
    </row>
    <row r="138" spans="1:13" x14ac:dyDescent="0.2">
      <c r="A138" s="454"/>
      <c r="B138" s="66"/>
      <c r="C138" s="66"/>
      <c r="D138" s="66"/>
      <c r="E138" s="66"/>
      <c r="F138" s="66"/>
      <c r="G138" s="66"/>
      <c r="H138" s="66"/>
      <c r="I138" s="66"/>
      <c r="J138" s="66"/>
      <c r="K138" s="66"/>
      <c r="L138" s="230"/>
      <c r="M138" s="325"/>
    </row>
    <row r="139" spans="1:13" x14ac:dyDescent="0.2">
      <c r="A139" s="454"/>
      <c r="B139" s="66"/>
      <c r="C139" s="66"/>
      <c r="D139" s="66"/>
      <c r="E139" s="66"/>
      <c r="F139" s="66"/>
      <c r="G139" s="66"/>
      <c r="H139" s="66"/>
      <c r="I139" s="66"/>
      <c r="J139" s="66"/>
      <c r="K139" s="66"/>
      <c r="L139" s="302"/>
      <c r="M139" s="230"/>
    </row>
    <row r="140" spans="1:13" x14ac:dyDescent="0.2">
      <c r="A140" s="324"/>
      <c r="B140" s="229"/>
      <c r="C140" s="66"/>
      <c r="D140" s="229"/>
      <c r="E140" s="229"/>
      <c r="F140" s="66"/>
      <c r="G140" s="229"/>
      <c r="H140" s="229"/>
      <c r="I140" s="229"/>
      <c r="J140" s="229"/>
      <c r="K140" s="229"/>
      <c r="L140" s="229"/>
      <c r="M140" s="229"/>
    </row>
    <row r="141" spans="1:13" x14ac:dyDescent="0.2">
      <c r="C141" s="66"/>
      <c r="F141" s="66"/>
    </row>
    <row r="142" spans="1:13" x14ac:dyDescent="0.2">
      <c r="C142" s="66"/>
      <c r="F142" s="66"/>
    </row>
  </sheetData>
  <mergeCells count="17">
    <mergeCell ref="E23:F23"/>
    <mergeCell ref="C130:M130"/>
    <mergeCell ref="A4:M4"/>
    <mergeCell ref="A5:M5"/>
    <mergeCell ref="E94:F94"/>
    <mergeCell ref="E33:F33"/>
    <mergeCell ref="E53:F53"/>
    <mergeCell ref="E43:F43"/>
    <mergeCell ref="E7:F7"/>
    <mergeCell ref="H7:J7"/>
    <mergeCell ref="L7:M7"/>
    <mergeCell ref="A75:M75"/>
    <mergeCell ref="A76:M76"/>
    <mergeCell ref="E78:F78"/>
    <mergeCell ref="H78:J78"/>
    <mergeCell ref="L78:M78"/>
    <mergeCell ref="E13:F13"/>
  </mergeCells>
  <pageMargins left="0.7" right="0.7" top="0.75" bottom="0.75" header="0.3" footer="0.3"/>
  <pageSetup scale="63" firstPageNumber="5" fitToHeight="0" orientation="portrait" useFirstPageNumber="1" r:id="rId1"/>
  <headerFooter>
    <oddHeader>&amp;R&amp;"Arial,Regular"&amp;10Filed: 2022-11-30
EB-2022-0200
Exhibit 8
Tab 2
Schedule 8
Attachment 10
Page &amp;P of 9</oddHeader>
  </headerFooter>
  <rowBreaks count="1" manualBreakCount="1">
    <brk id="71"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12456-22DB-4FE1-A3BF-3661A4C02B6C}">
  <sheetPr>
    <pageSetUpPr fitToPage="1"/>
  </sheetPr>
  <dimension ref="A4:M227"/>
  <sheetViews>
    <sheetView view="pageLayout" zoomScaleNormal="80" zoomScaleSheetLayoutView="80" workbookViewId="0"/>
  </sheetViews>
  <sheetFormatPr defaultColWidth="9.140625" defaultRowHeight="12.75" x14ac:dyDescent="0.2"/>
  <cols>
    <col min="1" max="1" width="4.7109375" style="46" customWidth="1"/>
    <col min="2" max="2" width="1.5703125" style="46" customWidth="1"/>
    <col min="3" max="3" width="35.7109375" style="46" customWidth="1"/>
    <col min="4" max="4" width="1.5703125" style="46" customWidth="1"/>
    <col min="5" max="6" width="15.7109375" style="46" customWidth="1"/>
    <col min="7" max="7" width="1.5703125" style="46" customWidth="1"/>
    <col min="8" max="8" width="12" style="46" bestFit="1" customWidth="1"/>
    <col min="9" max="10" width="15.7109375" style="46" customWidth="1"/>
    <col min="11" max="11" width="1.5703125" style="46" customWidth="1"/>
    <col min="12" max="13" width="15.7109375" style="46" customWidth="1"/>
    <col min="14" max="16384" width="9.140625" style="46"/>
  </cols>
  <sheetData>
    <row r="4" spans="1:13" x14ac:dyDescent="0.2">
      <c r="A4" s="566" t="s">
        <v>1146</v>
      </c>
      <c r="B4" s="566"/>
      <c r="C4" s="566"/>
      <c r="D4" s="566"/>
      <c r="E4" s="566"/>
      <c r="F4" s="566"/>
      <c r="G4" s="566"/>
      <c r="H4" s="566"/>
      <c r="I4" s="566"/>
      <c r="J4" s="566"/>
      <c r="K4" s="566"/>
      <c r="L4" s="566"/>
      <c r="M4" s="566"/>
    </row>
    <row r="5" spans="1:13" x14ac:dyDescent="0.2">
      <c r="A5" s="566" t="s">
        <v>474</v>
      </c>
      <c r="B5" s="566"/>
      <c r="C5" s="566"/>
      <c r="D5" s="566"/>
      <c r="E5" s="566"/>
      <c r="F5" s="566"/>
      <c r="G5" s="566"/>
      <c r="H5" s="566"/>
      <c r="I5" s="566"/>
      <c r="J5" s="566"/>
      <c r="K5" s="566"/>
      <c r="L5" s="566"/>
      <c r="M5" s="566"/>
    </row>
    <row r="6" spans="1:13" x14ac:dyDescent="0.2">
      <c r="A6" s="533"/>
      <c r="B6" s="533"/>
      <c r="C6" s="533"/>
      <c r="D6" s="533"/>
      <c r="E6" s="533"/>
      <c r="F6" s="533"/>
      <c r="G6" s="533"/>
      <c r="H6" s="533"/>
      <c r="I6" s="533"/>
      <c r="J6" s="533"/>
      <c r="K6" s="533"/>
      <c r="L6" s="533"/>
      <c r="M6" s="533"/>
    </row>
    <row r="7" spans="1:13" x14ac:dyDescent="0.2">
      <c r="A7" s="454"/>
      <c r="B7" s="66"/>
      <c r="C7" s="66"/>
      <c r="D7" s="66"/>
      <c r="E7" s="567" t="s">
        <v>894</v>
      </c>
      <c r="F7" s="567"/>
      <c r="G7" s="66"/>
      <c r="H7" s="567" t="s">
        <v>893</v>
      </c>
      <c r="I7" s="567"/>
      <c r="J7" s="567"/>
      <c r="K7" s="66"/>
      <c r="L7" s="567" t="s">
        <v>892</v>
      </c>
      <c r="M7" s="567"/>
    </row>
    <row r="8" spans="1:13" x14ac:dyDescent="0.2">
      <c r="A8" s="454"/>
      <c r="B8" s="66"/>
      <c r="C8" s="66"/>
      <c r="D8" s="66"/>
      <c r="E8" s="454"/>
      <c r="F8" s="454"/>
      <c r="G8" s="66"/>
      <c r="H8" s="454"/>
      <c r="I8" s="454"/>
      <c r="J8" s="454" t="s">
        <v>889</v>
      </c>
      <c r="K8" s="66"/>
      <c r="L8" s="454" t="s">
        <v>891</v>
      </c>
      <c r="M8" s="454" t="s">
        <v>890</v>
      </c>
    </row>
    <row r="9" spans="1:13" x14ac:dyDescent="0.2">
      <c r="A9" s="454" t="s">
        <v>0</v>
      </c>
      <c r="B9" s="66"/>
      <c r="C9" s="66"/>
      <c r="D9" s="66"/>
      <c r="E9" s="454" t="s">
        <v>889</v>
      </c>
      <c r="F9" s="454" t="s">
        <v>265</v>
      </c>
      <c r="G9" s="66"/>
      <c r="H9" s="454" t="s">
        <v>889</v>
      </c>
      <c r="I9" s="454" t="s">
        <v>265</v>
      </c>
      <c r="J9" s="454" t="s">
        <v>361</v>
      </c>
      <c r="K9" s="66"/>
      <c r="L9" s="454" t="s">
        <v>888</v>
      </c>
      <c r="M9" s="454" t="s">
        <v>888</v>
      </c>
    </row>
    <row r="10" spans="1:13" ht="14.25" x14ac:dyDescent="0.2">
      <c r="A10" s="534" t="s">
        <v>1</v>
      </c>
      <c r="B10" s="66"/>
      <c r="C10" s="75" t="s">
        <v>33</v>
      </c>
      <c r="D10" s="66"/>
      <c r="E10" s="534" t="s">
        <v>470</v>
      </c>
      <c r="F10" s="534" t="s">
        <v>35</v>
      </c>
      <c r="G10" s="66"/>
      <c r="H10" s="534" t="s">
        <v>470</v>
      </c>
      <c r="I10" s="534" t="s">
        <v>35</v>
      </c>
      <c r="J10" s="534" t="s">
        <v>470</v>
      </c>
      <c r="K10" s="66"/>
      <c r="L10" s="534" t="s">
        <v>2</v>
      </c>
      <c r="M10" s="534" t="s">
        <v>2</v>
      </c>
    </row>
    <row r="11" spans="1:13" x14ac:dyDescent="0.2">
      <c r="D11" s="66"/>
      <c r="E11" s="454" t="s">
        <v>3</v>
      </c>
      <c r="F11" s="454" t="s">
        <v>4</v>
      </c>
      <c r="G11" s="454"/>
      <c r="H11" s="454" t="s">
        <v>119</v>
      </c>
      <c r="I11" s="454" t="s">
        <v>263</v>
      </c>
      <c r="J11" s="454" t="s">
        <v>887</v>
      </c>
      <c r="K11" s="454"/>
      <c r="L11" s="454" t="s">
        <v>886</v>
      </c>
      <c r="M11" s="454" t="s">
        <v>38</v>
      </c>
    </row>
    <row r="12" spans="1:13" x14ac:dyDescent="0.2">
      <c r="A12" s="454"/>
      <c r="B12" s="66"/>
      <c r="C12" s="66"/>
      <c r="D12" s="66"/>
      <c r="E12" s="454"/>
      <c r="F12" s="454"/>
      <c r="G12" s="454"/>
      <c r="H12" s="454"/>
      <c r="I12" s="454"/>
      <c r="J12" s="454"/>
      <c r="K12" s="454"/>
      <c r="L12" s="454"/>
      <c r="M12" s="454"/>
    </row>
    <row r="13" spans="1:13" ht="14.25" x14ac:dyDescent="0.2">
      <c r="A13" s="454"/>
      <c r="B13" s="66"/>
      <c r="C13" s="76" t="s">
        <v>932</v>
      </c>
      <c r="D13" s="66"/>
      <c r="E13" s="568" t="s">
        <v>909</v>
      </c>
      <c r="F13" s="568"/>
      <c r="G13" s="66"/>
      <c r="H13" s="318"/>
      <c r="I13" s="66"/>
      <c r="J13" s="66"/>
      <c r="K13" s="66"/>
      <c r="L13" s="66"/>
      <c r="M13" s="66"/>
    </row>
    <row r="14" spans="1:13" x14ac:dyDescent="0.2">
      <c r="A14" s="454">
        <f>1</f>
        <v>1</v>
      </c>
      <c r="B14" s="66"/>
      <c r="C14" s="66" t="s">
        <v>856</v>
      </c>
      <c r="D14" s="66"/>
      <c r="E14" s="306">
        <v>432.56967980000002</v>
      </c>
      <c r="F14" s="305">
        <v>19.662258172727274</v>
      </c>
      <c r="G14" s="305"/>
      <c r="H14" s="306">
        <v>529.03013199999998</v>
      </c>
      <c r="I14" s="305">
        <v>24.046824181818181</v>
      </c>
      <c r="J14" s="304">
        <f>H14-E14</f>
        <v>96.460452199999963</v>
      </c>
      <c r="K14" s="305"/>
      <c r="L14" s="133">
        <f>J14/E14</f>
        <v>0.22299402085832451</v>
      </c>
      <c r="M14" s="315">
        <f>L14</f>
        <v>0.22299402085832451</v>
      </c>
    </row>
    <row r="15" spans="1:13" x14ac:dyDescent="0.2">
      <c r="A15" s="454">
        <f>A14+1</f>
        <v>2</v>
      </c>
      <c r="B15" s="66"/>
      <c r="C15" s="66" t="s">
        <v>858</v>
      </c>
      <c r="D15" s="66"/>
      <c r="E15" s="306">
        <v>215.37999999999997</v>
      </c>
      <c r="F15" s="305">
        <v>9.7899999999999991</v>
      </c>
      <c r="G15" s="305"/>
      <c r="H15" s="306">
        <v>215.37999999999997</v>
      </c>
      <c r="I15" s="305">
        <v>9.7899999999999991</v>
      </c>
      <c r="J15" s="304">
        <f>H15-E15</f>
        <v>0</v>
      </c>
      <c r="K15" s="305"/>
      <c r="L15" s="133">
        <f>IFERROR(J15/E15,"100.0%")</f>
        <v>0</v>
      </c>
      <c r="M15" s="133">
        <f>L15</f>
        <v>0</v>
      </c>
    </row>
    <row r="16" spans="1:13" x14ac:dyDescent="0.2">
      <c r="A16" s="454">
        <f>A15+1</f>
        <v>3</v>
      </c>
      <c r="B16" s="66"/>
      <c r="C16" s="66" t="s">
        <v>855</v>
      </c>
      <c r="D16" s="66"/>
      <c r="E16" s="328">
        <v>0</v>
      </c>
      <c r="F16" s="328">
        <v>0</v>
      </c>
      <c r="G16" s="305"/>
      <c r="H16" s="306">
        <v>39.751799999999996</v>
      </c>
      <c r="I16" s="305">
        <v>1.8068999999999997</v>
      </c>
      <c r="J16" s="304">
        <f>H16-E16</f>
        <v>39.751799999999996</v>
      </c>
      <c r="K16" s="305"/>
      <c r="L16" s="133" t="str">
        <f>IFERROR(J16/E16,"100.0%")</f>
        <v>100.0%</v>
      </c>
      <c r="M16" s="133" t="str">
        <f>L16</f>
        <v>100.0%</v>
      </c>
    </row>
    <row r="17" spans="1:13" x14ac:dyDescent="0.2">
      <c r="A17" s="454">
        <f>A16+1</f>
        <v>4</v>
      </c>
      <c r="B17" s="66"/>
      <c r="C17" s="66" t="s">
        <v>88</v>
      </c>
      <c r="D17" s="66"/>
      <c r="E17" s="306">
        <v>490.39407207210047</v>
      </c>
      <c r="F17" s="305">
        <v>22.290639639640929</v>
      </c>
      <c r="G17" s="66"/>
      <c r="H17" s="306">
        <v>459.87480000000005</v>
      </c>
      <c r="I17" s="305">
        <v>20.903400000000001</v>
      </c>
      <c r="J17" s="304">
        <f>H17-E17</f>
        <v>-30.519272072100421</v>
      </c>
      <c r="K17" s="66"/>
      <c r="L17" s="133">
        <f>J17/E17</f>
        <v>-6.2234178205182927E-2</v>
      </c>
      <c r="M17" s="133">
        <f>L17</f>
        <v>-6.2234178205182927E-2</v>
      </c>
    </row>
    <row r="18" spans="1:13" x14ac:dyDescent="0.2">
      <c r="A18" s="454">
        <f>A17+1</f>
        <v>5</v>
      </c>
      <c r="B18" s="66"/>
      <c r="C18" s="66" t="s">
        <v>854</v>
      </c>
      <c r="D18" s="66"/>
      <c r="E18" s="312">
        <f>SUM(E14:E17)</f>
        <v>1138.3437518721005</v>
      </c>
      <c r="F18" s="311">
        <v>51.742897812368206</v>
      </c>
      <c r="G18" s="454"/>
      <c r="H18" s="312">
        <v>1244.036732</v>
      </c>
      <c r="I18" s="311">
        <v>56.547124181818184</v>
      </c>
      <c r="J18" s="310">
        <f>SUM(J14:J17)</f>
        <v>105.69298012789955</v>
      </c>
      <c r="K18" s="66"/>
      <c r="L18" s="313">
        <f>J18/E18</f>
        <v>9.2848034659195597E-2</v>
      </c>
      <c r="M18" s="313">
        <f>(J18-J15)/(E18-E15)</f>
        <v>0.1145147682273723</v>
      </c>
    </row>
    <row r="19" spans="1:13" x14ac:dyDescent="0.2">
      <c r="A19" s="454"/>
      <c r="B19" s="66"/>
      <c r="C19" s="66"/>
      <c r="D19" s="66"/>
      <c r="E19" s="306"/>
      <c r="F19" s="305"/>
      <c r="G19" s="454"/>
      <c r="H19" s="306"/>
      <c r="I19" s="305"/>
      <c r="J19" s="304"/>
      <c r="K19" s="66"/>
      <c r="L19" s="303"/>
      <c r="M19" s="303"/>
    </row>
    <row r="20" spans="1:13" x14ac:dyDescent="0.2">
      <c r="A20" s="454">
        <f>A18+1</f>
        <v>6</v>
      </c>
      <c r="B20" s="66"/>
      <c r="C20" s="66" t="s">
        <v>867</v>
      </c>
      <c r="D20" s="66"/>
      <c r="E20" s="312">
        <f>SUM(E14:E16)+H17</f>
        <v>1107.8244798000001</v>
      </c>
      <c r="F20" s="311">
        <v>50.355658172727281</v>
      </c>
      <c r="G20" s="454"/>
      <c r="H20" s="312">
        <f>SUM(H14:H17)</f>
        <v>1244.036732</v>
      </c>
      <c r="I20" s="311">
        <v>56.547124181818184</v>
      </c>
      <c r="J20" s="310">
        <f>J14+J15+J16</f>
        <v>136.21225219999997</v>
      </c>
      <c r="K20" s="66"/>
      <c r="L20" s="313">
        <f>J20/E20</f>
        <v>0.12295472313862472</v>
      </c>
      <c r="M20" s="313">
        <f>(J20-J15)/(E20-E15)</f>
        <v>0.15262826459582743</v>
      </c>
    </row>
    <row r="21" spans="1:13" x14ac:dyDescent="0.2">
      <c r="A21" s="454">
        <f>A20+1</f>
        <v>7</v>
      </c>
      <c r="B21" s="66"/>
      <c r="C21" s="66" t="s">
        <v>866</v>
      </c>
      <c r="D21" s="66"/>
      <c r="E21" s="306"/>
      <c r="F21" s="305"/>
      <c r="G21" s="454"/>
      <c r="H21" s="306"/>
      <c r="I21" s="305"/>
      <c r="J21" s="304"/>
      <c r="K21" s="66"/>
      <c r="L21" s="316">
        <v>0.21022041748989531</v>
      </c>
      <c r="M21" s="316">
        <v>0.31489089171247081</v>
      </c>
    </row>
    <row r="22" spans="1:13" x14ac:dyDescent="0.2">
      <c r="A22" s="454"/>
      <c r="B22" s="66"/>
      <c r="C22" s="66"/>
      <c r="D22" s="66"/>
      <c r="E22" s="66"/>
      <c r="F22" s="66"/>
      <c r="G22" s="66"/>
      <c r="H22" s="66"/>
      <c r="I22" s="66"/>
      <c r="J22" s="308"/>
      <c r="K22" s="66"/>
      <c r="L22" s="303"/>
      <c r="M22" s="66"/>
    </row>
    <row r="23" spans="1:13" ht="14.25" x14ac:dyDescent="0.2">
      <c r="A23" s="454"/>
      <c r="B23" s="66"/>
      <c r="C23" s="76" t="s">
        <v>931</v>
      </c>
      <c r="D23" s="66"/>
      <c r="E23" s="568" t="s">
        <v>907</v>
      </c>
      <c r="F23" s="568"/>
      <c r="G23" s="66"/>
      <c r="H23" s="318"/>
      <c r="I23" s="66"/>
      <c r="J23" s="66"/>
      <c r="K23" s="66"/>
      <c r="L23" s="66"/>
      <c r="M23" s="66"/>
    </row>
    <row r="24" spans="1:13" x14ac:dyDescent="0.2">
      <c r="A24" s="454">
        <f>A21+1</f>
        <v>8</v>
      </c>
      <c r="B24" s="66"/>
      <c r="C24" s="66" t="s">
        <v>856</v>
      </c>
      <c r="D24" s="66"/>
      <c r="E24" s="306">
        <v>2834.0341999999996</v>
      </c>
      <c r="F24" s="305">
        <v>7.085085499999999</v>
      </c>
      <c r="G24" s="305"/>
      <c r="H24" s="306">
        <v>4346.9312</v>
      </c>
      <c r="I24" s="305">
        <v>10.867328000000001</v>
      </c>
      <c r="J24" s="304">
        <f>H24-E24</f>
        <v>1512.8970000000004</v>
      </c>
      <c r="K24" s="305"/>
      <c r="L24" s="133">
        <f>J24/E24</f>
        <v>0.53383159596309759</v>
      </c>
      <c r="M24" s="133">
        <f>L24</f>
        <v>0.53383159596309759</v>
      </c>
    </row>
    <row r="25" spans="1:13" x14ac:dyDescent="0.2">
      <c r="A25" s="454">
        <f>A24+1</f>
        <v>9</v>
      </c>
      <c r="B25" s="66"/>
      <c r="C25" s="66" t="s">
        <v>858</v>
      </c>
      <c r="D25" s="66"/>
      <c r="E25" s="306">
        <v>3915.9999999999995</v>
      </c>
      <c r="F25" s="305">
        <v>9.7899999999999991</v>
      </c>
      <c r="G25" s="305"/>
      <c r="H25" s="306">
        <v>3915.9999999999995</v>
      </c>
      <c r="I25" s="305">
        <v>9.7899999999999991</v>
      </c>
      <c r="J25" s="304">
        <f>H25-E25</f>
        <v>0</v>
      </c>
      <c r="K25" s="305"/>
      <c r="L25" s="133">
        <f>IFERROR(J25/E25,"100.0%")</f>
        <v>0</v>
      </c>
      <c r="M25" s="133">
        <f>L25</f>
        <v>0</v>
      </c>
    </row>
    <row r="26" spans="1:13" x14ac:dyDescent="0.2">
      <c r="A26" s="454">
        <f>A25+1</f>
        <v>10</v>
      </c>
      <c r="B26" s="66"/>
      <c r="C26" s="66" t="s">
        <v>855</v>
      </c>
      <c r="D26" s="66"/>
      <c r="E26" s="328">
        <v>0</v>
      </c>
      <c r="F26" s="328">
        <v>0</v>
      </c>
      <c r="G26" s="305"/>
      <c r="H26" s="306">
        <v>722.76</v>
      </c>
      <c r="I26" s="305">
        <v>1.8068999999999997</v>
      </c>
      <c r="J26" s="304">
        <f>H26-E26</f>
        <v>722.76</v>
      </c>
      <c r="K26" s="305"/>
      <c r="L26" s="133" t="str">
        <f>IFERROR(J26/E26,"100.0%")</f>
        <v>100.0%</v>
      </c>
      <c r="M26" s="133" t="str">
        <f>L26</f>
        <v>100.0%</v>
      </c>
    </row>
    <row r="27" spans="1:13" x14ac:dyDescent="0.2">
      <c r="A27" s="454">
        <f>A26+1</f>
        <v>11</v>
      </c>
      <c r="B27" s="66"/>
      <c r="C27" s="66" t="s">
        <v>88</v>
      </c>
      <c r="D27" s="66"/>
      <c r="E27" s="306">
        <v>8916.2558558563705</v>
      </c>
      <c r="F27" s="305">
        <v>22.290639639640926</v>
      </c>
      <c r="G27" s="66"/>
      <c r="H27" s="306">
        <v>8361.36</v>
      </c>
      <c r="I27" s="305">
        <v>20.903400000000001</v>
      </c>
      <c r="J27" s="304">
        <f>H27-E27</f>
        <v>-554.89585585636996</v>
      </c>
      <c r="K27" s="66"/>
      <c r="L27" s="133">
        <f>J27/E27</f>
        <v>-6.2234178205182789E-2</v>
      </c>
      <c r="M27" s="133">
        <f>L27</f>
        <v>-6.2234178205182789E-2</v>
      </c>
    </row>
    <row r="28" spans="1:13" x14ac:dyDescent="0.2">
      <c r="A28" s="454">
        <f>A27+1</f>
        <v>12</v>
      </c>
      <c r="B28" s="66"/>
      <c r="C28" s="66" t="s">
        <v>854</v>
      </c>
      <c r="D28" s="66"/>
      <c r="E28" s="312">
        <f>SUM(E24:E27)</f>
        <v>15666.290055856371</v>
      </c>
      <c r="F28" s="311">
        <v>39.165725139640926</v>
      </c>
      <c r="G28" s="454"/>
      <c r="H28" s="312">
        <v>17347.051200000002</v>
      </c>
      <c r="I28" s="311">
        <v>43.367628000000003</v>
      </c>
      <c r="J28" s="310">
        <f>SUM(J24:J27)</f>
        <v>1680.7611441436302</v>
      </c>
      <c r="K28" s="66"/>
      <c r="L28" s="313">
        <f>J28/E28</f>
        <v>0.10728520524968375</v>
      </c>
      <c r="M28" s="313">
        <f>(J28-J25)/(E28-E25)</f>
        <v>0.14303997060106061</v>
      </c>
    </row>
    <row r="29" spans="1:13" x14ac:dyDescent="0.2">
      <c r="A29" s="454"/>
      <c r="B29" s="66"/>
      <c r="C29" s="66"/>
      <c r="D29" s="66"/>
      <c r="E29" s="306"/>
      <c r="F29" s="305"/>
      <c r="G29" s="454"/>
      <c r="H29" s="306"/>
      <c r="I29" s="305"/>
      <c r="J29" s="304"/>
      <c r="K29" s="66"/>
      <c r="L29" s="303"/>
      <c r="M29" s="303"/>
    </row>
    <row r="30" spans="1:13" x14ac:dyDescent="0.2">
      <c r="A30" s="454">
        <f>A28+1</f>
        <v>13</v>
      </c>
      <c r="B30" s="66"/>
      <c r="C30" s="66" t="s">
        <v>867</v>
      </c>
      <c r="D30" s="66"/>
      <c r="E30" s="312">
        <f>SUM(E24:E26)+H27</f>
        <v>15111.394199999999</v>
      </c>
      <c r="F30" s="311">
        <v>37.778485499999995</v>
      </c>
      <c r="G30" s="454"/>
      <c r="H30" s="312">
        <f>SUM(H24:H27)</f>
        <v>17347.051200000002</v>
      </c>
      <c r="I30" s="311">
        <v>43.367628000000003</v>
      </c>
      <c r="J30" s="310">
        <f>J24+J25+J26</f>
        <v>2235.6570000000002</v>
      </c>
      <c r="K30" s="66"/>
      <c r="L30" s="313">
        <f>J30/E30</f>
        <v>0.14794511812814731</v>
      </c>
      <c r="M30" s="313">
        <f>(J30-J25)/(E30-E25)</f>
        <v>0.19969435287950829</v>
      </c>
    </row>
    <row r="31" spans="1:13" x14ac:dyDescent="0.2">
      <c r="A31" s="454">
        <f>A30+1</f>
        <v>14</v>
      </c>
      <c r="B31" s="66"/>
      <c r="C31" s="66" t="s">
        <v>866</v>
      </c>
      <c r="D31" s="66"/>
      <c r="E31" s="306"/>
      <c r="F31" s="305"/>
      <c r="G31" s="454"/>
      <c r="H31" s="306"/>
      <c r="I31" s="305"/>
      <c r="J31" s="304"/>
      <c r="K31" s="66"/>
      <c r="L31" s="316">
        <v>0.33120676633016166</v>
      </c>
      <c r="M31" s="316">
        <v>0.78886027557465621</v>
      </c>
    </row>
    <row r="32" spans="1:13" x14ac:dyDescent="0.2">
      <c r="A32" s="454"/>
      <c r="B32" s="66"/>
      <c r="C32" s="66"/>
      <c r="D32" s="66"/>
      <c r="E32" s="66"/>
      <c r="F32" s="66"/>
      <c r="G32" s="66"/>
      <c r="H32" s="66"/>
      <c r="I32" s="66"/>
      <c r="J32" s="308"/>
      <c r="K32" s="66"/>
      <c r="L32" s="303"/>
      <c r="M32" s="66"/>
    </row>
    <row r="33" spans="1:13" ht="14.25" x14ac:dyDescent="0.2">
      <c r="A33" s="454"/>
      <c r="B33" s="66"/>
      <c r="C33" s="76" t="s">
        <v>930</v>
      </c>
      <c r="D33" s="66"/>
      <c r="E33" s="568" t="s">
        <v>905</v>
      </c>
      <c r="F33" s="568"/>
      <c r="G33" s="66"/>
      <c r="H33" s="66"/>
      <c r="I33" s="66"/>
      <c r="J33" s="308"/>
      <c r="K33" s="66"/>
      <c r="L33" s="303"/>
      <c r="M33" s="66"/>
    </row>
    <row r="34" spans="1:13" x14ac:dyDescent="0.2">
      <c r="A34" s="454">
        <f>A31+1</f>
        <v>15</v>
      </c>
      <c r="B34" s="66"/>
      <c r="C34" s="66" t="s">
        <v>856</v>
      </c>
      <c r="D34" s="66"/>
      <c r="E34" s="306">
        <v>5093.3136199999999</v>
      </c>
      <c r="F34" s="305">
        <v>8.4888560333333327</v>
      </c>
      <c r="G34" s="305"/>
      <c r="H34" s="306">
        <v>6120.2328200000002</v>
      </c>
      <c r="I34" s="305">
        <v>10.200388033333335</v>
      </c>
      <c r="J34" s="304">
        <f>H34-E34</f>
        <v>1026.9192000000003</v>
      </c>
      <c r="K34" s="305"/>
      <c r="L34" s="133">
        <f>J34/E34</f>
        <v>0.20162104213798646</v>
      </c>
      <c r="M34" s="133">
        <f>L34</f>
        <v>0.20162104213798646</v>
      </c>
    </row>
    <row r="35" spans="1:13" x14ac:dyDescent="0.2">
      <c r="A35" s="454">
        <f>A34+1</f>
        <v>16</v>
      </c>
      <c r="B35" s="66"/>
      <c r="C35" s="66" t="s">
        <v>858</v>
      </c>
      <c r="D35" s="66"/>
      <c r="E35" s="306">
        <v>5874</v>
      </c>
      <c r="F35" s="305">
        <v>9.7900000000000009</v>
      </c>
      <c r="G35" s="305"/>
      <c r="H35" s="306">
        <v>5874</v>
      </c>
      <c r="I35" s="305">
        <v>9.7900000000000009</v>
      </c>
      <c r="J35" s="304">
        <f>H35-E35</f>
        <v>0</v>
      </c>
      <c r="K35" s="305"/>
      <c r="L35" s="133">
        <f>IFERROR(J35/E35,"100.0%")</f>
        <v>0</v>
      </c>
      <c r="M35" s="133">
        <f>L35</f>
        <v>0</v>
      </c>
    </row>
    <row r="36" spans="1:13" x14ac:dyDescent="0.2">
      <c r="A36" s="454">
        <f>A35+1</f>
        <v>17</v>
      </c>
      <c r="B36" s="66"/>
      <c r="C36" s="66" t="s">
        <v>855</v>
      </c>
      <c r="D36" s="66"/>
      <c r="E36" s="328">
        <v>0</v>
      </c>
      <c r="F36" s="328">
        <v>0</v>
      </c>
      <c r="G36" s="305"/>
      <c r="H36" s="306">
        <v>1017.78</v>
      </c>
      <c r="I36" s="305">
        <v>1.6962999999999999</v>
      </c>
      <c r="J36" s="304">
        <f>H36-E36</f>
        <v>1017.78</v>
      </c>
      <c r="K36" s="305"/>
      <c r="L36" s="133" t="str">
        <f>IFERROR(J36/E36,"100.0%")</f>
        <v>100.0%</v>
      </c>
      <c r="M36" s="133" t="str">
        <f>L36</f>
        <v>100.0%</v>
      </c>
    </row>
    <row r="37" spans="1:13" x14ac:dyDescent="0.2">
      <c r="A37" s="454">
        <f>A36+1</f>
        <v>18</v>
      </c>
      <c r="B37" s="66"/>
      <c r="C37" s="66" t="s">
        <v>88</v>
      </c>
      <c r="D37" s="66"/>
      <c r="E37" s="306">
        <v>13374.383783784557</v>
      </c>
      <c r="F37" s="305">
        <v>22.290639639640926</v>
      </c>
      <c r="G37" s="66"/>
      <c r="H37" s="306">
        <v>12542.04</v>
      </c>
      <c r="I37" s="305">
        <v>20.903400000000001</v>
      </c>
      <c r="J37" s="304">
        <f>H37-E37</f>
        <v>-832.34378378455585</v>
      </c>
      <c r="K37" s="66"/>
      <c r="L37" s="133">
        <f>J37/E37</f>
        <v>-6.2234178205182851E-2</v>
      </c>
      <c r="M37" s="133">
        <f>L37</f>
        <v>-6.2234178205182851E-2</v>
      </c>
    </row>
    <row r="38" spans="1:13" x14ac:dyDescent="0.2">
      <c r="A38" s="454">
        <f>A37+1</f>
        <v>19</v>
      </c>
      <c r="B38" s="66"/>
      <c r="C38" s="66" t="s">
        <v>854</v>
      </c>
      <c r="D38" s="66"/>
      <c r="E38" s="312">
        <f>SUM(E34:E37)</f>
        <v>24341.697403784558</v>
      </c>
      <c r="F38" s="311">
        <v>40.569495672974263</v>
      </c>
      <c r="G38" s="454"/>
      <c r="H38" s="312">
        <v>25554.052820000004</v>
      </c>
      <c r="I38" s="311">
        <v>42.590088033333338</v>
      </c>
      <c r="J38" s="310">
        <f>SUM(J34:J37)</f>
        <v>1212.3554162154444</v>
      </c>
      <c r="K38" s="66"/>
      <c r="L38" s="313">
        <f>J38/E38</f>
        <v>4.9805705662373072E-2</v>
      </c>
      <c r="M38" s="313">
        <f>(J38-J35)/(E38-E35)</f>
        <v>6.5647351140104684E-2</v>
      </c>
    </row>
    <row r="39" spans="1:13" x14ac:dyDescent="0.2">
      <c r="A39" s="454"/>
      <c r="B39" s="66"/>
      <c r="C39" s="66"/>
      <c r="D39" s="66"/>
      <c r="E39" s="306"/>
      <c r="F39" s="305"/>
      <c r="G39" s="454"/>
      <c r="H39" s="306"/>
      <c r="I39" s="305"/>
      <c r="J39" s="304"/>
      <c r="K39" s="66"/>
      <c r="L39" s="303"/>
      <c r="M39" s="303"/>
    </row>
    <row r="40" spans="1:13" x14ac:dyDescent="0.2">
      <c r="A40" s="454">
        <f>A38+1</f>
        <v>20</v>
      </c>
      <c r="B40" s="66"/>
      <c r="C40" s="66" t="s">
        <v>867</v>
      </c>
      <c r="D40" s="66"/>
      <c r="E40" s="312">
        <f>SUM(E34:E36)+H37</f>
        <v>23509.353620000002</v>
      </c>
      <c r="F40" s="311">
        <v>39.182256033333331</v>
      </c>
      <c r="G40" s="454"/>
      <c r="H40" s="312">
        <f>SUM(H34:H37)</f>
        <v>25554.052820000004</v>
      </c>
      <c r="I40" s="311">
        <v>42.590088033333338</v>
      </c>
      <c r="J40" s="310">
        <f>J34+J35+J36</f>
        <v>2044.6992000000002</v>
      </c>
      <c r="K40" s="66"/>
      <c r="L40" s="313">
        <f>J40/E40</f>
        <v>8.6973858705350487E-2</v>
      </c>
      <c r="M40" s="313">
        <f>(J40-J35)/(E40-E35)</f>
        <v>0.11594319252442641</v>
      </c>
    </row>
    <row r="41" spans="1:13" x14ac:dyDescent="0.2">
      <c r="A41" s="454">
        <f>A40+1</f>
        <v>21</v>
      </c>
      <c r="B41" s="66"/>
      <c r="C41" s="66" t="s">
        <v>866</v>
      </c>
      <c r="D41" s="66"/>
      <c r="E41" s="306"/>
      <c r="F41" s="305"/>
      <c r="G41" s="454"/>
      <c r="H41" s="306"/>
      <c r="I41" s="305"/>
      <c r="J41" s="304"/>
      <c r="K41" s="66"/>
      <c r="L41" s="316">
        <v>0.18643573721383194</v>
      </c>
      <c r="M41" s="316">
        <v>0.40144773178133886</v>
      </c>
    </row>
    <row r="42" spans="1:13" x14ac:dyDescent="0.2">
      <c r="A42" s="454"/>
      <c r="B42" s="66"/>
      <c r="C42" s="66"/>
      <c r="D42" s="66"/>
      <c r="E42" s="66"/>
      <c r="F42" s="66"/>
      <c r="G42" s="66"/>
      <c r="H42" s="66"/>
      <c r="I42" s="66"/>
      <c r="J42" s="304"/>
      <c r="K42" s="66"/>
      <c r="L42" s="303"/>
      <c r="M42" s="66"/>
    </row>
    <row r="43" spans="1:13" ht="14.25" x14ac:dyDescent="0.2">
      <c r="A43" s="454"/>
      <c r="B43" s="66"/>
      <c r="C43" s="76" t="s">
        <v>929</v>
      </c>
      <c r="D43" s="66"/>
      <c r="E43" s="568" t="s">
        <v>928</v>
      </c>
      <c r="F43" s="568"/>
      <c r="G43" s="66"/>
      <c r="H43" s="66"/>
      <c r="I43" s="66"/>
      <c r="J43" s="304"/>
      <c r="K43" s="66"/>
      <c r="L43" s="303"/>
      <c r="M43" s="66"/>
    </row>
    <row r="44" spans="1:13" x14ac:dyDescent="0.2">
      <c r="A44" s="454">
        <f>A61+1</f>
        <v>29</v>
      </c>
      <c r="B44" s="66"/>
      <c r="C44" s="66" t="s">
        <v>856</v>
      </c>
      <c r="D44" s="66"/>
      <c r="E44" s="306">
        <v>5972.2361709999996</v>
      </c>
      <c r="F44" s="305">
        <v>8.181145439726027</v>
      </c>
      <c r="G44" s="305"/>
      <c r="H44" s="306">
        <v>7203.7457309999991</v>
      </c>
      <c r="I44" s="305">
        <v>9.8681448369862999</v>
      </c>
      <c r="J44" s="304">
        <f>H44-E44</f>
        <v>1231.5095599999995</v>
      </c>
      <c r="K44" s="305"/>
      <c r="L44" s="133">
        <f>J44/E44</f>
        <v>0.2062057702908614</v>
      </c>
      <c r="M44" s="133">
        <f>L44</f>
        <v>0.2062057702908614</v>
      </c>
    </row>
    <row r="45" spans="1:13" x14ac:dyDescent="0.2">
      <c r="A45" s="454">
        <f>A44+1</f>
        <v>30</v>
      </c>
      <c r="B45" s="66"/>
      <c r="C45" s="66" t="s">
        <v>858</v>
      </c>
      <c r="D45" s="66"/>
      <c r="E45" s="306">
        <v>7146.6999999999989</v>
      </c>
      <c r="F45" s="305">
        <v>9.7899999999999991</v>
      </c>
      <c r="G45" s="305"/>
      <c r="H45" s="306">
        <v>7146.6999999999989</v>
      </c>
      <c r="I45" s="305">
        <v>9.7899999999999991</v>
      </c>
      <c r="J45" s="304">
        <f>H45-E45</f>
        <v>0</v>
      </c>
      <c r="K45" s="305"/>
      <c r="L45" s="133">
        <f>IFERROR(J45/E45,"100.0%")</f>
        <v>0</v>
      </c>
      <c r="M45" s="133">
        <f>L45</f>
        <v>0</v>
      </c>
    </row>
    <row r="46" spans="1:13" x14ac:dyDescent="0.2">
      <c r="A46" s="454">
        <f>A45+1</f>
        <v>31</v>
      </c>
      <c r="B46" s="66"/>
      <c r="C46" s="66" t="s">
        <v>855</v>
      </c>
      <c r="D46" s="66"/>
      <c r="E46" s="328">
        <v>0</v>
      </c>
      <c r="F46" s="328">
        <v>0</v>
      </c>
      <c r="G46" s="305"/>
      <c r="H46" s="306">
        <v>1238.299</v>
      </c>
      <c r="I46" s="305">
        <v>1.6962999999999999</v>
      </c>
      <c r="J46" s="304">
        <f>H46-E46</f>
        <v>1238.299</v>
      </c>
      <c r="K46" s="305"/>
      <c r="L46" s="133" t="str">
        <f>IFERROR(J46/E46,"100.0%")</f>
        <v>100.0%</v>
      </c>
      <c r="M46" s="133" t="str">
        <f>L46</f>
        <v>100.0%</v>
      </c>
    </row>
    <row r="47" spans="1:13" x14ac:dyDescent="0.2">
      <c r="A47" s="454">
        <f>A46+1</f>
        <v>32</v>
      </c>
      <c r="B47" s="66"/>
      <c r="C47" s="66" t="s">
        <v>88</v>
      </c>
      <c r="D47" s="66"/>
      <c r="E47" s="306">
        <v>16272.166936937878</v>
      </c>
      <c r="F47" s="305">
        <v>22.290639639640926</v>
      </c>
      <c r="G47" s="66"/>
      <c r="H47" s="306">
        <v>15259.482000000002</v>
      </c>
      <c r="I47" s="305">
        <v>20.903400000000001</v>
      </c>
      <c r="J47" s="304">
        <f>H47-E47</f>
        <v>-1012.684936937876</v>
      </c>
      <c r="K47" s="66"/>
      <c r="L47" s="133">
        <f>J47/E47</f>
        <v>-6.2234178205182837E-2</v>
      </c>
      <c r="M47" s="133">
        <f>L47</f>
        <v>-6.2234178205182837E-2</v>
      </c>
    </row>
    <row r="48" spans="1:13" x14ac:dyDescent="0.2">
      <c r="A48" s="454">
        <f>A47+1</f>
        <v>33</v>
      </c>
      <c r="B48" s="66"/>
      <c r="C48" s="66" t="s">
        <v>854</v>
      </c>
      <c r="D48" s="66"/>
      <c r="E48" s="312">
        <f>SUM(E44:E47)</f>
        <v>29391.103107937874</v>
      </c>
      <c r="F48" s="311">
        <v>40.261785079366952</v>
      </c>
      <c r="G48" s="454"/>
      <c r="H48" s="312">
        <v>30848.226731000002</v>
      </c>
      <c r="I48" s="311">
        <v>42.257844836986301</v>
      </c>
      <c r="J48" s="310">
        <f>SUM(J44:J47)</f>
        <v>1457.1236230621234</v>
      </c>
      <c r="K48" s="66"/>
      <c r="L48" s="514">
        <f>J48/E48</f>
        <v>4.9577030767129909E-2</v>
      </c>
      <c r="M48" s="514">
        <f>(J48-J45)/(E48-E45)</f>
        <v>6.5505179707076588E-2</v>
      </c>
    </row>
    <row r="49" spans="1:13" x14ac:dyDescent="0.2">
      <c r="A49" s="454"/>
      <c r="B49" s="66"/>
      <c r="C49" s="66"/>
      <c r="D49" s="66"/>
      <c r="E49" s="306"/>
      <c r="F49" s="305"/>
      <c r="G49" s="454"/>
      <c r="H49" s="306"/>
      <c r="I49" s="305"/>
      <c r="J49" s="304"/>
      <c r="K49" s="66"/>
      <c r="L49" s="303"/>
      <c r="M49" s="303"/>
    </row>
    <row r="50" spans="1:13" x14ac:dyDescent="0.2">
      <c r="A50" s="454">
        <f>A48+1</f>
        <v>34</v>
      </c>
      <c r="B50" s="66"/>
      <c r="C50" s="66" t="s">
        <v>867</v>
      </c>
      <c r="D50" s="66"/>
      <c r="E50" s="312">
        <f>SUM(E44:E46)+H47</f>
        <v>28378.418170999998</v>
      </c>
      <c r="F50" s="311">
        <v>38.87454543972602</v>
      </c>
      <c r="G50" s="454"/>
      <c r="H50" s="312">
        <f>SUM(H44:H47)</f>
        <v>30848.226731000002</v>
      </c>
      <c r="I50" s="311">
        <v>42.257844836986301</v>
      </c>
      <c r="J50" s="310">
        <f>J44+J45+J46</f>
        <v>2469.8085599999995</v>
      </c>
      <c r="K50" s="66"/>
      <c r="L50" s="313">
        <f>J50/E50</f>
        <v>8.7031227220546958E-2</v>
      </c>
      <c r="M50" s="313">
        <f>(J50-J45)/(E50-E45)</f>
        <v>0.11632636323203763</v>
      </c>
    </row>
    <row r="51" spans="1:13" x14ac:dyDescent="0.2">
      <c r="A51" s="454">
        <f>A50+1</f>
        <v>35</v>
      </c>
      <c r="B51" s="66"/>
      <c r="C51" s="66" t="s">
        <v>866</v>
      </c>
      <c r="D51" s="66"/>
      <c r="E51" s="306"/>
      <c r="F51" s="305"/>
      <c r="G51" s="454"/>
      <c r="H51" s="306"/>
      <c r="I51" s="305"/>
      <c r="J51" s="304"/>
      <c r="K51" s="66"/>
      <c r="L51" s="316">
        <v>0.1882628688642928</v>
      </c>
      <c r="M51" s="316">
        <v>0.41354837439163961</v>
      </c>
    </row>
    <row r="52" spans="1:13" x14ac:dyDescent="0.2">
      <c r="A52" s="454"/>
      <c r="B52" s="66"/>
      <c r="C52" s="66"/>
      <c r="D52" s="66"/>
      <c r="E52" s="66"/>
      <c r="F52" s="66"/>
      <c r="G52" s="66"/>
      <c r="H52" s="66"/>
      <c r="I52" s="66"/>
      <c r="J52" s="304"/>
      <c r="K52" s="66"/>
      <c r="L52" s="303"/>
      <c r="M52" s="66"/>
    </row>
    <row r="53" spans="1:13" ht="14.25" x14ac:dyDescent="0.2">
      <c r="A53" s="454"/>
      <c r="B53" s="66"/>
      <c r="C53" s="76" t="s">
        <v>927</v>
      </c>
      <c r="D53" s="66"/>
      <c r="E53" s="568" t="s">
        <v>901</v>
      </c>
      <c r="F53" s="568"/>
      <c r="G53" s="66"/>
      <c r="H53" s="66"/>
      <c r="I53" s="66"/>
      <c r="J53" s="304"/>
      <c r="K53" s="66"/>
      <c r="L53" s="303"/>
      <c r="M53" s="66"/>
    </row>
    <row r="54" spans="1:13" x14ac:dyDescent="0.2">
      <c r="A54" s="454">
        <f>A41+1</f>
        <v>22</v>
      </c>
      <c r="B54" s="66"/>
      <c r="C54" s="66" t="s">
        <v>856</v>
      </c>
      <c r="D54" s="66"/>
      <c r="E54" s="306">
        <v>17465.478500000001</v>
      </c>
      <c r="F54" s="305">
        <v>6.9861914000000009</v>
      </c>
      <c r="G54" s="305"/>
      <c r="H54" s="306">
        <v>21315.286</v>
      </c>
      <c r="I54" s="305">
        <v>8.5261143999999991</v>
      </c>
      <c r="J54" s="304">
        <f>H54-E54</f>
        <v>3849.807499999999</v>
      </c>
      <c r="K54" s="305"/>
      <c r="L54" s="133">
        <f>J54/E54</f>
        <v>0.22042382062421015</v>
      </c>
      <c r="M54" s="133">
        <f>L54</f>
        <v>0.22042382062421015</v>
      </c>
    </row>
    <row r="55" spans="1:13" x14ac:dyDescent="0.2">
      <c r="A55" s="454">
        <f>A54+1</f>
        <v>23</v>
      </c>
      <c r="B55" s="66"/>
      <c r="C55" s="66" t="s">
        <v>858</v>
      </c>
      <c r="D55" s="66"/>
      <c r="E55" s="306">
        <v>24475</v>
      </c>
      <c r="F55" s="305">
        <v>9.7900000000000009</v>
      </c>
      <c r="G55" s="305"/>
      <c r="H55" s="306">
        <v>24475</v>
      </c>
      <c r="I55" s="305">
        <v>9.7900000000000009</v>
      </c>
      <c r="J55" s="304">
        <f>H55-E55</f>
        <v>0</v>
      </c>
      <c r="K55" s="305"/>
      <c r="L55" s="133">
        <f>IFERROR(J55/E55,"100.0%")</f>
        <v>0</v>
      </c>
      <c r="M55" s="133">
        <f>L55</f>
        <v>0</v>
      </c>
    </row>
    <row r="56" spans="1:13" x14ac:dyDescent="0.2">
      <c r="A56" s="454">
        <f>A55+1</f>
        <v>24</v>
      </c>
      <c r="B56" s="66"/>
      <c r="C56" s="66" t="s">
        <v>855</v>
      </c>
      <c r="D56" s="66"/>
      <c r="E56" s="328">
        <v>0</v>
      </c>
      <c r="F56" s="328">
        <v>0</v>
      </c>
      <c r="G56" s="305"/>
      <c r="H56" s="306">
        <v>4240.75</v>
      </c>
      <c r="I56" s="305">
        <v>1.6962999999999999</v>
      </c>
      <c r="J56" s="304">
        <f>H56-E56</f>
        <v>4240.75</v>
      </c>
      <c r="K56" s="305"/>
      <c r="L56" s="133" t="str">
        <f>IFERROR(J56/E56,"100.0%")</f>
        <v>100.0%</v>
      </c>
      <c r="M56" s="133" t="str">
        <f>L56</f>
        <v>100.0%</v>
      </c>
    </row>
    <row r="57" spans="1:13" x14ac:dyDescent="0.2">
      <c r="A57" s="454">
        <f>A56+1</f>
        <v>25</v>
      </c>
      <c r="B57" s="66"/>
      <c r="C57" s="66" t="s">
        <v>88</v>
      </c>
      <c r="D57" s="66"/>
      <c r="E57" s="306">
        <v>55726.599099102328</v>
      </c>
      <c r="F57" s="305">
        <v>22.290639639640929</v>
      </c>
      <c r="G57" s="66"/>
      <c r="H57" s="306">
        <v>52258.5</v>
      </c>
      <c r="I57" s="305">
        <v>20.903400000000001</v>
      </c>
      <c r="J57" s="304">
        <f>H57-E57</f>
        <v>-3468.0990991023282</v>
      </c>
      <c r="K57" s="66"/>
      <c r="L57" s="133">
        <f>J57/E57</f>
        <v>-6.2234178205183059E-2</v>
      </c>
      <c r="M57" s="133">
        <f>L57</f>
        <v>-6.2234178205183059E-2</v>
      </c>
    </row>
    <row r="58" spans="1:13" x14ac:dyDescent="0.2">
      <c r="A58" s="454">
        <f>A57+1</f>
        <v>26</v>
      </c>
      <c r="B58" s="66"/>
      <c r="C58" s="66" t="s">
        <v>854</v>
      </c>
      <c r="D58" s="66"/>
      <c r="E58" s="312">
        <f>SUM(E54:E57)</f>
        <v>97667.077599102326</v>
      </c>
      <c r="F58" s="311">
        <v>39.066831039640931</v>
      </c>
      <c r="G58" s="454"/>
      <c r="H58" s="312">
        <v>102289.53599999999</v>
      </c>
      <c r="I58" s="311">
        <v>40.915814399999995</v>
      </c>
      <c r="J58" s="310">
        <f>SUM(J54:J57)</f>
        <v>4622.4584008976708</v>
      </c>
      <c r="K58" s="66"/>
      <c r="L58" s="514">
        <f>J58/E58</f>
        <v>4.7328726470875347E-2</v>
      </c>
      <c r="M58" s="313">
        <f>(J58-J55)/(E58-E55)</f>
        <v>6.3155174064281019E-2</v>
      </c>
    </row>
    <row r="59" spans="1:13" x14ac:dyDescent="0.2">
      <c r="A59" s="454"/>
      <c r="B59" s="66"/>
      <c r="C59" s="66"/>
      <c r="D59" s="66"/>
      <c r="E59" s="306"/>
      <c r="F59" s="305"/>
      <c r="G59" s="454"/>
      <c r="H59" s="306"/>
      <c r="I59" s="305"/>
      <c r="J59" s="304"/>
      <c r="K59" s="66"/>
      <c r="L59" s="303"/>
      <c r="M59" s="303"/>
    </row>
    <row r="60" spans="1:13" x14ac:dyDescent="0.2">
      <c r="A60" s="454">
        <f>A58+1</f>
        <v>27</v>
      </c>
      <c r="B60" s="66"/>
      <c r="C60" s="66" t="s">
        <v>867</v>
      </c>
      <c r="D60" s="66"/>
      <c r="E60" s="312">
        <f>SUM(E54:E56)+H57</f>
        <v>94198.978499999997</v>
      </c>
      <c r="F60" s="311">
        <v>37.6795914</v>
      </c>
      <c r="G60" s="454"/>
      <c r="H60" s="312">
        <f>SUM(H54:H57)</f>
        <v>102289.53599999999</v>
      </c>
      <c r="I60" s="311">
        <v>40.915814399999995</v>
      </c>
      <c r="J60" s="310">
        <f>J54+J55+J56</f>
        <v>8090.557499999999</v>
      </c>
      <c r="K60" s="66"/>
      <c r="L60" s="313">
        <f>J60/E60</f>
        <v>8.5887953657586627E-2</v>
      </c>
      <c r="M60" s="313">
        <f>(J60-J55)/(E60-E55)</f>
        <v>0.11603694559684369</v>
      </c>
    </row>
    <row r="61" spans="1:13" x14ac:dyDescent="0.2">
      <c r="A61" s="454">
        <f>A60+1</f>
        <v>28</v>
      </c>
      <c r="B61" s="66"/>
      <c r="C61" s="66" t="s">
        <v>866</v>
      </c>
      <c r="D61" s="66"/>
      <c r="E61" s="306"/>
      <c r="F61" s="305"/>
      <c r="G61" s="454"/>
      <c r="H61" s="306"/>
      <c r="I61" s="305"/>
      <c r="J61" s="304"/>
      <c r="K61" s="66"/>
      <c r="L61" s="316">
        <v>0.19290570325753434</v>
      </c>
      <c r="M61" s="316">
        <v>0.46323136809564064</v>
      </c>
    </row>
    <row r="62" spans="1:13" x14ac:dyDescent="0.2">
      <c r="A62" s="454"/>
      <c r="B62" s="66"/>
      <c r="C62" s="66"/>
      <c r="D62" s="66"/>
      <c r="E62" s="66"/>
      <c r="F62" s="66"/>
      <c r="G62" s="66"/>
      <c r="H62" s="66"/>
      <c r="I62" s="66"/>
      <c r="J62" s="304"/>
      <c r="K62" s="66"/>
      <c r="L62" s="303"/>
      <c r="M62" s="66"/>
    </row>
    <row r="63" spans="1:13" ht="14.25" x14ac:dyDescent="0.2">
      <c r="A63" s="454"/>
      <c r="B63" s="66"/>
      <c r="C63" s="76" t="s">
        <v>926</v>
      </c>
      <c r="D63" s="66"/>
      <c r="E63" s="66" t="s">
        <v>1019</v>
      </c>
      <c r="F63" s="66"/>
      <c r="G63" s="66"/>
      <c r="H63" s="66"/>
      <c r="I63" s="66"/>
      <c r="J63" s="304"/>
      <c r="K63" s="66"/>
      <c r="L63" s="303"/>
      <c r="M63" s="66"/>
    </row>
    <row r="64" spans="1:13" x14ac:dyDescent="0.2">
      <c r="A64" s="454">
        <f>A51+1</f>
        <v>36</v>
      </c>
      <c r="B64" s="66"/>
      <c r="C64" s="66" t="s">
        <v>856</v>
      </c>
      <c r="D64" s="66"/>
      <c r="E64" s="306">
        <v>57891.289599999989</v>
      </c>
      <c r="F64" s="305">
        <v>6.6161473828571422</v>
      </c>
      <c r="G64" s="305"/>
      <c r="H64" s="306">
        <v>47458.11</v>
      </c>
      <c r="I64" s="305">
        <v>5.4237840000000004</v>
      </c>
      <c r="J64" s="304">
        <f>H64-E64</f>
        <v>-10433.179599999989</v>
      </c>
      <c r="K64" s="305"/>
      <c r="L64" s="133">
        <f>J64/E64</f>
        <v>-0.18022019671850584</v>
      </c>
      <c r="M64" s="133">
        <f>L64</f>
        <v>-0.18022019671850584</v>
      </c>
    </row>
    <row r="65" spans="1:13" x14ac:dyDescent="0.2">
      <c r="A65" s="454">
        <f>A64+1</f>
        <v>37</v>
      </c>
      <c r="B65" s="66"/>
      <c r="C65" s="66" t="s">
        <v>858</v>
      </c>
      <c r="D65" s="66"/>
      <c r="E65" s="306">
        <v>85662.5</v>
      </c>
      <c r="F65" s="305">
        <v>9.7900000000000009</v>
      </c>
      <c r="G65" s="305"/>
      <c r="H65" s="306">
        <v>85662.5</v>
      </c>
      <c r="I65" s="305">
        <v>9.7900000000000009</v>
      </c>
      <c r="J65" s="304">
        <f>H65-E65</f>
        <v>0</v>
      </c>
      <c r="K65" s="305"/>
      <c r="L65" s="133">
        <f>IFERROR(J65/E65,"100.0%")</f>
        <v>0</v>
      </c>
      <c r="M65" s="133">
        <f>L65</f>
        <v>0</v>
      </c>
    </row>
    <row r="66" spans="1:13" x14ac:dyDescent="0.2">
      <c r="A66" s="454">
        <f>A65+1</f>
        <v>38</v>
      </c>
      <c r="B66" s="66"/>
      <c r="C66" s="66" t="s">
        <v>855</v>
      </c>
      <c r="D66" s="66"/>
      <c r="E66" s="328">
        <v>0</v>
      </c>
      <c r="F66" s="328">
        <v>0</v>
      </c>
      <c r="G66" s="305"/>
      <c r="H66" s="306">
        <v>12688.375</v>
      </c>
      <c r="I66" s="305">
        <v>1.4500999999999999</v>
      </c>
      <c r="J66" s="304">
        <f>H66-E66</f>
        <v>12688.375</v>
      </c>
      <c r="K66" s="305"/>
      <c r="L66" s="133" t="str">
        <f>IFERROR(J66/E66,"100.0%")</f>
        <v>100.0%</v>
      </c>
      <c r="M66" s="133" t="str">
        <f>L66</f>
        <v>100.0%</v>
      </c>
    </row>
    <row r="67" spans="1:13" x14ac:dyDescent="0.2">
      <c r="A67" s="454">
        <f>A66+1</f>
        <v>39</v>
      </c>
      <c r="B67" s="66"/>
      <c r="C67" s="66" t="s">
        <v>88</v>
      </c>
      <c r="D67" s="66"/>
      <c r="E67" s="306">
        <v>195043.09684685813</v>
      </c>
      <c r="F67" s="305">
        <v>22.290639639640929</v>
      </c>
      <c r="G67" s="66"/>
      <c r="H67" s="306">
        <v>182904.75</v>
      </c>
      <c r="I67" s="305">
        <v>20.903400000000001</v>
      </c>
      <c r="J67" s="304">
        <f>H67-E67</f>
        <v>-12138.346846858127</v>
      </c>
      <c r="K67" s="66"/>
      <c r="L67" s="133">
        <f>J67/E67</f>
        <v>-6.2234178205182955E-2</v>
      </c>
      <c r="M67" s="133">
        <f>L67</f>
        <v>-6.2234178205182955E-2</v>
      </c>
    </row>
    <row r="68" spans="1:13" x14ac:dyDescent="0.2">
      <c r="A68" s="454">
        <f>A67+1</f>
        <v>40</v>
      </c>
      <c r="B68" s="66"/>
      <c r="C68" s="66" t="s">
        <v>854</v>
      </c>
      <c r="D68" s="66"/>
      <c r="E68" s="312">
        <f>SUM(E64:E67)</f>
        <v>338596.88644685812</v>
      </c>
      <c r="F68" s="311">
        <v>38.696787022498071</v>
      </c>
      <c r="G68" s="454"/>
      <c r="H68" s="312">
        <v>328713.73499999999</v>
      </c>
      <c r="I68" s="311">
        <v>37.567284000000001</v>
      </c>
      <c r="J68" s="310">
        <f>SUM(J64:J67)</f>
        <v>-9883.1514468581154</v>
      </c>
      <c r="K68" s="66"/>
      <c r="L68" s="514">
        <f>J68/E68</f>
        <v>-2.9188547923665712E-2</v>
      </c>
      <c r="M68" s="514">
        <f>(J68-J65)/(E68-E65)</f>
        <v>-3.9073973237460854E-2</v>
      </c>
    </row>
    <row r="69" spans="1:13" x14ac:dyDescent="0.2">
      <c r="A69" s="454"/>
      <c r="B69" s="66"/>
      <c r="C69" s="66"/>
      <c r="D69" s="66"/>
      <c r="E69" s="306"/>
      <c r="F69" s="305"/>
      <c r="G69" s="454"/>
      <c r="H69" s="306"/>
      <c r="I69" s="305"/>
      <c r="J69" s="304"/>
      <c r="K69" s="66"/>
      <c r="L69" s="303"/>
      <c r="M69" s="303"/>
    </row>
    <row r="70" spans="1:13" x14ac:dyDescent="0.2">
      <c r="A70" s="454">
        <f>A68+1</f>
        <v>41</v>
      </c>
      <c r="B70" s="66"/>
      <c r="C70" s="66" t="s">
        <v>867</v>
      </c>
      <c r="D70" s="66"/>
      <c r="E70" s="312">
        <f>SUM(E64:E66)+H67</f>
        <v>326458.53960000002</v>
      </c>
      <c r="F70" s="311">
        <v>37.309547382857147</v>
      </c>
      <c r="G70" s="454"/>
      <c r="H70" s="312">
        <f>SUM(H64:H67)</f>
        <v>328713.73499999999</v>
      </c>
      <c r="I70" s="311">
        <v>37.567284000000001</v>
      </c>
      <c r="J70" s="310">
        <f>J64+J65+J66</f>
        <v>2255.1954000000114</v>
      </c>
      <c r="K70" s="66"/>
      <c r="L70" s="313">
        <f>J70/E70</f>
        <v>6.9080606767500568E-3</v>
      </c>
      <c r="M70" s="313">
        <f>(J70-J65)/(E70-E65)</f>
        <v>9.3655834362817783E-3</v>
      </c>
    </row>
    <row r="71" spans="1:13" x14ac:dyDescent="0.2">
      <c r="A71" s="454">
        <f>A70+1</f>
        <v>42</v>
      </c>
      <c r="B71" s="66"/>
      <c r="C71" s="66" t="s">
        <v>866</v>
      </c>
      <c r="D71" s="66"/>
      <c r="E71" s="306"/>
      <c r="F71" s="305"/>
      <c r="G71" s="454"/>
      <c r="H71" s="306"/>
      <c r="I71" s="305"/>
      <c r="J71" s="304"/>
      <c r="K71" s="66"/>
      <c r="L71" s="316">
        <v>1.5709758734227183E-2</v>
      </c>
      <c r="M71" s="316">
        <v>3.8955694640459552E-2</v>
      </c>
    </row>
    <row r="72" spans="1:13" x14ac:dyDescent="0.2">
      <c r="A72" s="454"/>
      <c r="B72" s="66"/>
      <c r="C72" s="66"/>
      <c r="D72" s="66"/>
      <c r="E72" s="66"/>
      <c r="F72" s="66"/>
      <c r="G72" s="66"/>
      <c r="H72" s="66"/>
      <c r="I72" s="66"/>
      <c r="J72" s="304"/>
      <c r="K72" s="66"/>
      <c r="L72" s="303"/>
      <c r="M72" s="66"/>
    </row>
    <row r="73" spans="1:13" ht="14.25" x14ac:dyDescent="0.2">
      <c r="A73" s="454"/>
      <c r="B73" s="66"/>
      <c r="C73" s="76" t="s">
        <v>925</v>
      </c>
      <c r="D73" s="66"/>
      <c r="E73" s="66" t="s">
        <v>1020</v>
      </c>
      <c r="F73" s="66"/>
      <c r="G73" s="66"/>
      <c r="H73" s="66"/>
      <c r="I73" s="66"/>
      <c r="J73" s="304"/>
      <c r="K73" s="66"/>
      <c r="L73" s="303"/>
      <c r="M73" s="66"/>
    </row>
    <row r="74" spans="1:13" x14ac:dyDescent="0.2">
      <c r="A74" s="454">
        <f>A71+1</f>
        <v>43</v>
      </c>
      <c r="B74" s="66"/>
      <c r="C74" s="66" t="s">
        <v>856</v>
      </c>
      <c r="D74" s="66"/>
      <c r="E74" s="306">
        <v>468571.51919999998</v>
      </c>
      <c r="F74" s="305">
        <v>3.9047626599999994</v>
      </c>
      <c r="G74" s="305"/>
      <c r="H74" s="306">
        <v>358177.68479999999</v>
      </c>
      <c r="I74" s="305">
        <v>2.9848140399999998</v>
      </c>
      <c r="J74" s="304">
        <f>H74-E74</f>
        <v>-110393.83439999999</v>
      </c>
      <c r="K74" s="305"/>
      <c r="L74" s="133">
        <f>J74/E74</f>
        <v>-0.23559655223705708</v>
      </c>
      <c r="M74" s="133">
        <f>L74</f>
        <v>-0.23559655223705708</v>
      </c>
    </row>
    <row r="75" spans="1:13" x14ac:dyDescent="0.2">
      <c r="A75" s="454">
        <f>A74+1</f>
        <v>44</v>
      </c>
      <c r="B75" s="66"/>
      <c r="C75" s="66" t="s">
        <v>858</v>
      </c>
      <c r="D75" s="66"/>
      <c r="E75" s="306">
        <v>1174799.9999999998</v>
      </c>
      <c r="F75" s="305">
        <v>9.7899999999999991</v>
      </c>
      <c r="G75" s="305"/>
      <c r="H75" s="306">
        <v>1174799.9999999998</v>
      </c>
      <c r="I75" s="305">
        <v>9.7899999999999991</v>
      </c>
      <c r="J75" s="304">
        <f>H75-E75</f>
        <v>0</v>
      </c>
      <c r="K75" s="305"/>
      <c r="L75" s="133">
        <f>IFERROR(J75/E75,"100.0%")</f>
        <v>0</v>
      </c>
      <c r="M75" s="133">
        <f>L75</f>
        <v>0</v>
      </c>
    </row>
    <row r="76" spans="1:13" x14ac:dyDescent="0.2">
      <c r="A76" s="454">
        <f>A75+1</f>
        <v>45</v>
      </c>
      <c r="B76" s="66"/>
      <c r="C76" s="66" t="s">
        <v>855</v>
      </c>
      <c r="D76" s="66"/>
      <c r="E76" s="328">
        <v>0</v>
      </c>
      <c r="F76" s="328">
        <v>0</v>
      </c>
      <c r="G76" s="305"/>
      <c r="H76" s="306">
        <v>174012</v>
      </c>
      <c r="I76" s="305">
        <v>1.4500999999999999</v>
      </c>
      <c r="J76" s="304">
        <f>H76-E76</f>
        <v>174012</v>
      </c>
      <c r="K76" s="305"/>
      <c r="L76" s="133" t="str">
        <f>IFERROR(J76/E76,"100.0%")</f>
        <v>100.0%</v>
      </c>
      <c r="M76" s="133" t="str">
        <f>L76</f>
        <v>100.0%</v>
      </c>
    </row>
    <row r="77" spans="1:13" x14ac:dyDescent="0.2">
      <c r="A77" s="454">
        <f>A76+1</f>
        <v>46</v>
      </c>
      <c r="B77" s="66"/>
      <c r="C77" s="66" t="s">
        <v>88</v>
      </c>
      <c r="D77" s="66"/>
      <c r="E77" s="306">
        <v>2674876.7567569115</v>
      </c>
      <c r="F77" s="305">
        <v>22.290639639640929</v>
      </c>
      <c r="G77" s="66"/>
      <c r="H77" s="306">
        <v>2508408.0000000005</v>
      </c>
      <c r="I77" s="305">
        <v>20.903400000000001</v>
      </c>
      <c r="J77" s="304">
        <f>H77-E77</f>
        <v>-166468.75675691105</v>
      </c>
      <c r="K77" s="66"/>
      <c r="L77" s="133">
        <f>J77/E77</f>
        <v>-6.2234178205182809E-2</v>
      </c>
      <c r="M77" s="133">
        <f>L77</f>
        <v>-6.2234178205182809E-2</v>
      </c>
    </row>
    <row r="78" spans="1:13" x14ac:dyDescent="0.2">
      <c r="A78" s="454">
        <f>A77+1</f>
        <v>47</v>
      </c>
      <c r="B78" s="66"/>
      <c r="C78" s="66" t="s">
        <v>854</v>
      </c>
      <c r="D78" s="66"/>
      <c r="E78" s="312">
        <f>SUM(E74:E77)</f>
        <v>4318248.275956911</v>
      </c>
      <c r="F78" s="311">
        <v>35.985402299640924</v>
      </c>
      <c r="G78" s="454"/>
      <c r="H78" s="312">
        <v>4215397.6847999999</v>
      </c>
      <c r="I78" s="311">
        <v>35.128314039999999</v>
      </c>
      <c r="J78" s="310">
        <f>SUM(J74:J77)</f>
        <v>-102850.59115691105</v>
      </c>
      <c r="K78" s="66"/>
      <c r="L78" s="514">
        <f>J78/E78</f>
        <v>-2.3817665077193753E-2</v>
      </c>
      <c r="M78" s="514">
        <f>(J78-J75)/(E78-E75)</f>
        <v>-3.2719034044103E-2</v>
      </c>
    </row>
    <row r="79" spans="1:13" x14ac:dyDescent="0.2">
      <c r="A79" s="454"/>
      <c r="B79" s="66"/>
      <c r="C79" s="66"/>
      <c r="D79" s="66"/>
      <c r="E79" s="306"/>
      <c r="F79" s="305"/>
      <c r="G79" s="454"/>
      <c r="H79" s="306"/>
      <c r="I79" s="305"/>
      <c r="J79" s="304"/>
      <c r="K79" s="66"/>
      <c r="L79" s="303"/>
      <c r="M79" s="303"/>
    </row>
    <row r="80" spans="1:13" x14ac:dyDescent="0.2">
      <c r="A80" s="454">
        <f>A78+1</f>
        <v>48</v>
      </c>
      <c r="B80" s="66"/>
      <c r="C80" s="66" t="s">
        <v>867</v>
      </c>
      <c r="D80" s="66"/>
      <c r="E80" s="312">
        <f>SUM(E74:E76)+H77</f>
        <v>4151779.5192</v>
      </c>
      <c r="F80" s="311">
        <v>34.59816266</v>
      </c>
      <c r="G80" s="454"/>
      <c r="H80" s="312">
        <f>SUM(H74:H77)</f>
        <v>4215397.6847999999</v>
      </c>
      <c r="I80" s="311">
        <v>35.128314039999999</v>
      </c>
      <c r="J80" s="310">
        <f>J74+J75+J76</f>
        <v>63618.165600000008</v>
      </c>
      <c r="K80" s="66"/>
      <c r="L80" s="313">
        <f>J80/E80</f>
        <v>1.5323107912112466E-2</v>
      </c>
      <c r="M80" s="313">
        <f>(J80-J75)/(E80-E75)</f>
        <v>2.1370038050210045E-2</v>
      </c>
    </row>
    <row r="81" spans="1:13" x14ac:dyDescent="0.2">
      <c r="A81" s="454">
        <f>A80+1</f>
        <v>49</v>
      </c>
      <c r="B81" s="66"/>
      <c r="C81" s="66" t="s">
        <v>866</v>
      </c>
      <c r="D81" s="66"/>
      <c r="E81" s="306"/>
      <c r="F81" s="305"/>
      <c r="G81" s="454"/>
      <c r="H81" s="306"/>
      <c r="I81" s="305"/>
      <c r="J81" s="304"/>
      <c r="K81" s="66"/>
      <c r="L81" s="316">
        <v>3.8711980131534471E-2</v>
      </c>
      <c r="M81" s="316">
        <v>0.13577044910586195</v>
      </c>
    </row>
    <row r="85" spans="1:13" x14ac:dyDescent="0.2">
      <c r="A85" s="566" t="s">
        <v>1146</v>
      </c>
      <c r="B85" s="566"/>
      <c r="C85" s="566"/>
      <c r="D85" s="566"/>
      <c r="E85" s="566"/>
      <c r="F85" s="566"/>
      <c r="G85" s="566"/>
      <c r="H85" s="566"/>
      <c r="I85" s="566"/>
      <c r="J85" s="566"/>
      <c r="K85" s="566"/>
      <c r="L85" s="566"/>
      <c r="M85" s="566"/>
    </row>
    <row r="86" spans="1:13" x14ac:dyDescent="0.2">
      <c r="A86" s="566" t="s">
        <v>952</v>
      </c>
      <c r="B86" s="566"/>
      <c r="C86" s="566"/>
      <c r="D86" s="566"/>
      <c r="E86" s="566"/>
      <c r="F86" s="566"/>
      <c r="G86" s="566"/>
      <c r="H86" s="566"/>
      <c r="I86" s="566"/>
      <c r="J86" s="566"/>
      <c r="K86" s="566"/>
      <c r="L86" s="566"/>
      <c r="M86" s="566"/>
    </row>
    <row r="87" spans="1:13" x14ac:dyDescent="0.2">
      <c r="A87" s="533"/>
      <c r="B87" s="533"/>
      <c r="C87" s="533"/>
      <c r="D87" s="533"/>
      <c r="E87" s="533"/>
      <c r="F87" s="533"/>
      <c r="G87" s="533"/>
      <c r="H87" s="533"/>
      <c r="I87" s="533"/>
      <c r="J87" s="533"/>
      <c r="K87" s="533"/>
      <c r="L87" s="533"/>
      <c r="M87" s="533"/>
    </row>
    <row r="88" spans="1:13" x14ac:dyDescent="0.2">
      <c r="A88" s="454"/>
      <c r="B88" s="66"/>
      <c r="C88" s="66"/>
      <c r="D88" s="66"/>
      <c r="E88" s="567" t="s">
        <v>894</v>
      </c>
      <c r="F88" s="567"/>
      <c r="G88" s="66"/>
      <c r="H88" s="567" t="s">
        <v>893</v>
      </c>
      <c r="I88" s="567"/>
      <c r="J88" s="567"/>
      <c r="K88" s="66"/>
      <c r="L88" s="567" t="s">
        <v>892</v>
      </c>
      <c r="M88" s="567"/>
    </row>
    <row r="89" spans="1:13" x14ac:dyDescent="0.2">
      <c r="A89" s="454"/>
      <c r="B89" s="66"/>
      <c r="C89" s="66"/>
      <c r="D89" s="66"/>
      <c r="E89" s="454"/>
      <c r="F89" s="454"/>
      <c r="G89" s="66"/>
      <c r="H89" s="454"/>
      <c r="I89" s="454"/>
      <c r="J89" s="454" t="s">
        <v>889</v>
      </c>
      <c r="K89" s="66"/>
      <c r="L89" s="454" t="s">
        <v>891</v>
      </c>
      <c r="M89" s="454" t="s">
        <v>890</v>
      </c>
    </row>
    <row r="90" spans="1:13" x14ac:dyDescent="0.2">
      <c r="A90" s="454" t="s">
        <v>0</v>
      </c>
      <c r="B90" s="66"/>
      <c r="C90" s="66"/>
      <c r="D90" s="66"/>
      <c r="E90" s="454" t="s">
        <v>889</v>
      </c>
      <c r="F90" s="454" t="s">
        <v>265</v>
      </c>
      <c r="G90" s="66"/>
      <c r="H90" s="454" t="s">
        <v>889</v>
      </c>
      <c r="I90" s="454" t="s">
        <v>265</v>
      </c>
      <c r="J90" s="454" t="s">
        <v>361</v>
      </c>
      <c r="K90" s="66"/>
      <c r="L90" s="454" t="s">
        <v>888</v>
      </c>
      <c r="M90" s="454" t="s">
        <v>888</v>
      </c>
    </row>
    <row r="91" spans="1:13" ht="14.25" x14ac:dyDescent="0.2">
      <c r="A91" s="534" t="s">
        <v>1</v>
      </c>
      <c r="B91" s="66"/>
      <c r="C91" s="75" t="s">
        <v>33</v>
      </c>
      <c r="D91" s="66"/>
      <c r="E91" s="534" t="s">
        <v>470</v>
      </c>
      <c r="F91" s="534" t="s">
        <v>35</v>
      </c>
      <c r="G91" s="66"/>
      <c r="H91" s="534" t="s">
        <v>470</v>
      </c>
      <c r="I91" s="534" t="s">
        <v>35</v>
      </c>
      <c r="J91" s="534" t="s">
        <v>470</v>
      </c>
      <c r="K91" s="66"/>
      <c r="L91" s="534" t="s">
        <v>2</v>
      </c>
      <c r="M91" s="534" t="s">
        <v>2</v>
      </c>
    </row>
    <row r="92" spans="1:13" x14ac:dyDescent="0.2">
      <c r="D92" s="66"/>
      <c r="E92" s="454" t="s">
        <v>3</v>
      </c>
      <c r="F92" s="454" t="s">
        <v>4</v>
      </c>
      <c r="G92" s="454"/>
      <c r="H92" s="454" t="s">
        <v>119</v>
      </c>
      <c r="I92" s="454" t="s">
        <v>263</v>
      </c>
      <c r="J92" s="454" t="s">
        <v>887</v>
      </c>
      <c r="K92" s="454"/>
      <c r="L92" s="454" t="s">
        <v>886</v>
      </c>
      <c r="M92" s="454" t="s">
        <v>38</v>
      </c>
    </row>
    <row r="93" spans="1:13" x14ac:dyDescent="0.2">
      <c r="A93" s="454"/>
      <c r="B93" s="66"/>
      <c r="C93" s="66"/>
      <c r="D93" s="66"/>
      <c r="E93" s="66"/>
      <c r="F93" s="66"/>
      <c r="G93" s="66"/>
      <c r="H93" s="66"/>
      <c r="I93" s="66"/>
      <c r="J93" s="304"/>
      <c r="K93" s="66"/>
      <c r="L93" s="66"/>
      <c r="M93" s="66"/>
    </row>
    <row r="94" spans="1:13" ht="14.25" x14ac:dyDescent="0.2">
      <c r="A94" s="454"/>
      <c r="B94" s="66"/>
      <c r="C94" s="76" t="s">
        <v>924</v>
      </c>
      <c r="D94" s="66"/>
      <c r="E94" s="66" t="s">
        <v>1021</v>
      </c>
      <c r="F94" s="66"/>
      <c r="G94" s="66"/>
      <c r="H94" s="66"/>
      <c r="I94" s="66"/>
      <c r="J94" s="304"/>
      <c r="K94" s="66"/>
      <c r="L94" s="66"/>
      <c r="M94" s="66"/>
    </row>
    <row r="95" spans="1:13" x14ac:dyDescent="0.2">
      <c r="A95" s="454">
        <f>A81+1</f>
        <v>50</v>
      </c>
      <c r="B95" s="66"/>
      <c r="C95" s="66" t="s">
        <v>856</v>
      </c>
      <c r="D95" s="66"/>
      <c r="E95" s="306">
        <v>38792.834999999999</v>
      </c>
      <c r="F95" s="305">
        <v>4.7021618181818177</v>
      </c>
      <c r="G95" s="305"/>
      <c r="H95" s="306">
        <v>24235.8</v>
      </c>
      <c r="I95" s="305">
        <v>2.9376727272727274</v>
      </c>
      <c r="J95" s="304">
        <f>H95-E95</f>
        <v>-14557.035</v>
      </c>
      <c r="K95" s="305"/>
      <c r="L95" s="133">
        <f>J95/E95</f>
        <v>-0.375250610067555</v>
      </c>
      <c r="M95" s="133">
        <f>L95</f>
        <v>-0.375250610067555</v>
      </c>
    </row>
    <row r="96" spans="1:13" x14ac:dyDescent="0.2">
      <c r="A96" s="454">
        <f>A95+1</f>
        <v>51</v>
      </c>
      <c r="B96" s="66"/>
      <c r="C96" s="66" t="s">
        <v>858</v>
      </c>
      <c r="D96" s="66"/>
      <c r="E96" s="306">
        <v>80767.499999999985</v>
      </c>
      <c r="F96" s="305">
        <v>9.7899999999999991</v>
      </c>
      <c r="G96" s="305"/>
      <c r="H96" s="306">
        <v>80767.499999999985</v>
      </c>
      <c r="I96" s="305">
        <v>9.7899999999999991</v>
      </c>
      <c r="J96" s="304">
        <f>H96-E96</f>
        <v>0</v>
      </c>
      <c r="K96" s="305"/>
      <c r="L96" s="133">
        <f>IFERROR(J96/E96,"100.0%")</f>
        <v>0</v>
      </c>
      <c r="M96" s="133">
        <f>L96</f>
        <v>0</v>
      </c>
    </row>
    <row r="97" spans="1:13" x14ac:dyDescent="0.2">
      <c r="A97" s="454">
        <f>A96+1</f>
        <v>52</v>
      </c>
      <c r="B97" s="66"/>
      <c r="C97" s="66" t="s">
        <v>855</v>
      </c>
      <c r="D97" s="66"/>
      <c r="E97" s="328">
        <v>0</v>
      </c>
      <c r="F97" s="328">
        <v>0</v>
      </c>
      <c r="G97" s="305"/>
      <c r="H97" s="306">
        <v>7770.6750000000002</v>
      </c>
      <c r="I97" s="305">
        <v>0.94190000000000007</v>
      </c>
      <c r="J97" s="304">
        <f>H97-E97</f>
        <v>7770.6750000000002</v>
      </c>
      <c r="K97" s="305"/>
      <c r="L97" s="133" t="str">
        <f>IFERROR(J97/E97,"100.0%")</f>
        <v>100.0%</v>
      </c>
      <c r="M97" s="133" t="str">
        <f>L97</f>
        <v>100.0%</v>
      </c>
    </row>
    <row r="98" spans="1:13" x14ac:dyDescent="0.2">
      <c r="A98" s="454">
        <f>A97+1</f>
        <v>53</v>
      </c>
      <c r="B98" s="66"/>
      <c r="C98" s="66" t="s">
        <v>88</v>
      </c>
      <c r="D98" s="66"/>
      <c r="E98" s="306">
        <v>183897.77702703766</v>
      </c>
      <c r="F98" s="305">
        <v>22.290639639640929</v>
      </c>
      <c r="G98" s="66"/>
      <c r="H98" s="306">
        <v>172453.05</v>
      </c>
      <c r="I98" s="305">
        <v>20.903400000000001</v>
      </c>
      <c r="J98" s="304">
        <f>H98-E98</f>
        <v>-11444.727027037676</v>
      </c>
      <c r="K98" s="66"/>
      <c r="L98" s="133">
        <f>J98/E98</f>
        <v>-6.2234178205183031E-2</v>
      </c>
      <c r="M98" s="133">
        <f>L98</f>
        <v>-6.2234178205183031E-2</v>
      </c>
    </row>
    <row r="99" spans="1:13" x14ac:dyDescent="0.2">
      <c r="A99" s="454">
        <f>A98+1</f>
        <v>54</v>
      </c>
      <c r="B99" s="66"/>
      <c r="C99" s="66" t="s">
        <v>854</v>
      </c>
      <c r="D99" s="66"/>
      <c r="E99" s="312">
        <f>SUM(E95:E98)</f>
        <v>303458.11202703766</v>
      </c>
      <c r="F99" s="311">
        <v>36.782801457822742</v>
      </c>
      <c r="G99" s="454"/>
      <c r="H99" s="312">
        <f>SUM(H95:H98)</f>
        <v>285227.02499999997</v>
      </c>
      <c r="I99" s="311">
        <v>34.57297272727272</v>
      </c>
      <c r="J99" s="310">
        <f>SUM(J95:J98)</f>
        <v>-18231.087027037676</v>
      </c>
      <c r="K99" s="66"/>
      <c r="L99" s="514">
        <f>J99/E99</f>
        <v>-6.0077771212829909E-2</v>
      </c>
      <c r="M99" s="514">
        <f>(J99-J96)/(E99-E96)</f>
        <v>-8.1867335408033162E-2</v>
      </c>
    </row>
    <row r="100" spans="1:13" x14ac:dyDescent="0.2">
      <c r="A100" s="454"/>
      <c r="B100" s="66"/>
      <c r="C100" s="66"/>
      <c r="D100" s="66"/>
      <c r="E100" s="306"/>
      <c r="F100" s="305"/>
      <c r="G100" s="454"/>
      <c r="H100" s="306"/>
      <c r="I100" s="305"/>
      <c r="J100" s="304"/>
      <c r="K100" s="66"/>
      <c r="L100" s="303"/>
      <c r="M100" s="303"/>
    </row>
    <row r="101" spans="1:13" x14ac:dyDescent="0.2">
      <c r="A101" s="454">
        <f>A99+1</f>
        <v>55</v>
      </c>
      <c r="B101" s="66"/>
      <c r="C101" s="66" t="s">
        <v>867</v>
      </c>
      <c r="D101" s="66"/>
      <c r="E101" s="312">
        <f>SUM(E95:E97)+H98</f>
        <v>292013.38500000001</v>
      </c>
      <c r="F101" s="311">
        <v>35.395561818181818</v>
      </c>
      <c r="G101" s="454"/>
      <c r="H101" s="312">
        <f>SUM(H95:H98)</f>
        <v>285227.02499999997</v>
      </c>
      <c r="I101" s="311">
        <v>34.57297272727272</v>
      </c>
      <c r="J101" s="310">
        <f>J95+J96+J97</f>
        <v>-6786.36</v>
      </c>
      <c r="K101" s="66"/>
      <c r="L101" s="514">
        <f>J101/E101</f>
        <v>-2.3239893609671349E-2</v>
      </c>
      <c r="M101" s="514">
        <f>(J101-J96)/(E101-E96)</f>
        <v>-3.212540684520316E-2</v>
      </c>
    </row>
    <row r="102" spans="1:13" x14ac:dyDescent="0.2">
      <c r="A102" s="454">
        <f>A101+1</f>
        <v>56</v>
      </c>
      <c r="B102" s="66"/>
      <c r="C102" s="66" t="s">
        <v>866</v>
      </c>
      <c r="D102" s="66"/>
      <c r="E102" s="306"/>
      <c r="F102" s="305"/>
      <c r="G102" s="454"/>
      <c r="H102" s="306"/>
      <c r="I102" s="305"/>
      <c r="J102" s="304"/>
      <c r="K102" s="66"/>
      <c r="L102" s="133">
        <v>-5.6760965080935928E-2</v>
      </c>
      <c r="M102" s="133">
        <v>-0.17493849057435482</v>
      </c>
    </row>
    <row r="103" spans="1:13" x14ac:dyDescent="0.2">
      <c r="A103" s="454"/>
      <c r="B103" s="66"/>
      <c r="C103" s="66"/>
      <c r="D103" s="66"/>
      <c r="E103" s="66"/>
      <c r="F103" s="66"/>
      <c r="G103" s="66"/>
      <c r="H103" s="66"/>
      <c r="I103" s="66"/>
      <c r="J103" s="304"/>
      <c r="K103" s="66"/>
      <c r="L103" s="133"/>
      <c r="M103" s="133"/>
    </row>
    <row r="104" spans="1:13" ht="14.25" x14ac:dyDescent="0.2">
      <c r="A104" s="454"/>
      <c r="B104" s="66"/>
      <c r="C104" s="76" t="s">
        <v>923</v>
      </c>
      <c r="D104" s="66"/>
      <c r="E104" s="66" t="s">
        <v>1022</v>
      </c>
      <c r="F104" s="66"/>
      <c r="G104" s="66"/>
      <c r="H104" s="66"/>
      <c r="I104" s="66"/>
      <c r="J104" s="304"/>
      <c r="K104" s="66"/>
      <c r="L104" s="133"/>
      <c r="M104" s="133"/>
    </row>
    <row r="105" spans="1:13" x14ac:dyDescent="0.2">
      <c r="A105" s="454">
        <f>A102+1</f>
        <v>57</v>
      </c>
      <c r="B105" s="66"/>
      <c r="C105" s="66" t="s">
        <v>856</v>
      </c>
      <c r="D105" s="66"/>
      <c r="E105" s="306">
        <v>227249.56</v>
      </c>
      <c r="F105" s="305">
        <v>3.4961470769230769</v>
      </c>
      <c r="G105" s="305"/>
      <c r="H105" s="306">
        <v>133679.5</v>
      </c>
      <c r="I105" s="305">
        <v>2.0566076923076921</v>
      </c>
      <c r="J105" s="304">
        <f>H105-E105</f>
        <v>-93570.06</v>
      </c>
      <c r="K105" s="305"/>
      <c r="L105" s="133">
        <f>J105/E105</f>
        <v>-0.41175023617207446</v>
      </c>
      <c r="M105" s="133">
        <f>L105</f>
        <v>-0.41175023617207446</v>
      </c>
    </row>
    <row r="106" spans="1:13" x14ac:dyDescent="0.2">
      <c r="A106" s="454">
        <f>A105+1</f>
        <v>58</v>
      </c>
      <c r="B106" s="66"/>
      <c r="C106" s="66" t="s">
        <v>858</v>
      </c>
      <c r="D106" s="66"/>
      <c r="E106" s="306">
        <v>636349.99999999988</v>
      </c>
      <c r="F106" s="305">
        <v>9.7899999999999991</v>
      </c>
      <c r="G106" s="305"/>
      <c r="H106" s="306">
        <v>636349.99999999988</v>
      </c>
      <c r="I106" s="305">
        <v>9.7899999999999991</v>
      </c>
      <c r="J106" s="304">
        <f>H106-E106</f>
        <v>0</v>
      </c>
      <c r="K106" s="305"/>
      <c r="L106" s="133">
        <f>IFERROR(J106/E106,"100.0%")</f>
        <v>0</v>
      </c>
      <c r="M106" s="133">
        <f>L106</f>
        <v>0</v>
      </c>
    </row>
    <row r="107" spans="1:13" x14ac:dyDescent="0.2">
      <c r="A107" s="454">
        <f>A106+1</f>
        <v>59</v>
      </c>
      <c r="B107" s="66"/>
      <c r="C107" s="66" t="s">
        <v>855</v>
      </c>
      <c r="D107" s="66"/>
      <c r="E107" s="328">
        <v>0</v>
      </c>
      <c r="F107" s="328">
        <v>0</v>
      </c>
      <c r="G107" s="305"/>
      <c r="H107" s="306">
        <v>61223.5</v>
      </c>
      <c r="I107" s="305">
        <v>0.94190000000000007</v>
      </c>
      <c r="J107" s="304">
        <f>H107-E107</f>
        <v>61223.5</v>
      </c>
      <c r="K107" s="305"/>
      <c r="L107" s="133" t="str">
        <f>IFERROR(J107/E107,"100.0%")</f>
        <v>100.0%</v>
      </c>
      <c r="M107" s="133" t="str">
        <f>L107</f>
        <v>100.0%</v>
      </c>
    </row>
    <row r="108" spans="1:13" x14ac:dyDescent="0.2">
      <c r="A108" s="454">
        <f>A107+1</f>
        <v>60</v>
      </c>
      <c r="B108" s="66"/>
      <c r="C108" s="66" t="s">
        <v>88</v>
      </c>
      <c r="D108" s="66"/>
      <c r="E108" s="306">
        <v>1448891.5765766604</v>
      </c>
      <c r="F108" s="305">
        <v>22.290639639640929</v>
      </c>
      <c r="G108" s="66"/>
      <c r="H108" s="306">
        <v>1358721</v>
      </c>
      <c r="I108" s="305">
        <v>20.903400000000001</v>
      </c>
      <c r="J108" s="304">
        <f>H108-E108</f>
        <v>-90170.576576660387</v>
      </c>
      <c r="K108" s="66"/>
      <c r="L108" s="133">
        <f>J108/E108</f>
        <v>-6.2234178205182969E-2</v>
      </c>
      <c r="M108" s="133">
        <f>L108</f>
        <v>-6.2234178205182969E-2</v>
      </c>
    </row>
    <row r="109" spans="1:13" x14ac:dyDescent="0.2">
      <c r="A109" s="454">
        <f>A108+1</f>
        <v>61</v>
      </c>
      <c r="B109" s="66"/>
      <c r="C109" s="66" t="s">
        <v>854</v>
      </c>
      <c r="D109" s="66"/>
      <c r="E109" s="312">
        <f>SUM(E105:E108)</f>
        <v>2312491.13657666</v>
      </c>
      <c r="F109" s="311">
        <v>35.576786716564001</v>
      </c>
      <c r="G109" s="454"/>
      <c r="H109" s="312">
        <f>SUM(H105:H108)</f>
        <v>2189974</v>
      </c>
      <c r="I109" s="311">
        <v>33.691907692307694</v>
      </c>
      <c r="J109" s="310">
        <f>SUM(J105:J108)</f>
        <v>-122517.13657666038</v>
      </c>
      <c r="K109" s="66"/>
      <c r="L109" s="514">
        <f>J109/E109</f>
        <v>-5.298058645017379E-2</v>
      </c>
      <c r="M109" s="514">
        <f>(J109-J106)/(E109-E106)</f>
        <v>-7.3094761475091891E-2</v>
      </c>
    </row>
    <row r="110" spans="1:13" x14ac:dyDescent="0.2">
      <c r="A110" s="454"/>
      <c r="B110" s="66"/>
      <c r="C110" s="66"/>
      <c r="D110" s="66"/>
      <c r="E110" s="306"/>
      <c r="F110" s="305"/>
      <c r="G110" s="454"/>
      <c r="H110" s="306"/>
      <c r="I110" s="305"/>
      <c r="J110" s="304"/>
      <c r="K110" s="66"/>
      <c r="L110" s="303"/>
      <c r="M110" s="303"/>
    </row>
    <row r="111" spans="1:13" x14ac:dyDescent="0.2">
      <c r="A111" s="454">
        <f>A109+1</f>
        <v>62</v>
      </c>
      <c r="B111" s="66"/>
      <c r="C111" s="66" t="s">
        <v>867</v>
      </c>
      <c r="D111" s="66"/>
      <c r="E111" s="312">
        <f>SUM(E105:E107)+H108</f>
        <v>2222320.5599999996</v>
      </c>
      <c r="F111" s="311">
        <v>34.18954707692307</v>
      </c>
      <c r="G111" s="454"/>
      <c r="H111" s="312">
        <f>SUM(H105:H108)</f>
        <v>2189974</v>
      </c>
      <c r="I111" s="311">
        <v>33.691907692307694</v>
      </c>
      <c r="J111" s="310">
        <f>J105+J106+J107</f>
        <v>-32346.559999999998</v>
      </c>
      <c r="K111" s="66"/>
      <c r="L111" s="514">
        <f>J111/E111</f>
        <v>-1.4555307898514877E-2</v>
      </c>
      <c r="M111" s="514">
        <f>(J111-J106)/(E111-E106)</f>
        <v>-2.0395435335193109E-2</v>
      </c>
    </row>
    <row r="112" spans="1:13" x14ac:dyDescent="0.2">
      <c r="A112" s="454">
        <f>A111+1</f>
        <v>63</v>
      </c>
      <c r="B112" s="66"/>
      <c r="C112" s="66" t="s">
        <v>866</v>
      </c>
      <c r="D112" s="66"/>
      <c r="E112" s="306"/>
      <c r="F112" s="305"/>
      <c r="G112" s="454"/>
      <c r="H112" s="306"/>
      <c r="I112" s="305"/>
      <c r="J112" s="304"/>
      <c r="K112" s="66"/>
      <c r="L112" s="133">
        <v>-3.7455507735552812E-2</v>
      </c>
      <c r="M112" s="133">
        <v>-0.14233937350637774</v>
      </c>
    </row>
    <row r="113" spans="1:13" x14ac:dyDescent="0.2">
      <c r="A113" s="454"/>
      <c r="B113" s="66"/>
      <c r="C113" s="66"/>
      <c r="D113" s="66"/>
      <c r="E113" s="66"/>
      <c r="F113" s="66"/>
      <c r="G113" s="66"/>
      <c r="H113" s="66"/>
      <c r="I113" s="66"/>
      <c r="J113" s="304"/>
      <c r="K113" s="66"/>
      <c r="L113" s="133"/>
      <c r="M113" s="133"/>
    </row>
    <row r="114" spans="1:13" ht="14.25" x14ac:dyDescent="0.2">
      <c r="A114" s="454"/>
      <c r="B114" s="66"/>
      <c r="C114" s="76" t="s">
        <v>922</v>
      </c>
      <c r="D114" s="66"/>
      <c r="E114" s="66" t="s">
        <v>1023</v>
      </c>
      <c r="F114" s="66"/>
      <c r="G114" s="66"/>
      <c r="H114" s="66"/>
      <c r="I114" s="66"/>
      <c r="J114" s="304"/>
      <c r="K114" s="66"/>
      <c r="L114" s="133"/>
      <c r="M114" s="133"/>
    </row>
    <row r="115" spans="1:13" x14ac:dyDescent="0.2">
      <c r="A115" s="454">
        <f>A112+1</f>
        <v>64</v>
      </c>
      <c r="B115" s="66"/>
      <c r="C115" s="66" t="s">
        <v>856</v>
      </c>
      <c r="D115" s="66"/>
      <c r="E115" s="306">
        <v>842327.10000000009</v>
      </c>
      <c r="F115" s="305">
        <v>2.3397975</v>
      </c>
      <c r="G115" s="305"/>
      <c r="H115" s="306">
        <v>935136.00000000012</v>
      </c>
      <c r="I115" s="305">
        <v>2.5976000000000004</v>
      </c>
      <c r="J115" s="304">
        <f>H115-E115</f>
        <v>92808.900000000023</v>
      </c>
      <c r="K115" s="305"/>
      <c r="L115" s="133">
        <f>J115/E115</f>
        <v>0.11018154348827197</v>
      </c>
      <c r="M115" s="133">
        <f>L115</f>
        <v>0.11018154348827197</v>
      </c>
    </row>
    <row r="116" spans="1:13" x14ac:dyDescent="0.2">
      <c r="A116" s="454">
        <f>A115+1</f>
        <v>65</v>
      </c>
      <c r="B116" s="66"/>
      <c r="C116" s="66" t="s">
        <v>858</v>
      </c>
      <c r="D116" s="66"/>
      <c r="E116" s="306">
        <v>3524399.9999999995</v>
      </c>
      <c r="F116" s="305">
        <v>9.7899999999999991</v>
      </c>
      <c r="G116" s="305"/>
      <c r="H116" s="306">
        <v>3524399.9999999995</v>
      </c>
      <c r="I116" s="305">
        <v>9.7899999999999991</v>
      </c>
      <c r="J116" s="304">
        <f>H116-E116</f>
        <v>0</v>
      </c>
      <c r="K116" s="305"/>
      <c r="L116" s="133">
        <f>IFERROR(J116/E116,"100.0%")</f>
        <v>0</v>
      </c>
      <c r="M116" s="133">
        <f>L116</f>
        <v>0</v>
      </c>
    </row>
    <row r="117" spans="1:13" x14ac:dyDescent="0.2">
      <c r="A117" s="454">
        <f>A116+1</f>
        <v>66</v>
      </c>
      <c r="B117" s="66"/>
      <c r="C117" s="66" t="s">
        <v>855</v>
      </c>
      <c r="D117" s="66"/>
      <c r="E117" s="328">
        <v>0</v>
      </c>
      <c r="F117" s="328">
        <v>0</v>
      </c>
      <c r="G117" s="305"/>
      <c r="H117" s="306">
        <v>572436</v>
      </c>
      <c r="I117" s="305">
        <v>1.5900999999999998</v>
      </c>
      <c r="J117" s="304">
        <f>H117-E117</f>
        <v>572436</v>
      </c>
      <c r="K117" s="305"/>
      <c r="L117" s="133" t="str">
        <f>IFERROR(J117/E117,"100.0%")</f>
        <v>100.0%</v>
      </c>
      <c r="M117" s="133" t="str">
        <f>L117</f>
        <v>100.0%</v>
      </c>
    </row>
    <row r="118" spans="1:13" x14ac:dyDescent="0.2">
      <c r="A118" s="454">
        <f>A117+1</f>
        <v>67</v>
      </c>
      <c r="B118" s="66"/>
      <c r="C118" s="66" t="s">
        <v>88</v>
      </c>
      <c r="D118" s="66"/>
      <c r="E118" s="306">
        <v>8024630.270270735</v>
      </c>
      <c r="F118" s="305">
        <v>22.290639639640929</v>
      </c>
      <c r="G118" s="66"/>
      <c r="H118" s="306">
        <v>7525224</v>
      </c>
      <c r="I118" s="305">
        <v>20.903400000000001</v>
      </c>
      <c r="J118" s="304">
        <f>H118-E118</f>
        <v>-499406.27027073503</v>
      </c>
      <c r="K118" s="66"/>
      <c r="L118" s="133">
        <f>J118/E118</f>
        <v>-6.2234178205183038E-2</v>
      </c>
      <c r="M118" s="133">
        <f>L118</f>
        <v>-6.2234178205183038E-2</v>
      </c>
    </row>
    <row r="119" spans="1:13" x14ac:dyDescent="0.2">
      <c r="A119" s="454">
        <f>A118+1</f>
        <v>68</v>
      </c>
      <c r="B119" s="66"/>
      <c r="C119" s="66" t="s">
        <v>854</v>
      </c>
      <c r="D119" s="66"/>
      <c r="E119" s="312">
        <f>SUM(E115:E118)</f>
        <v>12391357.370270735</v>
      </c>
      <c r="F119" s="311">
        <v>34.420437139640931</v>
      </c>
      <c r="G119" s="454"/>
      <c r="H119" s="312">
        <f>SUM(H115:H118)</f>
        <v>12557196</v>
      </c>
      <c r="I119" s="311">
        <v>34.881099999999996</v>
      </c>
      <c r="J119" s="310">
        <f>SUM(J115:J118)</f>
        <v>165838.629729265</v>
      </c>
      <c r="K119" s="66"/>
      <c r="L119" s="313">
        <f>J119/E119</f>
        <v>1.3383411096442427E-2</v>
      </c>
      <c r="M119" s="313">
        <f>(J119-J116)/(E119-E116)</f>
        <v>1.8702991658140954E-2</v>
      </c>
    </row>
    <row r="120" spans="1:13" x14ac:dyDescent="0.2">
      <c r="A120" s="454"/>
      <c r="B120" s="66"/>
      <c r="C120" s="66"/>
      <c r="D120" s="66"/>
      <c r="E120" s="306"/>
      <c r="F120" s="305"/>
      <c r="G120" s="454"/>
      <c r="H120" s="306"/>
      <c r="I120" s="305"/>
      <c r="J120" s="304"/>
      <c r="K120" s="66"/>
      <c r="L120" s="303"/>
      <c r="M120" s="303"/>
    </row>
    <row r="121" spans="1:13" x14ac:dyDescent="0.2">
      <c r="A121" s="454">
        <f>A119+1</f>
        <v>69</v>
      </c>
      <c r="B121" s="66"/>
      <c r="C121" s="66" t="s">
        <v>867</v>
      </c>
      <c r="D121" s="66"/>
      <c r="E121" s="312">
        <f>SUM(E115:E117)+H118</f>
        <v>11891951.1</v>
      </c>
      <c r="F121" s="311">
        <v>33.0331975</v>
      </c>
      <c r="G121" s="454"/>
      <c r="H121" s="312">
        <f>SUM(H115:H118)</f>
        <v>12557196</v>
      </c>
      <c r="I121" s="311">
        <v>34.881099999999996</v>
      </c>
      <c r="J121" s="310">
        <f>J115+J116+J117</f>
        <v>665244.9</v>
      </c>
      <c r="K121" s="66"/>
      <c r="L121" s="313">
        <f>J121/E121</f>
        <v>5.5940769887625932E-2</v>
      </c>
      <c r="M121" s="313">
        <f>(J121-J116)/(E121-E116)</f>
        <v>7.9502938440375953E-2</v>
      </c>
    </row>
    <row r="122" spans="1:13" x14ac:dyDescent="0.2">
      <c r="A122" s="454">
        <f>A121+1</f>
        <v>70</v>
      </c>
      <c r="B122" s="66"/>
      <c r="C122" s="66" t="s">
        <v>866</v>
      </c>
      <c r="D122" s="66"/>
      <c r="E122" s="306"/>
      <c r="F122" s="305"/>
      <c r="G122" s="454"/>
      <c r="H122" s="306"/>
      <c r="I122" s="305"/>
      <c r="J122" s="304"/>
      <c r="K122" s="66"/>
      <c r="L122" s="316">
        <v>0.15234405191018235</v>
      </c>
      <c r="M122" s="316">
        <v>0.7897702685809348</v>
      </c>
    </row>
    <row r="123" spans="1:13" x14ac:dyDescent="0.2">
      <c r="A123" s="454"/>
      <c r="B123" s="66"/>
      <c r="C123" s="66"/>
      <c r="D123" s="66"/>
      <c r="E123" s="66"/>
      <c r="F123" s="66"/>
      <c r="G123" s="66"/>
      <c r="H123" s="66"/>
      <c r="I123" s="66"/>
      <c r="J123" s="304"/>
      <c r="K123" s="66"/>
      <c r="L123" s="66"/>
      <c r="M123" s="66"/>
    </row>
    <row r="124" spans="1:13" ht="14.25" x14ac:dyDescent="0.2">
      <c r="A124" s="454"/>
      <c r="B124" s="66"/>
      <c r="C124" s="76" t="s">
        <v>921</v>
      </c>
      <c r="D124" s="66"/>
      <c r="E124" s="66" t="s">
        <v>1024</v>
      </c>
      <c r="F124" s="66"/>
      <c r="G124" s="66"/>
      <c r="H124" s="66"/>
      <c r="I124" s="66"/>
      <c r="J124" s="304"/>
      <c r="K124" s="66"/>
      <c r="L124" s="66"/>
      <c r="M124" s="66"/>
    </row>
    <row r="125" spans="1:13" x14ac:dyDescent="0.2">
      <c r="A125" s="454">
        <f>A122+1</f>
        <v>71</v>
      </c>
      <c r="B125" s="66"/>
      <c r="C125" s="66" t="s">
        <v>856</v>
      </c>
      <c r="D125" s="66"/>
      <c r="E125" s="306">
        <v>3183888.8</v>
      </c>
      <c r="F125" s="305">
        <v>6.1228630769230765</v>
      </c>
      <c r="G125" s="305"/>
      <c r="H125" s="306">
        <v>3595704.0000000009</v>
      </c>
      <c r="I125" s="305">
        <v>6.9148153846153857</v>
      </c>
      <c r="J125" s="304">
        <f>H125-E125</f>
        <v>411815.20000000112</v>
      </c>
      <c r="K125" s="305"/>
      <c r="L125" s="133">
        <f>J125/E125</f>
        <v>0.1293434619952811</v>
      </c>
      <c r="M125" s="133">
        <f>L125</f>
        <v>0.1293434619952811</v>
      </c>
    </row>
    <row r="126" spans="1:13" x14ac:dyDescent="0.2">
      <c r="A126" s="454">
        <f>A125+1</f>
        <v>72</v>
      </c>
      <c r="B126" s="66"/>
      <c r="C126" s="66" t="s">
        <v>858</v>
      </c>
      <c r="D126" s="66"/>
      <c r="E126" s="306">
        <v>5090799.9999999991</v>
      </c>
      <c r="F126" s="305">
        <v>9.7899999999999991</v>
      </c>
      <c r="G126" s="305"/>
      <c r="H126" s="306">
        <v>5090799.9999999991</v>
      </c>
      <c r="I126" s="305">
        <v>9.7899999999999991</v>
      </c>
      <c r="J126" s="304">
        <f>H126-E126</f>
        <v>0</v>
      </c>
      <c r="K126" s="305"/>
      <c r="L126" s="133">
        <f>IFERROR(J126/E126,"100.0%")</f>
        <v>0</v>
      </c>
      <c r="M126" s="133">
        <f>L126</f>
        <v>0</v>
      </c>
    </row>
    <row r="127" spans="1:13" x14ac:dyDescent="0.2">
      <c r="A127" s="454">
        <f>A126+1</f>
        <v>73</v>
      </c>
      <c r="B127" s="66"/>
      <c r="C127" s="66" t="s">
        <v>855</v>
      </c>
      <c r="D127" s="66"/>
      <c r="E127" s="328">
        <v>0</v>
      </c>
      <c r="F127" s="328">
        <v>0</v>
      </c>
      <c r="G127" s="305"/>
      <c r="H127" s="306">
        <v>826852</v>
      </c>
      <c r="I127" s="305">
        <v>1.5900999999999998</v>
      </c>
      <c r="J127" s="304">
        <f>H127-E127</f>
        <v>826852</v>
      </c>
      <c r="K127" s="305"/>
      <c r="L127" s="133" t="str">
        <f>IFERROR(J127/E127,"100.0%")</f>
        <v>100.0%</v>
      </c>
      <c r="M127" s="133" t="str">
        <f>L127</f>
        <v>100.0%</v>
      </c>
    </row>
    <row r="128" spans="1:13" x14ac:dyDescent="0.2">
      <c r="A128" s="454">
        <f>A127+1</f>
        <v>74</v>
      </c>
      <c r="B128" s="66"/>
      <c r="C128" s="66" t="s">
        <v>88</v>
      </c>
      <c r="D128" s="66"/>
      <c r="E128" s="306">
        <v>11591132.612613283</v>
      </c>
      <c r="F128" s="305">
        <v>22.290639639640929</v>
      </c>
      <c r="G128" s="66"/>
      <c r="H128" s="306">
        <v>10869768</v>
      </c>
      <c r="I128" s="305">
        <v>20.903400000000001</v>
      </c>
      <c r="J128" s="304">
        <f>H128-E128</f>
        <v>-721364.6126132831</v>
      </c>
      <c r="K128" s="66"/>
      <c r="L128" s="133">
        <f>J128/E128</f>
        <v>-6.2234178205182969E-2</v>
      </c>
      <c r="M128" s="133">
        <f>L128</f>
        <v>-6.2234178205182969E-2</v>
      </c>
    </row>
    <row r="129" spans="1:13" x14ac:dyDescent="0.2">
      <c r="A129" s="454">
        <f>A128+1</f>
        <v>75</v>
      </c>
      <c r="B129" s="66"/>
      <c r="C129" s="66" t="s">
        <v>854</v>
      </c>
      <c r="D129" s="66"/>
      <c r="E129" s="312">
        <f>SUM(E125:E128)</f>
        <v>19865821.41261328</v>
      </c>
      <c r="F129" s="311">
        <v>38.203502716564003</v>
      </c>
      <c r="G129" s="454"/>
      <c r="H129" s="312">
        <f>SUM(H125:H128)</f>
        <v>20383124</v>
      </c>
      <c r="I129" s="311">
        <v>39.198315384615384</v>
      </c>
      <c r="J129" s="310">
        <f>SUM(J125:J128)</f>
        <v>517302.58738671802</v>
      </c>
      <c r="K129" s="66"/>
      <c r="L129" s="313">
        <f>J129/E129</f>
        <v>2.6039828741149882E-2</v>
      </c>
      <c r="M129" s="313">
        <f>(J129-J126)/(E129-E126)</f>
        <v>3.5011968709913494E-2</v>
      </c>
    </row>
    <row r="130" spans="1:13" x14ac:dyDescent="0.2">
      <c r="A130" s="454"/>
      <c r="B130" s="66"/>
      <c r="C130" s="66"/>
      <c r="D130" s="66"/>
      <c r="E130" s="306"/>
      <c r="F130" s="305"/>
      <c r="G130" s="454"/>
      <c r="H130" s="306"/>
      <c r="I130" s="305"/>
      <c r="J130" s="304"/>
      <c r="K130" s="66"/>
      <c r="L130" s="303"/>
      <c r="M130" s="303"/>
    </row>
    <row r="131" spans="1:13" x14ac:dyDescent="0.2">
      <c r="A131" s="454">
        <f>A129+1</f>
        <v>76</v>
      </c>
      <c r="B131" s="66"/>
      <c r="C131" s="66" t="s">
        <v>867</v>
      </c>
      <c r="D131" s="66"/>
      <c r="E131" s="312">
        <f>SUM(E125:E127)+H128</f>
        <v>19144456.799999997</v>
      </c>
      <c r="F131" s="311">
        <v>36.816263076923072</v>
      </c>
      <c r="G131" s="454"/>
      <c r="H131" s="312">
        <f>SUM(H125:H128)</f>
        <v>20383124</v>
      </c>
      <c r="I131" s="311">
        <v>39.198315384615384</v>
      </c>
      <c r="J131" s="310">
        <f>J125+J126+J127</f>
        <v>1238667.2000000011</v>
      </c>
      <c r="K131" s="66"/>
      <c r="L131" s="313">
        <f>J131/E131</f>
        <v>6.4701088829012959E-2</v>
      </c>
      <c r="M131" s="313">
        <f>(J131-J126)/(E131-E126)</f>
        <v>8.8138426718944882E-2</v>
      </c>
    </row>
    <row r="132" spans="1:13" x14ac:dyDescent="0.2">
      <c r="A132" s="454">
        <f>A131+1</f>
        <v>77</v>
      </c>
      <c r="B132" s="66"/>
      <c r="C132" s="66" t="s">
        <v>866</v>
      </c>
      <c r="D132" s="66"/>
      <c r="E132" s="306"/>
      <c r="F132" s="305"/>
      <c r="G132" s="454"/>
      <c r="H132" s="306"/>
      <c r="I132" s="305"/>
      <c r="J132" s="304"/>
      <c r="K132" s="66"/>
      <c r="L132" s="316">
        <v>0.14969350871539741</v>
      </c>
      <c r="M132" s="316">
        <v>0.38904223036935248</v>
      </c>
    </row>
    <row r="133" spans="1:13" x14ac:dyDescent="0.2">
      <c r="A133" s="454"/>
      <c r="B133" s="66"/>
      <c r="C133" s="66"/>
      <c r="D133" s="66"/>
      <c r="E133" s="66"/>
      <c r="F133" s="66"/>
      <c r="G133" s="66"/>
      <c r="H133" s="66"/>
      <c r="I133" s="66"/>
      <c r="J133" s="308"/>
      <c r="K133" s="66"/>
      <c r="L133" s="66"/>
      <c r="M133" s="66"/>
    </row>
    <row r="134" spans="1:13" ht="14.25" x14ac:dyDescent="0.2">
      <c r="A134" s="454"/>
      <c r="B134" s="66"/>
      <c r="C134" s="76" t="s">
        <v>920</v>
      </c>
      <c r="D134" s="66"/>
      <c r="E134" s="66" t="s">
        <v>1025</v>
      </c>
      <c r="F134" s="66"/>
      <c r="G134" s="66"/>
      <c r="H134" s="66"/>
      <c r="I134" s="66"/>
      <c r="J134" s="66"/>
      <c r="K134" s="66"/>
      <c r="L134" s="66"/>
      <c r="M134" s="66"/>
    </row>
    <row r="135" spans="1:13" x14ac:dyDescent="0.2">
      <c r="A135" s="454">
        <f>A132+1</f>
        <v>78</v>
      </c>
      <c r="B135" s="66"/>
      <c r="C135" s="66" t="s">
        <v>856</v>
      </c>
      <c r="D135" s="66"/>
      <c r="E135" s="306">
        <v>206517.19011200004</v>
      </c>
      <c r="F135" s="305">
        <v>2.9714703613237416</v>
      </c>
      <c r="G135" s="305"/>
      <c r="H135" s="306">
        <v>226933.21903199999</v>
      </c>
      <c r="I135" s="305">
        <v>3.265226173122302</v>
      </c>
      <c r="J135" s="304">
        <f>H135-E135</f>
        <v>20416.028919999953</v>
      </c>
      <c r="K135" s="305"/>
      <c r="L135" s="316"/>
      <c r="M135" s="133">
        <f>J135/E135</f>
        <v>9.8858738630560342E-2</v>
      </c>
    </row>
    <row r="136" spans="1:13" x14ac:dyDescent="0.2">
      <c r="A136" s="454">
        <f>A135+1</f>
        <v>79</v>
      </c>
      <c r="B136" s="66"/>
      <c r="C136" s="66" t="s">
        <v>855</v>
      </c>
      <c r="D136" s="66"/>
      <c r="E136" s="328">
        <v>0</v>
      </c>
      <c r="F136" s="328">
        <v>0</v>
      </c>
      <c r="G136" s="305"/>
      <c r="H136" s="306">
        <v>87583.9</v>
      </c>
      <c r="I136" s="305">
        <v>1.2601999999999998</v>
      </c>
      <c r="J136" s="304">
        <f>H136-E136</f>
        <v>87583.9</v>
      </c>
      <c r="K136" s="305"/>
      <c r="L136" s="316"/>
      <c r="M136" s="133" t="str">
        <f>IFERROR(J136/E136,"100.0%")</f>
        <v>100.0%</v>
      </c>
    </row>
    <row r="137" spans="1:13" x14ac:dyDescent="0.2">
      <c r="A137" s="454">
        <f>A136+1</f>
        <v>80</v>
      </c>
      <c r="B137" s="66"/>
      <c r="C137" s="66" t="s">
        <v>88</v>
      </c>
      <c r="D137" s="66"/>
      <c r="E137" s="306">
        <v>1549199.4549550447</v>
      </c>
      <c r="F137" s="305">
        <v>22.290639639640929</v>
      </c>
      <c r="G137" s="66"/>
      <c r="H137" s="306">
        <v>1452786.3</v>
      </c>
      <c r="I137" s="305">
        <v>20.903400000000001</v>
      </c>
      <c r="J137" s="304">
        <f>H137-E137</f>
        <v>-96413.154955044622</v>
      </c>
      <c r="K137" s="66"/>
      <c r="L137" s="316"/>
      <c r="M137" s="133">
        <f>J137/E137</f>
        <v>-6.2234178205182997E-2</v>
      </c>
    </row>
    <row r="138" spans="1:13" x14ac:dyDescent="0.2">
      <c r="A138" s="454">
        <f>A137+1</f>
        <v>81</v>
      </c>
      <c r="B138" s="66"/>
      <c r="C138" s="66" t="s">
        <v>854</v>
      </c>
      <c r="D138" s="66"/>
      <c r="E138" s="312">
        <f>SUM(E135:E137)</f>
        <v>1755716.6450670448</v>
      </c>
      <c r="F138" s="311">
        <v>25.262110000964672</v>
      </c>
      <c r="G138" s="454"/>
      <c r="H138" s="312">
        <f>SUM(H135:H137)</f>
        <v>1767303.419032</v>
      </c>
      <c r="I138" s="311">
        <v>25.428826173122303</v>
      </c>
      <c r="J138" s="310">
        <f>SUM(J135:J137)</f>
        <v>11586.773964955326</v>
      </c>
      <c r="K138" s="66"/>
      <c r="L138" s="303"/>
      <c r="M138" s="313">
        <f>J138/E138</f>
        <v>6.5994555542377206E-3</v>
      </c>
    </row>
    <row r="139" spans="1:13" x14ac:dyDescent="0.2">
      <c r="A139" s="454"/>
      <c r="B139" s="66"/>
      <c r="C139" s="66"/>
      <c r="D139" s="66"/>
      <c r="E139" s="306"/>
      <c r="F139" s="305"/>
      <c r="G139" s="454"/>
      <c r="H139" s="306"/>
      <c r="I139" s="305"/>
      <c r="J139" s="304"/>
      <c r="K139" s="66"/>
      <c r="L139" s="303"/>
      <c r="M139" s="303"/>
    </row>
    <row r="140" spans="1:13" x14ac:dyDescent="0.2">
      <c r="A140" s="454">
        <f>A138+1</f>
        <v>82</v>
      </c>
      <c r="B140" s="66"/>
      <c r="C140" s="66" t="s">
        <v>867</v>
      </c>
      <c r="D140" s="66"/>
      <c r="E140" s="312">
        <f>SUM(E135:E136)+H137</f>
        <v>1659303.4901120001</v>
      </c>
      <c r="F140" s="311">
        <v>23.874870361323744</v>
      </c>
      <c r="G140" s="454"/>
      <c r="H140" s="312">
        <f>SUM(H135:H137)</f>
        <v>1767303.419032</v>
      </c>
      <c r="I140" s="311">
        <v>25.428826173122303</v>
      </c>
      <c r="J140" s="310">
        <f>J135+J136</f>
        <v>107999.92891999995</v>
      </c>
      <c r="K140" s="66"/>
      <c r="L140" s="303"/>
      <c r="M140" s="313">
        <f>(J140)/(E140)</f>
        <v>6.5087507839033193E-2</v>
      </c>
    </row>
    <row r="141" spans="1:13" x14ac:dyDescent="0.2">
      <c r="A141" s="454">
        <f>A140+1</f>
        <v>83</v>
      </c>
      <c r="B141" s="66"/>
      <c r="C141" s="66" t="s">
        <v>866</v>
      </c>
      <c r="D141" s="66"/>
      <c r="E141" s="306"/>
      <c r="F141" s="305"/>
      <c r="G141" s="454"/>
      <c r="H141" s="306"/>
      <c r="I141" s="305"/>
      <c r="J141" s="304"/>
      <c r="K141" s="66"/>
      <c r="L141" s="303"/>
      <c r="M141" s="315">
        <v>0.52295854336110514</v>
      </c>
    </row>
    <row r="142" spans="1:13" x14ac:dyDescent="0.2">
      <c r="A142" s="454"/>
      <c r="B142" s="66"/>
      <c r="C142" s="66"/>
      <c r="D142" s="66"/>
      <c r="E142" s="66"/>
      <c r="F142" s="66"/>
      <c r="G142" s="66"/>
      <c r="H142" s="66"/>
      <c r="I142" s="66"/>
      <c r="J142" s="304"/>
      <c r="K142" s="66"/>
      <c r="L142" s="303"/>
      <c r="M142" s="66"/>
    </row>
    <row r="143" spans="1:13" ht="14.25" x14ac:dyDescent="0.2">
      <c r="A143" s="454"/>
      <c r="B143" s="66"/>
      <c r="C143" s="76" t="s">
        <v>919</v>
      </c>
      <c r="D143" s="66"/>
      <c r="E143" s="66" t="s">
        <v>1026</v>
      </c>
      <c r="F143" s="66"/>
      <c r="G143" s="66"/>
      <c r="H143" s="66"/>
      <c r="I143" s="66"/>
      <c r="J143" s="304"/>
      <c r="K143" s="66"/>
      <c r="L143" s="66"/>
      <c r="M143" s="66"/>
    </row>
    <row r="144" spans="1:13" x14ac:dyDescent="0.2">
      <c r="A144" s="454">
        <f>A141+1</f>
        <v>84</v>
      </c>
      <c r="B144" s="66"/>
      <c r="C144" s="66" t="s">
        <v>856</v>
      </c>
      <c r="D144" s="66"/>
      <c r="E144" s="306">
        <v>613437.50280000002</v>
      </c>
      <c r="F144" s="305">
        <v>3.0401303538507287</v>
      </c>
      <c r="G144" s="305"/>
      <c r="H144" s="306">
        <v>673916.93280000007</v>
      </c>
      <c r="I144" s="305">
        <v>3.3398599107939346</v>
      </c>
      <c r="J144" s="304">
        <f>H144-E144</f>
        <v>60479.430000000051</v>
      </c>
      <c r="K144" s="305"/>
      <c r="L144" s="316"/>
      <c r="M144" s="133">
        <f>J144/E144</f>
        <v>9.8591021455234129E-2</v>
      </c>
    </row>
    <row r="145" spans="1:13" x14ac:dyDescent="0.2">
      <c r="A145" s="454">
        <f>A144+1</f>
        <v>85</v>
      </c>
      <c r="B145" s="66"/>
      <c r="C145" s="66" t="s">
        <v>855</v>
      </c>
      <c r="D145" s="66"/>
      <c r="E145" s="328">
        <v>0</v>
      </c>
      <c r="F145" s="328">
        <v>0</v>
      </c>
      <c r="G145" s="305"/>
      <c r="H145" s="306">
        <v>254283.15600000002</v>
      </c>
      <c r="I145" s="305">
        <v>1.2602</v>
      </c>
      <c r="J145" s="304">
        <f>H145-E145</f>
        <v>254283.15600000002</v>
      </c>
      <c r="K145" s="305"/>
      <c r="L145" s="316"/>
      <c r="M145" s="133" t="str">
        <f>IFERROR(J145/E145,"100.0%")</f>
        <v>100.0%</v>
      </c>
    </row>
    <row r="146" spans="1:13" x14ac:dyDescent="0.2">
      <c r="A146" s="454">
        <f>A145+1</f>
        <v>86</v>
      </c>
      <c r="B146" s="66"/>
      <c r="C146" s="66" t="s">
        <v>88</v>
      </c>
      <c r="D146" s="66"/>
      <c r="E146" s="306">
        <v>4497805.2664867463</v>
      </c>
      <c r="F146" s="305">
        <v>22.290639639640926</v>
      </c>
      <c r="G146" s="66"/>
      <c r="H146" s="306">
        <v>4217888.0520000001</v>
      </c>
      <c r="I146" s="305">
        <v>20.903400000000001</v>
      </c>
      <c r="J146" s="304">
        <f>H146-E146</f>
        <v>-279917.21448674612</v>
      </c>
      <c r="K146" s="66"/>
      <c r="L146" s="316"/>
      <c r="M146" s="133">
        <f>J146/E146</f>
        <v>-6.2234178205182851E-2</v>
      </c>
    </row>
    <row r="147" spans="1:13" x14ac:dyDescent="0.2">
      <c r="A147" s="454">
        <f>A146+1</f>
        <v>87</v>
      </c>
      <c r="B147" s="66"/>
      <c r="C147" s="66" t="s">
        <v>854</v>
      </c>
      <c r="D147" s="66"/>
      <c r="E147" s="312">
        <f>SUM(E144:E146)</f>
        <v>5111242.7692867462</v>
      </c>
      <c r="F147" s="311">
        <v>25.330769993491653</v>
      </c>
      <c r="G147" s="454"/>
      <c r="H147" s="312">
        <f>SUM(H144:H146)</f>
        <v>5146088.1408000002</v>
      </c>
      <c r="I147" s="311">
        <v>25.503459910793936</v>
      </c>
      <c r="J147" s="310">
        <f>SUM(J144:J146)</f>
        <v>34845.371513253951</v>
      </c>
      <c r="K147" s="66"/>
      <c r="L147" s="303"/>
      <c r="M147" s="313">
        <f>J147/E147</f>
        <v>6.8173970766245732E-3</v>
      </c>
    </row>
    <row r="148" spans="1:13" x14ac:dyDescent="0.2">
      <c r="A148" s="454"/>
      <c r="B148" s="66"/>
      <c r="C148" s="66"/>
      <c r="D148" s="66"/>
      <c r="E148" s="306"/>
      <c r="F148" s="305"/>
      <c r="G148" s="454"/>
      <c r="H148" s="306"/>
      <c r="I148" s="305"/>
      <c r="J148" s="304"/>
      <c r="K148" s="66"/>
      <c r="L148" s="303"/>
      <c r="M148" s="303"/>
    </row>
    <row r="149" spans="1:13" x14ac:dyDescent="0.2">
      <c r="A149" s="454">
        <f>A147+1</f>
        <v>88</v>
      </c>
      <c r="B149" s="66"/>
      <c r="C149" s="66" t="s">
        <v>867</v>
      </c>
      <c r="D149" s="66"/>
      <c r="E149" s="312">
        <f>SUM(E144:E145)+H146</f>
        <v>4831325.5548</v>
      </c>
      <c r="F149" s="311">
        <v>23.943530353850729</v>
      </c>
      <c r="G149" s="454"/>
      <c r="H149" s="312">
        <f>SUM(H144:H146)</f>
        <v>5146088.1408000002</v>
      </c>
      <c r="I149" s="311">
        <v>25.503459910793936</v>
      </c>
      <c r="J149" s="310">
        <f>J144+J145</f>
        <v>314762.58600000007</v>
      </c>
      <c r="K149" s="66"/>
      <c r="L149" s="303"/>
      <c r="M149" s="313">
        <f>(J149)/(E149)</f>
        <v>6.5150357273539211E-2</v>
      </c>
    </row>
    <row r="150" spans="1:13" x14ac:dyDescent="0.2">
      <c r="A150" s="454">
        <f>A149+1</f>
        <v>89</v>
      </c>
      <c r="B150" s="66"/>
      <c r="C150" s="66" t="s">
        <v>866</v>
      </c>
      <c r="D150" s="66"/>
      <c r="E150" s="306"/>
      <c r="F150" s="305"/>
      <c r="G150" s="454"/>
      <c r="H150" s="306"/>
      <c r="I150" s="305"/>
      <c r="J150" s="304"/>
      <c r="K150" s="66"/>
      <c r="L150" s="303"/>
      <c r="M150" s="315">
        <v>0.51311272063296487</v>
      </c>
    </row>
    <row r="154" spans="1:13" x14ac:dyDescent="0.2">
      <c r="A154" s="566" t="s">
        <v>1146</v>
      </c>
      <c r="B154" s="566"/>
      <c r="C154" s="566"/>
      <c r="D154" s="566"/>
      <c r="E154" s="566"/>
      <c r="F154" s="566"/>
      <c r="G154" s="566"/>
      <c r="H154" s="566"/>
      <c r="I154" s="566"/>
      <c r="J154" s="566"/>
      <c r="K154" s="566"/>
      <c r="L154" s="566"/>
      <c r="M154" s="566"/>
    </row>
    <row r="155" spans="1:13" x14ac:dyDescent="0.2">
      <c r="A155" s="566" t="s">
        <v>952</v>
      </c>
      <c r="B155" s="566"/>
      <c r="C155" s="566"/>
      <c r="D155" s="566"/>
      <c r="E155" s="566"/>
      <c r="F155" s="566"/>
      <c r="G155" s="566"/>
      <c r="H155" s="566"/>
      <c r="I155" s="566"/>
      <c r="J155" s="566"/>
      <c r="K155" s="566"/>
      <c r="L155" s="566"/>
      <c r="M155" s="566"/>
    </row>
    <row r="156" spans="1:13" x14ac:dyDescent="0.2">
      <c r="A156" s="533"/>
      <c r="B156" s="533"/>
      <c r="C156" s="533"/>
      <c r="D156" s="533"/>
      <c r="E156" s="533"/>
      <c r="F156" s="533"/>
      <c r="G156" s="533"/>
      <c r="H156" s="533"/>
      <c r="I156" s="533"/>
      <c r="J156" s="533"/>
      <c r="K156" s="533"/>
      <c r="L156" s="533"/>
      <c r="M156" s="533"/>
    </row>
    <row r="157" spans="1:13" x14ac:dyDescent="0.2">
      <c r="A157" s="454"/>
      <c r="B157" s="66"/>
      <c r="C157" s="66"/>
      <c r="D157" s="66"/>
      <c r="E157" s="567" t="s">
        <v>894</v>
      </c>
      <c r="F157" s="567"/>
      <c r="G157" s="66"/>
      <c r="H157" s="567" t="s">
        <v>893</v>
      </c>
      <c r="I157" s="567"/>
      <c r="J157" s="567"/>
      <c r="K157" s="66"/>
      <c r="L157" s="567" t="s">
        <v>892</v>
      </c>
      <c r="M157" s="567"/>
    </row>
    <row r="158" spans="1:13" x14ac:dyDescent="0.2">
      <c r="A158" s="454"/>
      <c r="B158" s="66"/>
      <c r="C158" s="66"/>
      <c r="D158" s="66"/>
      <c r="E158" s="454"/>
      <c r="F158" s="454"/>
      <c r="G158" s="66"/>
      <c r="H158" s="454"/>
      <c r="I158" s="454"/>
      <c r="J158" s="454" t="s">
        <v>889</v>
      </c>
      <c r="K158" s="66"/>
      <c r="L158" s="454" t="s">
        <v>891</v>
      </c>
      <c r="M158" s="454" t="s">
        <v>890</v>
      </c>
    </row>
    <row r="159" spans="1:13" x14ac:dyDescent="0.2">
      <c r="A159" s="454" t="s">
        <v>0</v>
      </c>
      <c r="B159" s="66"/>
      <c r="C159" s="66"/>
      <c r="D159" s="66"/>
      <c r="E159" s="454" t="s">
        <v>889</v>
      </c>
      <c r="F159" s="454" t="s">
        <v>265</v>
      </c>
      <c r="G159" s="66"/>
      <c r="H159" s="454" t="s">
        <v>889</v>
      </c>
      <c r="I159" s="454" t="s">
        <v>265</v>
      </c>
      <c r="J159" s="454" t="s">
        <v>361</v>
      </c>
      <c r="K159" s="66"/>
      <c r="L159" s="454" t="s">
        <v>888</v>
      </c>
      <c r="M159" s="454" t="s">
        <v>888</v>
      </c>
    </row>
    <row r="160" spans="1:13" ht="14.25" x14ac:dyDescent="0.2">
      <c r="A160" s="534" t="s">
        <v>1</v>
      </c>
      <c r="B160" s="66"/>
      <c r="C160" s="75" t="s">
        <v>33</v>
      </c>
      <c r="D160" s="66"/>
      <c r="E160" s="534" t="s">
        <v>470</v>
      </c>
      <c r="F160" s="534" t="s">
        <v>35</v>
      </c>
      <c r="G160" s="66"/>
      <c r="H160" s="534" t="s">
        <v>470</v>
      </c>
      <c r="I160" s="534" t="s">
        <v>35</v>
      </c>
      <c r="J160" s="534" t="s">
        <v>470</v>
      </c>
      <c r="K160" s="66"/>
      <c r="L160" s="534" t="s">
        <v>2</v>
      </c>
      <c r="M160" s="534" t="s">
        <v>2</v>
      </c>
    </row>
    <row r="161" spans="1:13" x14ac:dyDescent="0.2">
      <c r="D161" s="66"/>
      <c r="E161" s="454" t="s">
        <v>3</v>
      </c>
      <c r="F161" s="454" t="s">
        <v>4</v>
      </c>
      <c r="G161" s="454"/>
      <c r="H161" s="454" t="s">
        <v>119</v>
      </c>
      <c r="I161" s="454" t="s">
        <v>263</v>
      </c>
      <c r="J161" s="454" t="s">
        <v>887</v>
      </c>
      <c r="K161" s="454"/>
      <c r="L161" s="454" t="s">
        <v>886</v>
      </c>
      <c r="M161" s="454" t="s">
        <v>38</v>
      </c>
    </row>
    <row r="162" spans="1:13" x14ac:dyDescent="0.2">
      <c r="A162" s="454"/>
      <c r="B162" s="66"/>
      <c r="C162" s="66"/>
      <c r="D162" s="66"/>
      <c r="E162" s="66"/>
      <c r="F162" s="66"/>
      <c r="G162" s="66"/>
      <c r="H162" s="66"/>
      <c r="I162" s="66"/>
      <c r="J162" s="304"/>
      <c r="K162" s="66"/>
      <c r="L162" s="66"/>
      <c r="M162" s="66"/>
    </row>
    <row r="163" spans="1:13" ht="14.25" x14ac:dyDescent="0.2">
      <c r="A163" s="454"/>
      <c r="B163" s="66"/>
      <c r="C163" s="76" t="s">
        <v>918</v>
      </c>
      <c r="D163" s="66"/>
      <c r="E163" s="66" t="s">
        <v>1027</v>
      </c>
      <c r="F163" s="66"/>
      <c r="G163" s="66"/>
      <c r="H163" s="66"/>
      <c r="I163" s="66"/>
      <c r="J163" s="304"/>
      <c r="K163" s="66"/>
      <c r="L163" s="66"/>
      <c r="M163" s="66"/>
    </row>
    <row r="164" spans="1:13" x14ac:dyDescent="0.2">
      <c r="A164" s="454">
        <f>A150+1</f>
        <v>90</v>
      </c>
      <c r="B164" s="66"/>
      <c r="C164" s="66" t="s">
        <v>856</v>
      </c>
      <c r="D164" s="66"/>
      <c r="E164" s="306">
        <v>175281.62300000002</v>
      </c>
      <c r="F164" s="305">
        <v>2.3256152713281146</v>
      </c>
      <c r="G164" s="305"/>
      <c r="H164" s="306">
        <v>153910.14000000001</v>
      </c>
      <c r="I164" s="305">
        <v>2.0420610322409449</v>
      </c>
      <c r="J164" s="304">
        <f>H164-E164</f>
        <v>-21371.483000000007</v>
      </c>
      <c r="K164" s="305"/>
      <c r="L164" s="133">
        <f>J164/E164</f>
        <v>-0.12192654674357964</v>
      </c>
      <c r="M164" s="133">
        <f>L164</f>
        <v>-0.12192654674357964</v>
      </c>
    </row>
    <row r="165" spans="1:13" x14ac:dyDescent="0.2">
      <c r="A165" s="454">
        <f>A164+1</f>
        <v>91</v>
      </c>
      <c r="B165" s="66"/>
      <c r="C165" s="66" t="s">
        <v>858</v>
      </c>
      <c r="D165" s="66"/>
      <c r="E165" s="306">
        <v>737872.3</v>
      </c>
      <c r="F165" s="305">
        <v>9.7900000000000009</v>
      </c>
      <c r="G165" s="305"/>
      <c r="H165" s="306">
        <v>737872.3</v>
      </c>
      <c r="I165" s="305">
        <v>9.7900000000000009</v>
      </c>
      <c r="J165" s="304">
        <f>H165-E165</f>
        <v>0</v>
      </c>
      <c r="K165" s="305"/>
      <c r="L165" s="133">
        <f>IFERROR(J165/E165,"100.0%")</f>
        <v>0</v>
      </c>
      <c r="M165" s="133">
        <f>L165</f>
        <v>0</v>
      </c>
    </row>
    <row r="166" spans="1:13" x14ac:dyDescent="0.2">
      <c r="A166" s="454">
        <f>A165+1</f>
        <v>92</v>
      </c>
      <c r="B166" s="66"/>
      <c r="C166" s="66" t="s">
        <v>88</v>
      </c>
      <c r="D166" s="66"/>
      <c r="E166" s="306">
        <v>1680045.5096397367</v>
      </c>
      <c r="F166" s="305">
        <v>22.290639639640926</v>
      </c>
      <c r="G166" s="66"/>
      <c r="H166" s="306">
        <v>1575489.2580000001</v>
      </c>
      <c r="I166" s="305">
        <v>20.903400000000001</v>
      </c>
      <c r="J166" s="304">
        <f>H166-E166</f>
        <v>-104556.25163973658</v>
      </c>
      <c r="K166" s="66"/>
      <c r="L166" s="133">
        <f>J166/E166</f>
        <v>-6.223417820518283E-2</v>
      </c>
      <c r="M166" s="133">
        <f>L166</f>
        <v>-6.223417820518283E-2</v>
      </c>
    </row>
    <row r="167" spans="1:13" x14ac:dyDescent="0.2">
      <c r="A167" s="454">
        <f>A166+1</f>
        <v>93</v>
      </c>
      <c r="B167" s="66"/>
      <c r="C167" s="66" t="s">
        <v>854</v>
      </c>
      <c r="D167" s="66"/>
      <c r="E167" s="312">
        <f>SUM(E164:E166)</f>
        <v>2593199.4326397367</v>
      </c>
      <c r="F167" s="311">
        <v>34.406254910969039</v>
      </c>
      <c r="G167" s="454"/>
      <c r="H167" s="312">
        <f>SUM(H163:H166)</f>
        <v>2467271.6980000003</v>
      </c>
      <c r="I167" s="311">
        <v>32.735461032240948</v>
      </c>
      <c r="J167" s="310">
        <f>SUM(J164:J166)</f>
        <v>-125927.73463973659</v>
      </c>
      <c r="K167" s="66"/>
      <c r="L167" s="514">
        <f>J167/E167</f>
        <v>-4.8560759752885249E-2</v>
      </c>
      <c r="M167" s="514">
        <f>(J167-J165)/(E167-E165)</f>
        <v>-6.7873601600688158E-2</v>
      </c>
    </row>
    <row r="168" spans="1:13" x14ac:dyDescent="0.2">
      <c r="A168" s="454"/>
      <c r="B168" s="66"/>
      <c r="C168" s="66"/>
      <c r="D168" s="66"/>
      <c r="E168" s="306"/>
      <c r="F168" s="305"/>
      <c r="G168" s="454"/>
      <c r="H168" s="306"/>
      <c r="I168" s="305"/>
      <c r="J168" s="304"/>
      <c r="K168" s="66"/>
      <c r="L168" s="303"/>
      <c r="M168" s="303"/>
    </row>
    <row r="169" spans="1:13" x14ac:dyDescent="0.2">
      <c r="A169" s="454">
        <f>A167+1</f>
        <v>94</v>
      </c>
      <c r="B169" s="66"/>
      <c r="C169" s="66" t="s">
        <v>867</v>
      </c>
      <c r="D169" s="66"/>
      <c r="E169" s="312">
        <f>SUM(E164:E165)+H166</f>
        <v>2488643.1810000003</v>
      </c>
      <c r="F169" s="311">
        <v>33.019015271328115</v>
      </c>
      <c r="G169" s="454"/>
      <c r="H169" s="312">
        <f>SUM(H164:H166)</f>
        <v>2467271.6980000003</v>
      </c>
      <c r="I169" s="311">
        <v>32.735461032240948</v>
      </c>
      <c r="J169" s="310">
        <f>J164+J165</f>
        <v>-21371.483000000007</v>
      </c>
      <c r="K169" s="66"/>
      <c r="L169" s="514">
        <f>J169/E169</f>
        <v>-8.5876043472862991E-3</v>
      </c>
      <c r="M169" s="514">
        <f>(J169-J165)/(E169-E165)</f>
        <v>-1.2206898819217913E-2</v>
      </c>
    </row>
    <row r="170" spans="1:13" x14ac:dyDescent="0.2">
      <c r="A170" s="454">
        <f>A169+1</f>
        <v>95</v>
      </c>
      <c r="B170" s="66"/>
      <c r="C170" s="66" t="s">
        <v>866</v>
      </c>
      <c r="D170" s="66"/>
      <c r="E170" s="306"/>
      <c r="F170" s="305"/>
      <c r="G170" s="454"/>
      <c r="H170" s="306"/>
      <c r="I170" s="305"/>
      <c r="J170" s="304"/>
      <c r="K170" s="66"/>
      <c r="L170" s="133">
        <v>-2.3404031304807754E-2</v>
      </c>
      <c r="M170" s="133">
        <v>-0.12192654674357967</v>
      </c>
    </row>
    <row r="171" spans="1:13" x14ac:dyDescent="0.2">
      <c r="A171" s="454"/>
      <c r="B171" s="66"/>
      <c r="C171" s="66"/>
      <c r="D171" s="66"/>
      <c r="E171" s="66"/>
      <c r="F171" s="66"/>
      <c r="G171" s="66"/>
      <c r="H171" s="66"/>
      <c r="I171" s="66"/>
      <c r="J171" s="304"/>
      <c r="K171" s="66"/>
      <c r="L171" s="133"/>
      <c r="M171" s="133"/>
    </row>
    <row r="172" spans="1:13" ht="14.25" x14ac:dyDescent="0.2">
      <c r="A172" s="454"/>
      <c r="B172" s="66"/>
      <c r="C172" s="76" t="s">
        <v>917</v>
      </c>
      <c r="D172" s="66"/>
      <c r="E172" s="66" t="s">
        <v>1028</v>
      </c>
      <c r="F172" s="66"/>
      <c r="G172" s="66"/>
      <c r="H172" s="66"/>
      <c r="I172" s="66"/>
      <c r="J172" s="304"/>
      <c r="K172" s="66"/>
      <c r="L172" s="66"/>
      <c r="M172" s="66"/>
    </row>
    <row r="173" spans="1:13" x14ac:dyDescent="0.2">
      <c r="A173" s="454">
        <f>A170+1</f>
        <v>96</v>
      </c>
      <c r="B173" s="66"/>
      <c r="C173" s="66" t="s">
        <v>856</v>
      </c>
      <c r="D173" s="66"/>
      <c r="E173" s="306">
        <v>272637.50525799999</v>
      </c>
      <c r="F173" s="305">
        <v>2.3572450868922177</v>
      </c>
      <c r="G173" s="305"/>
      <c r="H173" s="306">
        <v>231844.889058</v>
      </c>
      <c r="I173" s="305">
        <v>2.0045489527784084</v>
      </c>
      <c r="J173" s="304">
        <f>H173-E173</f>
        <v>-40792.616199999989</v>
      </c>
      <c r="K173" s="305"/>
      <c r="L173" s="133">
        <f>J173/E173</f>
        <v>-0.14962217381426474</v>
      </c>
      <c r="M173" s="133">
        <f>L173</f>
        <v>-0.14962217381426474</v>
      </c>
    </row>
    <row r="174" spans="1:13" x14ac:dyDescent="0.2">
      <c r="A174" s="454">
        <f>A173+1</f>
        <v>97</v>
      </c>
      <c r="B174" s="66"/>
      <c r="C174" s="66" t="s">
        <v>858</v>
      </c>
      <c r="D174" s="66"/>
      <c r="E174" s="306">
        <v>1132305.3302</v>
      </c>
      <c r="F174" s="305">
        <v>9.7900000000000009</v>
      </c>
      <c r="G174" s="305"/>
      <c r="H174" s="306">
        <v>1132305.3302</v>
      </c>
      <c r="I174" s="305">
        <v>9.7900000000000009</v>
      </c>
      <c r="J174" s="304">
        <f>H174-E174</f>
        <v>0</v>
      </c>
      <c r="K174" s="305"/>
      <c r="L174" s="133">
        <f>IFERROR(J174/E174,"100.0%")</f>
        <v>0</v>
      </c>
      <c r="M174" s="133">
        <f>L174</f>
        <v>0</v>
      </c>
    </row>
    <row r="175" spans="1:13" x14ac:dyDescent="0.2">
      <c r="A175" s="454">
        <f>A174+1</f>
        <v>98</v>
      </c>
      <c r="B175" s="66"/>
      <c r="C175" s="66" t="s">
        <v>88</v>
      </c>
      <c r="D175" s="66"/>
      <c r="E175" s="306">
        <v>2578121.5605242932</v>
      </c>
      <c r="F175" s="305">
        <v>22.290639639640926</v>
      </c>
      <c r="G175" s="66"/>
      <c r="H175" s="306">
        <v>2417674.2838920001</v>
      </c>
      <c r="I175" s="305">
        <v>20.903400000000001</v>
      </c>
      <c r="J175" s="304">
        <f>H175-E175</f>
        <v>-160447.27663229313</v>
      </c>
      <c r="K175" s="66"/>
      <c r="L175" s="133">
        <f>J175/E175</f>
        <v>-6.2234178205182913E-2</v>
      </c>
      <c r="M175" s="133">
        <f>L175</f>
        <v>-6.2234178205182913E-2</v>
      </c>
    </row>
    <row r="176" spans="1:13" x14ac:dyDescent="0.2">
      <c r="A176" s="454">
        <f>A175+1</f>
        <v>99</v>
      </c>
      <c r="B176" s="66"/>
      <c r="C176" s="66" t="s">
        <v>854</v>
      </c>
      <c r="D176" s="66"/>
      <c r="E176" s="312">
        <f>SUM(E173:E175)</f>
        <v>3983064.3959822934</v>
      </c>
      <c r="F176" s="311">
        <v>34.437884726533149</v>
      </c>
      <c r="G176" s="454"/>
      <c r="H176" s="312">
        <f>SUM(H172:H175)</f>
        <v>3781824.5031500002</v>
      </c>
      <c r="I176" s="311">
        <v>32.697948952778411</v>
      </c>
      <c r="J176" s="310">
        <f>SUM(J173:J175)</f>
        <v>-201239.89283229312</v>
      </c>
      <c r="K176" s="66"/>
      <c r="L176" s="514">
        <f>J176/E176</f>
        <v>-5.0523886341200828E-2</v>
      </c>
      <c r="M176" s="514">
        <f>(J176-J174)/(E176-E174)</f>
        <v>-7.0591687402761866E-2</v>
      </c>
    </row>
    <row r="177" spans="1:13" x14ac:dyDescent="0.2">
      <c r="A177" s="454"/>
      <c r="B177" s="66"/>
      <c r="C177" s="66"/>
      <c r="D177" s="66"/>
      <c r="E177" s="306"/>
      <c r="F177" s="305"/>
      <c r="G177" s="454"/>
      <c r="H177" s="306"/>
      <c r="I177" s="305"/>
      <c r="J177" s="304"/>
      <c r="K177" s="66"/>
      <c r="L177" s="303"/>
      <c r="M177" s="303"/>
    </row>
    <row r="178" spans="1:13" x14ac:dyDescent="0.2">
      <c r="A178" s="454">
        <f>A176+1</f>
        <v>100</v>
      </c>
      <c r="B178" s="66"/>
      <c r="C178" s="66" t="s">
        <v>867</v>
      </c>
      <c r="D178" s="66"/>
      <c r="E178" s="312">
        <f>SUM(E173:E174)+H175</f>
        <v>3822617.1193500003</v>
      </c>
      <c r="F178" s="311">
        <v>33.050645086892224</v>
      </c>
      <c r="G178" s="454"/>
      <c r="H178" s="312">
        <f>SUM(H173:H175)</f>
        <v>3781824.5031500002</v>
      </c>
      <c r="I178" s="311">
        <v>32.697948952778411</v>
      </c>
      <c r="J178" s="310">
        <f>J173+J174</f>
        <v>-40792.616199999989</v>
      </c>
      <c r="K178" s="66"/>
      <c r="L178" s="514">
        <f>J178/E178</f>
        <v>-1.0671384270611017E-2</v>
      </c>
      <c r="M178" s="514">
        <f>(J178-J174)/(E178-E174)</f>
        <v>-1.5162783869332985E-2</v>
      </c>
    </row>
    <row r="179" spans="1:13" x14ac:dyDescent="0.2">
      <c r="A179" s="454">
        <f>A178+1</f>
        <v>101</v>
      </c>
      <c r="B179" s="66"/>
      <c r="C179" s="66" t="s">
        <v>866</v>
      </c>
      <c r="D179" s="66"/>
      <c r="E179" s="306"/>
      <c r="F179" s="305"/>
      <c r="G179" s="454"/>
      <c r="H179" s="306"/>
      <c r="I179" s="305"/>
      <c r="J179" s="304"/>
      <c r="K179" s="66"/>
      <c r="L179" s="133">
        <v>-2.9035071869455767E-2</v>
      </c>
      <c r="M179" s="133">
        <v>-0.14962217381426476</v>
      </c>
    </row>
    <row r="180" spans="1:13" x14ac:dyDescent="0.2">
      <c r="A180" s="454"/>
      <c r="B180" s="66"/>
      <c r="C180" s="66"/>
      <c r="D180" s="66"/>
      <c r="E180" s="66"/>
      <c r="F180" s="66"/>
      <c r="G180" s="66"/>
      <c r="H180" s="66"/>
      <c r="I180" s="66"/>
      <c r="J180" s="304"/>
      <c r="K180" s="66"/>
      <c r="L180" s="133"/>
      <c r="M180" s="133"/>
    </row>
    <row r="181" spans="1:13" ht="14.25" x14ac:dyDescent="0.2">
      <c r="A181" s="454"/>
      <c r="B181" s="66"/>
      <c r="C181" s="76" t="s">
        <v>916</v>
      </c>
      <c r="D181" s="66"/>
      <c r="E181" s="66" t="s">
        <v>1029</v>
      </c>
      <c r="F181" s="66"/>
      <c r="G181" s="66"/>
      <c r="H181" s="66"/>
      <c r="I181" s="66"/>
      <c r="J181" s="304"/>
      <c r="K181" s="66"/>
      <c r="L181" s="66"/>
      <c r="M181" s="66"/>
    </row>
    <row r="182" spans="1:13" x14ac:dyDescent="0.2">
      <c r="A182" s="454">
        <f>A179+1</f>
        <v>102</v>
      </c>
      <c r="B182" s="66"/>
      <c r="C182" s="66" t="s">
        <v>856</v>
      </c>
      <c r="D182" s="66"/>
      <c r="E182" s="306">
        <v>614548.49508000002</v>
      </c>
      <c r="F182" s="305">
        <v>2.398324135266515</v>
      </c>
      <c r="G182" s="305"/>
      <c r="H182" s="306">
        <v>505701.16308000003</v>
      </c>
      <c r="I182" s="305">
        <v>1.9735388083396557</v>
      </c>
      <c r="J182" s="304">
        <f>H182-E182</f>
        <v>-108847.33199999999</v>
      </c>
      <c r="K182" s="305"/>
      <c r="L182" s="133">
        <f>J182/E182</f>
        <v>-0.17711756333538917</v>
      </c>
      <c r="M182" s="133">
        <f>L182</f>
        <v>-0.17711756333538917</v>
      </c>
    </row>
    <row r="183" spans="1:13" x14ac:dyDescent="0.2">
      <c r="A183" s="454">
        <f>A182+1</f>
        <v>103</v>
      </c>
      <c r="B183" s="66"/>
      <c r="C183" s="66" t="s">
        <v>858</v>
      </c>
      <c r="D183" s="66"/>
      <c r="E183" s="306">
        <v>2508597.432</v>
      </c>
      <c r="F183" s="305">
        <v>9.7900000000000009</v>
      </c>
      <c r="G183" s="305"/>
      <c r="H183" s="306">
        <v>2508597.432</v>
      </c>
      <c r="I183" s="305">
        <v>9.7900000000000009</v>
      </c>
      <c r="J183" s="304">
        <f>H183-E183</f>
        <v>0</v>
      </c>
      <c r="K183" s="305"/>
      <c r="L183" s="133">
        <f>IFERROR(J183/E183,"100.0%")</f>
        <v>0</v>
      </c>
      <c r="M183" s="133">
        <f>L183</f>
        <v>0</v>
      </c>
    </row>
    <row r="184" spans="1:13" x14ac:dyDescent="0.2">
      <c r="A184" s="454">
        <f>A183+1</f>
        <v>104</v>
      </c>
      <c r="B184" s="66"/>
      <c r="C184" s="66" t="s">
        <v>88</v>
      </c>
      <c r="D184" s="66"/>
      <c r="E184" s="306">
        <v>5711771.3337733028</v>
      </c>
      <c r="F184" s="305">
        <v>22.290639639640926</v>
      </c>
      <c r="G184" s="66"/>
      <c r="H184" s="306">
        <v>5356303.93872</v>
      </c>
      <c r="I184" s="305">
        <v>20.903400000000001</v>
      </c>
      <c r="J184" s="304">
        <f>H184-E184</f>
        <v>-355467.39505330287</v>
      </c>
      <c r="K184" s="66"/>
      <c r="L184" s="133">
        <f>J184/E184</f>
        <v>-6.2234178205182886E-2</v>
      </c>
      <c r="M184" s="133">
        <f>L184</f>
        <v>-6.2234178205182886E-2</v>
      </c>
    </row>
    <row r="185" spans="1:13" x14ac:dyDescent="0.2">
      <c r="A185" s="454">
        <f>A184+1</f>
        <v>105</v>
      </c>
      <c r="B185" s="66"/>
      <c r="C185" s="66" t="s">
        <v>854</v>
      </c>
      <c r="D185" s="66"/>
      <c r="E185" s="312">
        <f>SUM(E182:E184)</f>
        <v>8834917.2608533017</v>
      </c>
      <c r="F185" s="311">
        <v>34.478963774907442</v>
      </c>
      <c r="G185" s="454"/>
      <c r="H185" s="312">
        <f>SUM(H182:H184)</f>
        <v>8370602.5338000003</v>
      </c>
      <c r="I185" s="311">
        <v>32.666938808339658</v>
      </c>
      <c r="J185" s="310">
        <f>SUM(J182:J184)</f>
        <v>-464314.72705330286</v>
      </c>
      <c r="K185" s="66"/>
      <c r="L185" s="514">
        <f>J185/E185</f>
        <v>-5.2554507681768378E-2</v>
      </c>
      <c r="M185" s="514">
        <f>(J185-J183)/(E185-E183)</f>
        <v>-7.3394127962933514E-2</v>
      </c>
    </row>
    <row r="186" spans="1:13" x14ac:dyDescent="0.2">
      <c r="A186" s="454"/>
      <c r="B186" s="66"/>
      <c r="C186" s="66"/>
      <c r="D186" s="66"/>
      <c r="E186" s="306"/>
      <c r="F186" s="305"/>
      <c r="G186" s="454"/>
      <c r="H186" s="306"/>
      <c r="I186" s="305"/>
      <c r="J186" s="304"/>
      <c r="K186" s="66"/>
      <c r="L186" s="303"/>
      <c r="M186" s="303"/>
    </row>
    <row r="187" spans="1:13" x14ac:dyDescent="0.2">
      <c r="A187" s="454">
        <f>A185+1</f>
        <v>106</v>
      </c>
      <c r="B187" s="66"/>
      <c r="C187" s="66" t="s">
        <v>867</v>
      </c>
      <c r="D187" s="66"/>
      <c r="E187" s="312">
        <f>SUM(E182:E183)+H184</f>
        <v>8479449.8658000007</v>
      </c>
      <c r="F187" s="311">
        <v>33.091724135266517</v>
      </c>
      <c r="G187" s="454"/>
      <c r="H187" s="312">
        <f>SUM(H182:H184)</f>
        <v>8370602.5338000003</v>
      </c>
      <c r="I187" s="311">
        <v>32.666938808339658</v>
      </c>
      <c r="J187" s="310">
        <f>J182+J183</f>
        <v>-108847.33199999999</v>
      </c>
      <c r="K187" s="66"/>
      <c r="L187" s="514">
        <f>J187/E187</f>
        <v>-1.283660304886191E-2</v>
      </c>
      <c r="M187" s="514">
        <f>(J187-J183)/(E187-E183)</f>
        <v>-1.8229780957880217E-2</v>
      </c>
    </row>
    <row r="188" spans="1:13" x14ac:dyDescent="0.2">
      <c r="A188" s="454">
        <f>A187+1</f>
        <v>107</v>
      </c>
      <c r="B188" s="66"/>
      <c r="C188" s="66" t="s">
        <v>866</v>
      </c>
      <c r="D188" s="66"/>
      <c r="E188" s="306"/>
      <c r="F188" s="305"/>
      <c r="G188" s="454"/>
      <c r="H188" s="306"/>
      <c r="I188" s="305"/>
      <c r="J188" s="304"/>
      <c r="K188" s="66"/>
      <c r="L188" s="133">
        <v>-3.4851823943355467E-2</v>
      </c>
      <c r="M188" s="133">
        <v>-0.17711756333538892</v>
      </c>
    </row>
    <row r="189" spans="1:13" x14ac:dyDescent="0.2">
      <c r="A189" s="454"/>
      <c r="B189" s="66"/>
      <c r="C189" s="66"/>
      <c r="D189" s="66"/>
      <c r="E189" s="66"/>
      <c r="F189" s="66"/>
      <c r="G189" s="66"/>
      <c r="H189" s="66"/>
      <c r="I189" s="66"/>
      <c r="J189" s="304"/>
      <c r="K189" s="66"/>
      <c r="L189" s="133"/>
      <c r="M189" s="133"/>
    </row>
    <row r="190" spans="1:13" ht="14.25" x14ac:dyDescent="0.2">
      <c r="A190" s="454"/>
      <c r="B190" s="66"/>
      <c r="C190" s="76" t="s">
        <v>915</v>
      </c>
      <c r="D190" s="66"/>
      <c r="E190" s="66" t="s">
        <v>1030</v>
      </c>
      <c r="F190" s="66"/>
      <c r="G190" s="66"/>
      <c r="H190" s="66"/>
      <c r="I190" s="66"/>
      <c r="J190" s="304"/>
      <c r="K190" s="66"/>
      <c r="L190" s="133"/>
      <c r="M190" s="133"/>
    </row>
    <row r="191" spans="1:13" x14ac:dyDescent="0.2">
      <c r="A191" s="454">
        <f>A188+1</f>
        <v>108</v>
      </c>
      <c r="B191" s="66"/>
      <c r="C191" s="66" t="s">
        <v>856</v>
      </c>
      <c r="D191" s="66"/>
      <c r="E191" s="306">
        <v>777628.5580800001</v>
      </c>
      <c r="F191" s="305">
        <v>1.312320369380316</v>
      </c>
      <c r="G191" s="305"/>
      <c r="H191" s="306">
        <v>821344.68492000015</v>
      </c>
      <c r="I191" s="305">
        <v>1.3860953910490079</v>
      </c>
      <c r="J191" s="304">
        <f>H191-E191</f>
        <v>43716.126840000041</v>
      </c>
      <c r="K191" s="305"/>
      <c r="L191" s="133">
        <f>J191/E191</f>
        <v>5.6217234289770844E-2</v>
      </c>
      <c r="M191" s="133">
        <f>L191</f>
        <v>5.6217234289770844E-2</v>
      </c>
    </row>
    <row r="192" spans="1:13" x14ac:dyDescent="0.2">
      <c r="A192" s="454">
        <f>A191+1</f>
        <v>109</v>
      </c>
      <c r="B192" s="66"/>
      <c r="C192" s="66" t="s">
        <v>858</v>
      </c>
      <c r="D192" s="66"/>
      <c r="E192" s="306">
        <v>5801162.4000000004</v>
      </c>
      <c r="F192" s="305">
        <v>9.7900000000000009</v>
      </c>
      <c r="G192" s="305"/>
      <c r="H192" s="306">
        <v>5801162.4000000004</v>
      </c>
      <c r="I192" s="305">
        <v>9.7900000000000009</v>
      </c>
      <c r="J192" s="304">
        <f>H192-E192</f>
        <v>0</v>
      </c>
      <c r="K192" s="305"/>
      <c r="L192" s="133">
        <f>IFERROR(J192/E192,"100.0%")</f>
        <v>0</v>
      </c>
      <c r="M192" s="133">
        <f>L192</f>
        <v>0</v>
      </c>
    </row>
    <row r="193" spans="1:13" x14ac:dyDescent="0.2">
      <c r="A193" s="454">
        <f>A192+1</f>
        <v>110</v>
      </c>
      <c r="B193" s="66"/>
      <c r="C193" s="66" t="s">
        <v>88</v>
      </c>
      <c r="D193" s="66"/>
      <c r="E193" s="306">
        <v>13208541.42486563</v>
      </c>
      <c r="F193" s="305">
        <v>22.290639639640929</v>
      </c>
      <c r="G193" s="66"/>
      <c r="H193" s="306">
        <v>12386518.704000002</v>
      </c>
      <c r="I193" s="305">
        <v>20.903400000000001</v>
      </c>
      <c r="J193" s="304">
        <f>H193-E193</f>
        <v>-822022.72086562775</v>
      </c>
      <c r="K193" s="66"/>
      <c r="L193" s="133">
        <f>J193/E193</f>
        <v>-6.2234178205182879E-2</v>
      </c>
      <c r="M193" s="133">
        <f>L193</f>
        <v>-6.2234178205182879E-2</v>
      </c>
    </row>
    <row r="194" spans="1:13" x14ac:dyDescent="0.2">
      <c r="A194" s="454">
        <f>A193+1</f>
        <v>111</v>
      </c>
      <c r="B194" s="66"/>
      <c r="C194" s="66" t="s">
        <v>854</v>
      </c>
      <c r="D194" s="66"/>
      <c r="E194" s="312">
        <f>SUM(E191:E193)</f>
        <v>19787332.382945631</v>
      </c>
      <c r="F194" s="311">
        <v>33.392960009021252</v>
      </c>
      <c r="G194" s="454"/>
      <c r="H194" s="312">
        <f>SUM(H191:H193)</f>
        <v>19009025.78892</v>
      </c>
      <c r="I194" s="311">
        <v>32.079495391049008</v>
      </c>
      <c r="J194" s="310">
        <f>SUM(J191:J193)</f>
        <v>-778306.59402562771</v>
      </c>
      <c r="K194" s="66"/>
      <c r="L194" s="514">
        <f>J194/E194</f>
        <v>-3.9333578623080949E-2</v>
      </c>
      <c r="M194" s="514">
        <f>(J194-J192)/(E194-E192)</f>
        <v>-5.5648300783893975E-2</v>
      </c>
    </row>
    <row r="195" spans="1:13" x14ac:dyDescent="0.2">
      <c r="A195" s="454"/>
      <c r="B195" s="66"/>
      <c r="C195" s="66"/>
      <c r="D195" s="66"/>
      <c r="E195" s="306"/>
      <c r="F195" s="305"/>
      <c r="G195" s="454"/>
      <c r="H195" s="306"/>
      <c r="I195" s="305"/>
      <c r="J195" s="304"/>
      <c r="K195" s="66"/>
      <c r="L195" s="303"/>
      <c r="M195" s="303"/>
    </row>
    <row r="196" spans="1:13" x14ac:dyDescent="0.2">
      <c r="A196" s="454">
        <f>A194+1</f>
        <v>112</v>
      </c>
      <c r="B196" s="66"/>
      <c r="C196" s="66" t="s">
        <v>867</v>
      </c>
      <c r="D196" s="66"/>
      <c r="E196" s="312">
        <f>SUM(E191:E192)+H193</f>
        <v>18965309.662080001</v>
      </c>
      <c r="F196" s="311">
        <v>32.00572036938032</v>
      </c>
      <c r="G196" s="454"/>
      <c r="H196" s="312">
        <f>SUM(H191:H193)</f>
        <v>19009025.78892</v>
      </c>
      <c r="I196" s="311">
        <v>32.079495391049008</v>
      </c>
      <c r="J196" s="310">
        <f>J191+J192</f>
        <v>43716.126840000041</v>
      </c>
      <c r="K196" s="66"/>
      <c r="L196" s="514">
        <f>J196/E196</f>
        <v>2.3050573715338702E-3</v>
      </c>
      <c r="M196" s="514">
        <f>(J196-J192)/(E196-E192)</f>
        <v>3.3208475998993555E-3</v>
      </c>
    </row>
    <row r="197" spans="1:13" x14ac:dyDescent="0.2">
      <c r="A197" s="454">
        <f>A196+1</f>
        <v>113</v>
      </c>
      <c r="B197" s="66"/>
      <c r="C197" s="66" t="s">
        <v>866</v>
      </c>
      <c r="D197" s="66"/>
      <c r="E197" s="306"/>
      <c r="F197" s="305"/>
      <c r="G197" s="454"/>
      <c r="H197" s="306"/>
      <c r="I197" s="305"/>
      <c r="J197" s="304"/>
      <c r="K197" s="66"/>
      <c r="L197" s="315">
        <v>6.645009260601048E-3</v>
      </c>
      <c r="M197" s="315">
        <v>5.6217234289770844E-2</v>
      </c>
    </row>
    <row r="198" spans="1:13" x14ac:dyDescent="0.2">
      <c r="A198" s="454"/>
      <c r="B198" s="66"/>
      <c r="C198" s="66"/>
      <c r="D198" s="66"/>
      <c r="E198" s="66"/>
      <c r="F198" s="66"/>
      <c r="G198" s="66"/>
      <c r="H198" s="66"/>
      <c r="I198" s="66"/>
      <c r="J198" s="304"/>
      <c r="K198" s="66"/>
      <c r="L198" s="66"/>
      <c r="M198" s="66"/>
    </row>
    <row r="199" spans="1:13" ht="14.25" x14ac:dyDescent="0.2">
      <c r="A199" s="454"/>
      <c r="B199" s="66"/>
      <c r="C199" s="76" t="s">
        <v>914</v>
      </c>
      <c r="D199" s="66"/>
      <c r="E199" s="66" t="s">
        <v>1031</v>
      </c>
      <c r="F199" s="66"/>
      <c r="G199" s="66"/>
      <c r="H199" s="66"/>
      <c r="I199" s="66"/>
      <c r="J199" s="304"/>
      <c r="K199" s="66"/>
      <c r="L199" s="66"/>
      <c r="M199" s="66"/>
    </row>
    <row r="200" spans="1:13" x14ac:dyDescent="0.2">
      <c r="A200" s="454">
        <f>A197+1</f>
        <v>114</v>
      </c>
      <c r="B200" s="66"/>
      <c r="C200" s="66" t="s">
        <v>856</v>
      </c>
      <c r="D200" s="66"/>
      <c r="E200" s="306">
        <v>1901634.1410300001</v>
      </c>
      <c r="F200" s="305">
        <v>0.96144172263136862</v>
      </c>
      <c r="G200" s="305"/>
      <c r="H200" s="306">
        <v>2085693.5777700001</v>
      </c>
      <c r="I200" s="305">
        <v>1.0544998025783427</v>
      </c>
      <c r="J200" s="304">
        <f>H200-E200</f>
        <v>184059.43674000003</v>
      </c>
      <c r="K200" s="305"/>
      <c r="L200" s="133">
        <f>J200/E200</f>
        <v>9.6790141052214271E-2</v>
      </c>
      <c r="M200" s="133">
        <f>L200</f>
        <v>9.6790141052214271E-2</v>
      </c>
    </row>
    <row r="201" spans="1:13" x14ac:dyDescent="0.2">
      <c r="A201" s="454">
        <f>A200+1</f>
        <v>115</v>
      </c>
      <c r="B201" s="66"/>
      <c r="C201" s="66" t="s">
        <v>858</v>
      </c>
      <c r="D201" s="66"/>
      <c r="E201" s="306">
        <v>19363626.314999998</v>
      </c>
      <c r="F201" s="305">
        <v>9.7899999999999991</v>
      </c>
      <c r="G201" s="305"/>
      <c r="H201" s="306">
        <v>19363626.314999998</v>
      </c>
      <c r="I201" s="305">
        <v>9.7899999999999991</v>
      </c>
      <c r="J201" s="304">
        <f>H201-E201</f>
        <v>0</v>
      </c>
      <c r="K201" s="305"/>
      <c r="L201" s="133">
        <f>IFERROR(J201/E201,"100.0%")</f>
        <v>0</v>
      </c>
      <c r="M201" s="133">
        <f>L201</f>
        <v>0</v>
      </c>
    </row>
    <row r="202" spans="1:13" x14ac:dyDescent="0.2">
      <c r="A202" s="454">
        <f>A201+1</f>
        <v>116</v>
      </c>
      <c r="B202" s="66"/>
      <c r="C202" s="66" t="s">
        <v>88</v>
      </c>
      <c r="D202" s="66"/>
      <c r="E202" s="306">
        <v>44088622.707286336</v>
      </c>
      <c r="F202" s="305">
        <v>22.290639639640929</v>
      </c>
      <c r="G202" s="66"/>
      <c r="H202" s="306">
        <v>41344803.504900001</v>
      </c>
      <c r="I202" s="305">
        <v>20.903400000000001</v>
      </c>
      <c r="J202" s="304">
        <f>H202-E202</f>
        <v>-2743819.2023863345</v>
      </c>
      <c r="K202" s="66"/>
      <c r="L202" s="133">
        <f>J202/E202</f>
        <v>-6.2234178205182976E-2</v>
      </c>
      <c r="M202" s="133">
        <f>L202</f>
        <v>-6.2234178205182976E-2</v>
      </c>
    </row>
    <row r="203" spans="1:13" x14ac:dyDescent="0.2">
      <c r="A203" s="454">
        <f>A202+1</f>
        <v>117</v>
      </c>
      <c r="B203" s="66"/>
      <c r="C203" s="66" t="s">
        <v>854</v>
      </c>
      <c r="D203" s="66"/>
      <c r="E203" s="312">
        <f>SUM(E200:E202)</f>
        <v>65353883.163316332</v>
      </c>
      <c r="F203" s="311">
        <v>33.042081362272299</v>
      </c>
      <c r="G203" s="454"/>
      <c r="H203" s="312">
        <f>SUM(H200:H202)</f>
        <v>62794123.397670001</v>
      </c>
      <c r="I203" s="311">
        <v>31.747899802578345</v>
      </c>
      <c r="J203" s="310">
        <f>SUM(J200:J202)</f>
        <v>-2559759.7656463347</v>
      </c>
      <c r="K203" s="66"/>
      <c r="L203" s="514">
        <f>J203/E203</f>
        <v>-3.9167676681883055E-2</v>
      </c>
      <c r="M203" s="514">
        <f>(J203-J201)/(E203-E201)</f>
        <v>-5.5658740373833018E-2</v>
      </c>
    </row>
    <row r="204" spans="1:13" x14ac:dyDescent="0.2">
      <c r="A204" s="454"/>
      <c r="B204" s="66"/>
      <c r="C204" s="66"/>
      <c r="D204" s="66"/>
      <c r="E204" s="306"/>
      <c r="F204" s="305"/>
      <c r="G204" s="454"/>
      <c r="H204" s="306"/>
      <c r="I204" s="305"/>
      <c r="J204" s="304"/>
      <c r="K204" s="66"/>
      <c r="L204" s="303"/>
      <c r="M204" s="303"/>
    </row>
    <row r="205" spans="1:13" x14ac:dyDescent="0.2">
      <c r="A205" s="454">
        <f>A203+1</f>
        <v>118</v>
      </c>
      <c r="B205" s="66"/>
      <c r="C205" s="66" t="s">
        <v>867</v>
      </c>
      <c r="D205" s="66"/>
      <c r="E205" s="312">
        <f>SUM(E200:E201)+H202</f>
        <v>62610063.960929997</v>
      </c>
      <c r="F205" s="311">
        <v>31.654841722631367</v>
      </c>
      <c r="G205" s="454"/>
      <c r="H205" s="312">
        <f>SUM(H200:H202)</f>
        <v>62794123.397670001</v>
      </c>
      <c r="I205" s="311">
        <v>31.747899802578345</v>
      </c>
      <c r="J205" s="310">
        <f>J200+J201</f>
        <v>184059.43674000003</v>
      </c>
      <c r="K205" s="66"/>
      <c r="L205" s="514">
        <f>J205/E205</f>
        <v>2.9397739771493767E-3</v>
      </c>
      <c r="M205" s="514">
        <f>(J205-J201)/(E205-E201)</f>
        <v>4.2560600770621439E-3</v>
      </c>
    </row>
    <row r="206" spans="1:13" x14ac:dyDescent="0.2">
      <c r="A206" s="454">
        <f>A205+1</f>
        <v>119</v>
      </c>
      <c r="B206" s="66"/>
      <c r="C206" s="66" t="s">
        <v>866</v>
      </c>
      <c r="D206" s="66"/>
      <c r="E206" s="306"/>
      <c r="F206" s="305"/>
      <c r="G206" s="454"/>
      <c r="H206" s="306"/>
      <c r="I206" s="305"/>
      <c r="J206" s="304"/>
      <c r="K206" s="66"/>
      <c r="L206" s="133">
        <v>8.6554047678173637E-3</v>
      </c>
      <c r="M206" s="133">
        <v>9.6790141052214299E-2</v>
      </c>
    </row>
    <row r="207" spans="1:13" x14ac:dyDescent="0.2">
      <c r="A207" s="454"/>
      <c r="B207" s="66"/>
      <c r="C207" s="66"/>
      <c r="D207" s="66"/>
      <c r="E207" s="66"/>
      <c r="F207" s="66"/>
      <c r="G207" s="66"/>
      <c r="H207" s="66"/>
      <c r="I207" s="66"/>
      <c r="J207" s="304"/>
      <c r="K207" s="66"/>
      <c r="L207" s="133"/>
      <c r="M207" s="133"/>
    </row>
    <row r="208" spans="1:13" ht="14.25" x14ac:dyDescent="0.2">
      <c r="A208" s="454"/>
      <c r="B208" s="66"/>
      <c r="C208" s="76" t="s">
        <v>913</v>
      </c>
      <c r="D208" s="66"/>
      <c r="E208" s="66" t="s">
        <v>1032</v>
      </c>
      <c r="F208" s="66"/>
      <c r="G208" s="66"/>
      <c r="H208" s="66"/>
      <c r="I208" s="66"/>
      <c r="J208" s="304"/>
      <c r="K208" s="66"/>
      <c r="L208" s="133"/>
      <c r="M208" s="133"/>
    </row>
    <row r="209" spans="1:13" x14ac:dyDescent="0.2">
      <c r="A209" s="454">
        <f>A206+1</f>
        <v>120</v>
      </c>
      <c r="B209" s="66"/>
      <c r="C209" s="66" t="s">
        <v>856</v>
      </c>
      <c r="D209" s="66"/>
      <c r="E209" s="306">
        <v>3156031.7890800005</v>
      </c>
      <c r="F209" s="305">
        <v>0.85277643731102526</v>
      </c>
      <c r="G209" s="305"/>
      <c r="H209" s="306">
        <v>3489939.9379200004</v>
      </c>
      <c r="I209" s="305">
        <v>0.94300018047550738</v>
      </c>
      <c r="J209" s="304">
        <f>H209-E209</f>
        <v>333908.14883999992</v>
      </c>
      <c r="K209" s="305"/>
      <c r="L209" s="133">
        <f>J209/E209</f>
        <v>0.10579999542315632</v>
      </c>
      <c r="M209" s="133">
        <f>L209</f>
        <v>0.10579999542315632</v>
      </c>
    </row>
    <row r="210" spans="1:13" x14ac:dyDescent="0.2">
      <c r="A210" s="454">
        <f>A209+1</f>
        <v>121</v>
      </c>
      <c r="B210" s="66"/>
      <c r="C210" s="66" t="s">
        <v>858</v>
      </c>
      <c r="D210" s="66"/>
      <c r="E210" s="306">
        <v>36231713.099999994</v>
      </c>
      <c r="F210" s="305">
        <v>9.7899999999999991</v>
      </c>
      <c r="G210" s="305"/>
      <c r="H210" s="306">
        <v>36231713.099999994</v>
      </c>
      <c r="I210" s="305">
        <v>9.7899999999999991</v>
      </c>
      <c r="J210" s="304">
        <f>H210-E210</f>
        <v>0</v>
      </c>
      <c r="K210" s="305"/>
      <c r="L210" s="133">
        <f>IFERROR(J210/E210,"100.0%")</f>
        <v>0</v>
      </c>
      <c r="M210" s="133">
        <f>L210</f>
        <v>0</v>
      </c>
    </row>
    <row r="211" spans="1:13" x14ac:dyDescent="0.2">
      <c r="A211" s="454">
        <f>A210+1</f>
        <v>122</v>
      </c>
      <c r="B211" s="66"/>
      <c r="C211" s="66" t="s">
        <v>88</v>
      </c>
      <c r="D211" s="66"/>
      <c r="E211" s="306">
        <v>82495205.335950717</v>
      </c>
      <c r="F211" s="305">
        <v>22.290639639640929</v>
      </c>
      <c r="G211" s="66"/>
      <c r="H211" s="306">
        <v>77361184.026000008</v>
      </c>
      <c r="I211" s="305">
        <v>20.903400000000001</v>
      </c>
      <c r="J211" s="304">
        <f>H211-E211</f>
        <v>-5134021.3099507093</v>
      </c>
      <c r="K211" s="66"/>
      <c r="L211" s="133">
        <f>J211/E211</f>
        <v>-6.2234178205182865E-2</v>
      </c>
      <c r="M211" s="133">
        <f>L211</f>
        <v>-6.2234178205182865E-2</v>
      </c>
    </row>
    <row r="212" spans="1:13" x14ac:dyDescent="0.2">
      <c r="A212" s="454">
        <f>A211+1</f>
        <v>123</v>
      </c>
      <c r="B212" s="66"/>
      <c r="C212" s="66" t="s">
        <v>854</v>
      </c>
      <c r="D212" s="66"/>
      <c r="E212" s="312">
        <f>SUM(E209:E211)</f>
        <v>121882950.22503072</v>
      </c>
      <c r="F212" s="311">
        <v>32.933416076951957</v>
      </c>
      <c r="G212" s="454"/>
      <c r="H212" s="312">
        <f>SUM(H209:H211)</f>
        <v>117082837.06392001</v>
      </c>
      <c r="I212" s="311">
        <v>31.636400180475512</v>
      </c>
      <c r="J212" s="310">
        <f>SUM(J209:J211)</f>
        <v>-4800113.1611107094</v>
      </c>
      <c r="K212" s="66"/>
      <c r="L212" s="514">
        <f>J212/E212</f>
        <v>-3.9382974831576774E-2</v>
      </c>
      <c r="M212" s="514">
        <f>(J212-J210)/(E212-E210)</f>
        <v>-5.6042543251344633E-2</v>
      </c>
    </row>
    <row r="213" spans="1:13" x14ac:dyDescent="0.2">
      <c r="A213" s="454"/>
      <c r="B213" s="66"/>
      <c r="C213" s="66"/>
      <c r="D213" s="66"/>
      <c r="E213" s="306"/>
      <c r="F213" s="305"/>
      <c r="G213" s="454"/>
      <c r="H213" s="306"/>
      <c r="I213" s="305"/>
      <c r="J213" s="304"/>
      <c r="K213" s="66"/>
      <c r="L213" s="303"/>
      <c r="M213" s="303"/>
    </row>
    <row r="214" spans="1:13" x14ac:dyDescent="0.2">
      <c r="A214" s="454">
        <f>A212+1</f>
        <v>124</v>
      </c>
      <c r="B214" s="66"/>
      <c r="C214" s="66" t="s">
        <v>867</v>
      </c>
      <c r="D214" s="66"/>
      <c r="E214" s="312">
        <f>SUM(E209:E210)+H211</f>
        <v>116748928.91508001</v>
      </c>
      <c r="F214" s="311">
        <v>31.546176437311029</v>
      </c>
      <c r="G214" s="454"/>
      <c r="H214" s="312">
        <f>SUM(H209:H211)</f>
        <v>117082837.06392001</v>
      </c>
      <c r="I214" s="311">
        <v>31.636400180475512</v>
      </c>
      <c r="J214" s="310">
        <f>J209+J210</f>
        <v>333908.14883999992</v>
      </c>
      <c r="K214" s="66"/>
      <c r="L214" s="313">
        <f>J214/E214</f>
        <v>2.8600532094206674E-3</v>
      </c>
      <c r="M214" s="313">
        <f>(J214-J210)/(E214-E210)</f>
        <v>4.147040424334475E-3</v>
      </c>
    </row>
    <row r="215" spans="1:13" x14ac:dyDescent="0.2">
      <c r="A215" s="454">
        <f>A214+1</f>
        <v>125</v>
      </c>
      <c r="B215" s="66"/>
      <c r="C215" s="66" t="s">
        <v>866</v>
      </c>
      <c r="D215" s="66"/>
      <c r="E215" s="306"/>
      <c r="F215" s="305"/>
      <c r="G215" s="454"/>
      <c r="H215" s="306"/>
      <c r="I215" s="305"/>
      <c r="J215" s="304"/>
      <c r="K215" s="66"/>
      <c r="L215" s="315">
        <v>8.4774629718030528E-3</v>
      </c>
      <c r="M215" s="315">
        <v>0.10579999542315655</v>
      </c>
    </row>
    <row r="216" spans="1:13" x14ac:dyDescent="0.2">
      <c r="A216" s="454"/>
      <c r="B216" s="66"/>
      <c r="C216" s="66"/>
      <c r="D216" s="66"/>
      <c r="E216" s="66"/>
      <c r="F216" s="66"/>
      <c r="G216" s="66"/>
      <c r="H216" s="66"/>
      <c r="I216" s="66"/>
      <c r="J216" s="304"/>
      <c r="K216" s="66"/>
      <c r="L216" s="66"/>
      <c r="M216" s="66"/>
    </row>
    <row r="217" spans="1:13" ht="14.25" x14ac:dyDescent="0.2">
      <c r="A217" s="454"/>
      <c r="B217" s="66"/>
      <c r="C217" s="76" t="s">
        <v>912</v>
      </c>
      <c r="D217" s="66"/>
      <c r="E217" s="66" t="s">
        <v>1033</v>
      </c>
      <c r="F217" s="66"/>
      <c r="G217" s="66"/>
      <c r="H217" s="66"/>
      <c r="I217" s="66"/>
      <c r="J217" s="304"/>
      <c r="K217" s="66"/>
      <c r="L217" s="66"/>
      <c r="M217" s="66"/>
    </row>
    <row r="218" spans="1:13" x14ac:dyDescent="0.2">
      <c r="A218" s="454">
        <f>A215+1</f>
        <v>126</v>
      </c>
      <c r="B218" s="66"/>
      <c r="C218" s="66" t="s">
        <v>856</v>
      </c>
      <c r="D218" s="66"/>
      <c r="E218" s="306">
        <v>6375944.3039999995</v>
      </c>
      <c r="F218" s="305">
        <v>2.3379771715216049</v>
      </c>
      <c r="G218" s="305"/>
      <c r="H218" s="306">
        <v>7549096.9920000006</v>
      </c>
      <c r="I218" s="305">
        <v>2.7681572472058438</v>
      </c>
      <c r="J218" s="304">
        <f>H218-E218</f>
        <v>1173152.688000001</v>
      </c>
      <c r="K218" s="305"/>
      <c r="L218" s="315"/>
      <c r="M218" s="315">
        <f>J218/E218</f>
        <v>0.1839966963425346</v>
      </c>
    </row>
    <row r="219" spans="1:13" x14ac:dyDescent="0.2">
      <c r="A219" s="454">
        <f>A218+1</f>
        <v>127</v>
      </c>
      <c r="B219" s="66"/>
      <c r="C219" s="66" t="s">
        <v>88</v>
      </c>
      <c r="D219" s="66"/>
      <c r="E219" s="306">
        <v>60789249.174057573</v>
      </c>
      <c r="F219" s="305">
        <v>22.290639639640929</v>
      </c>
      <c r="G219" s="66"/>
      <c r="H219" s="306">
        <v>57006080.208000004</v>
      </c>
      <c r="I219" s="305">
        <v>20.903400000000001</v>
      </c>
      <c r="J219" s="304">
        <f>H219-E219</f>
        <v>-3783168.9660575688</v>
      </c>
      <c r="K219" s="66"/>
      <c r="L219" s="66"/>
      <c r="M219" s="133">
        <f>J219/E219</f>
        <v>-6.2234178205182941E-2</v>
      </c>
    </row>
    <row r="220" spans="1:13" x14ac:dyDescent="0.2">
      <c r="A220" s="454">
        <f>A219+1</f>
        <v>128</v>
      </c>
      <c r="B220" s="66"/>
      <c r="C220" s="66" t="s">
        <v>854</v>
      </c>
      <c r="D220" s="66"/>
      <c r="E220" s="312">
        <f>SUM(E218:E219)</f>
        <v>67165193.478057578</v>
      </c>
      <c r="F220" s="311">
        <v>24.628616811162537</v>
      </c>
      <c r="G220" s="454"/>
      <c r="H220" s="312">
        <f>SUM(H218:H219)</f>
        <v>64555177.200000003</v>
      </c>
      <c r="I220" s="311">
        <v>23.671557247205843</v>
      </c>
      <c r="J220" s="310">
        <f>SUM(J218:J219)</f>
        <v>-2610016.2780575678</v>
      </c>
      <c r="K220" s="66"/>
      <c r="L220" s="66"/>
      <c r="M220" s="514">
        <f>J220/E220</f>
        <v>-3.8859655468873808E-2</v>
      </c>
    </row>
    <row r="221" spans="1:13" x14ac:dyDescent="0.2">
      <c r="A221" s="454"/>
      <c r="B221" s="66"/>
      <c r="C221" s="66"/>
      <c r="D221" s="66"/>
      <c r="E221" s="306"/>
      <c r="F221" s="305"/>
      <c r="G221" s="454"/>
      <c r="H221" s="306"/>
      <c r="I221" s="305"/>
      <c r="J221" s="304"/>
      <c r="K221" s="66"/>
      <c r="L221" s="66"/>
      <c r="M221" s="303"/>
    </row>
    <row r="222" spans="1:13" x14ac:dyDescent="0.2">
      <c r="A222" s="454">
        <f>A220+1</f>
        <v>129</v>
      </c>
      <c r="B222" s="66"/>
      <c r="C222" s="66" t="s">
        <v>867</v>
      </c>
      <c r="D222" s="66"/>
      <c r="E222" s="312">
        <f>SUM(E218)+H219</f>
        <v>63382024.512000002</v>
      </c>
      <c r="F222" s="311">
        <v>23.241377171521606</v>
      </c>
      <c r="G222" s="454"/>
      <c r="H222" s="312">
        <f>SUM(H218:H219)</f>
        <v>64555177.200000003</v>
      </c>
      <c r="I222" s="311">
        <v>23.671557247205843</v>
      </c>
      <c r="J222" s="310">
        <f>J218</f>
        <v>1173152.688000001</v>
      </c>
      <c r="K222" s="66"/>
      <c r="L222" s="66"/>
      <c r="M222" s="327">
        <f>J222/E222</f>
        <v>1.8509233446430701E-2</v>
      </c>
    </row>
    <row r="223" spans="1:13" x14ac:dyDescent="0.2">
      <c r="A223" s="454">
        <f>A222+1</f>
        <v>130</v>
      </c>
      <c r="B223" s="66"/>
      <c r="C223" s="66" t="s">
        <v>866</v>
      </c>
      <c r="D223" s="66"/>
      <c r="E223" s="306"/>
      <c r="F223" s="305"/>
      <c r="G223" s="454"/>
      <c r="H223" s="306"/>
      <c r="I223" s="305"/>
      <c r="J223" s="304"/>
      <c r="K223" s="66"/>
      <c r="L223" s="66"/>
      <c r="M223" s="315">
        <v>0.1839966963425346</v>
      </c>
    </row>
    <row r="224" spans="1:13" x14ac:dyDescent="0.2">
      <c r="A224" s="454"/>
      <c r="B224" s="66"/>
      <c r="C224" s="66"/>
      <c r="D224" s="66"/>
      <c r="E224" s="66"/>
      <c r="F224" s="66"/>
      <c r="G224" s="66"/>
      <c r="H224" s="66"/>
      <c r="I224" s="66"/>
      <c r="J224" s="308"/>
      <c r="K224" s="66"/>
      <c r="L224" s="66"/>
      <c r="M224" s="66"/>
    </row>
    <row r="225" spans="1:13" x14ac:dyDescent="0.2">
      <c r="A225" s="76" t="s">
        <v>29</v>
      </c>
      <c r="B225" s="76"/>
      <c r="C225" s="66"/>
      <c r="D225" s="66"/>
      <c r="E225" s="66"/>
      <c r="F225" s="305"/>
      <c r="G225" s="66"/>
      <c r="H225" s="66"/>
      <c r="I225" s="66"/>
      <c r="J225" s="308"/>
      <c r="K225" s="66"/>
      <c r="L225" s="66"/>
      <c r="M225" s="66"/>
    </row>
    <row r="226" spans="1:13" x14ac:dyDescent="0.2">
      <c r="A226" s="411" t="s">
        <v>267</v>
      </c>
      <c r="B226" s="301"/>
      <c r="C226" s="307" t="s">
        <v>960</v>
      </c>
      <c r="D226" s="66"/>
      <c r="E226" s="306"/>
      <c r="F226" s="305"/>
      <c r="G226" s="66"/>
      <c r="H226" s="306"/>
      <c r="I226" s="305"/>
      <c r="J226" s="304"/>
      <c r="K226" s="66"/>
      <c r="L226" s="303"/>
      <c r="M226" s="303"/>
    </row>
    <row r="227" spans="1:13" x14ac:dyDescent="0.2">
      <c r="A227" s="411" t="s">
        <v>268</v>
      </c>
      <c r="B227" s="531"/>
      <c r="C227" s="569" t="s">
        <v>1065</v>
      </c>
      <c r="D227" s="570"/>
      <c r="E227" s="570"/>
      <c r="F227" s="570"/>
      <c r="G227" s="570"/>
      <c r="H227" s="570"/>
      <c r="I227" s="570"/>
      <c r="J227" s="570"/>
      <c r="K227" s="570"/>
      <c r="L227" s="570"/>
      <c r="M227" s="570"/>
    </row>
  </sheetData>
  <mergeCells count="21">
    <mergeCell ref="C227:M227"/>
    <mergeCell ref="L7:M7"/>
    <mergeCell ref="E7:F7"/>
    <mergeCell ref="H7:J7"/>
    <mergeCell ref="A85:M85"/>
    <mergeCell ref="A86:M86"/>
    <mergeCell ref="E88:F88"/>
    <mergeCell ref="H88:J88"/>
    <mergeCell ref="L88:M88"/>
    <mergeCell ref="A154:M154"/>
    <mergeCell ref="A155:M155"/>
    <mergeCell ref="E157:F157"/>
    <mergeCell ref="H157:J157"/>
    <mergeCell ref="L157:M157"/>
    <mergeCell ref="A4:M4"/>
    <mergeCell ref="A5:M5"/>
    <mergeCell ref="E43:F43"/>
    <mergeCell ref="E53:F53"/>
    <mergeCell ref="E33:F33"/>
    <mergeCell ref="E23:F23"/>
    <mergeCell ref="E13:F13"/>
  </mergeCells>
  <pageMargins left="0.7" right="0.7" top="0.75" bottom="0.75" header="0.3" footer="0.3"/>
  <pageSetup scale="59" firstPageNumber="7" fitToHeight="0" orientation="portrait" useFirstPageNumber="1" r:id="rId1"/>
  <headerFooter>
    <oddHeader xml:space="preserve">&amp;R&amp;"Arial,Regular"&amp;10Filed: 2022-11-30
EB-2022-0200
Exhibit 8
Tab 2
Schedule 8
Attachment 10
Page &amp;P of 9
</oddHeader>
  </headerFooter>
  <rowBreaks count="2" manualBreakCount="2">
    <brk id="81" max="12" man="1"/>
    <brk id="150"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3F09-D1B9-45AD-B537-F80D33CB517D}">
  <dimension ref="A6:I38"/>
  <sheetViews>
    <sheetView view="pageLayout" zoomScaleNormal="85" zoomScaleSheetLayoutView="90" workbookViewId="0"/>
  </sheetViews>
  <sheetFormatPr defaultColWidth="9.140625" defaultRowHeight="12.75" x14ac:dyDescent="0.2"/>
  <cols>
    <col min="1" max="1" width="5.5703125" style="46" customWidth="1"/>
    <col min="2" max="2" width="1.7109375" style="46" customWidth="1"/>
    <col min="3" max="3" width="51.28515625" style="46" customWidth="1"/>
    <col min="4" max="4" width="1.7109375" style="46" customWidth="1"/>
    <col min="5" max="5" width="12.28515625" style="46" customWidth="1"/>
    <col min="6" max="6" width="1.7109375" style="46" customWidth="1"/>
    <col min="7" max="7" width="12.28515625" style="46" customWidth="1"/>
    <col min="8" max="8" width="1.7109375" style="46" customWidth="1"/>
    <col min="9" max="9" width="12.28515625" style="46" customWidth="1"/>
    <col min="10" max="16384" width="9.140625" style="46"/>
  </cols>
  <sheetData>
    <row r="6" spans="1:9" x14ac:dyDescent="0.2">
      <c r="A6" s="47" t="s">
        <v>806</v>
      </c>
      <c r="B6" s="68"/>
      <c r="C6" s="68"/>
      <c r="D6" s="68"/>
      <c r="E6" s="68"/>
      <c r="F6" s="68"/>
      <c r="G6" s="68"/>
      <c r="H6" s="68"/>
      <c r="I6" s="68"/>
    </row>
    <row r="8" spans="1:9" ht="25.5" x14ac:dyDescent="0.2">
      <c r="A8" s="37" t="s">
        <v>261</v>
      </c>
      <c r="B8" s="9"/>
      <c r="C8" s="10" t="s">
        <v>400</v>
      </c>
      <c r="E8" s="48" t="s">
        <v>401</v>
      </c>
      <c r="F8" s="212"/>
      <c r="G8" s="48" t="s">
        <v>520</v>
      </c>
      <c r="H8" s="212"/>
      <c r="I8" s="48" t="s">
        <v>519</v>
      </c>
    </row>
    <row r="9" spans="1:9" x14ac:dyDescent="0.2">
      <c r="A9" s="6"/>
      <c r="B9" s="9"/>
      <c r="C9" s="9"/>
      <c r="E9" s="6" t="s">
        <v>3</v>
      </c>
      <c r="G9" s="6" t="s">
        <v>4</v>
      </c>
      <c r="I9" s="6" t="s">
        <v>402</v>
      </c>
    </row>
    <row r="10" spans="1:9" x14ac:dyDescent="0.2">
      <c r="A10" s="6"/>
      <c r="B10" s="9"/>
      <c r="C10" s="40" t="s">
        <v>572</v>
      </c>
      <c r="E10" s="6"/>
      <c r="G10" s="6"/>
      <c r="I10" s="6"/>
    </row>
    <row r="11" spans="1:9" x14ac:dyDescent="0.2">
      <c r="A11" s="41">
        <v>1</v>
      </c>
      <c r="C11" s="44" t="s">
        <v>342</v>
      </c>
      <c r="E11" s="213">
        <v>169.00033449599997</v>
      </c>
      <c r="G11" s="213">
        <v>5.5698105570283136</v>
      </c>
      <c r="I11" s="214">
        <v>163.43052393897165</v>
      </c>
    </row>
    <row r="12" spans="1:9" x14ac:dyDescent="0.2">
      <c r="A12" s="41" cm="1">
        <f t="array" ref="A12">MAX($A$11:A11+1)</f>
        <v>2</v>
      </c>
      <c r="C12" s="44" t="s">
        <v>403</v>
      </c>
      <c r="E12" s="214">
        <v>806.13845295288763</v>
      </c>
      <c r="G12" s="215">
        <v>0</v>
      </c>
      <c r="I12" s="214">
        <v>806.13845295288763</v>
      </c>
    </row>
    <row r="13" spans="1:9" x14ac:dyDescent="0.2">
      <c r="A13" s="41" cm="1">
        <f t="array" ref="A13">MAX($A$11:A12+1)</f>
        <v>3</v>
      </c>
      <c r="C13" s="96" t="s">
        <v>404</v>
      </c>
      <c r="E13" s="214">
        <v>38.879567507855178</v>
      </c>
      <c r="G13" s="215">
        <v>0</v>
      </c>
      <c r="I13" s="214">
        <v>38.879567507855178</v>
      </c>
    </row>
    <row r="14" spans="1:9" x14ac:dyDescent="0.2">
      <c r="A14" s="41" cm="1">
        <f t="array" ref="A14">MAX($A$11:A13+1)</f>
        <v>4</v>
      </c>
      <c r="C14" s="96" t="s">
        <v>405</v>
      </c>
      <c r="E14" s="214">
        <v>159.11347072514798</v>
      </c>
      <c r="G14" s="215">
        <v>0</v>
      </c>
      <c r="I14" s="214">
        <v>159.11347072514798</v>
      </c>
    </row>
    <row r="15" spans="1:9" x14ac:dyDescent="0.2">
      <c r="A15" s="41" cm="1">
        <f t="array" ref="A15">MAX($A$11:A14+1)</f>
        <v>5</v>
      </c>
      <c r="C15" s="44" t="s">
        <v>406</v>
      </c>
      <c r="E15" s="52">
        <v>212.1950275601626</v>
      </c>
      <c r="F15" s="52"/>
      <c r="G15" s="52">
        <v>0</v>
      </c>
      <c r="H15" s="52"/>
      <c r="I15" s="214">
        <v>212.1950275601626</v>
      </c>
    </row>
    <row r="16" spans="1:9" x14ac:dyDescent="0.2">
      <c r="A16" s="41" cm="1">
        <f t="array" ref="A16">MAX($A$11:A15+1)</f>
        <v>6</v>
      </c>
      <c r="C16" s="44" t="s">
        <v>407</v>
      </c>
      <c r="E16" s="213">
        <v>390.31690013829234</v>
      </c>
      <c r="F16" s="213"/>
      <c r="G16" s="213">
        <v>4.9841416623716226</v>
      </c>
      <c r="H16" s="213"/>
      <c r="I16" s="214">
        <v>385.33275847592074</v>
      </c>
    </row>
    <row r="17" spans="1:9" x14ac:dyDescent="0.2">
      <c r="A17" s="41" cm="1">
        <f t="array" ref="A17">MAX($A$11:A16+1)</f>
        <v>7</v>
      </c>
      <c r="C17" s="46" t="str">
        <f>"Total " &amp;C10</f>
        <v>Total Firm Transportation Charges</v>
      </c>
      <c r="E17" s="216">
        <f>SUM(E11:E16)</f>
        <v>1775.6437533803457</v>
      </c>
      <c r="G17" s="216">
        <f>SUM(G11:G16)</f>
        <v>10.553952219399935</v>
      </c>
      <c r="I17" s="216">
        <f>SUM(I11:I16)</f>
        <v>1765.0898011609456</v>
      </c>
    </row>
    <row r="19" spans="1:9" x14ac:dyDescent="0.2">
      <c r="A19" s="41" cm="1">
        <f t="array" ref="A19">MAX($A$11:A18+1)</f>
        <v>8</v>
      </c>
      <c r="C19" s="9" t="s">
        <v>408</v>
      </c>
      <c r="E19" s="219">
        <v>12138.692302499876</v>
      </c>
      <c r="F19" s="213"/>
      <c r="G19" s="219">
        <v>20.916562424892923</v>
      </c>
      <c r="I19" s="216">
        <v>12117.775740074983</v>
      </c>
    </row>
    <row r="20" spans="1:9" x14ac:dyDescent="0.2">
      <c r="A20" s="41"/>
      <c r="C20" s="44"/>
    </row>
    <row r="21" spans="1:9" x14ac:dyDescent="0.2">
      <c r="A21" s="41"/>
      <c r="C21" s="53" t="s">
        <v>573</v>
      </c>
    </row>
    <row r="22" spans="1:9" x14ac:dyDescent="0.2">
      <c r="A22" s="41" cm="1">
        <f t="array" ref="A22">MAX($A$11:A21+1)</f>
        <v>9</v>
      </c>
      <c r="C22" s="44" t="s">
        <v>409</v>
      </c>
      <c r="E22" s="213"/>
      <c r="G22" s="213"/>
      <c r="I22" s="214"/>
    </row>
    <row r="23" spans="1:9" x14ac:dyDescent="0.2">
      <c r="A23" s="41" cm="1">
        <f t="array" ref="A23">MAX($A$11:A22+1)</f>
        <v>10</v>
      </c>
      <c r="C23" s="42" t="s">
        <v>253</v>
      </c>
      <c r="E23" s="217">
        <v>3560.977942268019</v>
      </c>
      <c r="G23" s="217">
        <v>0</v>
      </c>
      <c r="I23" s="214">
        <v>3560.977942268019</v>
      </c>
    </row>
    <row r="24" spans="1:9" x14ac:dyDescent="0.2">
      <c r="A24" s="41" cm="1">
        <f t="array" ref="A24">MAX($A$11:A23+1)</f>
        <v>11</v>
      </c>
      <c r="C24" s="42" t="s">
        <v>410</v>
      </c>
      <c r="E24" s="213">
        <v>122.72648937679593</v>
      </c>
      <c r="G24" s="213">
        <v>2.1945384149512162</v>
      </c>
      <c r="I24" s="214">
        <v>120.53195096184471</v>
      </c>
    </row>
    <row r="25" spans="1:9" x14ac:dyDescent="0.2">
      <c r="A25" s="41" cm="1">
        <f t="array" ref="A25">MAX($A$11:A24+1)</f>
        <v>12</v>
      </c>
      <c r="C25" s="42" t="s">
        <v>805</v>
      </c>
      <c r="E25" s="217">
        <v>360.34169576180432</v>
      </c>
      <c r="G25" s="217">
        <v>0</v>
      </c>
      <c r="I25" s="214">
        <v>360.34169576180432</v>
      </c>
    </row>
    <row r="26" spans="1:9" x14ac:dyDescent="0.2">
      <c r="A26" s="41" cm="1">
        <f t="array" ref="A26">MAX($A$11:A25+1)</f>
        <v>13</v>
      </c>
      <c r="C26" s="42" t="s">
        <v>411</v>
      </c>
      <c r="E26" s="217">
        <v>40.058490161305784</v>
      </c>
      <c r="G26" s="217">
        <v>3.577267145735545E-3</v>
      </c>
      <c r="I26" s="214">
        <v>40.054912894160047</v>
      </c>
    </row>
    <row r="27" spans="1:9" x14ac:dyDescent="0.2">
      <c r="A27" s="41" cm="1">
        <f t="array" ref="A27">MAX($A$11:A26+1)</f>
        <v>14</v>
      </c>
      <c r="C27" s="42" t="s">
        <v>42</v>
      </c>
      <c r="E27" s="217">
        <v>25.345637999999994</v>
      </c>
      <c r="G27" s="217">
        <v>0</v>
      </c>
      <c r="I27" s="214">
        <v>25.345637999999994</v>
      </c>
    </row>
    <row r="28" spans="1:9" x14ac:dyDescent="0.2">
      <c r="A28" s="41" cm="1">
        <f t="array" ref="A28">MAX($A$11:A27+1)</f>
        <v>15</v>
      </c>
      <c r="C28" s="44" t="s">
        <v>412</v>
      </c>
      <c r="E28" s="217">
        <v>77.5</v>
      </c>
      <c r="G28" s="217">
        <v>0</v>
      </c>
      <c r="I28" s="214">
        <v>77.5</v>
      </c>
    </row>
    <row r="29" spans="1:9" x14ac:dyDescent="0.2">
      <c r="A29" s="41" cm="1">
        <f t="array" ref="A29">MAX($A$11:A28+1)</f>
        <v>16</v>
      </c>
      <c r="C29" s="46" t="str">
        <f>"Total " &amp;C21</f>
        <v>Total Other Charges</v>
      </c>
      <c r="E29" s="216">
        <f>SUM(E23:E28)</f>
        <v>4186.9502555679246</v>
      </c>
      <c r="G29" s="216">
        <f>SUM(G23:G28)</f>
        <v>2.1981156820969519</v>
      </c>
      <c r="I29" s="216">
        <f>SUM(I23:I28)</f>
        <v>4184.752139885828</v>
      </c>
    </row>
    <row r="30" spans="1:9" x14ac:dyDescent="0.2">
      <c r="A30" s="41"/>
      <c r="E30" s="214"/>
      <c r="G30" s="214"/>
      <c r="I30" s="214"/>
    </row>
    <row r="31" spans="1:9" x14ac:dyDescent="0.2">
      <c r="A31" s="41" cm="1">
        <f t="array" ref="A31">MAX($A$11:A30+1)</f>
        <v>17</v>
      </c>
      <c r="C31" s="46" t="s">
        <v>612</v>
      </c>
      <c r="E31" s="219">
        <v>1718.0114299177626</v>
      </c>
      <c r="G31" s="219">
        <v>0</v>
      </c>
      <c r="I31" s="216">
        <v>1718.0114299177626</v>
      </c>
    </row>
    <row r="32" spans="1:9" x14ac:dyDescent="0.2">
      <c r="A32" s="41"/>
    </row>
    <row r="33" spans="1:9" ht="13.5" thickBot="1" x14ac:dyDescent="0.25">
      <c r="A33" s="41" cm="1">
        <f t="array" ref="A33">MAX($A$11:A32+1)</f>
        <v>18</v>
      </c>
      <c r="C33" s="51" t="s">
        <v>574</v>
      </c>
      <c r="E33" s="218">
        <f>E17+E19+E29+E31</f>
        <v>19819.297741365906</v>
      </c>
      <c r="G33" s="218">
        <f>G17+G19+G29+G31</f>
        <v>33.66863032638981</v>
      </c>
      <c r="I33" s="218">
        <f>I17+I19+I29+I31</f>
        <v>19785.629111039521</v>
      </c>
    </row>
    <row r="34" spans="1:9" ht="13.5" thickTop="1" x14ac:dyDescent="0.2"/>
    <row r="35" spans="1:9" x14ac:dyDescent="0.2">
      <c r="A35" s="53" t="s">
        <v>953</v>
      </c>
    </row>
    <row r="36" spans="1:9" x14ac:dyDescent="0.2">
      <c r="A36" s="50" t="s">
        <v>267</v>
      </c>
      <c r="B36" s="49"/>
      <c r="C36" s="51" t="s">
        <v>1072</v>
      </c>
      <c r="D36" s="277"/>
      <c r="E36" s="277"/>
      <c r="F36" s="277"/>
      <c r="G36" s="277"/>
      <c r="H36" s="277"/>
      <c r="I36" s="277"/>
    </row>
    <row r="37" spans="1:9" ht="15" customHeight="1" x14ac:dyDescent="0.2"/>
    <row r="38" spans="1:9" ht="15" customHeight="1" x14ac:dyDescent="0.2"/>
  </sheetData>
  <pageMargins left="0.7" right="0.7" top="0.75" bottom="0.75" header="0.3" footer="0.3"/>
  <pageSetup scale="88" orientation="portrait" horizontalDpi="1200" verticalDpi="1200" r:id="rId1"/>
  <headerFooter>
    <oddHeader>&amp;R&amp;"Arial,Regular"&amp;10Filed: 2022-11-30
EB-2022-0200
Exhibit 8
Tab 2
Schedule 8
Attachment 11
Page &amp;P of &amp;N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8620E-09E0-4B6C-BF0D-E66FC11A1B33}">
  <sheetPr>
    <pageSetUpPr fitToPage="1"/>
  </sheetPr>
  <dimension ref="A1:P115"/>
  <sheetViews>
    <sheetView view="pageLayout" zoomScale="80" zoomScaleNormal="70" zoomScaleSheetLayoutView="70" zoomScalePageLayoutView="80" workbookViewId="0"/>
  </sheetViews>
  <sheetFormatPr defaultColWidth="9.140625" defaultRowHeight="12.75" x14ac:dyDescent="0.2"/>
  <cols>
    <col min="1" max="1" width="3.7109375" style="66" customWidth="1"/>
    <col min="2" max="2" width="1.28515625" style="66" customWidth="1"/>
    <col min="3" max="3" width="3.42578125" style="66" customWidth="1"/>
    <col min="4" max="4" width="50.5703125" style="66" bestFit="1" customWidth="1"/>
    <col min="5" max="5" width="1.28515625" style="66" customWidth="1"/>
    <col min="6" max="6" width="9.5703125" style="66" bestFit="1" customWidth="1"/>
    <col min="7" max="7" width="1.28515625" style="66" customWidth="1"/>
    <col min="8" max="8" width="11.5703125" style="66" bestFit="1" customWidth="1"/>
    <col min="9" max="9" width="9.140625" style="66" bestFit="1" customWidth="1"/>
    <col min="10" max="10" width="12.42578125" style="66" customWidth="1"/>
    <col min="11" max="11" width="1.28515625" style="66" customWidth="1"/>
    <col min="12" max="12" width="11.28515625" style="66" bestFit="1" customWidth="1"/>
    <col min="13" max="13" width="1.28515625" style="66" customWidth="1"/>
    <col min="14" max="14" width="11.5703125" style="66" bestFit="1" customWidth="1"/>
    <col min="15" max="15" width="11.7109375" style="66" customWidth="1"/>
    <col min="16" max="16" width="10.5703125" style="66" bestFit="1" customWidth="1"/>
    <col min="17" max="16384" width="9.140625" style="66"/>
  </cols>
  <sheetData>
    <row r="1" spans="1:16" x14ac:dyDescent="0.2">
      <c r="P1" s="230"/>
    </row>
    <row r="2" spans="1:16" x14ac:dyDescent="0.2">
      <c r="P2" s="230"/>
    </row>
    <row r="3" spans="1:16" x14ac:dyDescent="0.2">
      <c r="P3" s="230"/>
    </row>
    <row r="4" spans="1:16" x14ac:dyDescent="0.2">
      <c r="P4" s="230"/>
    </row>
    <row r="5" spans="1:16" x14ac:dyDescent="0.2">
      <c r="P5" s="230"/>
    </row>
    <row r="6" spans="1:16" x14ac:dyDescent="0.2">
      <c r="A6" s="566" t="s">
        <v>815</v>
      </c>
      <c r="B6" s="566"/>
      <c r="C6" s="566"/>
      <c r="D6" s="566"/>
      <c r="E6" s="566"/>
      <c r="F6" s="566"/>
      <c r="G6" s="566"/>
      <c r="H6" s="566"/>
      <c r="I6" s="566"/>
      <c r="J6" s="566"/>
      <c r="K6" s="566"/>
      <c r="L6" s="566"/>
      <c r="M6" s="566"/>
      <c r="N6" s="566"/>
      <c r="O6" s="566"/>
      <c r="P6" s="566"/>
    </row>
    <row r="7" spans="1:16" x14ac:dyDescent="0.2">
      <c r="A7" s="571" t="s">
        <v>413</v>
      </c>
      <c r="B7" s="566"/>
      <c r="C7" s="566"/>
      <c r="D7" s="566"/>
      <c r="E7" s="566"/>
      <c r="F7" s="566"/>
      <c r="G7" s="566"/>
      <c r="H7" s="566"/>
      <c r="I7" s="566"/>
      <c r="J7" s="566"/>
      <c r="K7" s="566"/>
      <c r="L7" s="566"/>
      <c r="M7" s="566"/>
      <c r="N7" s="566"/>
      <c r="O7" s="566"/>
      <c r="P7" s="566"/>
    </row>
    <row r="8" spans="1:16" x14ac:dyDescent="0.2">
      <c r="A8" s="535"/>
      <c r="B8" s="533"/>
      <c r="C8" s="533"/>
      <c r="D8" s="533"/>
      <c r="E8" s="533"/>
      <c r="F8" s="533"/>
      <c r="G8" s="533"/>
      <c r="H8" s="533"/>
      <c r="I8" s="533"/>
      <c r="J8" s="533"/>
      <c r="K8" s="533"/>
      <c r="L8" s="533"/>
      <c r="M8" s="533"/>
      <c r="N8" s="533"/>
      <c r="O8" s="533"/>
      <c r="P8" s="533"/>
    </row>
    <row r="9" spans="1:16" x14ac:dyDescent="0.2">
      <c r="H9" s="567" t="s">
        <v>575</v>
      </c>
      <c r="I9" s="567"/>
      <c r="J9" s="567"/>
      <c r="L9" s="454" t="s">
        <v>94</v>
      </c>
      <c r="N9" s="567" t="s">
        <v>414</v>
      </c>
      <c r="O9" s="567"/>
      <c r="P9" s="567"/>
    </row>
    <row r="10" spans="1:16" x14ac:dyDescent="0.2">
      <c r="A10" s="454" t="s">
        <v>0</v>
      </c>
      <c r="H10" s="454" t="s">
        <v>415</v>
      </c>
      <c r="I10" s="454" t="s">
        <v>415</v>
      </c>
      <c r="J10" s="454" t="s">
        <v>416</v>
      </c>
      <c r="L10" s="454" t="s">
        <v>417</v>
      </c>
      <c r="N10" s="454" t="s">
        <v>417</v>
      </c>
      <c r="O10" s="454" t="s">
        <v>418</v>
      </c>
      <c r="P10" s="454" t="s">
        <v>419</v>
      </c>
    </row>
    <row r="11" spans="1:16" x14ac:dyDescent="0.2">
      <c r="A11" s="534" t="s">
        <v>1</v>
      </c>
      <c r="C11" s="75" t="s">
        <v>33</v>
      </c>
      <c r="D11" s="75"/>
      <c r="F11" s="534" t="s">
        <v>381</v>
      </c>
      <c r="H11" s="534" t="s">
        <v>418</v>
      </c>
      <c r="I11" s="534" t="s">
        <v>419</v>
      </c>
      <c r="J11" s="534" t="s">
        <v>418</v>
      </c>
      <c r="K11" s="454"/>
      <c r="L11" s="534" t="s">
        <v>418</v>
      </c>
      <c r="N11" s="534" t="s">
        <v>420</v>
      </c>
      <c r="O11" s="534" t="s">
        <v>420</v>
      </c>
      <c r="P11" s="534" t="s">
        <v>420</v>
      </c>
    </row>
    <row r="12" spans="1:16" x14ac:dyDescent="0.2">
      <c r="H12" s="454" t="s">
        <v>3</v>
      </c>
      <c r="I12" s="454" t="s">
        <v>4</v>
      </c>
      <c r="J12" s="454" t="s">
        <v>119</v>
      </c>
      <c r="K12" s="454"/>
      <c r="L12" s="454" t="s">
        <v>263</v>
      </c>
      <c r="M12" s="454"/>
      <c r="N12" s="454" t="s">
        <v>63</v>
      </c>
      <c r="O12" s="454" t="s">
        <v>264</v>
      </c>
      <c r="P12" s="454" t="s">
        <v>38</v>
      </c>
    </row>
    <row r="14" spans="1:16" x14ac:dyDescent="0.2">
      <c r="A14" s="454">
        <v>1</v>
      </c>
      <c r="C14" s="76" t="s">
        <v>576</v>
      </c>
      <c r="F14" s="77" t="s">
        <v>814</v>
      </c>
      <c r="G14" s="77"/>
      <c r="H14" s="78"/>
      <c r="I14" s="78"/>
      <c r="J14" s="78"/>
      <c r="K14" s="78"/>
      <c r="L14" s="78">
        <v>64347.797048921806</v>
      </c>
      <c r="M14" s="78"/>
      <c r="N14" s="78">
        <v>11686.613343952569</v>
      </c>
      <c r="O14" s="78">
        <v>24151.420593155999</v>
      </c>
      <c r="P14" s="78">
        <v>1220.5433684981467</v>
      </c>
    </row>
    <row r="15" spans="1:16" x14ac:dyDescent="0.2">
      <c r="A15" s="454"/>
      <c r="F15" s="454"/>
      <c r="G15" s="454"/>
    </row>
    <row r="16" spans="1:16" x14ac:dyDescent="0.2">
      <c r="A16" s="454"/>
      <c r="C16" s="76" t="s">
        <v>421</v>
      </c>
      <c r="F16" s="454"/>
      <c r="G16" s="77"/>
    </row>
    <row r="17" spans="1:16" x14ac:dyDescent="0.2">
      <c r="A17" s="454">
        <f>A14+1</f>
        <v>2</v>
      </c>
      <c r="D17" s="66" t="s">
        <v>422</v>
      </c>
      <c r="F17" s="454" t="s">
        <v>813</v>
      </c>
      <c r="G17" s="77"/>
      <c r="H17" s="78">
        <v>1922374</v>
      </c>
      <c r="I17" s="78">
        <v>49500</v>
      </c>
      <c r="J17" s="78">
        <v>383738.83333333331</v>
      </c>
      <c r="L17" s="78">
        <v>2355612.8333333335</v>
      </c>
      <c r="M17" s="79"/>
      <c r="N17" s="79"/>
      <c r="O17" s="79"/>
      <c r="P17" s="79"/>
    </row>
    <row r="18" spans="1:16" x14ac:dyDescent="0.2">
      <c r="A18" s="454">
        <f>A17+1</f>
        <v>3</v>
      </c>
      <c r="D18" s="66" t="s">
        <v>423</v>
      </c>
      <c r="F18" s="454"/>
      <c r="G18" s="454"/>
      <c r="H18" s="80">
        <v>228.94</v>
      </c>
      <c r="I18" s="80">
        <v>188.67</v>
      </c>
      <c r="J18" s="80">
        <v>40.27000000000001</v>
      </c>
      <c r="O18" s="81"/>
    </row>
    <row r="19" spans="1:16" x14ac:dyDescent="0.2">
      <c r="A19" s="454">
        <f>A18+1</f>
        <v>4</v>
      </c>
      <c r="D19" s="66" t="s">
        <v>1089</v>
      </c>
      <c r="F19" s="454"/>
      <c r="G19" s="454"/>
      <c r="H19" s="78">
        <f>H17*H18/1000</f>
        <v>440108.30356000003</v>
      </c>
      <c r="I19" s="78">
        <f>I17*I18/1000</f>
        <v>9339.1650000000009</v>
      </c>
      <c r="J19" s="78">
        <f>J17*J18/1000</f>
        <v>15453.162818333338</v>
      </c>
      <c r="K19" s="78"/>
      <c r="L19" s="78">
        <v>464900.63137833332</v>
      </c>
    </row>
    <row r="20" spans="1:16" x14ac:dyDescent="0.2">
      <c r="A20" s="454"/>
      <c r="F20" s="454"/>
      <c r="G20" s="454"/>
    </row>
    <row r="21" spans="1:16" x14ac:dyDescent="0.2">
      <c r="A21" s="454">
        <f>A19+1</f>
        <v>5</v>
      </c>
      <c r="D21" s="66" t="s">
        <v>577</v>
      </c>
      <c r="F21" s="454"/>
      <c r="G21" s="454"/>
      <c r="H21" s="78">
        <f>H19/L19*L21</f>
        <v>60916.242924990802</v>
      </c>
      <c r="I21" s="78">
        <f>I19/L19*L21</f>
        <v>1292.6519205721202</v>
      </c>
      <c r="J21" s="78">
        <f>J19/L19*L21</f>
        <v>2138.902203358894</v>
      </c>
      <c r="K21" s="78"/>
      <c r="L21" s="82">
        <v>64347.797048921806</v>
      </c>
    </row>
    <row r="22" spans="1:16" x14ac:dyDescent="0.2">
      <c r="A22" s="454"/>
      <c r="F22" s="454"/>
      <c r="G22" s="454"/>
      <c r="H22" s="78"/>
      <c r="I22" s="78"/>
      <c r="J22" s="78"/>
      <c r="K22" s="78"/>
      <c r="L22" s="82"/>
    </row>
    <row r="23" spans="1:16" x14ac:dyDescent="0.2">
      <c r="A23" s="454"/>
      <c r="C23" s="66" t="s">
        <v>424</v>
      </c>
      <c r="F23" s="454"/>
      <c r="H23" s="78"/>
      <c r="I23" s="78"/>
      <c r="J23" s="78"/>
      <c r="K23" s="78"/>
      <c r="L23" s="82"/>
    </row>
    <row r="24" spans="1:16" x14ac:dyDescent="0.2">
      <c r="A24" s="454">
        <f>A21+1</f>
        <v>6</v>
      </c>
      <c r="D24" s="66" t="s">
        <v>425</v>
      </c>
      <c r="F24" s="454"/>
      <c r="H24" s="78">
        <f>H17*12</f>
        <v>23068488</v>
      </c>
      <c r="I24" s="78">
        <f>I17*12</f>
        <v>594000</v>
      </c>
      <c r="J24" s="78">
        <f>J17*12</f>
        <v>4604866</v>
      </c>
      <c r="K24" s="78"/>
      <c r="L24" s="78">
        <v>28267354</v>
      </c>
    </row>
    <row r="25" spans="1:16" x14ac:dyDescent="0.2">
      <c r="A25" s="454">
        <v>7</v>
      </c>
      <c r="D25" s="66" t="s">
        <v>426</v>
      </c>
      <c r="F25" s="454"/>
      <c r="H25" s="78"/>
      <c r="I25" s="78"/>
      <c r="J25" s="78"/>
      <c r="K25" s="78"/>
      <c r="L25" s="78"/>
      <c r="N25" s="82">
        <f>I24+H24</f>
        <v>23662488</v>
      </c>
      <c r="O25" s="82">
        <f>H24+J24</f>
        <v>27673354</v>
      </c>
      <c r="P25" s="82">
        <f>I24+J24</f>
        <v>5198866</v>
      </c>
    </row>
    <row r="26" spans="1:16" x14ac:dyDescent="0.2">
      <c r="A26" s="454"/>
      <c r="F26" s="454"/>
      <c r="H26" s="78"/>
      <c r="I26" s="78"/>
      <c r="J26" s="78"/>
      <c r="K26" s="78"/>
      <c r="L26" s="78"/>
      <c r="N26" s="82"/>
      <c r="O26" s="82"/>
      <c r="P26" s="82"/>
    </row>
    <row r="27" spans="1:16" x14ac:dyDescent="0.2">
      <c r="A27" s="454">
        <v>8</v>
      </c>
      <c r="C27" s="66" t="s">
        <v>578</v>
      </c>
      <c r="F27" s="454"/>
      <c r="H27" s="83">
        <f>H21*1000/H24</f>
        <v>2.6406690774441222</v>
      </c>
      <c r="I27" s="83">
        <f>I21*1000/I24</f>
        <v>2.1761816844648489</v>
      </c>
      <c r="J27" s="83">
        <f>J21*1000/J24</f>
        <v>0.46448739297927327</v>
      </c>
      <c r="K27" s="78"/>
      <c r="L27" s="82"/>
    </row>
    <row r="28" spans="1:16" x14ac:dyDescent="0.2">
      <c r="A28" s="454"/>
      <c r="F28" s="454"/>
      <c r="H28" s="78"/>
      <c r="I28" s="78"/>
      <c r="J28" s="78"/>
      <c r="K28" s="78"/>
      <c r="L28" s="78"/>
      <c r="N28" s="82"/>
      <c r="O28" s="82"/>
      <c r="P28" s="82"/>
    </row>
    <row r="29" spans="1:16" x14ac:dyDescent="0.2">
      <c r="A29" s="454">
        <f>A27+1</f>
        <v>9</v>
      </c>
      <c r="D29" s="66" t="s">
        <v>427</v>
      </c>
      <c r="F29" s="454" t="s">
        <v>682</v>
      </c>
      <c r="G29" s="77"/>
      <c r="H29" s="84">
        <f>$L$29*H19/$L$19</f>
        <v>3428883.5363711012</v>
      </c>
      <c r="I29" s="84">
        <f>$L$29*I19/$L$19</f>
        <v>72761.429068532743</v>
      </c>
      <c r="J29" s="84">
        <f>$L$29*J19/$L$19</f>
        <v>120395.58250557183</v>
      </c>
      <c r="K29" s="78"/>
      <c r="L29" s="78">
        <v>3622040.5479452056</v>
      </c>
      <c r="N29" s="78">
        <v>3830245.4794520549</v>
      </c>
      <c r="O29" s="78">
        <v>3622040.5479452056</v>
      </c>
    </row>
    <row r="30" spans="1:16" x14ac:dyDescent="0.2">
      <c r="A30" s="454">
        <v>10</v>
      </c>
      <c r="D30" s="66" t="s">
        <v>428</v>
      </c>
      <c r="F30" s="77" t="s">
        <v>720</v>
      </c>
      <c r="G30" s="77"/>
      <c r="H30" s="80">
        <f>$L$30*H19/$L$19</f>
        <v>347604.49413414433</v>
      </c>
      <c r="I30" s="80">
        <f>$L$30*I19/$L$19</f>
        <v>7376.2201240034838</v>
      </c>
      <c r="J30" s="80">
        <f>$L$30*J19/$L$19</f>
        <v>12205.152233641098</v>
      </c>
      <c r="K30" s="78"/>
      <c r="L30" s="80">
        <v>367185.86649178888</v>
      </c>
      <c r="N30" s="85"/>
      <c r="O30" s="80"/>
      <c r="P30" s="80">
        <v>445558.55342465756</v>
      </c>
    </row>
    <row r="31" spans="1:16" x14ac:dyDescent="0.2">
      <c r="A31" s="454">
        <v>11</v>
      </c>
      <c r="D31" s="66" t="s">
        <v>429</v>
      </c>
      <c r="F31" s="454"/>
      <c r="H31" s="78">
        <f>H24+H29+H30</f>
        <v>26844976.030505244</v>
      </c>
      <c r="I31" s="78">
        <f>I24+I29+I30</f>
        <v>674137.64919253625</v>
      </c>
      <c r="J31" s="78">
        <f>J24+J29+J30</f>
        <v>4737466.7347392123</v>
      </c>
      <c r="K31" s="78"/>
      <c r="L31" s="78">
        <f>L24+L29+L30</f>
        <v>32256580.414436992</v>
      </c>
      <c r="N31" s="82">
        <f>N25+N29</f>
        <v>27492733.479452055</v>
      </c>
      <c r="O31" s="82">
        <f>O25+O29</f>
        <v>31295394.547945205</v>
      </c>
      <c r="P31" s="82">
        <f>P25+P30</f>
        <v>5644424.5534246573</v>
      </c>
    </row>
    <row r="32" spans="1:16" x14ac:dyDescent="0.2">
      <c r="A32" s="454"/>
      <c r="F32" s="454"/>
      <c r="H32" s="78"/>
      <c r="I32" s="78"/>
      <c r="J32" s="78"/>
      <c r="K32" s="78"/>
      <c r="L32" s="82"/>
    </row>
    <row r="33" spans="1:16" ht="26.25" thickBot="1" x14ac:dyDescent="0.25">
      <c r="A33" s="86">
        <f>A31+1</f>
        <v>12</v>
      </c>
      <c r="D33" s="87" t="s">
        <v>1092</v>
      </c>
      <c r="E33" s="87"/>
      <c r="F33" s="454"/>
      <c r="H33" s="78"/>
      <c r="I33" s="78"/>
      <c r="J33" s="78"/>
      <c r="K33" s="78"/>
      <c r="L33" s="82"/>
      <c r="N33" s="88">
        <f>N14*1000/N31</f>
        <v>0.42508007989409607</v>
      </c>
      <c r="O33" s="88">
        <f>O14*1000/O31</f>
        <v>0.77172443236513644</v>
      </c>
      <c r="P33" s="88">
        <f>P14*1000/P31</f>
        <v>0.21623876038126918</v>
      </c>
    </row>
    <row r="34" spans="1:16" ht="13.5" thickTop="1" x14ac:dyDescent="0.2">
      <c r="A34" s="454"/>
      <c r="H34" s="78"/>
      <c r="I34" s="78"/>
      <c r="J34" s="78"/>
      <c r="K34" s="78"/>
      <c r="L34" s="82"/>
      <c r="N34" s="89"/>
      <c r="O34" s="89"/>
      <c r="P34" s="89"/>
    </row>
    <row r="35" spans="1:16" x14ac:dyDescent="0.2">
      <c r="A35" s="454">
        <f>A33+1</f>
        <v>13</v>
      </c>
      <c r="C35" s="66" t="s">
        <v>1090</v>
      </c>
      <c r="H35" s="83">
        <f>H21*1000/H31</f>
        <v>2.2691859681963855</v>
      </c>
      <c r="I35" s="89"/>
      <c r="J35" s="89"/>
      <c r="K35" s="78"/>
      <c r="L35" s="90"/>
    </row>
    <row r="36" spans="1:16" x14ac:dyDescent="0.2">
      <c r="A36" s="454"/>
      <c r="H36" s="89"/>
      <c r="I36" s="89"/>
      <c r="J36" s="89"/>
      <c r="K36" s="78"/>
      <c r="L36" s="91"/>
    </row>
    <row r="37" spans="1:16" x14ac:dyDescent="0.2">
      <c r="A37" s="454">
        <f>A35+1</f>
        <v>14</v>
      </c>
      <c r="C37" s="66" t="s">
        <v>1091</v>
      </c>
      <c r="F37" s="77"/>
      <c r="G37" s="77"/>
      <c r="H37" s="84">
        <f>(H29+H30)*$H$35/1000</f>
        <v>8569.5536478841059</v>
      </c>
      <c r="I37" s="84">
        <f>(I29+I30)*$H$35/1000</f>
        <v>181.8472290719476</v>
      </c>
      <c r="J37" s="84">
        <f>(J29+J30)*$H$35/1000</f>
        <v>300.895726642753</v>
      </c>
      <c r="K37" s="78"/>
      <c r="L37" s="92"/>
    </row>
    <row r="38" spans="1:16" x14ac:dyDescent="0.2">
      <c r="A38" s="454"/>
      <c r="H38" s="78"/>
      <c r="I38" s="78"/>
      <c r="J38" s="78"/>
      <c r="K38" s="78"/>
      <c r="L38" s="82"/>
    </row>
    <row r="39" spans="1:16" x14ac:dyDescent="0.2">
      <c r="A39" s="454">
        <f>A37+1</f>
        <v>15</v>
      </c>
      <c r="C39" s="66" t="s">
        <v>430</v>
      </c>
      <c r="H39" s="78"/>
      <c r="I39" s="93">
        <f>(I21-I37)*1000/I24</f>
        <v>1.8700415681821085</v>
      </c>
      <c r="J39" s="93">
        <f>(J21-J37)*1000/J24</f>
        <v>0.39914440001427642</v>
      </c>
      <c r="K39" s="78"/>
      <c r="L39" s="82"/>
    </row>
    <row r="40" spans="1:16" x14ac:dyDescent="0.2">
      <c r="A40" s="454"/>
      <c r="H40" s="78"/>
      <c r="I40" s="78"/>
      <c r="J40" s="78"/>
      <c r="K40" s="78"/>
      <c r="L40" s="82"/>
    </row>
    <row r="41" spans="1:16" x14ac:dyDescent="0.2">
      <c r="A41" s="454"/>
      <c r="C41" s="76" t="s">
        <v>812</v>
      </c>
      <c r="F41" s="454"/>
      <c r="G41" s="454"/>
      <c r="H41" s="94"/>
      <c r="K41" s="94"/>
      <c r="L41" s="82"/>
    </row>
    <row r="42" spans="1:16" x14ac:dyDescent="0.2">
      <c r="C42" s="66" t="s">
        <v>580</v>
      </c>
    </row>
    <row r="43" spans="1:16" x14ac:dyDescent="0.2">
      <c r="A43" s="454">
        <v>16</v>
      </c>
      <c r="D43" s="66" t="s">
        <v>1147</v>
      </c>
      <c r="H43" s="95">
        <f>H35</f>
        <v>2.2691859681963855</v>
      </c>
      <c r="I43" s="95">
        <f>I39</f>
        <v>1.8700415681821085</v>
      </c>
      <c r="J43" s="95">
        <f>J39</f>
        <v>0.39914440001427642</v>
      </c>
    </row>
    <row r="44" spans="1:16" x14ac:dyDescent="0.2">
      <c r="A44" s="454">
        <v>17</v>
      </c>
      <c r="D44" s="66" t="s">
        <v>581</v>
      </c>
      <c r="H44" s="95"/>
      <c r="I44" s="95"/>
      <c r="J44" s="95"/>
    </row>
    <row r="45" spans="1:16" x14ac:dyDescent="0.2">
      <c r="A45" s="454">
        <v>18</v>
      </c>
      <c r="D45" s="96" t="s">
        <v>431</v>
      </c>
      <c r="H45" s="89">
        <f>N33</f>
        <v>0.42508007989409607</v>
      </c>
      <c r="I45" s="89">
        <f>N33</f>
        <v>0.42508007989409607</v>
      </c>
      <c r="J45" s="89">
        <v>0</v>
      </c>
      <c r="K45" s="78"/>
      <c r="L45" s="82"/>
      <c r="N45" s="89"/>
      <c r="O45" s="89"/>
      <c r="P45" s="89"/>
    </row>
    <row r="46" spans="1:16" x14ac:dyDescent="0.2">
      <c r="A46" s="454">
        <v>19</v>
      </c>
      <c r="D46" s="96" t="s">
        <v>432</v>
      </c>
      <c r="H46" s="89">
        <v>0</v>
      </c>
      <c r="I46" s="89">
        <f>P33</f>
        <v>0.21623876038126918</v>
      </c>
      <c r="J46" s="89">
        <f>P33</f>
        <v>0.21623876038126918</v>
      </c>
      <c r="K46" s="78"/>
      <c r="L46" s="82"/>
      <c r="N46" s="89"/>
      <c r="O46" s="89"/>
      <c r="P46" s="89"/>
    </row>
    <row r="47" spans="1:16" x14ac:dyDescent="0.2">
      <c r="A47" s="454">
        <v>20</v>
      </c>
      <c r="D47" s="96" t="s">
        <v>433</v>
      </c>
      <c r="H47" s="89">
        <f>O33</f>
        <v>0.77172443236513644</v>
      </c>
      <c r="I47" s="89">
        <v>0</v>
      </c>
      <c r="J47" s="89">
        <f>O33</f>
        <v>0.77172443236513644</v>
      </c>
      <c r="K47" s="78"/>
      <c r="L47" s="82"/>
      <c r="N47" s="89"/>
      <c r="O47" s="89"/>
      <c r="P47" s="89"/>
    </row>
    <row r="48" spans="1:16" ht="13.5" thickBot="1" x14ac:dyDescent="0.25">
      <c r="A48" s="454">
        <v>21</v>
      </c>
      <c r="C48" s="66" t="s">
        <v>582</v>
      </c>
      <c r="H48" s="88">
        <f>SUM(H43:H47)</f>
        <v>3.4659904804556181</v>
      </c>
      <c r="I48" s="88">
        <f>SUM(I43:I47)</f>
        <v>2.5113604084574739</v>
      </c>
      <c r="J48" s="88">
        <f>SUM(J43:J47)</f>
        <v>1.3871075927606822</v>
      </c>
      <c r="K48" s="78"/>
      <c r="L48" s="95"/>
      <c r="N48" s="89"/>
      <c r="O48" s="89"/>
      <c r="P48" s="89"/>
    </row>
    <row r="49" spans="1:16" ht="13.5" thickTop="1" x14ac:dyDescent="0.2">
      <c r="A49" s="454"/>
      <c r="H49" s="89"/>
      <c r="I49" s="89"/>
      <c r="J49" s="89"/>
      <c r="K49" s="78"/>
      <c r="L49" s="82"/>
      <c r="N49" s="89"/>
      <c r="O49" s="89"/>
      <c r="P49" s="89"/>
    </row>
    <row r="50" spans="1:16" ht="13.5" thickBot="1" x14ac:dyDescent="0.25">
      <c r="A50" s="454">
        <v>22</v>
      </c>
      <c r="C50" s="66" t="s">
        <v>1148</v>
      </c>
      <c r="H50" s="97">
        <f>(H48)*100/365</f>
        <v>0.94958643300153922</v>
      </c>
      <c r="J50" s="97">
        <f>H50</f>
        <v>0.94958643300153922</v>
      </c>
      <c r="N50" s="90"/>
      <c r="O50" s="90"/>
      <c r="P50" s="90"/>
    </row>
    <row r="51" spans="1:16" ht="14.25" thickTop="1" thickBot="1" x14ac:dyDescent="0.25">
      <c r="A51" s="454">
        <v>23</v>
      </c>
      <c r="C51" s="66" t="s">
        <v>1149</v>
      </c>
      <c r="I51" s="97">
        <f>((I43+I46)*214/365)+((I45+I47)*100/365)</f>
        <v>1.3396493104163629</v>
      </c>
      <c r="N51" s="90"/>
      <c r="O51" s="90"/>
      <c r="P51" s="90"/>
    </row>
    <row r="52" spans="1:16" ht="13.5" thickTop="1" x14ac:dyDescent="0.2">
      <c r="A52" s="454"/>
      <c r="H52" s="95"/>
      <c r="I52" s="95"/>
      <c r="J52" s="95"/>
      <c r="N52" s="90"/>
      <c r="O52" s="90"/>
      <c r="P52" s="90"/>
    </row>
    <row r="53" spans="1:16" x14ac:dyDescent="0.2">
      <c r="A53" s="76" t="s">
        <v>29</v>
      </c>
      <c r="H53" s="289"/>
      <c r="I53" s="289"/>
      <c r="J53" s="289"/>
    </row>
    <row r="54" spans="1:16" x14ac:dyDescent="0.2">
      <c r="A54" s="77" t="s">
        <v>267</v>
      </c>
      <c r="C54" s="66" t="s">
        <v>1076</v>
      </c>
      <c r="F54" s="454"/>
      <c r="G54" s="454"/>
    </row>
    <row r="55" spans="1:16" x14ac:dyDescent="0.2">
      <c r="A55" s="77" t="s">
        <v>268</v>
      </c>
      <c r="C55" s="66" t="s">
        <v>1034</v>
      </c>
      <c r="F55" s="454"/>
      <c r="G55" s="454"/>
    </row>
    <row r="56" spans="1:16" x14ac:dyDescent="0.2">
      <c r="A56" s="77" t="s">
        <v>269</v>
      </c>
      <c r="C56" s="66" t="s">
        <v>1035</v>
      </c>
      <c r="F56" s="454"/>
      <c r="G56" s="454"/>
    </row>
    <row r="57" spans="1:16" x14ac:dyDescent="0.2">
      <c r="A57" s="77" t="s">
        <v>277</v>
      </c>
      <c r="C57" s="66" t="s">
        <v>1036</v>
      </c>
      <c r="F57" s="454"/>
      <c r="G57" s="454"/>
    </row>
    <row r="58" spans="1:16" x14ac:dyDescent="0.2">
      <c r="A58" s="411" t="s">
        <v>278</v>
      </c>
      <c r="B58" s="366"/>
      <c r="C58" s="543" t="s">
        <v>1084</v>
      </c>
      <c r="D58" s="366"/>
      <c r="E58" s="366"/>
      <c r="F58" s="360"/>
      <c r="G58" s="360"/>
      <c r="H58" s="366"/>
      <c r="I58" s="366"/>
      <c r="J58" s="366"/>
      <c r="K58" s="366"/>
      <c r="L58" s="366"/>
      <c r="M58" s="366"/>
      <c r="N58" s="366"/>
    </row>
    <row r="59" spans="1:16" x14ac:dyDescent="0.2">
      <c r="A59" s="411" t="s">
        <v>279</v>
      </c>
      <c r="B59" s="366"/>
      <c r="C59" s="543" t="s">
        <v>1085</v>
      </c>
      <c r="D59" s="366"/>
      <c r="E59" s="366"/>
      <c r="F59" s="360"/>
      <c r="G59" s="360"/>
      <c r="H59" s="366"/>
      <c r="I59" s="366"/>
      <c r="J59" s="366"/>
      <c r="K59" s="366"/>
      <c r="L59" s="366"/>
      <c r="M59" s="366"/>
      <c r="N59" s="366"/>
    </row>
    <row r="60" spans="1:16" x14ac:dyDescent="0.2">
      <c r="A60" s="411" t="s">
        <v>681</v>
      </c>
      <c r="B60" s="366"/>
      <c r="C60" s="543" t="s">
        <v>1086</v>
      </c>
      <c r="D60" s="366"/>
      <c r="E60" s="366"/>
      <c r="F60" s="360"/>
      <c r="G60" s="360"/>
      <c r="H60" s="366"/>
      <c r="I60" s="366"/>
      <c r="J60" s="366"/>
      <c r="K60" s="366"/>
      <c r="L60" s="366"/>
      <c r="M60" s="366"/>
      <c r="N60" s="366"/>
    </row>
    <row r="61" spans="1:16" ht="15" customHeight="1" x14ac:dyDescent="0.2">
      <c r="A61" s="411" t="s">
        <v>682</v>
      </c>
      <c r="B61" s="366"/>
      <c r="C61" s="366" t="s">
        <v>1087</v>
      </c>
      <c r="D61" s="366"/>
      <c r="E61" s="366"/>
      <c r="F61" s="366"/>
      <c r="G61" s="366"/>
      <c r="H61" s="366"/>
      <c r="I61" s="366"/>
      <c r="J61" s="366"/>
      <c r="K61" s="366"/>
      <c r="L61" s="366"/>
      <c r="M61" s="366"/>
      <c r="N61" s="366"/>
    </row>
    <row r="62" spans="1:16" ht="15" customHeight="1" x14ac:dyDescent="0.2">
      <c r="A62" s="411" t="s">
        <v>720</v>
      </c>
      <c r="B62" s="366"/>
      <c r="C62" s="366" t="s">
        <v>1088</v>
      </c>
      <c r="D62" s="366"/>
      <c r="E62" s="366"/>
      <c r="F62" s="366"/>
      <c r="G62" s="366"/>
      <c r="H62" s="366"/>
      <c r="I62" s="366"/>
      <c r="J62" s="366"/>
      <c r="K62" s="366"/>
      <c r="L62" s="366"/>
      <c r="M62" s="366"/>
      <c r="N62" s="366"/>
    </row>
    <row r="66" spans="1:16" x14ac:dyDescent="0.2">
      <c r="A66" s="286"/>
      <c r="B66" s="288"/>
      <c r="C66" s="287"/>
      <c r="D66" s="286"/>
      <c r="E66" s="286"/>
      <c r="F66" s="286"/>
      <c r="G66" s="286"/>
      <c r="H66" s="286"/>
      <c r="I66" s="286"/>
      <c r="J66" s="286"/>
    </row>
    <row r="67" spans="1:16" x14ac:dyDescent="0.2">
      <c r="A67" s="286"/>
      <c r="B67" s="288"/>
      <c r="C67" s="287"/>
      <c r="D67" s="286"/>
      <c r="E67" s="286"/>
      <c r="F67" s="286"/>
      <c r="G67" s="286"/>
      <c r="H67" s="286"/>
      <c r="I67" s="286"/>
      <c r="J67" s="286"/>
    </row>
    <row r="68" spans="1:16" x14ac:dyDescent="0.2">
      <c r="A68" s="566" t="s">
        <v>811</v>
      </c>
      <c r="B68" s="566"/>
      <c r="C68" s="566"/>
      <c r="D68" s="566"/>
      <c r="E68" s="566"/>
      <c r="F68" s="566"/>
      <c r="G68" s="566"/>
      <c r="H68" s="566"/>
      <c r="I68" s="566"/>
      <c r="J68" s="566"/>
      <c r="K68" s="566"/>
      <c r="L68" s="566"/>
      <c r="M68" s="566"/>
      <c r="N68" s="566"/>
    </row>
    <row r="69" spans="1:16" x14ac:dyDescent="0.2">
      <c r="A69" s="571" t="s">
        <v>810</v>
      </c>
      <c r="B69" s="571"/>
      <c r="C69" s="571"/>
      <c r="D69" s="571"/>
      <c r="E69" s="571"/>
      <c r="F69" s="571"/>
      <c r="G69" s="571"/>
      <c r="H69" s="571"/>
      <c r="I69" s="571"/>
      <c r="J69" s="571"/>
      <c r="K69" s="571"/>
      <c r="L69" s="571"/>
      <c r="M69" s="571"/>
      <c r="N69" s="571"/>
      <c r="O69" s="76"/>
      <c r="P69" s="76"/>
    </row>
    <row r="71" spans="1:16" x14ac:dyDescent="0.2">
      <c r="H71" s="567" t="s">
        <v>575</v>
      </c>
      <c r="I71" s="567"/>
      <c r="J71" s="567"/>
      <c r="L71" s="454" t="s">
        <v>94</v>
      </c>
      <c r="N71" s="454" t="s">
        <v>94</v>
      </c>
    </row>
    <row r="72" spans="1:16" x14ac:dyDescent="0.2">
      <c r="A72" s="66" t="s">
        <v>0</v>
      </c>
      <c r="F72" s="454"/>
      <c r="G72" s="454"/>
      <c r="H72" s="454" t="s">
        <v>415</v>
      </c>
      <c r="I72" s="454" t="s">
        <v>415</v>
      </c>
      <c r="J72" s="454" t="s">
        <v>416</v>
      </c>
      <c r="L72" s="454" t="s">
        <v>417</v>
      </c>
      <c r="N72" s="454" t="s">
        <v>417</v>
      </c>
      <c r="O72" s="454"/>
    </row>
    <row r="73" spans="1:16" x14ac:dyDescent="0.2">
      <c r="A73" s="75" t="s">
        <v>1</v>
      </c>
      <c r="C73" s="75" t="s">
        <v>33</v>
      </c>
      <c r="D73" s="75"/>
      <c r="F73" s="534" t="s">
        <v>381</v>
      </c>
      <c r="G73" s="454"/>
      <c r="H73" s="534" t="s">
        <v>418</v>
      </c>
      <c r="I73" s="534" t="s">
        <v>419</v>
      </c>
      <c r="J73" s="534" t="s">
        <v>418</v>
      </c>
      <c r="K73" s="454"/>
      <c r="L73" s="534" t="s">
        <v>418</v>
      </c>
      <c r="N73" s="534" t="s">
        <v>420</v>
      </c>
      <c r="O73" s="454"/>
    </row>
    <row r="74" spans="1:16" x14ac:dyDescent="0.2">
      <c r="F74" s="454"/>
      <c r="G74" s="454"/>
      <c r="H74" s="454" t="s">
        <v>3</v>
      </c>
      <c r="I74" s="454" t="s">
        <v>4</v>
      </c>
      <c r="J74" s="454" t="s">
        <v>119</v>
      </c>
      <c r="K74" s="454"/>
      <c r="L74" s="454" t="s">
        <v>263</v>
      </c>
      <c r="M74" s="454"/>
      <c r="N74" s="77" t="s">
        <v>63</v>
      </c>
      <c r="O74" s="454"/>
    </row>
    <row r="75" spans="1:16" x14ac:dyDescent="0.2">
      <c r="F75" s="454"/>
      <c r="G75" s="454"/>
    </row>
    <row r="76" spans="1:16" x14ac:dyDescent="0.2">
      <c r="A76" s="454">
        <v>1</v>
      </c>
      <c r="C76" s="76" t="s">
        <v>576</v>
      </c>
      <c r="F76" s="77" t="s">
        <v>809</v>
      </c>
      <c r="G76" s="77"/>
      <c r="H76" s="94"/>
      <c r="I76" s="94"/>
      <c r="J76" s="94"/>
      <c r="K76" s="94"/>
      <c r="L76" s="94">
        <f>+L14+O14+P14</f>
        <v>89719.761010575938</v>
      </c>
      <c r="M76" s="94"/>
      <c r="N76" s="94">
        <f>+N14</f>
        <v>11686.613343952569</v>
      </c>
    </row>
    <row r="77" spans="1:16" x14ac:dyDescent="0.2">
      <c r="A77" s="454"/>
      <c r="F77" s="454"/>
      <c r="G77" s="454"/>
    </row>
    <row r="78" spans="1:16" x14ac:dyDescent="0.2">
      <c r="A78" s="454"/>
      <c r="C78" s="76" t="s">
        <v>421</v>
      </c>
      <c r="F78" s="454"/>
      <c r="G78" s="77"/>
    </row>
    <row r="79" spans="1:16" x14ac:dyDescent="0.2">
      <c r="A79" s="454">
        <f>A76+1</f>
        <v>2</v>
      </c>
      <c r="D79" s="66" t="s">
        <v>1093</v>
      </c>
      <c r="F79" s="77"/>
      <c r="G79" s="77"/>
      <c r="H79" s="282">
        <f t="shared" ref="H79:J80" si="0">+H17</f>
        <v>1922374</v>
      </c>
      <c r="I79" s="282">
        <f t="shared" si="0"/>
        <v>49500</v>
      </c>
      <c r="J79" s="282">
        <f t="shared" si="0"/>
        <v>383738.83333333331</v>
      </c>
      <c r="L79" s="94">
        <f>SUM(H79:J79)</f>
        <v>2355612.8333333335</v>
      </c>
      <c r="M79" s="285"/>
      <c r="N79" s="285"/>
      <c r="O79" s="285"/>
    </row>
    <row r="80" spans="1:16" x14ac:dyDescent="0.2">
      <c r="A80" s="454">
        <f>A79+1</f>
        <v>3</v>
      </c>
      <c r="D80" s="66" t="s">
        <v>423</v>
      </c>
      <c r="F80" s="454"/>
      <c r="G80" s="454"/>
      <c r="H80" s="458">
        <f t="shared" si="0"/>
        <v>228.94</v>
      </c>
      <c r="I80" s="458">
        <f t="shared" si="0"/>
        <v>188.67</v>
      </c>
      <c r="J80" s="458">
        <f t="shared" si="0"/>
        <v>40.27000000000001</v>
      </c>
    </row>
    <row r="81" spans="1:16" x14ac:dyDescent="0.2">
      <c r="A81" s="454">
        <f>A80+1</f>
        <v>4</v>
      </c>
      <c r="D81" s="66" t="s">
        <v>1089</v>
      </c>
      <c r="F81" s="454"/>
      <c r="G81" s="454"/>
      <c r="H81" s="94">
        <f>H79*H80/1000</f>
        <v>440108.30356000003</v>
      </c>
      <c r="I81" s="94">
        <f>I79*I80/1000</f>
        <v>9339.1650000000009</v>
      </c>
      <c r="J81" s="94">
        <f>J79*J80/1000</f>
        <v>15453.162818333338</v>
      </c>
      <c r="K81" s="94"/>
      <c r="L81" s="94">
        <f>SUM(H81:J81)</f>
        <v>464900.63137833332</v>
      </c>
    </row>
    <row r="82" spans="1:16" x14ac:dyDescent="0.2">
      <c r="A82" s="454"/>
      <c r="F82" s="454"/>
      <c r="G82" s="454"/>
    </row>
    <row r="83" spans="1:16" x14ac:dyDescent="0.2">
      <c r="A83" s="454">
        <f>A81+1</f>
        <v>5</v>
      </c>
      <c r="D83" s="66" t="s">
        <v>577</v>
      </c>
      <c r="F83" s="454"/>
      <c r="G83" s="454"/>
      <c r="H83" s="78">
        <f>H81/$L$81*$L$76</f>
        <v>84935.164955797634</v>
      </c>
      <c r="I83" s="78">
        <f>I81/$L$81*$L$76</f>
        <v>1802.3370915933458</v>
      </c>
      <c r="J83" s="78">
        <f>J81/$L$81*$L$76</f>
        <v>2982.2589631849678</v>
      </c>
      <c r="K83" s="94"/>
      <c r="L83" s="82">
        <f>SUM(H83:J83)</f>
        <v>89719.761010575952</v>
      </c>
    </row>
    <row r="84" spans="1:16" x14ac:dyDescent="0.2">
      <c r="A84" s="454"/>
      <c r="F84" s="454"/>
      <c r="G84" s="454"/>
      <c r="H84" s="94"/>
      <c r="I84" s="94"/>
      <c r="J84" s="94"/>
      <c r="K84" s="94"/>
      <c r="L84" s="82"/>
    </row>
    <row r="85" spans="1:16" x14ac:dyDescent="0.2">
      <c r="A85" s="454"/>
      <c r="C85" s="66" t="s">
        <v>424</v>
      </c>
      <c r="F85" s="454"/>
      <c r="G85" s="454"/>
      <c r="H85" s="94"/>
      <c r="I85" s="94"/>
      <c r="J85" s="94"/>
      <c r="K85" s="94"/>
      <c r="L85" s="82"/>
    </row>
    <row r="86" spans="1:16" x14ac:dyDescent="0.2">
      <c r="A86" s="454">
        <f>A83+1</f>
        <v>6</v>
      </c>
      <c r="D86" s="66" t="s">
        <v>425</v>
      </c>
      <c r="F86" s="454"/>
      <c r="G86" s="454"/>
      <c r="H86" s="94">
        <f>H79*12</f>
        <v>23068488</v>
      </c>
      <c r="I86" s="94">
        <f>I79*12</f>
        <v>594000</v>
      </c>
      <c r="J86" s="94">
        <f>J79*12</f>
        <v>4604866</v>
      </c>
      <c r="K86" s="94"/>
      <c r="L86" s="94">
        <f>L79*12</f>
        <v>28267354</v>
      </c>
    </row>
    <row r="87" spans="1:16" x14ac:dyDescent="0.2">
      <c r="A87" s="454">
        <v>7</v>
      </c>
      <c r="D87" s="66" t="s">
        <v>426</v>
      </c>
      <c r="F87" s="454"/>
      <c r="G87" s="454"/>
      <c r="H87" s="94"/>
      <c r="I87" s="94"/>
      <c r="J87" s="94"/>
      <c r="K87" s="94"/>
      <c r="L87" s="94"/>
      <c r="N87" s="82">
        <f>I86+H86</f>
        <v>23662488</v>
      </c>
    </row>
    <row r="88" spans="1:16" x14ac:dyDescent="0.2">
      <c r="A88" s="454"/>
      <c r="F88" s="454"/>
      <c r="G88" s="454"/>
      <c r="H88" s="94"/>
      <c r="I88" s="94"/>
      <c r="J88" s="94"/>
      <c r="K88" s="94"/>
      <c r="L88" s="94"/>
      <c r="N88" s="82"/>
    </row>
    <row r="89" spans="1:16" x14ac:dyDescent="0.2">
      <c r="A89" s="454">
        <v>8</v>
      </c>
      <c r="C89" s="66" t="s">
        <v>578</v>
      </c>
      <c r="F89" s="454"/>
      <c r="G89" s="454"/>
      <c r="H89" s="283">
        <f>H83*1000/H86</f>
        <v>3.6818696117317109</v>
      </c>
      <c r="I89" s="283">
        <f>I83*1000/I86</f>
        <v>3.0342375279349256</v>
      </c>
      <c r="J89" s="283">
        <f>J83*1000/J86</f>
        <v>0.64763208379678527</v>
      </c>
      <c r="K89" s="94"/>
      <c r="L89" s="82"/>
    </row>
    <row r="90" spans="1:16" x14ac:dyDescent="0.2">
      <c r="A90" s="454"/>
      <c r="F90" s="454"/>
      <c r="G90" s="454"/>
      <c r="H90" s="94"/>
      <c r="I90" s="94"/>
      <c r="J90" s="94"/>
      <c r="K90" s="94"/>
      <c r="L90" s="94"/>
      <c r="N90" s="82"/>
    </row>
    <row r="91" spans="1:16" x14ac:dyDescent="0.2">
      <c r="A91" s="454">
        <f>A89+1</f>
        <v>9</v>
      </c>
      <c r="D91" s="66" t="s">
        <v>1094</v>
      </c>
      <c r="F91" s="77"/>
      <c r="G91" s="77"/>
      <c r="H91" s="78">
        <f>H81/$L$81 * $L$91</f>
        <v>3428883.5363711016</v>
      </c>
      <c r="I91" s="78">
        <f>I81/$L$81 * $L$91</f>
        <v>72761.429068532743</v>
      </c>
      <c r="J91" s="78">
        <f>J81/$L$81 * $L$91</f>
        <v>120395.58250557182</v>
      </c>
      <c r="K91" s="94"/>
      <c r="L91" s="282">
        <v>3622040.5479452056</v>
      </c>
      <c r="N91" s="82">
        <f>L91</f>
        <v>3622040.5479452056</v>
      </c>
      <c r="P91" s="82"/>
    </row>
    <row r="92" spans="1:16" x14ac:dyDescent="0.2">
      <c r="A92" s="454">
        <f>A91+1</f>
        <v>10</v>
      </c>
      <c r="D92" s="66" t="s">
        <v>1095</v>
      </c>
      <c r="F92" s="77"/>
      <c r="G92" s="77"/>
      <c r="H92" s="78">
        <f>H81/$L$81 * $L$92</f>
        <v>347604.49413414428</v>
      </c>
      <c r="I92" s="78">
        <f>I81/$L$81 * $L$92</f>
        <v>7376.2201240034819</v>
      </c>
      <c r="J92" s="78">
        <f>J81/$L$81 * $L$92</f>
        <v>12205.152233641094</v>
      </c>
      <c r="K92" s="94"/>
      <c r="L92" s="458">
        <v>367185.86649178882</v>
      </c>
      <c r="N92" s="85">
        <f>L92*H80/I80</f>
        <v>445558.5534246575</v>
      </c>
    </row>
    <row r="93" spans="1:16" x14ac:dyDescent="0.2">
      <c r="A93" s="454">
        <f>A92+1</f>
        <v>11</v>
      </c>
      <c r="D93" s="66" t="s">
        <v>429</v>
      </c>
      <c r="F93" s="454"/>
      <c r="G93" s="454"/>
      <c r="H93" s="284">
        <f>H86+H91+H92</f>
        <v>26844976.030505244</v>
      </c>
      <c r="I93" s="284">
        <f>I86+I91+I92</f>
        <v>674137.64919253625</v>
      </c>
      <c r="J93" s="284">
        <f>J86+J91+J92</f>
        <v>4737466.7347392123</v>
      </c>
      <c r="K93" s="94"/>
      <c r="L93" s="284">
        <f>L86+L91+L92</f>
        <v>32256580.414436992</v>
      </c>
      <c r="N93" s="284">
        <f>N87+N91+N92</f>
        <v>27730087.101369862</v>
      </c>
    </row>
    <row r="94" spans="1:16" x14ac:dyDescent="0.2">
      <c r="A94" s="454"/>
      <c r="F94" s="454"/>
      <c r="G94" s="454"/>
      <c r="H94" s="94"/>
      <c r="I94" s="94"/>
      <c r="J94" s="94"/>
      <c r="K94" s="94"/>
      <c r="L94" s="82"/>
    </row>
    <row r="95" spans="1:16" ht="13.5" thickBot="1" x14ac:dyDescent="0.25">
      <c r="A95" s="454">
        <f>A93+1</f>
        <v>12</v>
      </c>
      <c r="C95" s="66" t="s">
        <v>1156</v>
      </c>
      <c r="F95" s="454"/>
      <c r="G95" s="454"/>
      <c r="H95" s="94"/>
      <c r="I95" s="94"/>
      <c r="J95" s="94"/>
      <c r="K95" s="94"/>
      <c r="L95" s="82"/>
      <c r="N95" s="280">
        <f>N76*1000/N93</f>
        <v>0.42144163850734007</v>
      </c>
    </row>
    <row r="96" spans="1:16" ht="13.5" thickTop="1" x14ac:dyDescent="0.2">
      <c r="A96" s="454"/>
      <c r="F96" s="454"/>
      <c r="G96" s="454"/>
      <c r="H96" s="94"/>
      <c r="I96" s="282"/>
      <c r="J96" s="282"/>
      <c r="K96" s="94"/>
      <c r="L96" s="82"/>
      <c r="N96" s="279"/>
    </row>
    <row r="97" spans="1:14" x14ac:dyDescent="0.2">
      <c r="A97" s="454">
        <f>A95+1</f>
        <v>13</v>
      </c>
      <c r="C97" s="66" t="s">
        <v>808</v>
      </c>
      <c r="F97" s="454"/>
      <c r="G97" s="454"/>
      <c r="H97" s="283">
        <f>H83*1000/H93</f>
        <v>3.1639128624768258</v>
      </c>
      <c r="I97" s="279"/>
      <c r="J97" s="279"/>
      <c r="K97" s="94"/>
      <c r="L97" s="90"/>
    </row>
    <row r="98" spans="1:14" x14ac:dyDescent="0.2">
      <c r="A98" s="454"/>
      <c r="F98" s="454"/>
      <c r="G98" s="454"/>
      <c r="H98" s="279"/>
      <c r="I98" s="279"/>
      <c r="J98" s="279"/>
      <c r="K98" s="94"/>
      <c r="L98" s="82"/>
    </row>
    <row r="99" spans="1:14" x14ac:dyDescent="0.2">
      <c r="A99" s="454">
        <f>A97+1</f>
        <v>14</v>
      </c>
      <c r="C99" s="66" t="s">
        <v>1091</v>
      </c>
      <c r="F99" s="77"/>
      <c r="G99" s="77"/>
      <c r="H99" s="282">
        <f>(H91+H92)*$H$97/1000</f>
        <v>11948.479054705324</v>
      </c>
      <c r="I99" s="282">
        <f>(I91+I92)*$H$97/1000</f>
        <v>253.54853904892096</v>
      </c>
      <c r="J99" s="282">
        <f>(J91+J92)*$H$97/1000</f>
        <v>419.53717021527342</v>
      </c>
      <c r="K99" s="94"/>
      <c r="L99" s="282"/>
    </row>
    <row r="100" spans="1:14" x14ac:dyDescent="0.2">
      <c r="A100" s="454"/>
      <c r="F100" s="77"/>
      <c r="G100" s="77"/>
      <c r="H100" s="282"/>
      <c r="I100" s="282"/>
      <c r="J100" s="282"/>
      <c r="K100" s="94"/>
      <c r="L100" s="282"/>
    </row>
    <row r="101" spans="1:14" x14ac:dyDescent="0.2">
      <c r="A101" s="454">
        <f>A99+1</f>
        <v>15</v>
      </c>
      <c r="C101" s="66" t="s">
        <v>430</v>
      </c>
      <c r="H101" s="78"/>
      <c r="I101" s="93">
        <f>(I83-I99)*1000/I86</f>
        <v>2.6073881355966746</v>
      </c>
      <c r="J101" s="93">
        <f>(J83-J99)*1000/J86</f>
        <v>0.5565247268801512</v>
      </c>
      <c r="K101" s="78"/>
      <c r="L101" s="82"/>
    </row>
    <row r="102" spans="1:14" x14ac:dyDescent="0.2">
      <c r="A102" s="454"/>
      <c r="F102" s="454"/>
      <c r="G102" s="454"/>
      <c r="H102" s="94"/>
      <c r="I102" s="94"/>
      <c r="J102" s="94"/>
      <c r="K102" s="94"/>
      <c r="L102" s="82"/>
    </row>
    <row r="103" spans="1:14" x14ac:dyDescent="0.2">
      <c r="C103" s="76" t="s">
        <v>579</v>
      </c>
      <c r="F103" s="454"/>
      <c r="G103" s="454"/>
      <c r="H103" s="94"/>
      <c r="K103" s="94"/>
      <c r="L103" s="82"/>
    </row>
    <row r="104" spans="1:14" x14ac:dyDescent="0.2">
      <c r="A104" s="454"/>
      <c r="C104" s="66" t="s">
        <v>580</v>
      </c>
      <c r="F104" s="454"/>
      <c r="G104" s="454"/>
      <c r="H104" s="94"/>
      <c r="K104" s="94"/>
      <c r="L104" s="82"/>
    </row>
    <row r="105" spans="1:14" x14ac:dyDescent="0.2">
      <c r="A105" s="454">
        <f>A101+1</f>
        <v>16</v>
      </c>
      <c r="D105" s="66" t="s">
        <v>1153</v>
      </c>
      <c r="F105" s="454"/>
      <c r="G105" s="454"/>
      <c r="H105" s="281">
        <f>H97</f>
        <v>3.1639128624768258</v>
      </c>
      <c r="I105" s="281">
        <f>(I83-I99)*1000/I86</f>
        <v>2.6073881355966746</v>
      </c>
      <c r="J105" s="281">
        <f>(J83-J99)*1000/J86</f>
        <v>0.5565247268801512</v>
      </c>
      <c r="K105" s="94"/>
      <c r="L105" s="82"/>
    </row>
    <row r="106" spans="1:14" x14ac:dyDescent="0.2">
      <c r="A106" s="454">
        <f>A105+1</f>
        <v>17</v>
      </c>
      <c r="D106" s="66" t="s">
        <v>807</v>
      </c>
      <c r="F106" s="454"/>
      <c r="G106" s="454"/>
      <c r="H106" s="279">
        <f>N95</f>
        <v>0.42144163850734007</v>
      </c>
      <c r="I106" s="279">
        <f>N95</f>
        <v>0.42144163850734007</v>
      </c>
      <c r="J106" s="279">
        <v>0</v>
      </c>
      <c r="K106" s="94"/>
      <c r="L106" s="82"/>
      <c r="N106" s="279"/>
    </row>
    <row r="107" spans="1:14" ht="13.5" thickBot="1" x14ac:dyDescent="0.25">
      <c r="A107" s="454">
        <f>A106+1</f>
        <v>18</v>
      </c>
      <c r="C107" s="66" t="s">
        <v>1150</v>
      </c>
      <c r="D107" s="278"/>
      <c r="F107" s="454"/>
      <c r="G107" s="454"/>
      <c r="H107" s="280">
        <f>SUM(H105:H106)</f>
        <v>3.5853545009841659</v>
      </c>
      <c r="I107" s="280">
        <f>SUM(I105:I106)</f>
        <v>3.0288297741040147</v>
      </c>
      <c r="J107" s="280">
        <f>SUM(J105:J106)</f>
        <v>0.5565247268801512</v>
      </c>
      <c r="K107" s="94"/>
      <c r="L107" s="82" t="s">
        <v>385</v>
      </c>
      <c r="N107" s="279"/>
    </row>
    <row r="108" spans="1:14" ht="13.5" thickTop="1" x14ac:dyDescent="0.2">
      <c r="A108" s="454"/>
      <c r="D108" s="278"/>
      <c r="F108" s="454"/>
      <c r="G108" s="454"/>
      <c r="H108" s="279"/>
      <c r="I108" s="279"/>
      <c r="J108" s="279"/>
      <c r="K108" s="94"/>
      <c r="L108" s="82"/>
      <c r="N108" s="279"/>
    </row>
    <row r="109" spans="1:14" ht="13.5" thickBot="1" x14ac:dyDescent="0.25">
      <c r="A109" s="454">
        <f>A107+1</f>
        <v>19</v>
      </c>
      <c r="C109" s="66" t="s">
        <v>1151</v>
      </c>
      <c r="D109" s="278"/>
      <c r="F109" s="454"/>
      <c r="G109" s="454"/>
      <c r="H109" s="97">
        <f>(H107)*100/365</f>
        <v>0.98228890437922345</v>
      </c>
      <c r="I109" s="95"/>
      <c r="J109" s="97">
        <f>H109</f>
        <v>0.98228890437922345</v>
      </c>
      <c r="N109" s="90"/>
    </row>
    <row r="110" spans="1:14" ht="14.25" thickTop="1" thickBot="1" x14ac:dyDescent="0.25">
      <c r="A110" s="454">
        <f>A109+1</f>
        <v>20</v>
      </c>
      <c r="C110" s="66" t="s">
        <v>1152</v>
      </c>
      <c r="D110" s="278"/>
      <c r="F110" s="454"/>
      <c r="G110" s="454"/>
      <c r="H110" s="95"/>
      <c r="I110" s="97">
        <f>(I107)*214/365</f>
        <v>1.775807045639066</v>
      </c>
      <c r="J110" s="95"/>
      <c r="N110" s="90"/>
    </row>
    <row r="111" spans="1:14" ht="13.5" thickTop="1" x14ac:dyDescent="0.2">
      <c r="A111" s="454"/>
      <c r="F111" s="454"/>
      <c r="G111" s="454"/>
      <c r="I111" s="90"/>
    </row>
    <row r="112" spans="1:14" x14ac:dyDescent="0.2">
      <c r="A112" s="454"/>
      <c r="C112" s="76"/>
      <c r="F112" s="454"/>
      <c r="G112" s="454"/>
    </row>
    <row r="113" spans="1:7" x14ac:dyDescent="0.2">
      <c r="A113" s="76" t="s">
        <v>29</v>
      </c>
      <c r="C113" s="76"/>
      <c r="F113" s="454"/>
      <c r="G113" s="454"/>
    </row>
    <row r="114" spans="1:7" x14ac:dyDescent="0.2">
      <c r="A114" s="77" t="s">
        <v>267</v>
      </c>
      <c r="C114" s="366" t="s">
        <v>1120</v>
      </c>
    </row>
    <row r="115" spans="1:7" x14ac:dyDescent="0.2">
      <c r="A115" s="77" t="s">
        <v>268</v>
      </c>
      <c r="C115" s="366" t="s">
        <v>1121</v>
      </c>
      <c r="F115" s="454"/>
      <c r="G115" s="454"/>
    </row>
  </sheetData>
  <mergeCells count="7">
    <mergeCell ref="A69:N69"/>
    <mergeCell ref="A68:N68"/>
    <mergeCell ref="H71:J71"/>
    <mergeCell ref="A6:P6"/>
    <mergeCell ref="A7:P7"/>
    <mergeCell ref="H9:J9"/>
    <mergeCell ref="N9:P9"/>
  </mergeCells>
  <pageMargins left="0.7" right="0.7" top="0.75" bottom="0.75" header="0.3" footer="0.3"/>
  <pageSetup scale="60" fitToHeight="0" orientation="portrait" horizontalDpi="1200" verticalDpi="1200" r:id="rId1"/>
  <headerFooter>
    <oddHeader>&amp;R&amp;"Arial,Regular"&amp;10Filed: 2022-11-30
EB-2022-0200
Exhibit 8
Tab 2
Schedule 8
Attachment 12
Page &amp;P of 3</oddHeader>
  </headerFooter>
  <rowBreaks count="1" manualBreakCount="1">
    <brk id="62" max="1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45838-0C9D-42D2-BCA2-D986045A9912}">
  <dimension ref="A6:E27"/>
  <sheetViews>
    <sheetView view="pageLayout" zoomScaleNormal="85" zoomScaleSheetLayoutView="90" workbookViewId="0"/>
  </sheetViews>
  <sheetFormatPr defaultColWidth="9.140625" defaultRowHeight="15" customHeight="1" x14ac:dyDescent="0.2"/>
  <cols>
    <col min="1" max="1" width="4.7109375" style="66" customWidth="1"/>
    <col min="2" max="2" width="1.7109375" style="66" customWidth="1"/>
    <col min="3" max="3" width="65.140625" style="66" customWidth="1"/>
    <col min="4" max="4" width="1.7109375" style="66" customWidth="1"/>
    <col min="5" max="5" width="13.5703125" style="66" customWidth="1"/>
    <col min="6" max="16384" width="9.140625" style="66"/>
  </cols>
  <sheetData>
    <row r="6" spans="1:5" ht="15" customHeight="1" x14ac:dyDescent="0.2">
      <c r="A6" s="220" t="s">
        <v>817</v>
      </c>
      <c r="B6" s="220"/>
      <c r="C6" s="220"/>
      <c r="D6" s="220"/>
      <c r="E6" s="220"/>
    </row>
    <row r="8" spans="1:5" ht="15" customHeight="1" x14ac:dyDescent="0.2">
      <c r="A8" s="24" t="s">
        <v>0</v>
      </c>
      <c r="B8" s="24"/>
      <c r="C8" s="24"/>
      <c r="D8" s="24"/>
      <c r="E8" s="454" t="s">
        <v>40</v>
      </c>
    </row>
    <row r="9" spans="1:5" ht="15" customHeight="1" x14ac:dyDescent="0.2">
      <c r="A9" s="519" t="s">
        <v>1</v>
      </c>
      <c r="B9" s="9"/>
      <c r="C9" s="10" t="s">
        <v>585</v>
      </c>
      <c r="D9" s="9"/>
      <c r="E9" s="519" t="s">
        <v>586</v>
      </c>
    </row>
    <row r="10" spans="1:5" ht="15" customHeight="1" x14ac:dyDescent="0.2">
      <c r="E10" s="471" t="s">
        <v>3</v>
      </c>
    </row>
    <row r="11" spans="1:5" ht="15" customHeight="1" x14ac:dyDescent="0.2">
      <c r="E11" s="230"/>
    </row>
    <row r="12" spans="1:5" ht="15" customHeight="1" x14ac:dyDescent="0.2">
      <c r="A12" s="454"/>
      <c r="C12" s="488" t="s">
        <v>583</v>
      </c>
      <c r="D12" s="488"/>
      <c r="E12" s="230"/>
    </row>
    <row r="13" spans="1:5" ht="15" customHeight="1" x14ac:dyDescent="0.2">
      <c r="A13" s="454">
        <v>1</v>
      </c>
      <c r="C13" s="489" t="s">
        <v>1096</v>
      </c>
      <c r="D13" s="489"/>
      <c r="E13" s="158">
        <v>3.4659904804556181</v>
      </c>
    </row>
    <row r="14" spans="1:5" ht="15" customHeight="1" x14ac:dyDescent="0.2">
      <c r="A14" s="454" cm="1">
        <f t="array" ref="A14">MAX($A$12:A13+1)</f>
        <v>2</v>
      </c>
      <c r="C14" s="489" t="s">
        <v>1097</v>
      </c>
      <c r="D14" s="489"/>
      <c r="E14" s="490">
        <v>0.94958643300153922</v>
      </c>
    </row>
    <row r="15" spans="1:5" ht="15" customHeight="1" thickBot="1" x14ac:dyDescent="0.25">
      <c r="A15" s="454" cm="1">
        <f t="array" ref="A15">MAX($A$12:A14+1)</f>
        <v>3</v>
      </c>
      <c r="C15" s="491" t="s">
        <v>816</v>
      </c>
      <c r="D15" s="491"/>
      <c r="E15" s="199">
        <f>E13+E14</f>
        <v>4.4155769134571576</v>
      </c>
    </row>
    <row r="16" spans="1:5" ht="15" customHeight="1" thickTop="1" x14ac:dyDescent="0.2">
      <c r="A16" s="454"/>
      <c r="C16" s="489" t="s">
        <v>434</v>
      </c>
      <c r="D16" s="489"/>
      <c r="E16" s="230"/>
    </row>
    <row r="17" spans="1:5" ht="15" customHeight="1" x14ac:dyDescent="0.2">
      <c r="A17" s="454"/>
      <c r="C17" s="488" t="s">
        <v>584</v>
      </c>
      <c r="D17" s="488"/>
      <c r="E17" s="158"/>
    </row>
    <row r="18" spans="1:5" ht="15" customHeight="1" x14ac:dyDescent="0.2">
      <c r="A18" s="454"/>
      <c r="C18" s="489" t="s">
        <v>541</v>
      </c>
      <c r="D18" s="489"/>
      <c r="E18" s="158"/>
    </row>
    <row r="19" spans="1:5" ht="15" customHeight="1" x14ac:dyDescent="0.2">
      <c r="A19" s="454">
        <f>+A15+1</f>
        <v>4</v>
      </c>
      <c r="C19" s="96" t="s">
        <v>1098</v>
      </c>
      <c r="D19" s="96"/>
      <c r="E19" s="122">
        <v>373.64678317513233</v>
      </c>
    </row>
    <row r="20" spans="1:5" ht="15" customHeight="1" x14ac:dyDescent="0.2">
      <c r="A20" s="454" cm="1">
        <f t="array" ref="A20">MAX($A$19:A19+1)</f>
        <v>5</v>
      </c>
      <c r="C20" s="66" t="s">
        <v>1099</v>
      </c>
      <c r="E20" s="122">
        <v>611710</v>
      </c>
    </row>
    <row r="21" spans="1:5" ht="15" customHeight="1" thickBot="1" x14ac:dyDescent="0.25">
      <c r="A21" s="454" cm="1">
        <f t="array" ref="A21">MAX($A$19:A20+1)</f>
        <v>6</v>
      </c>
      <c r="C21" s="66" t="s">
        <v>1100</v>
      </c>
      <c r="E21" s="199">
        <f>E19*1000 / (E20 * 12)</f>
        <v>5.0901950158181213E-2</v>
      </c>
    </row>
    <row r="22" spans="1:5" ht="15" customHeight="1" thickTop="1" x14ac:dyDescent="0.2">
      <c r="A22" s="454"/>
      <c r="E22" s="230"/>
    </row>
    <row r="23" spans="1:5" ht="15" customHeight="1" x14ac:dyDescent="0.2">
      <c r="A23" s="221" t="s">
        <v>29</v>
      </c>
    </row>
    <row r="24" spans="1:5" ht="15" customHeight="1" x14ac:dyDescent="0.2">
      <c r="A24" s="77" t="s">
        <v>267</v>
      </c>
      <c r="C24" s="294" t="s">
        <v>959</v>
      </c>
    </row>
    <row r="25" spans="1:5" ht="15" customHeight="1" x14ac:dyDescent="0.2">
      <c r="A25" s="77" t="s">
        <v>268</v>
      </c>
      <c r="C25" s="544" t="s">
        <v>1101</v>
      </c>
      <c r="D25" s="469"/>
    </row>
    <row r="26" spans="1:5" ht="15" customHeight="1" x14ac:dyDescent="0.2">
      <c r="E26" s="492"/>
    </row>
    <row r="27" spans="1:5" ht="15" customHeight="1" x14ac:dyDescent="0.2">
      <c r="E27" s="492"/>
    </row>
  </sheetData>
  <pageMargins left="0.7" right="0.7" top="0.75" bottom="0.75" header="0.3" footer="0.3"/>
  <pageSetup scale="91" orientation="portrait" horizontalDpi="1200" verticalDpi="1200" r:id="rId1"/>
  <headerFooter>
    <oddHeader>&amp;R&amp;"Arial,Regular"&amp;10Filed: 2022-11-30
EB-2022-0200
Exhibit 8
Tab 2
Schedule 8
Attachment 12
Page &amp;P of 3</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150E6-A8AD-426E-AC1B-7783C97E70E8}">
  <sheetPr>
    <pageSetUpPr fitToPage="1"/>
  </sheetPr>
  <dimension ref="A6:E43"/>
  <sheetViews>
    <sheetView view="pageLayout" zoomScaleNormal="85" zoomScaleSheetLayoutView="90" workbookViewId="0"/>
  </sheetViews>
  <sheetFormatPr defaultColWidth="9.140625" defaultRowHeight="15" customHeight="1" x14ac:dyDescent="0.2"/>
  <cols>
    <col min="1" max="1" width="4.7109375" style="66" customWidth="1"/>
    <col min="2" max="2" width="1.7109375" style="66" customWidth="1"/>
    <col min="3" max="3" width="80.42578125" style="66" customWidth="1"/>
    <col min="4" max="4" width="1.7109375" style="66" customWidth="1"/>
    <col min="5" max="5" width="13.5703125" style="66" customWidth="1"/>
    <col min="6" max="16384" width="9.140625" style="66"/>
  </cols>
  <sheetData>
    <row r="6" spans="1:5" ht="15" customHeight="1" x14ac:dyDescent="0.2">
      <c r="A6" s="220" t="s">
        <v>435</v>
      </c>
      <c r="B6" s="229"/>
      <c r="C6" s="229"/>
      <c r="D6" s="229"/>
      <c r="E6" s="229"/>
    </row>
    <row r="7" spans="1:5" ht="15" customHeight="1" x14ac:dyDescent="0.2">
      <c r="A7" s="229"/>
      <c r="B7" s="229"/>
      <c r="C7" s="229"/>
      <c r="D7" s="229"/>
      <c r="E7" s="229"/>
    </row>
    <row r="8" spans="1:5" ht="15" customHeight="1" x14ac:dyDescent="0.2">
      <c r="A8" s="24" t="s">
        <v>0</v>
      </c>
      <c r="B8" s="24"/>
      <c r="C8" s="24"/>
      <c r="D8" s="24"/>
      <c r="E8" s="454" t="s">
        <v>43</v>
      </c>
    </row>
    <row r="9" spans="1:5" ht="15" customHeight="1" x14ac:dyDescent="0.2">
      <c r="A9" s="519" t="s">
        <v>1</v>
      </c>
      <c r="B9" s="9"/>
      <c r="C9" s="10" t="s">
        <v>33</v>
      </c>
      <c r="D9" s="9"/>
      <c r="E9" s="519" t="s">
        <v>586</v>
      </c>
    </row>
    <row r="10" spans="1:5" ht="15" customHeight="1" x14ac:dyDescent="0.2">
      <c r="A10" s="454"/>
      <c r="E10" s="77" t="s">
        <v>3</v>
      </c>
    </row>
    <row r="11" spans="1:5" ht="15" customHeight="1" x14ac:dyDescent="0.2">
      <c r="A11" s="454"/>
    </row>
    <row r="12" spans="1:5" ht="15" customHeight="1" x14ac:dyDescent="0.2">
      <c r="A12" s="454"/>
      <c r="C12" s="488" t="s">
        <v>587</v>
      </c>
      <c r="D12" s="488"/>
    </row>
    <row r="13" spans="1:5" ht="15" customHeight="1" x14ac:dyDescent="0.2">
      <c r="A13" s="454"/>
      <c r="C13" s="489" t="s">
        <v>588</v>
      </c>
      <c r="D13" s="489"/>
    </row>
    <row r="14" spans="1:5" ht="15" customHeight="1" x14ac:dyDescent="0.2">
      <c r="A14" s="454" cm="1">
        <f t="array" ref="A14">MAX($A$10:A13+1)</f>
        <v>1</v>
      </c>
      <c r="C14" s="96" t="s">
        <v>436</v>
      </c>
      <c r="D14" s="96"/>
      <c r="E14" s="122">
        <v>704215.48447547131</v>
      </c>
    </row>
    <row r="15" spans="1:5" ht="15" customHeight="1" x14ac:dyDescent="0.2">
      <c r="A15" s="454" cm="1">
        <f t="array" ref="A15">MAX($A$14:A14+1)</f>
        <v>2</v>
      </c>
      <c r="C15" s="222" t="s">
        <v>437</v>
      </c>
      <c r="D15" s="222"/>
      <c r="E15" s="122">
        <v>41368.708649630033</v>
      </c>
    </row>
    <row r="16" spans="1:5" ht="15" customHeight="1" x14ac:dyDescent="0.2">
      <c r="A16" s="454" cm="1">
        <f t="array" ref="A16">MAX($A$14:A15+1)</f>
        <v>3</v>
      </c>
      <c r="C16" s="96" t="s">
        <v>438</v>
      </c>
      <c r="D16" s="96"/>
      <c r="E16" s="122">
        <v>13711.276357269971</v>
      </c>
    </row>
    <row r="17" spans="1:5" ht="15" customHeight="1" x14ac:dyDescent="0.2">
      <c r="A17" s="454" cm="1">
        <f t="array" ref="A17">MAX($A$14:A16+1)</f>
        <v>4</v>
      </c>
      <c r="C17" s="222" t="s">
        <v>439</v>
      </c>
      <c r="D17" s="222"/>
      <c r="E17" s="122">
        <v>20356.49701259605</v>
      </c>
    </row>
    <row r="18" spans="1:5" ht="15" customHeight="1" x14ac:dyDescent="0.2">
      <c r="A18" s="454" cm="1">
        <f t="array" ref="A18">MAX($A$14:A17+1)</f>
        <v>5</v>
      </c>
      <c r="C18" s="222" t="s">
        <v>440</v>
      </c>
      <c r="D18" s="222"/>
      <c r="E18" s="122">
        <v>8725.5754482525481</v>
      </c>
    </row>
    <row r="19" spans="1:5" ht="15" customHeight="1" x14ac:dyDescent="0.2">
      <c r="A19" s="454" cm="1">
        <f t="array" ref="A19">MAX($A$14:A18+1)</f>
        <v>6</v>
      </c>
      <c r="C19" s="546" t="s">
        <v>1122</v>
      </c>
      <c r="D19" s="223"/>
      <c r="E19" s="493">
        <f>SUM(E15:E18)</f>
        <v>84162.0574677486</v>
      </c>
    </row>
    <row r="21" spans="1:5" ht="15" customHeight="1" x14ac:dyDescent="0.2">
      <c r="A21" s="454" cm="1">
        <f t="array" ref="A21">MAX($A$14:A20+1)</f>
        <v>7</v>
      </c>
      <c r="C21" s="532" t="s">
        <v>521</v>
      </c>
      <c r="D21" s="532"/>
      <c r="E21" s="122">
        <v>1056228.4671787973</v>
      </c>
    </row>
    <row r="23" spans="1:5" ht="15" customHeight="1" thickBot="1" x14ac:dyDescent="0.25">
      <c r="A23" s="454" cm="1">
        <f t="array" ref="A23">MAX($A$14:A22+1)</f>
        <v>8</v>
      </c>
      <c r="C23" s="532" t="s">
        <v>1102</v>
      </c>
      <c r="D23" s="96"/>
      <c r="E23" s="199">
        <f xml:space="preserve"> (E19*1000) / (E21*12)</f>
        <v>6.6401399005200359</v>
      </c>
    </row>
    <row r="24" spans="1:5" ht="15" customHeight="1" thickTop="1" x14ac:dyDescent="0.2">
      <c r="C24" s="532"/>
      <c r="D24" s="96"/>
      <c r="E24" s="158"/>
    </row>
    <row r="25" spans="1:5" ht="15" customHeight="1" thickBot="1" x14ac:dyDescent="0.25">
      <c r="A25" s="454" cm="1">
        <f t="array" ref="A25">MAX($A$14:A24+1)</f>
        <v>9</v>
      </c>
      <c r="C25" s="532" t="s">
        <v>1103</v>
      </c>
      <c r="D25" s="96"/>
      <c r="E25" s="199">
        <f>$E$23 * (100/365)</f>
        <v>1.8192164111013795</v>
      </c>
    </row>
    <row r="26" spans="1:5" ht="15" customHeight="1" thickTop="1" x14ac:dyDescent="0.2">
      <c r="A26" s="454"/>
      <c r="C26" s="532"/>
    </row>
    <row r="27" spans="1:5" ht="15" customHeight="1" x14ac:dyDescent="0.2">
      <c r="A27" s="454"/>
      <c r="C27" s="102" t="s">
        <v>1073</v>
      </c>
      <c r="D27" s="102"/>
      <c r="E27" s="230"/>
    </row>
    <row r="28" spans="1:5" ht="15" customHeight="1" x14ac:dyDescent="0.2">
      <c r="A28" s="454">
        <v>10</v>
      </c>
      <c r="C28" s="223" t="s">
        <v>820</v>
      </c>
      <c r="D28" s="223"/>
      <c r="E28" s="122">
        <v>1226.8392942281198</v>
      </c>
    </row>
    <row r="29" spans="1:5" ht="15" customHeight="1" x14ac:dyDescent="0.2">
      <c r="A29" s="454">
        <f>MAX($A$28:A28)+1</f>
        <v>11</v>
      </c>
      <c r="C29" s="223" t="s">
        <v>521</v>
      </c>
      <c r="D29" s="223"/>
      <c r="E29" s="122">
        <v>1056228.4671787973</v>
      </c>
    </row>
    <row r="30" spans="1:5" ht="15" customHeight="1" x14ac:dyDescent="0.2">
      <c r="A30" s="454">
        <f>MAX($A$27:A29)+1</f>
        <v>12</v>
      </c>
      <c r="C30" s="223" t="s">
        <v>1104</v>
      </c>
      <c r="D30" s="223"/>
      <c r="E30" s="494">
        <f>(E28*1000)/(E29*12)</f>
        <v>9.6794028024466031E-2</v>
      </c>
    </row>
    <row r="31" spans="1:5" ht="15" customHeight="1" x14ac:dyDescent="0.2">
      <c r="A31" s="454"/>
      <c r="C31" s="223"/>
      <c r="D31" s="223"/>
      <c r="E31" s="495"/>
    </row>
    <row r="32" spans="1:5" ht="15" customHeight="1" thickBot="1" x14ac:dyDescent="0.25">
      <c r="A32" s="454">
        <f>MAX($A$27:A30)+1</f>
        <v>13</v>
      </c>
      <c r="C32" s="223" t="s">
        <v>1109</v>
      </c>
      <c r="D32" s="223"/>
      <c r="E32" s="199">
        <f>E30*(60/365)</f>
        <v>1.5911347072514962E-2</v>
      </c>
    </row>
    <row r="33" spans="1:5" ht="15" customHeight="1" thickTop="1" x14ac:dyDescent="0.2">
      <c r="A33" s="454"/>
    </row>
    <row r="34" spans="1:5" ht="15" customHeight="1" thickBot="1" x14ac:dyDescent="0.25">
      <c r="A34" s="454">
        <f>MAX($A$27:A33)+1</f>
        <v>14</v>
      </c>
      <c r="C34" s="223" t="s">
        <v>1110</v>
      </c>
      <c r="D34" s="223"/>
      <c r="E34" s="199">
        <f>E30*(90/365)</f>
        <v>2.3867020608772445E-2</v>
      </c>
    </row>
    <row r="35" spans="1:5" ht="15" customHeight="1" thickTop="1" x14ac:dyDescent="0.2"/>
    <row r="36" spans="1:5" ht="15" customHeight="1" x14ac:dyDescent="0.2">
      <c r="A36" s="22" t="s">
        <v>29</v>
      </c>
    </row>
    <row r="37" spans="1:5" ht="15" customHeight="1" x14ac:dyDescent="0.2">
      <c r="A37" s="77" t="s">
        <v>267</v>
      </c>
      <c r="C37" s="532" t="s">
        <v>819</v>
      </c>
    </row>
    <row r="38" spans="1:5" ht="15" customHeight="1" x14ac:dyDescent="0.2">
      <c r="A38" s="77" t="s">
        <v>268</v>
      </c>
      <c r="C38" s="532" t="s">
        <v>1037</v>
      </c>
    </row>
    <row r="39" spans="1:5" ht="15" customHeight="1" x14ac:dyDescent="0.2">
      <c r="A39" s="77" t="s">
        <v>269</v>
      </c>
      <c r="C39" s="532" t="s">
        <v>818</v>
      </c>
    </row>
    <row r="40" spans="1:5" ht="15" customHeight="1" x14ac:dyDescent="0.2">
      <c r="A40" s="496"/>
      <c r="E40" s="230"/>
    </row>
    <row r="41" spans="1:5" ht="15" customHeight="1" x14ac:dyDescent="0.2">
      <c r="A41" s="496"/>
      <c r="B41" s="294"/>
      <c r="C41" s="294"/>
      <c r="D41" s="294"/>
      <c r="E41" s="497"/>
    </row>
    <row r="42" spans="1:5" ht="15" customHeight="1" x14ac:dyDescent="0.2">
      <c r="A42" s="86"/>
      <c r="B42" s="294"/>
      <c r="C42" s="294"/>
      <c r="D42" s="294"/>
      <c r="E42" s="492"/>
    </row>
    <row r="43" spans="1:5" ht="15" customHeight="1" x14ac:dyDescent="0.2">
      <c r="E43" s="230"/>
    </row>
  </sheetData>
  <printOptions horizontalCentered="1"/>
  <pageMargins left="0.7" right="0.7" top="0.75" bottom="0.75" header="0.3" footer="0.3"/>
  <pageSetup scale="89" fitToHeight="0" orientation="portrait" horizontalDpi="1200" verticalDpi="1200" r:id="rId1"/>
  <headerFooter>
    <oddHeader>&amp;R&amp;"Arial,Regular"&amp;10Filed: 2022-11-30
EB-2022-0200
Exhibit 8
Tab 2
Schedule 8
Attachment 13
Page &amp;P of &amp;N</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2EFC1-71C3-4DA4-A41D-4C6E778BF4C2}">
  <dimension ref="A6:E41"/>
  <sheetViews>
    <sheetView view="pageLayout" zoomScaleNormal="100" zoomScaleSheetLayoutView="90" workbookViewId="0"/>
  </sheetViews>
  <sheetFormatPr defaultColWidth="9.140625" defaultRowHeight="15" customHeight="1" x14ac:dyDescent="0.2"/>
  <cols>
    <col min="1" max="1" width="4.7109375" style="66" customWidth="1"/>
    <col min="2" max="2" width="1.7109375" style="66" customWidth="1"/>
    <col min="3" max="3" width="68.5703125" style="66" customWidth="1"/>
    <col min="4" max="4" width="1.7109375" style="66" customWidth="1"/>
    <col min="5" max="5" width="14.28515625" style="66" customWidth="1"/>
    <col min="6" max="16384" width="9.140625" style="66"/>
  </cols>
  <sheetData>
    <row r="6" spans="1:5" ht="15" customHeight="1" x14ac:dyDescent="0.2">
      <c r="A6" s="324" t="s">
        <v>441</v>
      </c>
      <c r="B6" s="324"/>
      <c r="C6" s="324"/>
      <c r="D6" s="324"/>
      <c r="E6" s="324"/>
    </row>
    <row r="8" spans="1:5" ht="15" customHeight="1" x14ac:dyDescent="0.2">
      <c r="A8" s="24" t="s">
        <v>0</v>
      </c>
      <c r="B8" s="24"/>
      <c r="C8" s="24"/>
      <c r="D8" s="24"/>
      <c r="E8" s="454" t="s">
        <v>343</v>
      </c>
    </row>
    <row r="9" spans="1:5" ht="15" customHeight="1" x14ac:dyDescent="0.2">
      <c r="A9" s="519" t="s">
        <v>1</v>
      </c>
      <c r="B9" s="9"/>
      <c r="C9" s="10" t="s">
        <v>33</v>
      </c>
      <c r="D9" s="9"/>
      <c r="E9" s="519" t="s">
        <v>586</v>
      </c>
    </row>
    <row r="10" spans="1:5" ht="15" customHeight="1" x14ac:dyDescent="0.2">
      <c r="A10" s="6"/>
      <c r="B10" s="9"/>
      <c r="C10" s="9"/>
      <c r="D10" s="9"/>
      <c r="E10" s="11" t="s">
        <v>3</v>
      </c>
    </row>
    <row r="12" spans="1:5" ht="15" customHeight="1" x14ac:dyDescent="0.2">
      <c r="C12" s="76" t="s">
        <v>540</v>
      </c>
      <c r="D12" s="76"/>
    </row>
    <row r="13" spans="1:5" ht="15" customHeight="1" x14ac:dyDescent="0.2">
      <c r="A13" s="454"/>
      <c r="C13" s="66" t="s">
        <v>442</v>
      </c>
    </row>
    <row r="14" spans="1:5" ht="15" customHeight="1" x14ac:dyDescent="0.2">
      <c r="A14" s="454">
        <v>1</v>
      </c>
      <c r="C14" s="96" t="s">
        <v>589</v>
      </c>
      <c r="D14" s="96"/>
      <c r="E14" s="122">
        <v>371.60237375436066</v>
      </c>
    </row>
    <row r="15" spans="1:5" ht="15" customHeight="1" x14ac:dyDescent="0.2">
      <c r="A15" s="454" cm="1">
        <f t="array" ref="A15">MAX($A$14:A14+1)</f>
        <v>2</v>
      </c>
      <c r="C15" s="96" t="s">
        <v>829</v>
      </c>
      <c r="D15" s="96"/>
      <c r="E15" s="122">
        <v>66</v>
      </c>
    </row>
    <row r="16" spans="1:5" ht="15" customHeight="1" thickBot="1" x14ac:dyDescent="0.25">
      <c r="A16" s="454" cm="1">
        <f t="array" ref="A16">MAX($A$14:A15+1)</f>
        <v>3</v>
      </c>
      <c r="C16" s="532" t="s">
        <v>1105</v>
      </c>
      <c r="D16" s="482"/>
      <c r="E16" s="498">
        <f>((E14) / (E15*12)) * 1000</f>
        <v>469.19491635651599</v>
      </c>
    </row>
    <row r="17" spans="1:5" ht="15" customHeight="1" thickTop="1" x14ac:dyDescent="0.2">
      <c r="A17" s="454"/>
      <c r="C17" s="96"/>
      <c r="D17" s="96"/>
      <c r="E17" s="230"/>
    </row>
    <row r="18" spans="1:5" ht="15" customHeight="1" x14ac:dyDescent="0.2">
      <c r="C18" s="66" t="s">
        <v>444</v>
      </c>
      <c r="E18" s="230"/>
    </row>
    <row r="19" spans="1:5" ht="15" customHeight="1" x14ac:dyDescent="0.2">
      <c r="A19" s="454" cm="1">
        <f t="array" ref="A19">MAX($A$14:A18+1)</f>
        <v>4</v>
      </c>
      <c r="C19" s="96" t="s">
        <v>590</v>
      </c>
      <c r="D19" s="96"/>
      <c r="E19" s="122">
        <v>111.46581138423954</v>
      </c>
    </row>
    <row r="20" spans="1:5" ht="15" customHeight="1" x14ac:dyDescent="0.2">
      <c r="A20" s="454" cm="1">
        <f t="array" ref="A20">MAX($A$14:A19+1)</f>
        <v>5</v>
      </c>
      <c r="C20" s="96" t="s">
        <v>591</v>
      </c>
      <c r="D20" s="96"/>
      <c r="E20" s="122">
        <v>8.75</v>
      </c>
    </row>
    <row r="21" spans="1:5" ht="15" customHeight="1" thickBot="1" x14ac:dyDescent="0.25">
      <c r="A21" s="454" cm="1">
        <f t="array" ref="A21">MAX($A$14:A20+1)</f>
        <v>6</v>
      </c>
      <c r="C21" s="532" t="s">
        <v>1106</v>
      </c>
      <c r="D21" s="482"/>
      <c r="E21" s="498">
        <f>((E19) / (E20*12)) * 1000</f>
        <v>1061.5791560403766</v>
      </c>
    </row>
    <row r="22" spans="1:5" ht="15" customHeight="1" thickTop="1" x14ac:dyDescent="0.2">
      <c r="A22" s="454"/>
      <c r="C22" s="532"/>
      <c r="D22" s="482"/>
      <c r="E22" s="499"/>
    </row>
    <row r="23" spans="1:5" ht="15" customHeight="1" x14ac:dyDescent="0.2">
      <c r="A23" s="454"/>
      <c r="C23" s="76" t="s">
        <v>312</v>
      </c>
      <c r="D23" s="76"/>
      <c r="E23" s="230"/>
    </row>
    <row r="24" spans="1:5" ht="15" customHeight="1" x14ac:dyDescent="0.2">
      <c r="A24" s="454" cm="1">
        <f t="array" ref="A24">MAX($A$14:A23+1)</f>
        <v>7</v>
      </c>
      <c r="C24" s="96" t="s">
        <v>828</v>
      </c>
      <c r="D24" s="96"/>
      <c r="E24" s="122">
        <v>77.5</v>
      </c>
    </row>
    <row r="25" spans="1:5" ht="15" customHeight="1" x14ac:dyDescent="0.2">
      <c r="A25" s="454" cm="1">
        <f t="array" ref="A25">MAX($A$24:A24+1)</f>
        <v>8</v>
      </c>
      <c r="C25" s="96" t="s">
        <v>593</v>
      </c>
      <c r="D25" s="96"/>
      <c r="E25" s="122">
        <v>7.75</v>
      </c>
    </row>
    <row r="26" spans="1:5" ht="15" customHeight="1" thickBot="1" x14ac:dyDescent="0.25">
      <c r="A26" s="454" cm="1">
        <f t="array" ref="A26">MAX($A$24:A25+1)</f>
        <v>9</v>
      </c>
      <c r="C26" s="532" t="s">
        <v>1107</v>
      </c>
      <c r="D26" s="482"/>
      <c r="E26" s="500">
        <f>(E24/E25) * 1000</f>
        <v>10000</v>
      </c>
    </row>
    <row r="27" spans="1:5" ht="15" customHeight="1" thickTop="1" x14ac:dyDescent="0.2">
      <c r="A27" s="454"/>
      <c r="C27" s="532"/>
      <c r="D27" s="482"/>
      <c r="E27" s="501"/>
    </row>
    <row r="28" spans="1:5" ht="15" customHeight="1" x14ac:dyDescent="0.2">
      <c r="A28" s="454"/>
      <c r="C28" s="76" t="s">
        <v>592</v>
      </c>
      <c r="D28" s="76"/>
    </row>
    <row r="29" spans="1:5" ht="15" customHeight="1" x14ac:dyDescent="0.2">
      <c r="A29" s="454" cm="1">
        <f t="array" ref="A29">MAX($A$14:A28+1)</f>
        <v>10</v>
      </c>
      <c r="C29" s="532" t="s">
        <v>827</v>
      </c>
      <c r="D29" s="532"/>
      <c r="E29" s="298">
        <v>3.4659904804556181</v>
      </c>
    </row>
    <row r="30" spans="1:5" ht="15" customHeight="1" x14ac:dyDescent="0.2">
      <c r="A30" s="454" cm="1">
        <f t="array" ref="A30">MAX($A$29:A29+1)</f>
        <v>11</v>
      </c>
      <c r="C30" s="532" t="s">
        <v>826</v>
      </c>
      <c r="D30" s="532"/>
      <c r="E30" s="422">
        <v>0.77172443236513644</v>
      </c>
    </row>
    <row r="31" spans="1:5" ht="15" customHeight="1" x14ac:dyDescent="0.2">
      <c r="A31" s="454" cm="1">
        <f t="array" ref="A31">MAX($A$29:A30+1)</f>
        <v>12</v>
      </c>
      <c r="C31" s="532" t="s">
        <v>825</v>
      </c>
      <c r="D31" s="532"/>
      <c r="E31" s="224">
        <f>E29-E30</f>
        <v>2.6942660480904816</v>
      </c>
    </row>
    <row r="32" spans="1:5" ht="15" customHeight="1" x14ac:dyDescent="0.2">
      <c r="A32" s="454"/>
      <c r="E32" s="502"/>
    </row>
    <row r="33" spans="1:5" ht="15" customHeight="1" thickBot="1" x14ac:dyDescent="0.25">
      <c r="A33" s="454" cm="1">
        <f t="array" ref="A33">MAX($A$29:A32+1)</f>
        <v>13</v>
      </c>
      <c r="C33" s="66" t="s">
        <v>1108</v>
      </c>
      <c r="E33" s="503">
        <f>E31*12/365*0.5</f>
        <v>4.428930490011751E-2</v>
      </c>
    </row>
    <row r="34" spans="1:5" ht="15" customHeight="1" thickTop="1" x14ac:dyDescent="0.2"/>
    <row r="35" spans="1:5" ht="15" customHeight="1" x14ac:dyDescent="0.2">
      <c r="A35" s="76" t="s">
        <v>29</v>
      </c>
    </row>
    <row r="36" spans="1:5" ht="15" customHeight="1" x14ac:dyDescent="0.2">
      <c r="A36" s="77" t="s">
        <v>267</v>
      </c>
      <c r="C36" s="66" t="s">
        <v>824</v>
      </c>
    </row>
    <row r="37" spans="1:5" ht="15" customHeight="1" x14ac:dyDescent="0.2">
      <c r="A37" s="77" t="s">
        <v>268</v>
      </c>
      <c r="C37" s="66" t="s">
        <v>823</v>
      </c>
    </row>
    <row r="38" spans="1:5" ht="15" customHeight="1" x14ac:dyDescent="0.2">
      <c r="A38" s="77" t="s">
        <v>269</v>
      </c>
      <c r="C38" s="66" t="s">
        <v>822</v>
      </c>
    </row>
    <row r="39" spans="1:5" ht="15" customHeight="1" x14ac:dyDescent="0.2">
      <c r="A39" s="77" t="s">
        <v>277</v>
      </c>
      <c r="C39" s="301" t="s">
        <v>821</v>
      </c>
    </row>
    <row r="40" spans="1:5" ht="15" customHeight="1" x14ac:dyDescent="0.2">
      <c r="A40" s="77" t="s">
        <v>278</v>
      </c>
      <c r="C40" s="66" t="s">
        <v>958</v>
      </c>
    </row>
    <row r="41" spans="1:5" ht="15" customHeight="1" x14ac:dyDescent="0.2">
      <c r="A41" s="77" t="s">
        <v>279</v>
      </c>
      <c r="C41" s="66" t="s">
        <v>1061</v>
      </c>
    </row>
  </sheetData>
  <printOptions horizontalCentered="1"/>
  <pageMargins left="0.7" right="0.7" top="0.75" bottom="0.75" header="0.3" footer="0.3"/>
  <pageSetup scale="99" orientation="portrait" horizontalDpi="1200" verticalDpi="1200" r:id="rId1"/>
  <headerFooter>
    <oddHeader>&amp;R&amp;"Arial,Regular"&amp;10Filed: 2022-11-30
EB-2022-0200
Exhibit 8
Tab 2
Schedule 8
Attachment 14
Page &amp;P of &amp;N</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FFED0-E3DB-449D-91BA-6EA3B133BE49}">
  <sheetPr>
    <pageSetUpPr fitToPage="1"/>
  </sheetPr>
  <dimension ref="A6:E29"/>
  <sheetViews>
    <sheetView view="pageLayout" zoomScaleNormal="85" zoomScaleSheetLayoutView="90" workbookViewId="0"/>
  </sheetViews>
  <sheetFormatPr defaultColWidth="9.140625" defaultRowHeight="15" customHeight="1" x14ac:dyDescent="0.2"/>
  <cols>
    <col min="1" max="1" width="4.7109375" style="66" customWidth="1"/>
    <col min="2" max="2" width="1.7109375" style="66" customWidth="1"/>
    <col min="3" max="3" width="67.5703125" style="66" customWidth="1"/>
    <col min="4" max="4" width="1.7109375" style="66" customWidth="1"/>
    <col min="5" max="5" width="13.5703125" style="66" customWidth="1"/>
    <col min="6" max="16384" width="9.140625" style="66"/>
  </cols>
  <sheetData>
    <row r="6" spans="1:5" ht="15" customHeight="1" x14ac:dyDescent="0.2">
      <c r="A6" s="324" t="s">
        <v>594</v>
      </c>
      <c r="B6" s="229"/>
      <c r="C6" s="229"/>
      <c r="D6" s="229"/>
      <c r="E6" s="229"/>
    </row>
    <row r="8" spans="1:5" ht="15" customHeight="1" x14ac:dyDescent="0.2">
      <c r="A8" s="24" t="s">
        <v>0</v>
      </c>
      <c r="B8" s="24"/>
      <c r="C8" s="24"/>
      <c r="D8" s="24"/>
      <c r="E8" s="454" t="s">
        <v>41</v>
      </c>
    </row>
    <row r="9" spans="1:5" ht="15" customHeight="1" x14ac:dyDescent="0.2">
      <c r="A9" s="519" t="s">
        <v>1</v>
      </c>
      <c r="B9" s="9"/>
      <c r="C9" s="10" t="s">
        <v>33</v>
      </c>
      <c r="D9" s="9"/>
      <c r="E9" s="519" t="s">
        <v>586</v>
      </c>
    </row>
    <row r="10" spans="1:5" ht="15" customHeight="1" x14ac:dyDescent="0.2">
      <c r="E10" s="77" t="s">
        <v>3</v>
      </c>
    </row>
    <row r="12" spans="1:5" ht="15" customHeight="1" x14ac:dyDescent="0.2">
      <c r="C12" s="76" t="s">
        <v>115</v>
      </c>
      <c r="D12" s="76"/>
      <c r="E12" s="230"/>
    </row>
    <row r="13" spans="1:5" ht="15" customHeight="1" x14ac:dyDescent="0.2">
      <c r="A13" s="454">
        <v>1</v>
      </c>
      <c r="C13" s="96" t="s">
        <v>831</v>
      </c>
      <c r="D13" s="96"/>
      <c r="E13" s="122">
        <v>40.058490161305784</v>
      </c>
    </row>
    <row r="14" spans="1:5" ht="15" customHeight="1" x14ac:dyDescent="0.2">
      <c r="A14" s="454" cm="1">
        <f t="array" ref="A14">MAX($A$13:A13+1)</f>
        <v>2</v>
      </c>
      <c r="C14" s="96" t="s">
        <v>443</v>
      </c>
      <c r="D14" s="96"/>
      <c r="E14" s="504">
        <v>2</v>
      </c>
    </row>
    <row r="15" spans="1:5" ht="15" customHeight="1" thickBot="1" x14ac:dyDescent="0.25">
      <c r="A15" s="454" cm="1">
        <f t="array" ref="A15">MAX($A$13:A14+1)</f>
        <v>3</v>
      </c>
      <c r="C15" s="532" t="s">
        <v>1113</v>
      </c>
      <c r="D15" s="482"/>
      <c r="E15" s="500">
        <f>E13/(E14*12) *1000</f>
        <v>1669.1037567210742</v>
      </c>
    </row>
    <row r="16" spans="1:5" ht="15" customHeight="1" thickTop="1" x14ac:dyDescent="0.2">
      <c r="C16" s="482"/>
      <c r="D16" s="482"/>
      <c r="E16" s="505"/>
    </row>
    <row r="17" spans="1:5" ht="15" customHeight="1" x14ac:dyDescent="0.2">
      <c r="C17" s="76" t="s">
        <v>445</v>
      </c>
      <c r="D17" s="76"/>
      <c r="E17" s="230"/>
    </row>
    <row r="18" spans="1:5" ht="15" customHeight="1" x14ac:dyDescent="0.2">
      <c r="A18" s="454" cm="1">
        <f t="array" ref="A18">MAX($A$10:A17+1)</f>
        <v>4</v>
      </c>
      <c r="C18" s="532" t="s">
        <v>595</v>
      </c>
      <c r="D18" s="96"/>
      <c r="E18" s="506">
        <f>'Attach 12 p.1-2'!H48</f>
        <v>3.4659904804556181</v>
      </c>
    </row>
    <row r="20" spans="1:5" ht="15" customHeight="1" x14ac:dyDescent="0.2">
      <c r="A20" s="454" cm="1">
        <f t="array" ref="A20">MAX($A$10:A19+1)</f>
        <v>5</v>
      </c>
      <c r="C20" s="66" t="s">
        <v>446</v>
      </c>
      <c r="E20" s="308">
        <v>121.45</v>
      </c>
    </row>
    <row r="21" spans="1:5" ht="15" customHeight="1" x14ac:dyDescent="0.2">
      <c r="A21" s="454" cm="1">
        <f t="array" ref="A21">MAX($A$10:A20+1)</f>
        <v>6</v>
      </c>
      <c r="C21" s="66" t="s">
        <v>447</v>
      </c>
      <c r="E21" s="308">
        <v>228.94</v>
      </c>
    </row>
    <row r="22" spans="1:5" ht="15" customHeight="1" x14ac:dyDescent="0.2">
      <c r="A22" s="454"/>
      <c r="E22" s="507"/>
    </row>
    <row r="23" spans="1:5" ht="15" customHeight="1" x14ac:dyDescent="0.2">
      <c r="A23" s="454" cm="1">
        <f t="array" ref="A23">MAX($A$10:A21+1)</f>
        <v>7</v>
      </c>
      <c r="C23" s="66" t="s">
        <v>1111</v>
      </c>
      <c r="E23" s="508">
        <f>E18*E20/E21</f>
        <v>1.8386675279607529</v>
      </c>
    </row>
    <row r="24" spans="1:5" ht="15" customHeight="1" x14ac:dyDescent="0.2">
      <c r="A24" s="454"/>
    </row>
    <row r="25" spans="1:5" ht="15" customHeight="1" thickBot="1" x14ac:dyDescent="0.25">
      <c r="A25" s="454" cm="1">
        <f t="array" ref="A25">MAX($A$10:A24+1)</f>
        <v>8</v>
      </c>
      <c r="C25" s="66" t="s">
        <v>1112</v>
      </c>
      <c r="E25" s="467">
        <f>E23*214/365</f>
        <v>1.0780132903660304</v>
      </c>
    </row>
    <row r="26" spans="1:5" ht="15" customHeight="1" thickTop="1" x14ac:dyDescent="0.2">
      <c r="A26" s="454"/>
    </row>
    <row r="27" spans="1:5" ht="15" customHeight="1" x14ac:dyDescent="0.2">
      <c r="A27" s="76" t="s">
        <v>29</v>
      </c>
    </row>
    <row r="28" spans="1:5" ht="15" customHeight="1" x14ac:dyDescent="0.2">
      <c r="A28" s="77" t="s">
        <v>267</v>
      </c>
      <c r="C28" s="66" t="s">
        <v>830</v>
      </c>
    </row>
    <row r="29" spans="1:5" ht="15" customHeight="1" x14ac:dyDescent="0.2">
      <c r="A29" s="77" t="s">
        <v>268</v>
      </c>
      <c r="C29" s="66" t="s">
        <v>958</v>
      </c>
    </row>
  </sheetData>
  <printOptions horizontalCentered="1"/>
  <pageMargins left="0.7" right="0.7" top="0.75" bottom="0.75" header="0.3" footer="0.3"/>
  <pageSetup fitToHeight="0" orientation="portrait" horizontalDpi="1200" verticalDpi="1200" r:id="rId1"/>
  <headerFooter>
    <oddHeader>&amp;R&amp;"Arial,Regular"&amp;10Filed: 2022-11-30
EB-2022-0200
Exhibit 8
Tab 2
Schedule 8
Attachment 15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4EABC-A26C-42D2-9DE6-94F2139BFF6D}">
  <sheetPr codeName="Sheet3"/>
  <dimension ref="B2:U855"/>
  <sheetViews>
    <sheetView view="pageLayout" zoomScale="90" zoomScaleNormal="70" zoomScaleSheetLayoutView="70" zoomScalePageLayoutView="90" workbookViewId="0"/>
  </sheetViews>
  <sheetFormatPr defaultRowHeight="12.75" x14ac:dyDescent="0.2"/>
  <cols>
    <col min="1" max="1" width="1.7109375" style="28" customWidth="1"/>
    <col min="2" max="2" width="4.7109375" style="63" customWidth="1"/>
    <col min="3" max="3" width="1.7109375" style="28" customWidth="1"/>
    <col min="4" max="4" width="46.140625" style="28" customWidth="1"/>
    <col min="5" max="5" width="1.7109375" style="28" customWidth="1"/>
    <col min="6" max="6" width="10.7109375" style="28" customWidth="1"/>
    <col min="7" max="7" width="1.7109375" style="28" customWidth="1"/>
    <col min="8" max="8" width="16.28515625" style="28" customWidth="1"/>
    <col min="9" max="9" width="1.7109375" style="28" customWidth="1"/>
    <col min="10" max="10" width="12.7109375" style="28" bestFit="1" customWidth="1"/>
    <col min="11" max="11" width="10.42578125" style="28" customWidth="1"/>
    <col min="12" max="12" width="1.7109375" style="28" customWidth="1"/>
    <col min="13" max="13" width="13.7109375" style="28" customWidth="1"/>
    <col min="14" max="14" width="1.7109375" style="28" customWidth="1"/>
    <col min="15" max="15" width="13.28515625" style="28" customWidth="1"/>
    <col min="16" max="16" width="13.7109375" style="28" customWidth="1"/>
    <col min="17" max="17" width="12.5703125" style="28" customWidth="1"/>
    <col min="18" max="19" width="10.42578125" style="28" customWidth="1"/>
    <col min="20" max="20" width="12.42578125" style="28" customWidth="1"/>
    <col min="21" max="21" width="3.42578125" style="28" customWidth="1"/>
    <col min="22" max="217" width="8.7109375" style="28"/>
    <col min="218" max="218" width="4.5703125" style="28" customWidth="1"/>
    <col min="219" max="219" width="1" style="28" customWidth="1"/>
    <col min="220" max="220" width="18" style="28" customWidth="1"/>
    <col min="221" max="221" width="1.7109375" style="28" customWidth="1"/>
    <col min="222" max="222" width="12.5703125" style="28" customWidth="1"/>
    <col min="223" max="223" width="1.5703125" style="28" customWidth="1"/>
    <col min="224" max="224" width="9.5703125" style="28" customWidth="1"/>
    <col min="225" max="225" width="1.7109375" style="28" customWidth="1"/>
    <col min="226" max="226" width="11.7109375" style="28" customWidth="1"/>
    <col min="227" max="227" width="1.5703125" style="28" customWidth="1"/>
    <col min="228" max="228" width="10.28515625" style="28" customWidth="1"/>
    <col min="229" max="229" width="2" style="28" customWidth="1"/>
    <col min="230" max="230" width="9.5703125" style="28" customWidth="1"/>
    <col min="231" max="473" width="8.7109375" style="28"/>
    <col min="474" max="474" width="4.5703125" style="28" customWidth="1"/>
    <col min="475" max="475" width="1" style="28" customWidth="1"/>
    <col min="476" max="476" width="18" style="28" customWidth="1"/>
    <col min="477" max="477" width="1.7109375" style="28" customWidth="1"/>
    <col min="478" max="478" width="12.5703125" style="28" customWidth="1"/>
    <col min="479" max="479" width="1.5703125" style="28" customWidth="1"/>
    <col min="480" max="480" width="9.5703125" style="28" customWidth="1"/>
    <col min="481" max="481" width="1.7109375" style="28" customWidth="1"/>
    <col min="482" max="482" width="11.7109375" style="28" customWidth="1"/>
    <col min="483" max="483" width="1.5703125" style="28" customWidth="1"/>
    <col min="484" max="484" width="10.28515625" style="28" customWidth="1"/>
    <col min="485" max="485" width="2" style="28" customWidth="1"/>
    <col min="486" max="486" width="9.5703125" style="28" customWidth="1"/>
    <col min="487" max="729" width="8.7109375" style="28"/>
    <col min="730" max="730" width="4.5703125" style="28" customWidth="1"/>
    <col min="731" max="731" width="1" style="28" customWidth="1"/>
    <col min="732" max="732" width="18" style="28" customWidth="1"/>
    <col min="733" max="733" width="1.7109375" style="28" customWidth="1"/>
    <col min="734" max="734" width="12.5703125" style="28" customWidth="1"/>
    <col min="735" max="735" width="1.5703125" style="28" customWidth="1"/>
    <col min="736" max="736" width="9.5703125" style="28" customWidth="1"/>
    <col min="737" max="737" width="1.7109375" style="28" customWidth="1"/>
    <col min="738" max="738" width="11.7109375" style="28" customWidth="1"/>
    <col min="739" max="739" width="1.5703125" style="28" customWidth="1"/>
    <col min="740" max="740" width="10.28515625" style="28" customWidth="1"/>
    <col min="741" max="741" width="2" style="28" customWidth="1"/>
    <col min="742" max="742" width="9.5703125" style="28" customWidth="1"/>
    <col min="743" max="985" width="8.7109375" style="28"/>
    <col min="986" max="986" width="4.5703125" style="28" customWidth="1"/>
    <col min="987" max="987" width="1" style="28" customWidth="1"/>
    <col min="988" max="988" width="18" style="28" customWidth="1"/>
    <col min="989" max="989" width="1.7109375" style="28" customWidth="1"/>
    <col min="990" max="990" width="12.5703125" style="28" customWidth="1"/>
    <col min="991" max="991" width="1.5703125" style="28" customWidth="1"/>
    <col min="992" max="992" width="9.5703125" style="28" customWidth="1"/>
    <col min="993" max="993" width="1.7109375" style="28" customWidth="1"/>
    <col min="994" max="994" width="11.7109375" style="28" customWidth="1"/>
    <col min="995" max="995" width="1.5703125" style="28" customWidth="1"/>
    <col min="996" max="996" width="10.28515625" style="28" customWidth="1"/>
    <col min="997" max="997" width="2" style="28" customWidth="1"/>
    <col min="998" max="998" width="9.5703125" style="28" customWidth="1"/>
    <col min="999" max="1241" width="8.7109375" style="28"/>
    <col min="1242" max="1242" width="4.5703125" style="28" customWidth="1"/>
    <col min="1243" max="1243" width="1" style="28" customWidth="1"/>
    <col min="1244" max="1244" width="18" style="28" customWidth="1"/>
    <col min="1245" max="1245" width="1.7109375" style="28" customWidth="1"/>
    <col min="1246" max="1246" width="12.5703125" style="28" customWidth="1"/>
    <col min="1247" max="1247" width="1.5703125" style="28" customWidth="1"/>
    <col min="1248" max="1248" width="9.5703125" style="28" customWidth="1"/>
    <col min="1249" max="1249" width="1.7109375" style="28" customWidth="1"/>
    <col min="1250" max="1250" width="11.7109375" style="28" customWidth="1"/>
    <col min="1251" max="1251" width="1.5703125" style="28" customWidth="1"/>
    <col min="1252" max="1252" width="10.28515625" style="28" customWidth="1"/>
    <col min="1253" max="1253" width="2" style="28" customWidth="1"/>
    <col min="1254" max="1254" width="9.5703125" style="28" customWidth="1"/>
    <col min="1255" max="1497" width="8.7109375" style="28"/>
    <col min="1498" max="1498" width="4.5703125" style="28" customWidth="1"/>
    <col min="1499" max="1499" width="1" style="28" customWidth="1"/>
    <col min="1500" max="1500" width="18" style="28" customWidth="1"/>
    <col min="1501" max="1501" width="1.7109375" style="28" customWidth="1"/>
    <col min="1502" max="1502" width="12.5703125" style="28" customWidth="1"/>
    <col min="1503" max="1503" width="1.5703125" style="28" customWidth="1"/>
    <col min="1504" max="1504" width="9.5703125" style="28" customWidth="1"/>
    <col min="1505" max="1505" width="1.7109375" style="28" customWidth="1"/>
    <col min="1506" max="1506" width="11.7109375" style="28" customWidth="1"/>
    <col min="1507" max="1507" width="1.5703125" style="28" customWidth="1"/>
    <col min="1508" max="1508" width="10.28515625" style="28" customWidth="1"/>
    <col min="1509" max="1509" width="2" style="28" customWidth="1"/>
    <col min="1510" max="1510" width="9.5703125" style="28" customWidth="1"/>
    <col min="1511" max="1753" width="8.7109375" style="28"/>
    <col min="1754" max="1754" width="4.5703125" style="28" customWidth="1"/>
    <col min="1755" max="1755" width="1" style="28" customWidth="1"/>
    <col min="1756" max="1756" width="18" style="28" customWidth="1"/>
    <col min="1757" max="1757" width="1.7109375" style="28" customWidth="1"/>
    <col min="1758" max="1758" width="12.5703125" style="28" customWidth="1"/>
    <col min="1759" max="1759" width="1.5703125" style="28" customWidth="1"/>
    <col min="1760" max="1760" width="9.5703125" style="28" customWidth="1"/>
    <col min="1761" max="1761" width="1.7109375" style="28" customWidth="1"/>
    <col min="1762" max="1762" width="11.7109375" style="28" customWidth="1"/>
    <col min="1763" max="1763" width="1.5703125" style="28" customWidth="1"/>
    <col min="1764" max="1764" width="10.28515625" style="28" customWidth="1"/>
    <col min="1765" max="1765" width="2" style="28" customWidth="1"/>
    <col min="1766" max="1766" width="9.5703125" style="28" customWidth="1"/>
    <col min="1767" max="2009" width="8.7109375" style="28"/>
    <col min="2010" max="2010" width="4.5703125" style="28" customWidth="1"/>
    <col min="2011" max="2011" width="1" style="28" customWidth="1"/>
    <col min="2012" max="2012" width="18" style="28" customWidth="1"/>
    <col min="2013" max="2013" width="1.7109375" style="28" customWidth="1"/>
    <col min="2014" max="2014" width="12.5703125" style="28" customWidth="1"/>
    <col min="2015" max="2015" width="1.5703125" style="28" customWidth="1"/>
    <col min="2016" max="2016" width="9.5703125" style="28" customWidth="1"/>
    <col min="2017" max="2017" width="1.7109375" style="28" customWidth="1"/>
    <col min="2018" max="2018" width="11.7109375" style="28" customWidth="1"/>
    <col min="2019" max="2019" width="1.5703125" style="28" customWidth="1"/>
    <col min="2020" max="2020" width="10.28515625" style="28" customWidth="1"/>
    <col min="2021" max="2021" width="2" style="28" customWidth="1"/>
    <col min="2022" max="2022" width="9.5703125" style="28" customWidth="1"/>
    <col min="2023" max="2265" width="8.7109375" style="28"/>
    <col min="2266" max="2266" width="4.5703125" style="28" customWidth="1"/>
    <col min="2267" max="2267" width="1" style="28" customWidth="1"/>
    <col min="2268" max="2268" width="18" style="28" customWidth="1"/>
    <col min="2269" max="2269" width="1.7109375" style="28" customWidth="1"/>
    <col min="2270" max="2270" width="12.5703125" style="28" customWidth="1"/>
    <col min="2271" max="2271" width="1.5703125" style="28" customWidth="1"/>
    <col min="2272" max="2272" width="9.5703125" style="28" customWidth="1"/>
    <col min="2273" max="2273" width="1.7109375" style="28" customWidth="1"/>
    <col min="2274" max="2274" width="11.7109375" style="28" customWidth="1"/>
    <col min="2275" max="2275" width="1.5703125" style="28" customWidth="1"/>
    <col min="2276" max="2276" width="10.28515625" style="28" customWidth="1"/>
    <col min="2277" max="2277" width="2" style="28" customWidth="1"/>
    <col min="2278" max="2278" width="9.5703125" style="28" customWidth="1"/>
    <col min="2279" max="2521" width="8.7109375" style="28"/>
    <col min="2522" max="2522" width="4.5703125" style="28" customWidth="1"/>
    <col min="2523" max="2523" width="1" style="28" customWidth="1"/>
    <col min="2524" max="2524" width="18" style="28" customWidth="1"/>
    <col min="2525" max="2525" width="1.7109375" style="28" customWidth="1"/>
    <col min="2526" max="2526" width="12.5703125" style="28" customWidth="1"/>
    <col min="2527" max="2527" width="1.5703125" style="28" customWidth="1"/>
    <col min="2528" max="2528" width="9.5703125" style="28" customWidth="1"/>
    <col min="2529" max="2529" width="1.7109375" style="28" customWidth="1"/>
    <col min="2530" max="2530" width="11.7109375" style="28" customWidth="1"/>
    <col min="2531" max="2531" width="1.5703125" style="28" customWidth="1"/>
    <col min="2532" max="2532" width="10.28515625" style="28" customWidth="1"/>
    <col min="2533" max="2533" width="2" style="28" customWidth="1"/>
    <col min="2534" max="2534" width="9.5703125" style="28" customWidth="1"/>
    <col min="2535" max="2777" width="8.7109375" style="28"/>
    <col min="2778" max="2778" width="4.5703125" style="28" customWidth="1"/>
    <col min="2779" max="2779" width="1" style="28" customWidth="1"/>
    <col min="2780" max="2780" width="18" style="28" customWidth="1"/>
    <col min="2781" max="2781" width="1.7109375" style="28" customWidth="1"/>
    <col min="2782" max="2782" width="12.5703125" style="28" customWidth="1"/>
    <col min="2783" max="2783" width="1.5703125" style="28" customWidth="1"/>
    <col min="2784" max="2784" width="9.5703125" style="28" customWidth="1"/>
    <col min="2785" max="2785" width="1.7109375" style="28" customWidth="1"/>
    <col min="2786" max="2786" width="11.7109375" style="28" customWidth="1"/>
    <col min="2787" max="2787" width="1.5703125" style="28" customWidth="1"/>
    <col min="2788" max="2788" width="10.28515625" style="28" customWidth="1"/>
    <col min="2789" max="2789" width="2" style="28" customWidth="1"/>
    <col min="2790" max="2790" width="9.5703125" style="28" customWidth="1"/>
    <col min="2791" max="3033" width="8.7109375" style="28"/>
    <col min="3034" max="3034" width="4.5703125" style="28" customWidth="1"/>
    <col min="3035" max="3035" width="1" style="28" customWidth="1"/>
    <col min="3036" max="3036" width="18" style="28" customWidth="1"/>
    <col min="3037" max="3037" width="1.7109375" style="28" customWidth="1"/>
    <col min="3038" max="3038" width="12.5703125" style="28" customWidth="1"/>
    <col min="3039" max="3039" width="1.5703125" style="28" customWidth="1"/>
    <col min="3040" max="3040" width="9.5703125" style="28" customWidth="1"/>
    <col min="3041" max="3041" width="1.7109375" style="28" customWidth="1"/>
    <col min="3042" max="3042" width="11.7109375" style="28" customWidth="1"/>
    <col min="3043" max="3043" width="1.5703125" style="28" customWidth="1"/>
    <col min="3044" max="3044" width="10.28515625" style="28" customWidth="1"/>
    <col min="3045" max="3045" width="2" style="28" customWidth="1"/>
    <col min="3046" max="3046" width="9.5703125" style="28" customWidth="1"/>
    <col min="3047" max="3289" width="8.7109375" style="28"/>
    <col min="3290" max="3290" width="4.5703125" style="28" customWidth="1"/>
    <col min="3291" max="3291" width="1" style="28" customWidth="1"/>
    <col min="3292" max="3292" width="18" style="28" customWidth="1"/>
    <col min="3293" max="3293" width="1.7109375" style="28" customWidth="1"/>
    <col min="3294" max="3294" width="12.5703125" style="28" customWidth="1"/>
    <col min="3295" max="3295" width="1.5703125" style="28" customWidth="1"/>
    <col min="3296" max="3296" width="9.5703125" style="28" customWidth="1"/>
    <col min="3297" max="3297" width="1.7109375" style="28" customWidth="1"/>
    <col min="3298" max="3298" width="11.7109375" style="28" customWidth="1"/>
    <col min="3299" max="3299" width="1.5703125" style="28" customWidth="1"/>
    <col min="3300" max="3300" width="10.28515625" style="28" customWidth="1"/>
    <col min="3301" max="3301" width="2" style="28" customWidth="1"/>
    <col min="3302" max="3302" width="9.5703125" style="28" customWidth="1"/>
    <col min="3303" max="3545" width="8.7109375" style="28"/>
    <col min="3546" max="3546" width="4.5703125" style="28" customWidth="1"/>
    <col min="3547" max="3547" width="1" style="28" customWidth="1"/>
    <col min="3548" max="3548" width="18" style="28" customWidth="1"/>
    <col min="3549" max="3549" width="1.7109375" style="28" customWidth="1"/>
    <col min="3550" max="3550" width="12.5703125" style="28" customWidth="1"/>
    <col min="3551" max="3551" width="1.5703125" style="28" customWidth="1"/>
    <col min="3552" max="3552" width="9.5703125" style="28" customWidth="1"/>
    <col min="3553" max="3553" width="1.7109375" style="28" customWidth="1"/>
    <col min="3554" max="3554" width="11.7109375" style="28" customWidth="1"/>
    <col min="3555" max="3555" width="1.5703125" style="28" customWidth="1"/>
    <col min="3556" max="3556" width="10.28515625" style="28" customWidth="1"/>
    <col min="3557" max="3557" width="2" style="28" customWidth="1"/>
    <col min="3558" max="3558" width="9.5703125" style="28" customWidth="1"/>
    <col min="3559" max="3801" width="8.7109375" style="28"/>
    <col min="3802" max="3802" width="4.5703125" style="28" customWidth="1"/>
    <col min="3803" max="3803" width="1" style="28" customWidth="1"/>
    <col min="3804" max="3804" width="18" style="28" customWidth="1"/>
    <col min="3805" max="3805" width="1.7109375" style="28" customWidth="1"/>
    <col min="3806" max="3806" width="12.5703125" style="28" customWidth="1"/>
    <col min="3807" max="3807" width="1.5703125" style="28" customWidth="1"/>
    <col min="3808" max="3808" width="9.5703125" style="28" customWidth="1"/>
    <col min="3809" max="3809" width="1.7109375" style="28" customWidth="1"/>
    <col min="3810" max="3810" width="11.7109375" style="28" customWidth="1"/>
    <col min="3811" max="3811" width="1.5703125" style="28" customWidth="1"/>
    <col min="3812" max="3812" width="10.28515625" style="28" customWidth="1"/>
    <col min="3813" max="3813" width="2" style="28" customWidth="1"/>
    <col min="3814" max="3814" width="9.5703125" style="28" customWidth="1"/>
    <col min="3815" max="4057" width="8.7109375" style="28"/>
    <col min="4058" max="4058" width="4.5703125" style="28" customWidth="1"/>
    <col min="4059" max="4059" width="1" style="28" customWidth="1"/>
    <col min="4060" max="4060" width="18" style="28" customWidth="1"/>
    <col min="4061" max="4061" width="1.7109375" style="28" customWidth="1"/>
    <col min="4062" max="4062" width="12.5703125" style="28" customWidth="1"/>
    <col min="4063" max="4063" width="1.5703125" style="28" customWidth="1"/>
    <col min="4064" max="4064" width="9.5703125" style="28" customWidth="1"/>
    <col min="4065" max="4065" width="1.7109375" style="28" customWidth="1"/>
    <col min="4066" max="4066" width="11.7109375" style="28" customWidth="1"/>
    <col min="4067" max="4067" width="1.5703125" style="28" customWidth="1"/>
    <col min="4068" max="4068" width="10.28515625" style="28" customWidth="1"/>
    <col min="4069" max="4069" width="2" style="28" customWidth="1"/>
    <col min="4070" max="4070" width="9.5703125" style="28" customWidth="1"/>
    <col min="4071" max="4313" width="8.7109375" style="28"/>
    <col min="4314" max="4314" width="4.5703125" style="28" customWidth="1"/>
    <col min="4315" max="4315" width="1" style="28" customWidth="1"/>
    <col min="4316" max="4316" width="18" style="28" customWidth="1"/>
    <col min="4317" max="4317" width="1.7109375" style="28" customWidth="1"/>
    <col min="4318" max="4318" width="12.5703125" style="28" customWidth="1"/>
    <col min="4319" max="4319" width="1.5703125" style="28" customWidth="1"/>
    <col min="4320" max="4320" width="9.5703125" style="28" customWidth="1"/>
    <col min="4321" max="4321" width="1.7109375" style="28" customWidth="1"/>
    <col min="4322" max="4322" width="11.7109375" style="28" customWidth="1"/>
    <col min="4323" max="4323" width="1.5703125" style="28" customWidth="1"/>
    <col min="4324" max="4324" width="10.28515625" style="28" customWidth="1"/>
    <col min="4325" max="4325" width="2" style="28" customWidth="1"/>
    <col min="4326" max="4326" width="9.5703125" style="28" customWidth="1"/>
    <col min="4327" max="4569" width="8.7109375" style="28"/>
    <col min="4570" max="4570" width="4.5703125" style="28" customWidth="1"/>
    <col min="4571" max="4571" width="1" style="28" customWidth="1"/>
    <col min="4572" max="4572" width="18" style="28" customWidth="1"/>
    <col min="4573" max="4573" width="1.7109375" style="28" customWidth="1"/>
    <col min="4574" max="4574" width="12.5703125" style="28" customWidth="1"/>
    <col min="4575" max="4575" width="1.5703125" style="28" customWidth="1"/>
    <col min="4576" max="4576" width="9.5703125" style="28" customWidth="1"/>
    <col min="4577" max="4577" width="1.7109375" style="28" customWidth="1"/>
    <col min="4578" max="4578" width="11.7109375" style="28" customWidth="1"/>
    <col min="4579" max="4579" width="1.5703125" style="28" customWidth="1"/>
    <col min="4580" max="4580" width="10.28515625" style="28" customWidth="1"/>
    <col min="4581" max="4581" width="2" style="28" customWidth="1"/>
    <col min="4582" max="4582" width="9.5703125" style="28" customWidth="1"/>
    <col min="4583" max="4825" width="8.7109375" style="28"/>
    <col min="4826" max="4826" width="4.5703125" style="28" customWidth="1"/>
    <col min="4827" max="4827" width="1" style="28" customWidth="1"/>
    <col min="4828" max="4828" width="18" style="28" customWidth="1"/>
    <col min="4829" max="4829" width="1.7109375" style="28" customWidth="1"/>
    <col min="4830" max="4830" width="12.5703125" style="28" customWidth="1"/>
    <col min="4831" max="4831" width="1.5703125" style="28" customWidth="1"/>
    <col min="4832" max="4832" width="9.5703125" style="28" customWidth="1"/>
    <col min="4833" max="4833" width="1.7109375" style="28" customWidth="1"/>
    <col min="4834" max="4834" width="11.7109375" style="28" customWidth="1"/>
    <col min="4835" max="4835" width="1.5703125" style="28" customWidth="1"/>
    <col min="4836" max="4836" width="10.28515625" style="28" customWidth="1"/>
    <col min="4837" max="4837" width="2" style="28" customWidth="1"/>
    <col min="4838" max="4838" width="9.5703125" style="28" customWidth="1"/>
    <col min="4839" max="5081" width="8.7109375" style="28"/>
    <col min="5082" max="5082" width="4.5703125" style="28" customWidth="1"/>
    <col min="5083" max="5083" width="1" style="28" customWidth="1"/>
    <col min="5084" max="5084" width="18" style="28" customWidth="1"/>
    <col min="5085" max="5085" width="1.7109375" style="28" customWidth="1"/>
    <col min="5086" max="5086" width="12.5703125" style="28" customWidth="1"/>
    <col min="5087" max="5087" width="1.5703125" style="28" customWidth="1"/>
    <col min="5088" max="5088" width="9.5703125" style="28" customWidth="1"/>
    <col min="5089" max="5089" width="1.7109375" style="28" customWidth="1"/>
    <col min="5090" max="5090" width="11.7109375" style="28" customWidth="1"/>
    <col min="5091" max="5091" width="1.5703125" style="28" customWidth="1"/>
    <col min="5092" max="5092" width="10.28515625" style="28" customWidth="1"/>
    <col min="5093" max="5093" width="2" style="28" customWidth="1"/>
    <col min="5094" max="5094" width="9.5703125" style="28" customWidth="1"/>
    <col min="5095" max="5337" width="8.7109375" style="28"/>
    <col min="5338" max="5338" width="4.5703125" style="28" customWidth="1"/>
    <col min="5339" max="5339" width="1" style="28" customWidth="1"/>
    <col min="5340" max="5340" width="18" style="28" customWidth="1"/>
    <col min="5341" max="5341" width="1.7109375" style="28" customWidth="1"/>
    <col min="5342" max="5342" width="12.5703125" style="28" customWidth="1"/>
    <col min="5343" max="5343" width="1.5703125" style="28" customWidth="1"/>
    <col min="5344" max="5344" width="9.5703125" style="28" customWidth="1"/>
    <col min="5345" max="5345" width="1.7109375" style="28" customWidth="1"/>
    <col min="5346" max="5346" width="11.7109375" style="28" customWidth="1"/>
    <col min="5347" max="5347" width="1.5703125" style="28" customWidth="1"/>
    <col min="5348" max="5348" width="10.28515625" style="28" customWidth="1"/>
    <col min="5349" max="5349" width="2" style="28" customWidth="1"/>
    <col min="5350" max="5350" width="9.5703125" style="28" customWidth="1"/>
    <col min="5351" max="5593" width="8.7109375" style="28"/>
    <col min="5594" max="5594" width="4.5703125" style="28" customWidth="1"/>
    <col min="5595" max="5595" width="1" style="28" customWidth="1"/>
    <col min="5596" max="5596" width="18" style="28" customWidth="1"/>
    <col min="5597" max="5597" width="1.7109375" style="28" customWidth="1"/>
    <col min="5598" max="5598" width="12.5703125" style="28" customWidth="1"/>
    <col min="5599" max="5599" width="1.5703125" style="28" customWidth="1"/>
    <col min="5600" max="5600" width="9.5703125" style="28" customWidth="1"/>
    <col min="5601" max="5601" width="1.7109375" style="28" customWidth="1"/>
    <col min="5602" max="5602" width="11.7109375" style="28" customWidth="1"/>
    <col min="5603" max="5603" width="1.5703125" style="28" customWidth="1"/>
    <col min="5604" max="5604" width="10.28515625" style="28" customWidth="1"/>
    <col min="5605" max="5605" width="2" style="28" customWidth="1"/>
    <col min="5606" max="5606" width="9.5703125" style="28" customWidth="1"/>
    <col min="5607" max="5849" width="8.7109375" style="28"/>
    <col min="5850" max="5850" width="4.5703125" style="28" customWidth="1"/>
    <col min="5851" max="5851" width="1" style="28" customWidth="1"/>
    <col min="5852" max="5852" width="18" style="28" customWidth="1"/>
    <col min="5853" max="5853" width="1.7109375" style="28" customWidth="1"/>
    <col min="5854" max="5854" width="12.5703125" style="28" customWidth="1"/>
    <col min="5855" max="5855" width="1.5703125" style="28" customWidth="1"/>
    <col min="5856" max="5856" width="9.5703125" style="28" customWidth="1"/>
    <col min="5857" max="5857" width="1.7109375" style="28" customWidth="1"/>
    <col min="5858" max="5858" width="11.7109375" style="28" customWidth="1"/>
    <col min="5859" max="5859" width="1.5703125" style="28" customWidth="1"/>
    <col min="5860" max="5860" width="10.28515625" style="28" customWidth="1"/>
    <col min="5861" max="5861" width="2" style="28" customWidth="1"/>
    <col min="5862" max="5862" width="9.5703125" style="28" customWidth="1"/>
    <col min="5863" max="6105" width="8.7109375" style="28"/>
    <col min="6106" max="6106" width="4.5703125" style="28" customWidth="1"/>
    <col min="6107" max="6107" width="1" style="28" customWidth="1"/>
    <col min="6108" max="6108" width="18" style="28" customWidth="1"/>
    <col min="6109" max="6109" width="1.7109375" style="28" customWidth="1"/>
    <col min="6110" max="6110" width="12.5703125" style="28" customWidth="1"/>
    <col min="6111" max="6111" width="1.5703125" style="28" customWidth="1"/>
    <col min="6112" max="6112" width="9.5703125" style="28" customWidth="1"/>
    <col min="6113" max="6113" width="1.7109375" style="28" customWidth="1"/>
    <col min="6114" max="6114" width="11.7109375" style="28" customWidth="1"/>
    <col min="6115" max="6115" width="1.5703125" style="28" customWidth="1"/>
    <col min="6116" max="6116" width="10.28515625" style="28" customWidth="1"/>
    <col min="6117" max="6117" width="2" style="28" customWidth="1"/>
    <col min="6118" max="6118" width="9.5703125" style="28" customWidth="1"/>
    <col min="6119" max="6361" width="8.7109375" style="28"/>
    <col min="6362" max="6362" width="4.5703125" style="28" customWidth="1"/>
    <col min="6363" max="6363" width="1" style="28" customWidth="1"/>
    <col min="6364" max="6364" width="18" style="28" customWidth="1"/>
    <col min="6365" max="6365" width="1.7109375" style="28" customWidth="1"/>
    <col min="6366" max="6366" width="12.5703125" style="28" customWidth="1"/>
    <col min="6367" max="6367" width="1.5703125" style="28" customWidth="1"/>
    <col min="6368" max="6368" width="9.5703125" style="28" customWidth="1"/>
    <col min="6369" max="6369" width="1.7109375" style="28" customWidth="1"/>
    <col min="6370" max="6370" width="11.7109375" style="28" customWidth="1"/>
    <col min="6371" max="6371" width="1.5703125" style="28" customWidth="1"/>
    <col min="6372" max="6372" width="10.28515625" style="28" customWidth="1"/>
    <col min="6373" max="6373" width="2" style="28" customWidth="1"/>
    <col min="6374" max="6374" width="9.5703125" style="28" customWidth="1"/>
    <col min="6375" max="6617" width="8.7109375" style="28"/>
    <col min="6618" max="6618" width="4.5703125" style="28" customWidth="1"/>
    <col min="6619" max="6619" width="1" style="28" customWidth="1"/>
    <col min="6620" max="6620" width="18" style="28" customWidth="1"/>
    <col min="6621" max="6621" width="1.7109375" style="28" customWidth="1"/>
    <col min="6622" max="6622" width="12.5703125" style="28" customWidth="1"/>
    <col min="6623" max="6623" width="1.5703125" style="28" customWidth="1"/>
    <col min="6624" max="6624" width="9.5703125" style="28" customWidth="1"/>
    <col min="6625" max="6625" width="1.7109375" style="28" customWidth="1"/>
    <col min="6626" max="6626" width="11.7109375" style="28" customWidth="1"/>
    <col min="6627" max="6627" width="1.5703125" style="28" customWidth="1"/>
    <col min="6628" max="6628" width="10.28515625" style="28" customWidth="1"/>
    <col min="6629" max="6629" width="2" style="28" customWidth="1"/>
    <col min="6630" max="6630" width="9.5703125" style="28" customWidth="1"/>
    <col min="6631" max="6873" width="8.7109375" style="28"/>
    <col min="6874" max="6874" width="4.5703125" style="28" customWidth="1"/>
    <col min="6875" max="6875" width="1" style="28" customWidth="1"/>
    <col min="6876" max="6876" width="18" style="28" customWidth="1"/>
    <col min="6877" max="6877" width="1.7109375" style="28" customWidth="1"/>
    <col min="6878" max="6878" width="12.5703125" style="28" customWidth="1"/>
    <col min="6879" max="6879" width="1.5703125" style="28" customWidth="1"/>
    <col min="6880" max="6880" width="9.5703125" style="28" customWidth="1"/>
    <col min="6881" max="6881" width="1.7109375" style="28" customWidth="1"/>
    <col min="6882" max="6882" width="11.7109375" style="28" customWidth="1"/>
    <col min="6883" max="6883" width="1.5703125" style="28" customWidth="1"/>
    <col min="6884" max="6884" width="10.28515625" style="28" customWidth="1"/>
    <col min="6885" max="6885" width="2" style="28" customWidth="1"/>
    <col min="6886" max="6886" width="9.5703125" style="28" customWidth="1"/>
    <col min="6887" max="7129" width="8.7109375" style="28"/>
    <col min="7130" max="7130" width="4.5703125" style="28" customWidth="1"/>
    <col min="7131" max="7131" width="1" style="28" customWidth="1"/>
    <col min="7132" max="7132" width="18" style="28" customWidth="1"/>
    <col min="7133" max="7133" width="1.7109375" style="28" customWidth="1"/>
    <col min="7134" max="7134" width="12.5703125" style="28" customWidth="1"/>
    <col min="7135" max="7135" width="1.5703125" style="28" customWidth="1"/>
    <col min="7136" max="7136" width="9.5703125" style="28" customWidth="1"/>
    <col min="7137" max="7137" width="1.7109375" style="28" customWidth="1"/>
    <col min="7138" max="7138" width="11.7109375" style="28" customWidth="1"/>
    <col min="7139" max="7139" width="1.5703125" style="28" customWidth="1"/>
    <col min="7140" max="7140" width="10.28515625" style="28" customWidth="1"/>
    <col min="7141" max="7141" width="2" style="28" customWidth="1"/>
    <col min="7142" max="7142" width="9.5703125" style="28" customWidth="1"/>
    <col min="7143" max="7385" width="8.7109375" style="28"/>
    <col min="7386" max="7386" width="4.5703125" style="28" customWidth="1"/>
    <col min="7387" max="7387" width="1" style="28" customWidth="1"/>
    <col min="7388" max="7388" width="18" style="28" customWidth="1"/>
    <col min="7389" max="7389" width="1.7109375" style="28" customWidth="1"/>
    <col min="7390" max="7390" width="12.5703125" style="28" customWidth="1"/>
    <col min="7391" max="7391" width="1.5703125" style="28" customWidth="1"/>
    <col min="7392" max="7392" width="9.5703125" style="28" customWidth="1"/>
    <col min="7393" max="7393" width="1.7109375" style="28" customWidth="1"/>
    <col min="7394" max="7394" width="11.7109375" style="28" customWidth="1"/>
    <col min="7395" max="7395" width="1.5703125" style="28" customWidth="1"/>
    <col min="7396" max="7396" width="10.28515625" style="28" customWidth="1"/>
    <col min="7397" max="7397" width="2" style="28" customWidth="1"/>
    <col min="7398" max="7398" width="9.5703125" style="28" customWidth="1"/>
    <col min="7399" max="7641" width="8.7109375" style="28"/>
    <col min="7642" max="7642" width="4.5703125" style="28" customWidth="1"/>
    <col min="7643" max="7643" width="1" style="28" customWidth="1"/>
    <col min="7644" max="7644" width="18" style="28" customWidth="1"/>
    <col min="7645" max="7645" width="1.7109375" style="28" customWidth="1"/>
    <col min="7646" max="7646" width="12.5703125" style="28" customWidth="1"/>
    <col min="7647" max="7647" width="1.5703125" style="28" customWidth="1"/>
    <col min="7648" max="7648" width="9.5703125" style="28" customWidth="1"/>
    <col min="7649" max="7649" width="1.7109375" style="28" customWidth="1"/>
    <col min="7650" max="7650" width="11.7109375" style="28" customWidth="1"/>
    <col min="7651" max="7651" width="1.5703125" style="28" customWidth="1"/>
    <col min="7652" max="7652" width="10.28515625" style="28" customWidth="1"/>
    <col min="7653" max="7653" width="2" style="28" customWidth="1"/>
    <col min="7654" max="7654" width="9.5703125" style="28" customWidth="1"/>
    <col min="7655" max="7897" width="8.7109375" style="28"/>
    <col min="7898" max="7898" width="4.5703125" style="28" customWidth="1"/>
    <col min="7899" max="7899" width="1" style="28" customWidth="1"/>
    <col min="7900" max="7900" width="18" style="28" customWidth="1"/>
    <col min="7901" max="7901" width="1.7109375" style="28" customWidth="1"/>
    <col min="7902" max="7902" width="12.5703125" style="28" customWidth="1"/>
    <col min="7903" max="7903" width="1.5703125" style="28" customWidth="1"/>
    <col min="7904" max="7904" width="9.5703125" style="28" customWidth="1"/>
    <col min="7905" max="7905" width="1.7109375" style="28" customWidth="1"/>
    <col min="7906" max="7906" width="11.7109375" style="28" customWidth="1"/>
    <col min="7907" max="7907" width="1.5703125" style="28" customWidth="1"/>
    <col min="7908" max="7908" width="10.28515625" style="28" customWidth="1"/>
    <col min="7909" max="7909" width="2" style="28" customWidth="1"/>
    <col min="7910" max="7910" width="9.5703125" style="28" customWidth="1"/>
    <col min="7911" max="8153" width="8.7109375" style="28"/>
    <col min="8154" max="8154" width="4.5703125" style="28" customWidth="1"/>
    <col min="8155" max="8155" width="1" style="28" customWidth="1"/>
    <col min="8156" max="8156" width="18" style="28" customWidth="1"/>
    <col min="8157" max="8157" width="1.7109375" style="28" customWidth="1"/>
    <col min="8158" max="8158" width="12.5703125" style="28" customWidth="1"/>
    <col min="8159" max="8159" width="1.5703125" style="28" customWidth="1"/>
    <col min="8160" max="8160" width="9.5703125" style="28" customWidth="1"/>
    <col min="8161" max="8161" width="1.7109375" style="28" customWidth="1"/>
    <col min="8162" max="8162" width="11.7109375" style="28" customWidth="1"/>
    <col min="8163" max="8163" width="1.5703125" style="28" customWidth="1"/>
    <col min="8164" max="8164" width="10.28515625" style="28" customWidth="1"/>
    <col min="8165" max="8165" width="2" style="28" customWidth="1"/>
    <col min="8166" max="8166" width="9.5703125" style="28" customWidth="1"/>
    <col min="8167" max="8409" width="8.7109375" style="28"/>
    <col min="8410" max="8410" width="4.5703125" style="28" customWidth="1"/>
    <col min="8411" max="8411" width="1" style="28" customWidth="1"/>
    <col min="8412" max="8412" width="18" style="28" customWidth="1"/>
    <col min="8413" max="8413" width="1.7109375" style="28" customWidth="1"/>
    <col min="8414" max="8414" width="12.5703125" style="28" customWidth="1"/>
    <col min="8415" max="8415" width="1.5703125" style="28" customWidth="1"/>
    <col min="8416" max="8416" width="9.5703125" style="28" customWidth="1"/>
    <col min="8417" max="8417" width="1.7109375" style="28" customWidth="1"/>
    <col min="8418" max="8418" width="11.7109375" style="28" customWidth="1"/>
    <col min="8419" max="8419" width="1.5703125" style="28" customWidth="1"/>
    <col min="8420" max="8420" width="10.28515625" style="28" customWidth="1"/>
    <col min="8421" max="8421" width="2" style="28" customWidth="1"/>
    <col min="8422" max="8422" width="9.5703125" style="28" customWidth="1"/>
    <col min="8423" max="8665" width="8.7109375" style="28"/>
    <col min="8666" max="8666" width="4.5703125" style="28" customWidth="1"/>
    <col min="8667" max="8667" width="1" style="28" customWidth="1"/>
    <col min="8668" max="8668" width="18" style="28" customWidth="1"/>
    <col min="8669" max="8669" width="1.7109375" style="28" customWidth="1"/>
    <col min="8670" max="8670" width="12.5703125" style="28" customWidth="1"/>
    <col min="8671" max="8671" width="1.5703125" style="28" customWidth="1"/>
    <col min="8672" max="8672" width="9.5703125" style="28" customWidth="1"/>
    <col min="8673" max="8673" width="1.7109375" style="28" customWidth="1"/>
    <col min="8674" max="8674" width="11.7109375" style="28" customWidth="1"/>
    <col min="8675" max="8675" width="1.5703125" style="28" customWidth="1"/>
    <col min="8676" max="8676" width="10.28515625" style="28" customWidth="1"/>
    <col min="8677" max="8677" width="2" style="28" customWidth="1"/>
    <col min="8678" max="8678" width="9.5703125" style="28" customWidth="1"/>
    <col min="8679" max="8921" width="8.7109375" style="28"/>
    <col min="8922" max="8922" width="4.5703125" style="28" customWidth="1"/>
    <col min="8923" max="8923" width="1" style="28" customWidth="1"/>
    <col min="8924" max="8924" width="18" style="28" customWidth="1"/>
    <col min="8925" max="8925" width="1.7109375" style="28" customWidth="1"/>
    <col min="8926" max="8926" width="12.5703125" style="28" customWidth="1"/>
    <col min="8927" max="8927" width="1.5703125" style="28" customWidth="1"/>
    <col min="8928" max="8928" width="9.5703125" style="28" customWidth="1"/>
    <col min="8929" max="8929" width="1.7109375" style="28" customWidth="1"/>
    <col min="8930" max="8930" width="11.7109375" style="28" customWidth="1"/>
    <col min="8931" max="8931" width="1.5703125" style="28" customWidth="1"/>
    <col min="8932" max="8932" width="10.28515625" style="28" customWidth="1"/>
    <col min="8933" max="8933" width="2" style="28" customWidth="1"/>
    <col min="8934" max="8934" width="9.5703125" style="28" customWidth="1"/>
    <col min="8935" max="9177" width="8.7109375" style="28"/>
    <col min="9178" max="9178" width="4.5703125" style="28" customWidth="1"/>
    <col min="9179" max="9179" width="1" style="28" customWidth="1"/>
    <col min="9180" max="9180" width="18" style="28" customWidth="1"/>
    <col min="9181" max="9181" width="1.7109375" style="28" customWidth="1"/>
    <col min="9182" max="9182" width="12.5703125" style="28" customWidth="1"/>
    <col min="9183" max="9183" width="1.5703125" style="28" customWidth="1"/>
    <col min="9184" max="9184" width="9.5703125" style="28" customWidth="1"/>
    <col min="9185" max="9185" width="1.7109375" style="28" customWidth="1"/>
    <col min="9186" max="9186" width="11.7109375" style="28" customWidth="1"/>
    <col min="9187" max="9187" width="1.5703125" style="28" customWidth="1"/>
    <col min="9188" max="9188" width="10.28515625" style="28" customWidth="1"/>
    <col min="9189" max="9189" width="2" style="28" customWidth="1"/>
    <col min="9190" max="9190" width="9.5703125" style="28" customWidth="1"/>
    <col min="9191" max="9433" width="8.7109375" style="28"/>
    <col min="9434" max="9434" width="4.5703125" style="28" customWidth="1"/>
    <col min="9435" max="9435" width="1" style="28" customWidth="1"/>
    <col min="9436" max="9436" width="18" style="28" customWidth="1"/>
    <col min="9437" max="9437" width="1.7109375" style="28" customWidth="1"/>
    <col min="9438" max="9438" width="12.5703125" style="28" customWidth="1"/>
    <col min="9439" max="9439" width="1.5703125" style="28" customWidth="1"/>
    <col min="9440" max="9440" width="9.5703125" style="28" customWidth="1"/>
    <col min="9441" max="9441" width="1.7109375" style="28" customWidth="1"/>
    <col min="9442" max="9442" width="11.7109375" style="28" customWidth="1"/>
    <col min="9443" max="9443" width="1.5703125" style="28" customWidth="1"/>
    <col min="9444" max="9444" width="10.28515625" style="28" customWidth="1"/>
    <col min="9445" max="9445" width="2" style="28" customWidth="1"/>
    <col min="9446" max="9446" width="9.5703125" style="28" customWidth="1"/>
    <col min="9447" max="9689" width="8.7109375" style="28"/>
    <col min="9690" max="9690" width="4.5703125" style="28" customWidth="1"/>
    <col min="9691" max="9691" width="1" style="28" customWidth="1"/>
    <col min="9692" max="9692" width="18" style="28" customWidth="1"/>
    <col min="9693" max="9693" width="1.7109375" style="28" customWidth="1"/>
    <col min="9694" max="9694" width="12.5703125" style="28" customWidth="1"/>
    <col min="9695" max="9695" width="1.5703125" style="28" customWidth="1"/>
    <col min="9696" max="9696" width="9.5703125" style="28" customWidth="1"/>
    <col min="9697" max="9697" width="1.7109375" style="28" customWidth="1"/>
    <col min="9698" max="9698" width="11.7109375" style="28" customWidth="1"/>
    <col min="9699" max="9699" width="1.5703125" style="28" customWidth="1"/>
    <col min="9700" max="9700" width="10.28515625" style="28" customWidth="1"/>
    <col min="9701" max="9701" width="2" style="28" customWidth="1"/>
    <col min="9702" max="9702" width="9.5703125" style="28" customWidth="1"/>
    <col min="9703" max="9945" width="8.7109375" style="28"/>
    <col min="9946" max="9946" width="4.5703125" style="28" customWidth="1"/>
    <col min="9947" max="9947" width="1" style="28" customWidth="1"/>
    <col min="9948" max="9948" width="18" style="28" customWidth="1"/>
    <col min="9949" max="9949" width="1.7109375" style="28" customWidth="1"/>
    <col min="9950" max="9950" width="12.5703125" style="28" customWidth="1"/>
    <col min="9951" max="9951" width="1.5703125" style="28" customWidth="1"/>
    <col min="9952" max="9952" width="9.5703125" style="28" customWidth="1"/>
    <col min="9953" max="9953" width="1.7109375" style="28" customWidth="1"/>
    <col min="9954" max="9954" width="11.7109375" style="28" customWidth="1"/>
    <col min="9955" max="9955" width="1.5703125" style="28" customWidth="1"/>
    <col min="9956" max="9956" width="10.28515625" style="28" customWidth="1"/>
    <col min="9957" max="9957" width="2" style="28" customWidth="1"/>
    <col min="9958" max="9958" width="9.5703125" style="28" customWidth="1"/>
    <col min="9959" max="10201" width="8.7109375" style="28"/>
    <col min="10202" max="10202" width="4.5703125" style="28" customWidth="1"/>
    <col min="10203" max="10203" width="1" style="28" customWidth="1"/>
    <col min="10204" max="10204" width="18" style="28" customWidth="1"/>
    <col min="10205" max="10205" width="1.7109375" style="28" customWidth="1"/>
    <col min="10206" max="10206" width="12.5703125" style="28" customWidth="1"/>
    <col min="10207" max="10207" width="1.5703125" style="28" customWidth="1"/>
    <col min="10208" max="10208" width="9.5703125" style="28" customWidth="1"/>
    <col min="10209" max="10209" width="1.7109375" style="28" customWidth="1"/>
    <col min="10210" max="10210" width="11.7109375" style="28" customWidth="1"/>
    <col min="10211" max="10211" width="1.5703125" style="28" customWidth="1"/>
    <col min="10212" max="10212" width="10.28515625" style="28" customWidth="1"/>
    <col min="10213" max="10213" width="2" style="28" customWidth="1"/>
    <col min="10214" max="10214" width="9.5703125" style="28" customWidth="1"/>
    <col min="10215" max="10457" width="8.7109375" style="28"/>
    <col min="10458" max="10458" width="4.5703125" style="28" customWidth="1"/>
    <col min="10459" max="10459" width="1" style="28" customWidth="1"/>
    <col min="10460" max="10460" width="18" style="28" customWidth="1"/>
    <col min="10461" max="10461" width="1.7109375" style="28" customWidth="1"/>
    <col min="10462" max="10462" width="12.5703125" style="28" customWidth="1"/>
    <col min="10463" max="10463" width="1.5703125" style="28" customWidth="1"/>
    <col min="10464" max="10464" width="9.5703125" style="28" customWidth="1"/>
    <col min="10465" max="10465" width="1.7109375" style="28" customWidth="1"/>
    <col min="10466" max="10466" width="11.7109375" style="28" customWidth="1"/>
    <col min="10467" max="10467" width="1.5703125" style="28" customWidth="1"/>
    <col min="10468" max="10468" width="10.28515625" style="28" customWidth="1"/>
    <col min="10469" max="10469" width="2" style="28" customWidth="1"/>
    <col min="10470" max="10470" width="9.5703125" style="28" customWidth="1"/>
    <col min="10471" max="10713" width="8.7109375" style="28"/>
    <col min="10714" max="10714" width="4.5703125" style="28" customWidth="1"/>
    <col min="10715" max="10715" width="1" style="28" customWidth="1"/>
    <col min="10716" max="10716" width="18" style="28" customWidth="1"/>
    <col min="10717" max="10717" width="1.7109375" style="28" customWidth="1"/>
    <col min="10718" max="10718" width="12.5703125" style="28" customWidth="1"/>
    <col min="10719" max="10719" width="1.5703125" style="28" customWidth="1"/>
    <col min="10720" max="10720" width="9.5703125" style="28" customWidth="1"/>
    <col min="10721" max="10721" width="1.7109375" style="28" customWidth="1"/>
    <col min="10722" max="10722" width="11.7109375" style="28" customWidth="1"/>
    <col min="10723" max="10723" width="1.5703125" style="28" customWidth="1"/>
    <col min="10724" max="10724" width="10.28515625" style="28" customWidth="1"/>
    <col min="10725" max="10725" width="2" style="28" customWidth="1"/>
    <col min="10726" max="10726" width="9.5703125" style="28" customWidth="1"/>
    <col min="10727" max="10969" width="8.7109375" style="28"/>
    <col min="10970" max="10970" width="4.5703125" style="28" customWidth="1"/>
    <col min="10971" max="10971" width="1" style="28" customWidth="1"/>
    <col min="10972" max="10972" width="18" style="28" customWidth="1"/>
    <col min="10973" max="10973" width="1.7109375" style="28" customWidth="1"/>
    <col min="10974" max="10974" width="12.5703125" style="28" customWidth="1"/>
    <col min="10975" max="10975" width="1.5703125" style="28" customWidth="1"/>
    <col min="10976" max="10976" width="9.5703125" style="28" customWidth="1"/>
    <col min="10977" max="10977" width="1.7109375" style="28" customWidth="1"/>
    <col min="10978" max="10978" width="11.7109375" style="28" customWidth="1"/>
    <col min="10979" max="10979" width="1.5703125" style="28" customWidth="1"/>
    <col min="10980" max="10980" width="10.28515625" style="28" customWidth="1"/>
    <col min="10981" max="10981" width="2" style="28" customWidth="1"/>
    <col min="10982" max="10982" width="9.5703125" style="28" customWidth="1"/>
    <col min="10983" max="11225" width="8.7109375" style="28"/>
    <col min="11226" max="11226" width="4.5703125" style="28" customWidth="1"/>
    <col min="11227" max="11227" width="1" style="28" customWidth="1"/>
    <col min="11228" max="11228" width="18" style="28" customWidth="1"/>
    <col min="11229" max="11229" width="1.7109375" style="28" customWidth="1"/>
    <col min="11230" max="11230" width="12.5703125" style="28" customWidth="1"/>
    <col min="11231" max="11231" width="1.5703125" style="28" customWidth="1"/>
    <col min="11232" max="11232" width="9.5703125" style="28" customWidth="1"/>
    <col min="11233" max="11233" width="1.7109375" style="28" customWidth="1"/>
    <col min="11234" max="11234" width="11.7109375" style="28" customWidth="1"/>
    <col min="11235" max="11235" width="1.5703125" style="28" customWidth="1"/>
    <col min="11236" max="11236" width="10.28515625" style="28" customWidth="1"/>
    <col min="11237" max="11237" width="2" style="28" customWidth="1"/>
    <col min="11238" max="11238" width="9.5703125" style="28" customWidth="1"/>
    <col min="11239" max="11481" width="8.7109375" style="28"/>
    <col min="11482" max="11482" width="4.5703125" style="28" customWidth="1"/>
    <col min="11483" max="11483" width="1" style="28" customWidth="1"/>
    <col min="11484" max="11484" width="18" style="28" customWidth="1"/>
    <col min="11485" max="11485" width="1.7109375" style="28" customWidth="1"/>
    <col min="11486" max="11486" width="12.5703125" style="28" customWidth="1"/>
    <col min="11487" max="11487" width="1.5703125" style="28" customWidth="1"/>
    <col min="11488" max="11488" width="9.5703125" style="28" customWidth="1"/>
    <col min="11489" max="11489" width="1.7109375" style="28" customWidth="1"/>
    <col min="11490" max="11490" width="11.7109375" style="28" customWidth="1"/>
    <col min="11491" max="11491" width="1.5703125" style="28" customWidth="1"/>
    <col min="11492" max="11492" width="10.28515625" style="28" customWidth="1"/>
    <col min="11493" max="11493" width="2" style="28" customWidth="1"/>
    <col min="11494" max="11494" width="9.5703125" style="28" customWidth="1"/>
    <col min="11495" max="11737" width="8.7109375" style="28"/>
    <col min="11738" max="11738" width="4.5703125" style="28" customWidth="1"/>
    <col min="11739" max="11739" width="1" style="28" customWidth="1"/>
    <col min="11740" max="11740" width="18" style="28" customWidth="1"/>
    <col min="11741" max="11741" width="1.7109375" style="28" customWidth="1"/>
    <col min="11742" max="11742" width="12.5703125" style="28" customWidth="1"/>
    <col min="11743" max="11743" width="1.5703125" style="28" customWidth="1"/>
    <col min="11744" max="11744" width="9.5703125" style="28" customWidth="1"/>
    <col min="11745" max="11745" width="1.7109375" style="28" customWidth="1"/>
    <col min="11746" max="11746" width="11.7109375" style="28" customWidth="1"/>
    <col min="11747" max="11747" width="1.5703125" style="28" customWidth="1"/>
    <col min="11748" max="11748" width="10.28515625" style="28" customWidth="1"/>
    <col min="11749" max="11749" width="2" style="28" customWidth="1"/>
    <col min="11750" max="11750" width="9.5703125" style="28" customWidth="1"/>
    <col min="11751" max="11993" width="8.7109375" style="28"/>
    <col min="11994" max="11994" width="4.5703125" style="28" customWidth="1"/>
    <col min="11995" max="11995" width="1" style="28" customWidth="1"/>
    <col min="11996" max="11996" width="18" style="28" customWidth="1"/>
    <col min="11997" max="11997" width="1.7109375" style="28" customWidth="1"/>
    <col min="11998" max="11998" width="12.5703125" style="28" customWidth="1"/>
    <col min="11999" max="11999" width="1.5703125" style="28" customWidth="1"/>
    <col min="12000" max="12000" width="9.5703125" style="28" customWidth="1"/>
    <col min="12001" max="12001" width="1.7109375" style="28" customWidth="1"/>
    <col min="12002" max="12002" width="11.7109375" style="28" customWidth="1"/>
    <col min="12003" max="12003" width="1.5703125" style="28" customWidth="1"/>
    <col min="12004" max="12004" width="10.28515625" style="28" customWidth="1"/>
    <col min="12005" max="12005" width="2" style="28" customWidth="1"/>
    <col min="12006" max="12006" width="9.5703125" style="28" customWidth="1"/>
    <col min="12007" max="12249" width="8.7109375" style="28"/>
    <col min="12250" max="12250" width="4.5703125" style="28" customWidth="1"/>
    <col min="12251" max="12251" width="1" style="28" customWidth="1"/>
    <col min="12252" max="12252" width="18" style="28" customWidth="1"/>
    <col min="12253" max="12253" width="1.7109375" style="28" customWidth="1"/>
    <col min="12254" max="12254" width="12.5703125" style="28" customWidth="1"/>
    <col min="12255" max="12255" width="1.5703125" style="28" customWidth="1"/>
    <col min="12256" max="12256" width="9.5703125" style="28" customWidth="1"/>
    <col min="12257" max="12257" width="1.7109375" style="28" customWidth="1"/>
    <col min="12258" max="12258" width="11.7109375" style="28" customWidth="1"/>
    <col min="12259" max="12259" width="1.5703125" style="28" customWidth="1"/>
    <col min="12260" max="12260" width="10.28515625" style="28" customWidth="1"/>
    <col min="12261" max="12261" width="2" style="28" customWidth="1"/>
    <col min="12262" max="12262" width="9.5703125" style="28" customWidth="1"/>
    <col min="12263" max="12505" width="8.7109375" style="28"/>
    <col min="12506" max="12506" width="4.5703125" style="28" customWidth="1"/>
    <col min="12507" max="12507" width="1" style="28" customWidth="1"/>
    <col min="12508" max="12508" width="18" style="28" customWidth="1"/>
    <col min="12509" max="12509" width="1.7109375" style="28" customWidth="1"/>
    <col min="12510" max="12510" width="12.5703125" style="28" customWidth="1"/>
    <col min="12511" max="12511" width="1.5703125" style="28" customWidth="1"/>
    <col min="12512" max="12512" width="9.5703125" style="28" customWidth="1"/>
    <col min="12513" max="12513" width="1.7109375" style="28" customWidth="1"/>
    <col min="12514" max="12514" width="11.7109375" style="28" customWidth="1"/>
    <col min="12515" max="12515" width="1.5703125" style="28" customWidth="1"/>
    <col min="12516" max="12516" width="10.28515625" style="28" customWidth="1"/>
    <col min="12517" max="12517" width="2" style="28" customWidth="1"/>
    <col min="12518" max="12518" width="9.5703125" style="28" customWidth="1"/>
    <col min="12519" max="12761" width="8.7109375" style="28"/>
    <col min="12762" max="12762" width="4.5703125" style="28" customWidth="1"/>
    <col min="12763" max="12763" width="1" style="28" customWidth="1"/>
    <col min="12764" max="12764" width="18" style="28" customWidth="1"/>
    <col min="12765" max="12765" width="1.7109375" style="28" customWidth="1"/>
    <col min="12766" max="12766" width="12.5703125" style="28" customWidth="1"/>
    <col min="12767" max="12767" width="1.5703125" style="28" customWidth="1"/>
    <col min="12768" max="12768" width="9.5703125" style="28" customWidth="1"/>
    <col min="12769" max="12769" width="1.7109375" style="28" customWidth="1"/>
    <col min="12770" max="12770" width="11.7109375" style="28" customWidth="1"/>
    <col min="12771" max="12771" width="1.5703125" style="28" customWidth="1"/>
    <col min="12772" max="12772" width="10.28515625" style="28" customWidth="1"/>
    <col min="12773" max="12773" width="2" style="28" customWidth="1"/>
    <col min="12774" max="12774" width="9.5703125" style="28" customWidth="1"/>
    <col min="12775" max="13017" width="8.7109375" style="28"/>
    <col min="13018" max="13018" width="4.5703125" style="28" customWidth="1"/>
    <col min="13019" max="13019" width="1" style="28" customWidth="1"/>
    <col min="13020" max="13020" width="18" style="28" customWidth="1"/>
    <col min="13021" max="13021" width="1.7109375" style="28" customWidth="1"/>
    <col min="13022" max="13022" width="12.5703125" style="28" customWidth="1"/>
    <col min="13023" max="13023" width="1.5703125" style="28" customWidth="1"/>
    <col min="13024" max="13024" width="9.5703125" style="28" customWidth="1"/>
    <col min="13025" max="13025" width="1.7109375" style="28" customWidth="1"/>
    <col min="13026" max="13026" width="11.7109375" style="28" customWidth="1"/>
    <col min="13027" max="13027" width="1.5703125" style="28" customWidth="1"/>
    <col min="13028" max="13028" width="10.28515625" style="28" customWidth="1"/>
    <col min="13029" max="13029" width="2" style="28" customWidth="1"/>
    <col min="13030" max="13030" width="9.5703125" style="28" customWidth="1"/>
    <col min="13031" max="13273" width="8.7109375" style="28"/>
    <col min="13274" max="13274" width="4.5703125" style="28" customWidth="1"/>
    <col min="13275" max="13275" width="1" style="28" customWidth="1"/>
    <col min="13276" max="13276" width="18" style="28" customWidth="1"/>
    <col min="13277" max="13277" width="1.7109375" style="28" customWidth="1"/>
    <col min="13278" max="13278" width="12.5703125" style="28" customWidth="1"/>
    <col min="13279" max="13279" width="1.5703125" style="28" customWidth="1"/>
    <col min="13280" max="13280" width="9.5703125" style="28" customWidth="1"/>
    <col min="13281" max="13281" width="1.7109375" style="28" customWidth="1"/>
    <col min="13282" max="13282" width="11.7109375" style="28" customWidth="1"/>
    <col min="13283" max="13283" width="1.5703125" style="28" customWidth="1"/>
    <col min="13284" max="13284" width="10.28515625" style="28" customWidth="1"/>
    <col min="13285" max="13285" width="2" style="28" customWidth="1"/>
    <col min="13286" max="13286" width="9.5703125" style="28" customWidth="1"/>
    <col min="13287" max="13529" width="8.7109375" style="28"/>
    <col min="13530" max="13530" width="4.5703125" style="28" customWidth="1"/>
    <col min="13531" max="13531" width="1" style="28" customWidth="1"/>
    <col min="13532" max="13532" width="18" style="28" customWidth="1"/>
    <col min="13533" max="13533" width="1.7109375" style="28" customWidth="1"/>
    <col min="13534" max="13534" width="12.5703125" style="28" customWidth="1"/>
    <col min="13535" max="13535" width="1.5703125" style="28" customWidth="1"/>
    <col min="13536" max="13536" width="9.5703125" style="28" customWidth="1"/>
    <col min="13537" max="13537" width="1.7109375" style="28" customWidth="1"/>
    <col min="13538" max="13538" width="11.7109375" style="28" customWidth="1"/>
    <col min="13539" max="13539" width="1.5703125" style="28" customWidth="1"/>
    <col min="13540" max="13540" width="10.28515625" style="28" customWidth="1"/>
    <col min="13541" max="13541" width="2" style="28" customWidth="1"/>
    <col min="13542" max="13542" width="9.5703125" style="28" customWidth="1"/>
    <col min="13543" max="13785" width="8.7109375" style="28"/>
    <col min="13786" max="13786" width="4.5703125" style="28" customWidth="1"/>
    <col min="13787" max="13787" width="1" style="28" customWidth="1"/>
    <col min="13788" max="13788" width="18" style="28" customWidth="1"/>
    <col min="13789" max="13789" width="1.7109375" style="28" customWidth="1"/>
    <col min="13790" max="13790" width="12.5703125" style="28" customWidth="1"/>
    <col min="13791" max="13791" width="1.5703125" style="28" customWidth="1"/>
    <col min="13792" max="13792" width="9.5703125" style="28" customWidth="1"/>
    <col min="13793" max="13793" width="1.7109375" style="28" customWidth="1"/>
    <col min="13794" max="13794" width="11.7109375" style="28" customWidth="1"/>
    <col min="13795" max="13795" width="1.5703125" style="28" customWidth="1"/>
    <col min="13796" max="13796" width="10.28515625" style="28" customWidth="1"/>
    <col min="13797" max="13797" width="2" style="28" customWidth="1"/>
    <col min="13798" max="13798" width="9.5703125" style="28" customWidth="1"/>
    <col min="13799" max="14041" width="8.7109375" style="28"/>
    <col min="14042" max="14042" width="4.5703125" style="28" customWidth="1"/>
    <col min="14043" max="14043" width="1" style="28" customWidth="1"/>
    <col min="14044" max="14044" width="18" style="28" customWidth="1"/>
    <col min="14045" max="14045" width="1.7109375" style="28" customWidth="1"/>
    <col min="14046" max="14046" width="12.5703125" style="28" customWidth="1"/>
    <col min="14047" max="14047" width="1.5703125" style="28" customWidth="1"/>
    <col min="14048" max="14048" width="9.5703125" style="28" customWidth="1"/>
    <col min="14049" max="14049" width="1.7109375" style="28" customWidth="1"/>
    <col min="14050" max="14050" width="11.7109375" style="28" customWidth="1"/>
    <col min="14051" max="14051" width="1.5703125" style="28" customWidth="1"/>
    <col min="14052" max="14052" width="10.28515625" style="28" customWidth="1"/>
    <col min="14053" max="14053" width="2" style="28" customWidth="1"/>
    <col min="14054" max="14054" width="9.5703125" style="28" customWidth="1"/>
    <col min="14055" max="14297" width="8.7109375" style="28"/>
    <col min="14298" max="14298" width="4.5703125" style="28" customWidth="1"/>
    <col min="14299" max="14299" width="1" style="28" customWidth="1"/>
    <col min="14300" max="14300" width="18" style="28" customWidth="1"/>
    <col min="14301" max="14301" width="1.7109375" style="28" customWidth="1"/>
    <col min="14302" max="14302" width="12.5703125" style="28" customWidth="1"/>
    <col min="14303" max="14303" width="1.5703125" style="28" customWidth="1"/>
    <col min="14304" max="14304" width="9.5703125" style="28" customWidth="1"/>
    <col min="14305" max="14305" width="1.7109375" style="28" customWidth="1"/>
    <col min="14306" max="14306" width="11.7109375" style="28" customWidth="1"/>
    <col min="14307" max="14307" width="1.5703125" style="28" customWidth="1"/>
    <col min="14308" max="14308" width="10.28515625" style="28" customWidth="1"/>
    <col min="14309" max="14309" width="2" style="28" customWidth="1"/>
    <col min="14310" max="14310" width="9.5703125" style="28" customWidth="1"/>
    <col min="14311" max="14553" width="8.7109375" style="28"/>
    <col min="14554" max="14554" width="4.5703125" style="28" customWidth="1"/>
    <col min="14555" max="14555" width="1" style="28" customWidth="1"/>
    <col min="14556" max="14556" width="18" style="28" customWidth="1"/>
    <col min="14557" max="14557" width="1.7109375" style="28" customWidth="1"/>
    <col min="14558" max="14558" width="12.5703125" style="28" customWidth="1"/>
    <col min="14559" max="14559" width="1.5703125" style="28" customWidth="1"/>
    <col min="14560" max="14560" width="9.5703125" style="28" customWidth="1"/>
    <col min="14561" max="14561" width="1.7109375" style="28" customWidth="1"/>
    <col min="14562" max="14562" width="11.7109375" style="28" customWidth="1"/>
    <col min="14563" max="14563" width="1.5703125" style="28" customWidth="1"/>
    <col min="14564" max="14564" width="10.28515625" style="28" customWidth="1"/>
    <col min="14565" max="14565" width="2" style="28" customWidth="1"/>
    <col min="14566" max="14566" width="9.5703125" style="28" customWidth="1"/>
    <col min="14567" max="14809" width="8.7109375" style="28"/>
    <col min="14810" max="14810" width="4.5703125" style="28" customWidth="1"/>
    <col min="14811" max="14811" width="1" style="28" customWidth="1"/>
    <col min="14812" max="14812" width="18" style="28" customWidth="1"/>
    <col min="14813" max="14813" width="1.7109375" style="28" customWidth="1"/>
    <col min="14814" max="14814" width="12.5703125" style="28" customWidth="1"/>
    <col min="14815" max="14815" width="1.5703125" style="28" customWidth="1"/>
    <col min="14816" max="14816" width="9.5703125" style="28" customWidth="1"/>
    <col min="14817" max="14817" width="1.7109375" style="28" customWidth="1"/>
    <col min="14818" max="14818" width="11.7109375" style="28" customWidth="1"/>
    <col min="14819" max="14819" width="1.5703125" style="28" customWidth="1"/>
    <col min="14820" max="14820" width="10.28515625" style="28" customWidth="1"/>
    <col min="14821" max="14821" width="2" style="28" customWidth="1"/>
    <col min="14822" max="14822" width="9.5703125" style="28" customWidth="1"/>
    <col min="14823" max="15065" width="8.7109375" style="28"/>
    <col min="15066" max="15066" width="4.5703125" style="28" customWidth="1"/>
    <col min="15067" max="15067" width="1" style="28" customWidth="1"/>
    <col min="15068" max="15068" width="18" style="28" customWidth="1"/>
    <col min="15069" max="15069" width="1.7109375" style="28" customWidth="1"/>
    <col min="15070" max="15070" width="12.5703125" style="28" customWidth="1"/>
    <col min="15071" max="15071" width="1.5703125" style="28" customWidth="1"/>
    <col min="15072" max="15072" width="9.5703125" style="28" customWidth="1"/>
    <col min="15073" max="15073" width="1.7109375" style="28" customWidth="1"/>
    <col min="15074" max="15074" width="11.7109375" style="28" customWidth="1"/>
    <col min="15075" max="15075" width="1.5703125" style="28" customWidth="1"/>
    <col min="15076" max="15076" width="10.28515625" style="28" customWidth="1"/>
    <col min="15077" max="15077" width="2" style="28" customWidth="1"/>
    <col min="15078" max="15078" width="9.5703125" style="28" customWidth="1"/>
    <col min="15079" max="15321" width="8.7109375" style="28"/>
    <col min="15322" max="15322" width="4.5703125" style="28" customWidth="1"/>
    <col min="15323" max="15323" width="1" style="28" customWidth="1"/>
    <col min="15324" max="15324" width="18" style="28" customWidth="1"/>
    <col min="15325" max="15325" width="1.7109375" style="28" customWidth="1"/>
    <col min="15326" max="15326" width="12.5703125" style="28" customWidth="1"/>
    <col min="15327" max="15327" width="1.5703125" style="28" customWidth="1"/>
    <col min="15328" max="15328" width="9.5703125" style="28" customWidth="1"/>
    <col min="15329" max="15329" width="1.7109375" style="28" customWidth="1"/>
    <col min="15330" max="15330" width="11.7109375" style="28" customWidth="1"/>
    <col min="15331" max="15331" width="1.5703125" style="28" customWidth="1"/>
    <col min="15332" max="15332" width="10.28515625" style="28" customWidth="1"/>
    <col min="15333" max="15333" width="2" style="28" customWidth="1"/>
    <col min="15334" max="15334" width="9.5703125" style="28" customWidth="1"/>
    <col min="15335" max="15577" width="8.7109375" style="28"/>
    <col min="15578" max="15578" width="4.5703125" style="28" customWidth="1"/>
    <col min="15579" max="15579" width="1" style="28" customWidth="1"/>
    <col min="15580" max="15580" width="18" style="28" customWidth="1"/>
    <col min="15581" max="15581" width="1.7109375" style="28" customWidth="1"/>
    <col min="15582" max="15582" width="12.5703125" style="28" customWidth="1"/>
    <col min="15583" max="15583" width="1.5703125" style="28" customWidth="1"/>
    <col min="15584" max="15584" width="9.5703125" style="28" customWidth="1"/>
    <col min="15585" max="15585" width="1.7109375" style="28" customWidth="1"/>
    <col min="15586" max="15586" width="11.7109375" style="28" customWidth="1"/>
    <col min="15587" max="15587" width="1.5703125" style="28" customWidth="1"/>
    <col min="15588" max="15588" width="10.28515625" style="28" customWidth="1"/>
    <col min="15589" max="15589" width="2" style="28" customWidth="1"/>
    <col min="15590" max="15590" width="9.5703125" style="28" customWidth="1"/>
    <col min="15591" max="15833" width="8.7109375" style="28"/>
    <col min="15834" max="15834" width="4.5703125" style="28" customWidth="1"/>
    <col min="15835" max="15835" width="1" style="28" customWidth="1"/>
    <col min="15836" max="15836" width="18" style="28" customWidth="1"/>
    <col min="15837" max="15837" width="1.7109375" style="28" customWidth="1"/>
    <col min="15838" max="15838" width="12.5703125" style="28" customWidth="1"/>
    <col min="15839" max="15839" width="1.5703125" style="28" customWidth="1"/>
    <col min="15840" max="15840" width="9.5703125" style="28" customWidth="1"/>
    <col min="15841" max="15841" width="1.7109375" style="28" customWidth="1"/>
    <col min="15842" max="15842" width="11.7109375" style="28" customWidth="1"/>
    <col min="15843" max="15843" width="1.5703125" style="28" customWidth="1"/>
    <col min="15844" max="15844" width="10.28515625" style="28" customWidth="1"/>
    <col min="15845" max="15845" width="2" style="28" customWidth="1"/>
    <col min="15846" max="15846" width="9.5703125" style="28" customWidth="1"/>
    <col min="15847" max="16089" width="8.7109375" style="28"/>
    <col min="16090" max="16090" width="4.5703125" style="28" customWidth="1"/>
    <col min="16091" max="16091" width="1" style="28" customWidth="1"/>
    <col min="16092" max="16092" width="18" style="28" customWidth="1"/>
    <col min="16093" max="16093" width="1.7109375" style="28" customWidth="1"/>
    <col min="16094" max="16094" width="12.5703125" style="28" customWidth="1"/>
    <col min="16095" max="16095" width="1.5703125" style="28" customWidth="1"/>
    <col min="16096" max="16096" width="9.5703125" style="28" customWidth="1"/>
    <col min="16097" max="16097" width="1.7109375" style="28" customWidth="1"/>
    <col min="16098" max="16098" width="11.7109375" style="28" customWidth="1"/>
    <col min="16099" max="16099" width="1.5703125" style="28" customWidth="1"/>
    <col min="16100" max="16100" width="10.28515625" style="28" customWidth="1"/>
    <col min="16101" max="16101" width="2" style="28" customWidth="1"/>
    <col min="16102" max="16102" width="9.5703125" style="28" customWidth="1"/>
    <col min="16103" max="16360" width="8.7109375" style="28"/>
    <col min="16361" max="16384" width="8.7109375" style="28" customWidth="1"/>
  </cols>
  <sheetData>
    <row r="2" spans="2:21" x14ac:dyDescent="0.2">
      <c r="B2" s="339" t="s">
        <v>506</v>
      </c>
      <c r="C2" s="166"/>
      <c r="D2" s="166"/>
      <c r="E2" s="166"/>
      <c r="F2" s="166"/>
      <c r="G2" s="166"/>
      <c r="H2" s="166"/>
      <c r="I2" s="166"/>
      <c r="J2" s="166"/>
      <c r="K2" s="166"/>
      <c r="L2" s="166"/>
      <c r="M2" s="166"/>
      <c r="N2" s="166"/>
      <c r="O2" s="166"/>
      <c r="P2" s="166"/>
      <c r="Q2" s="166"/>
      <c r="R2" s="166"/>
      <c r="S2" s="166"/>
      <c r="T2" s="166"/>
      <c r="U2" s="31"/>
    </row>
    <row r="3" spans="2:21" x14ac:dyDescent="0.2">
      <c r="B3" s="339" t="s">
        <v>1056</v>
      </c>
      <c r="C3" s="166"/>
      <c r="D3" s="166"/>
      <c r="E3" s="166"/>
      <c r="F3" s="166"/>
      <c r="G3" s="166"/>
      <c r="H3" s="166"/>
      <c r="I3" s="166"/>
      <c r="J3" s="166"/>
      <c r="K3" s="166"/>
      <c r="L3" s="166"/>
      <c r="M3" s="166"/>
      <c r="N3" s="166"/>
      <c r="O3" s="166"/>
      <c r="P3" s="166"/>
      <c r="Q3" s="166"/>
      <c r="R3" s="166"/>
      <c r="S3" s="166"/>
      <c r="T3" s="166"/>
      <c r="U3" s="31"/>
    </row>
    <row r="4" spans="2:21" x14ac:dyDescent="0.2">
      <c r="B4" s="168"/>
      <c r="C4" s="168"/>
      <c r="D4" s="168"/>
      <c r="E4" s="168"/>
      <c r="F4" s="170"/>
      <c r="G4" s="168"/>
      <c r="H4" s="170"/>
      <c r="I4" s="168"/>
      <c r="J4" s="170"/>
      <c r="K4" s="170"/>
      <c r="L4" s="170"/>
      <c r="M4" s="170"/>
      <c r="N4" s="168"/>
      <c r="O4" s="168"/>
      <c r="P4" s="168"/>
      <c r="Q4" s="168"/>
      <c r="R4" s="168"/>
      <c r="S4" s="169"/>
      <c r="T4" s="169"/>
    </row>
    <row r="5" spans="2:21" x14ac:dyDescent="0.2">
      <c r="B5" s="170"/>
      <c r="C5" s="170"/>
      <c r="D5" s="170"/>
      <c r="E5" s="170"/>
      <c r="F5" s="340"/>
      <c r="G5" s="170"/>
      <c r="H5" s="340"/>
      <c r="I5" s="170"/>
      <c r="J5" s="173" t="s">
        <v>57</v>
      </c>
      <c r="K5" s="173"/>
      <c r="L5" s="170"/>
      <c r="M5" s="170"/>
      <c r="N5" s="170"/>
      <c r="O5" s="173" t="s">
        <v>60</v>
      </c>
      <c r="P5" s="173"/>
      <c r="Q5" s="173"/>
      <c r="R5" s="173"/>
      <c r="S5" s="174"/>
      <c r="T5" s="174"/>
    </row>
    <row r="6" spans="2:21" s="45" customFormat="1" ht="39" customHeight="1" x14ac:dyDescent="0.2">
      <c r="B6" s="154" t="s">
        <v>0</v>
      </c>
      <c r="C6" s="154"/>
      <c r="D6" s="154"/>
      <c r="E6" s="154"/>
      <c r="F6" s="60" t="s">
        <v>47</v>
      </c>
      <c r="G6" s="154"/>
      <c r="H6" s="45" t="s">
        <v>746</v>
      </c>
      <c r="I6" s="154"/>
      <c r="J6" s="45" t="s">
        <v>61</v>
      </c>
      <c r="K6" s="45" t="s">
        <v>571</v>
      </c>
      <c r="L6" s="154"/>
      <c r="M6" s="45" t="s">
        <v>34</v>
      </c>
      <c r="N6" s="154"/>
      <c r="O6" s="154" t="s">
        <v>79</v>
      </c>
      <c r="P6" s="45" t="s">
        <v>34</v>
      </c>
      <c r="Q6" s="45" t="s">
        <v>61</v>
      </c>
      <c r="R6" s="45" t="s">
        <v>69</v>
      </c>
      <c r="S6" s="154" t="s">
        <v>745</v>
      </c>
      <c r="T6" s="154" t="s">
        <v>747</v>
      </c>
      <c r="U6" s="154"/>
    </row>
    <row r="7" spans="2:21" ht="14.25" x14ac:dyDescent="0.2">
      <c r="B7" s="520" t="s">
        <v>1</v>
      </c>
      <c r="C7" s="33"/>
      <c r="D7" s="185" t="s">
        <v>33</v>
      </c>
      <c r="E7" s="64"/>
      <c r="F7" s="520" t="s">
        <v>48</v>
      </c>
      <c r="G7" s="64"/>
      <c r="H7" s="520" t="s">
        <v>560</v>
      </c>
      <c r="I7" s="64"/>
      <c r="J7" s="520" t="s">
        <v>389</v>
      </c>
      <c r="K7" s="520" t="s">
        <v>35</v>
      </c>
      <c r="L7" s="64"/>
      <c r="M7" s="520" t="s">
        <v>389</v>
      </c>
      <c r="N7" s="64"/>
      <c r="O7" s="520" t="s">
        <v>389</v>
      </c>
      <c r="P7" s="520" t="s">
        <v>389</v>
      </c>
      <c r="Q7" s="520" t="s">
        <v>389</v>
      </c>
      <c r="R7" s="520" t="s">
        <v>35</v>
      </c>
      <c r="S7" s="520" t="s">
        <v>36</v>
      </c>
      <c r="T7" s="520" t="s">
        <v>2</v>
      </c>
      <c r="U7" s="64"/>
    </row>
    <row r="8" spans="2:21" x14ac:dyDescent="0.2">
      <c r="B8" s="64"/>
      <c r="C8" s="33"/>
      <c r="D8" s="33"/>
      <c r="E8" s="64"/>
      <c r="F8" s="64"/>
      <c r="G8" s="64"/>
      <c r="H8" s="64" t="s">
        <v>3</v>
      </c>
      <c r="I8" s="64"/>
      <c r="J8" s="64" t="s">
        <v>4</v>
      </c>
      <c r="K8" s="64" t="s">
        <v>58</v>
      </c>
      <c r="L8" s="64"/>
      <c r="M8" s="64" t="s">
        <v>59</v>
      </c>
      <c r="N8" s="64"/>
      <c r="O8" s="64" t="s">
        <v>63</v>
      </c>
      <c r="P8" s="64" t="s">
        <v>227</v>
      </c>
      <c r="Q8" s="175" t="s">
        <v>38</v>
      </c>
      <c r="R8" s="175" t="s">
        <v>70</v>
      </c>
      <c r="S8" s="175" t="s">
        <v>479</v>
      </c>
      <c r="T8" s="175" t="s">
        <v>71</v>
      </c>
      <c r="U8" s="64"/>
    </row>
    <row r="9" spans="2:21" x14ac:dyDescent="0.2">
      <c r="B9" s="64"/>
      <c r="C9" s="33"/>
      <c r="D9" s="33"/>
      <c r="E9" s="64"/>
      <c r="F9" s="64"/>
      <c r="G9" s="64"/>
      <c r="H9" s="64"/>
      <c r="I9" s="64"/>
      <c r="J9" s="64"/>
      <c r="K9" s="64"/>
      <c r="L9" s="64"/>
      <c r="M9" s="64"/>
      <c r="N9" s="64"/>
      <c r="O9" s="64"/>
      <c r="P9" s="64"/>
      <c r="Q9" s="175"/>
      <c r="R9" s="175"/>
      <c r="S9" s="175"/>
      <c r="T9" s="175"/>
      <c r="U9" s="64"/>
    </row>
    <row r="10" spans="2:21" x14ac:dyDescent="0.2">
      <c r="B10" s="64"/>
      <c r="C10" s="33"/>
      <c r="D10" s="31" t="s">
        <v>394</v>
      </c>
      <c r="E10" s="64"/>
      <c r="F10" s="186"/>
      <c r="G10" s="64"/>
      <c r="H10" s="186"/>
      <c r="I10" s="64"/>
      <c r="J10" s="186"/>
      <c r="K10" s="64"/>
      <c r="L10" s="64"/>
      <c r="M10" s="186"/>
      <c r="N10" s="64"/>
      <c r="O10" s="64"/>
      <c r="P10" s="64"/>
      <c r="Q10" s="64"/>
      <c r="R10" s="64"/>
      <c r="S10" s="64"/>
      <c r="T10" s="64"/>
      <c r="U10" s="64"/>
    </row>
    <row r="11" spans="2:21" x14ac:dyDescent="0.2">
      <c r="B11" s="64"/>
      <c r="C11" s="33"/>
      <c r="D11" s="31" t="s">
        <v>5</v>
      </c>
      <c r="E11" s="64"/>
      <c r="F11" s="186"/>
      <c r="G11" s="64"/>
      <c r="H11" s="186"/>
      <c r="I11" s="64"/>
      <c r="J11" s="186"/>
      <c r="K11" s="64"/>
      <c r="L11" s="64"/>
      <c r="M11" s="13"/>
      <c r="N11" s="64"/>
      <c r="O11" s="12"/>
      <c r="P11" s="64"/>
      <c r="Q11" s="64"/>
      <c r="R11" s="64"/>
      <c r="S11" s="64"/>
      <c r="T11" s="64"/>
      <c r="U11" s="64"/>
    </row>
    <row r="12" spans="2:21" x14ac:dyDescent="0.2">
      <c r="B12" s="64">
        <v>1</v>
      </c>
      <c r="C12" s="33"/>
      <c r="D12" s="26" t="s">
        <v>85</v>
      </c>
      <c r="E12" s="64"/>
      <c r="F12" s="16" t="s">
        <v>55</v>
      </c>
      <c r="G12" s="64"/>
      <c r="H12" s="122">
        <v>25902149</v>
      </c>
      <c r="I12" s="341"/>
      <c r="J12" s="122">
        <f>$H12*K12/1000</f>
        <v>566707.60055401165</v>
      </c>
      <c r="K12" s="331">
        <v>21.878786989991127</v>
      </c>
      <c r="L12" s="239"/>
      <c r="M12" s="122">
        <f>J12-O12</f>
        <v>-163801.08188803843</v>
      </c>
      <c r="N12" s="238"/>
      <c r="O12" s="122">
        <v>730508.68244205008</v>
      </c>
      <c r="P12" s="122">
        <f>Q12-O12</f>
        <v>-134759.25544205005</v>
      </c>
      <c r="Q12" s="122">
        <f>$H12*R12/1000</f>
        <v>595749.42700000003</v>
      </c>
      <c r="R12" s="331">
        <v>23</v>
      </c>
      <c r="S12" s="124">
        <f>Q12/O12</f>
        <v>0.81552682578452407</v>
      </c>
      <c r="T12" s="178">
        <f t="shared" ref="T12" si="0">R12/K12-1</f>
        <v>5.124658010162042E-2</v>
      </c>
    </row>
    <row r="13" spans="2:21" x14ac:dyDescent="0.2">
      <c r="B13" s="64"/>
      <c r="C13" s="33"/>
      <c r="D13" s="26" t="s">
        <v>86</v>
      </c>
      <c r="E13" s="64"/>
      <c r="F13" s="16"/>
      <c r="G13" s="64"/>
      <c r="H13" s="122"/>
      <c r="I13" s="341"/>
      <c r="J13" s="122"/>
      <c r="K13" s="147"/>
      <c r="L13" s="239"/>
      <c r="M13" s="122"/>
      <c r="N13" s="238"/>
      <c r="O13" s="122"/>
      <c r="P13" s="122"/>
      <c r="Q13" s="122"/>
      <c r="R13" s="147"/>
      <c r="S13" s="124"/>
      <c r="T13" s="138"/>
    </row>
    <row r="14" spans="2:21" x14ac:dyDescent="0.2">
      <c r="B14" s="64">
        <f>MAX(B$12:B13)+1</f>
        <v>2</v>
      </c>
      <c r="C14" s="33"/>
      <c r="D14" s="27" t="s">
        <v>966</v>
      </c>
      <c r="E14" s="64"/>
      <c r="F14" s="16" t="s">
        <v>56</v>
      </c>
      <c r="G14" s="64"/>
      <c r="H14" s="122">
        <v>710956.70434703375</v>
      </c>
      <c r="I14" s="341"/>
      <c r="J14" s="122">
        <f>$H14*K14/100</f>
        <v>84737.915629474111</v>
      </c>
      <c r="K14" s="147">
        <v>11.918857380675554</v>
      </c>
      <c r="L14" s="239"/>
      <c r="M14" s="122">
        <f t="shared" ref="M14:M17" si="1">J14-O14</f>
        <v>12868.33265905529</v>
      </c>
      <c r="N14" s="238"/>
      <c r="O14" s="122">
        <v>71869.582970418822</v>
      </c>
      <c r="P14" s="122">
        <f t="shared" ref="P14:P17" si="2">Q14-O14</f>
        <v>20748.783093748803</v>
      </c>
      <c r="Q14" s="122">
        <f>$H14*R14/100</f>
        <v>92618.366064167625</v>
      </c>
      <c r="R14" s="147">
        <v>13.027286401248778</v>
      </c>
      <c r="S14" s="124"/>
      <c r="T14" s="178"/>
    </row>
    <row r="15" spans="2:21" x14ac:dyDescent="0.2">
      <c r="B15" s="64">
        <f>MAX(B$12:B14)+1</f>
        <v>3</v>
      </c>
      <c r="C15" s="33"/>
      <c r="D15" s="27" t="s">
        <v>967</v>
      </c>
      <c r="E15" s="64"/>
      <c r="F15" s="16" t="s">
        <v>56</v>
      </c>
      <c r="G15" s="64"/>
      <c r="H15" s="122">
        <v>1020712.5428390639</v>
      </c>
      <c r="I15" s="341"/>
      <c r="J15" s="122">
        <f>$H15*K15/100</f>
        <v>114716.55053170033</v>
      </c>
      <c r="K15" s="147">
        <v>11.238869487448605</v>
      </c>
      <c r="L15" s="239"/>
      <c r="M15" s="122">
        <f t="shared" si="1"/>
        <v>18457.609827571781</v>
      </c>
      <c r="N15" s="238"/>
      <c r="O15" s="122">
        <v>96258.940704128545</v>
      </c>
      <c r="P15" s="122">
        <f t="shared" si="2"/>
        <v>27703.847870184123</v>
      </c>
      <c r="Q15" s="122">
        <f>$H15*R15/100</f>
        <v>123962.78857431267</v>
      </c>
      <c r="R15" s="147">
        <v>12.144730604516331</v>
      </c>
      <c r="S15" s="124"/>
      <c r="T15" s="178"/>
    </row>
    <row r="16" spans="2:21" x14ac:dyDescent="0.2">
      <c r="B16" s="64">
        <f>MAX(B$12:B15)+1</f>
        <v>4</v>
      </c>
      <c r="C16" s="33"/>
      <c r="D16" s="27" t="s">
        <v>968</v>
      </c>
      <c r="E16" s="64"/>
      <c r="F16" s="16" t="s">
        <v>56</v>
      </c>
      <c r="G16" s="64"/>
      <c r="H16" s="122">
        <v>1107394.6437671527</v>
      </c>
      <c r="I16" s="341"/>
      <c r="J16" s="122">
        <f>$H16*K16/100</f>
        <v>118562.16739499493</v>
      </c>
      <c r="K16" s="147">
        <v>10.706406073237655</v>
      </c>
      <c r="L16" s="239"/>
      <c r="M16" s="122">
        <f t="shared" si="1"/>
        <v>20010.374849111351</v>
      </c>
      <c r="N16" s="238"/>
      <c r="O16" s="122">
        <v>98551.792545883582</v>
      </c>
      <c r="P16" s="122">
        <f t="shared" si="2"/>
        <v>28285.295657271607</v>
      </c>
      <c r="Q16" s="122">
        <f>$H16*R16/100</f>
        <v>126837.08820315519</v>
      </c>
      <c r="R16" s="147">
        <v>11.453648337297242</v>
      </c>
      <c r="S16" s="124"/>
      <c r="T16" s="178"/>
    </row>
    <row r="17" spans="2:21" x14ac:dyDescent="0.2">
      <c r="B17" s="64">
        <f>MAX(B$12:B16)+1</f>
        <v>5</v>
      </c>
      <c r="C17" s="33"/>
      <c r="D17" s="27" t="s">
        <v>969</v>
      </c>
      <c r="E17" s="64"/>
      <c r="F17" s="16" t="s">
        <v>56</v>
      </c>
      <c r="G17" s="64"/>
      <c r="H17" s="122">
        <v>2161962.8495790139</v>
      </c>
      <c r="I17" s="341"/>
      <c r="J17" s="122">
        <f>$H17*K17/100</f>
        <v>222887.13436379802</v>
      </c>
      <c r="K17" s="147">
        <v>10.309480313558556</v>
      </c>
      <c r="L17" s="239"/>
      <c r="M17" s="122">
        <f t="shared" si="1"/>
        <v>39044.786830288154</v>
      </c>
      <c r="N17" s="238"/>
      <c r="O17" s="122">
        <v>183842.34753350986</v>
      </c>
      <c r="P17" s="122">
        <f t="shared" si="2"/>
        <v>52643.49343794008</v>
      </c>
      <c r="Q17" s="122">
        <f>$H17*R17/100</f>
        <v>236485.84097144994</v>
      </c>
      <c r="R17" s="147">
        <v>10.938478476514961</v>
      </c>
      <c r="S17" s="124"/>
      <c r="T17" s="178"/>
    </row>
    <row r="18" spans="2:21" x14ac:dyDescent="0.2">
      <c r="B18" s="64">
        <f>MAX(B$12:B17)+1</f>
        <v>6</v>
      </c>
      <c r="C18" s="33"/>
      <c r="D18" s="26" t="s">
        <v>86</v>
      </c>
      <c r="E18" s="64"/>
      <c r="F18" s="16"/>
      <c r="G18" s="64"/>
      <c r="H18" s="146">
        <f>SUM(H14:H17)</f>
        <v>5001026.7405322641</v>
      </c>
      <c r="I18" s="341"/>
      <c r="J18" s="146">
        <f>SUM(J14:J17)</f>
        <v>540903.76791996742</v>
      </c>
      <c r="K18" s="139">
        <f>J18/$H18*100</f>
        <v>10.815854343190304</v>
      </c>
      <c r="L18" s="239"/>
      <c r="M18" s="146">
        <f>SUM(M14:M17)</f>
        <v>90381.104166026576</v>
      </c>
      <c r="N18" s="238"/>
      <c r="O18" s="146">
        <f>SUM(O14:O17)</f>
        <v>450522.66375394084</v>
      </c>
      <c r="P18" s="146">
        <f>SUM(P14:P17)</f>
        <v>129381.42005914461</v>
      </c>
      <c r="Q18" s="146">
        <f>SUM(Q14:Q17)</f>
        <v>579904.08381308545</v>
      </c>
      <c r="R18" s="139">
        <f>Q18/$H18*100</f>
        <v>11.595700521116704</v>
      </c>
      <c r="S18" s="342">
        <f>Q18/O18</f>
        <v>1.2871807135762832</v>
      </c>
      <c r="T18" s="177">
        <f>R18/K18-1</f>
        <v>7.2102133884355935E-2</v>
      </c>
    </row>
    <row r="19" spans="2:21" x14ac:dyDescent="0.2">
      <c r="B19" s="64"/>
      <c r="C19" s="33"/>
      <c r="D19" s="26"/>
      <c r="E19" s="64"/>
      <c r="F19" s="16"/>
      <c r="G19" s="64"/>
      <c r="H19" s="122"/>
      <c r="I19" s="341"/>
      <c r="J19" s="122"/>
      <c r="K19" s="147"/>
      <c r="L19" s="239"/>
      <c r="M19" s="122"/>
      <c r="N19" s="238"/>
      <c r="O19" s="122"/>
      <c r="P19" s="122"/>
      <c r="Q19" s="122"/>
      <c r="R19" s="147"/>
      <c r="S19" s="124"/>
      <c r="T19" s="138"/>
    </row>
    <row r="20" spans="2:21" x14ac:dyDescent="0.2">
      <c r="B20" s="64">
        <f>MAX(B$12:B19)+1</f>
        <v>7</v>
      </c>
      <c r="C20" s="33"/>
      <c r="D20" s="26" t="s">
        <v>68</v>
      </c>
      <c r="E20" s="64"/>
      <c r="F20" s="16"/>
      <c r="G20" s="64"/>
      <c r="H20" s="146">
        <f>H18</f>
        <v>5001026.7405322641</v>
      </c>
      <c r="I20" s="341"/>
      <c r="J20" s="146">
        <f>J12+J18</f>
        <v>1107611.3684739792</v>
      </c>
      <c r="K20" s="139">
        <f>J20/$H20*100</f>
        <v>22.147679385455458</v>
      </c>
      <c r="L20" s="239"/>
      <c r="M20" s="146">
        <f>M12+M18</f>
        <v>-73419.977722011856</v>
      </c>
      <c r="N20" s="238"/>
      <c r="O20" s="146">
        <f>O12+O18</f>
        <v>1181031.3461959909</v>
      </c>
      <c r="P20" s="146">
        <f>P12+P18</f>
        <v>-5377.8353829054395</v>
      </c>
      <c r="Q20" s="146">
        <f>Q12+Q18</f>
        <v>1175653.5108130854</v>
      </c>
      <c r="R20" s="139">
        <f>Q20/$H20*100</f>
        <v>23.508242843107844</v>
      </c>
      <c r="S20" s="342">
        <f>Q20/O20</f>
        <v>0.99544649225422577</v>
      </c>
      <c r="T20" s="177">
        <f>R20/K20-1</f>
        <v>6.1431422858047924E-2</v>
      </c>
    </row>
    <row r="21" spans="2:21" x14ac:dyDescent="0.2">
      <c r="E21" s="64"/>
      <c r="F21" s="16"/>
      <c r="G21" s="64"/>
      <c r="H21" s="122"/>
      <c r="I21" s="341"/>
      <c r="J21" s="122"/>
      <c r="K21" s="147"/>
      <c r="L21" s="239"/>
      <c r="M21" s="122"/>
      <c r="N21" s="238"/>
      <c r="O21" s="122"/>
      <c r="P21" s="122"/>
      <c r="Q21" s="122"/>
      <c r="R21" s="147"/>
      <c r="S21" s="124"/>
      <c r="T21" s="178"/>
    </row>
    <row r="22" spans="2:21" x14ac:dyDescent="0.2">
      <c r="B22" s="64"/>
      <c r="C22" s="33"/>
      <c r="D22" s="26" t="s">
        <v>87</v>
      </c>
      <c r="E22" s="64"/>
      <c r="F22" s="192"/>
      <c r="G22" s="64"/>
      <c r="H22" s="122"/>
      <c r="I22" s="341"/>
      <c r="J22" s="122"/>
      <c r="K22" s="147"/>
      <c r="L22" s="239"/>
      <c r="M22" s="122"/>
      <c r="N22" s="238"/>
      <c r="O22" s="122"/>
      <c r="P22" s="122"/>
      <c r="Q22" s="122"/>
      <c r="R22" s="240"/>
      <c r="S22" s="124"/>
      <c r="T22" s="343"/>
    </row>
    <row r="23" spans="2:21" x14ac:dyDescent="0.2">
      <c r="B23" s="64">
        <f>MAX(B$12:B22)+1</f>
        <v>8</v>
      </c>
      <c r="C23" s="33"/>
      <c r="D23" s="27" t="s">
        <v>64</v>
      </c>
      <c r="E23" s="64"/>
      <c r="F23" s="192" t="s">
        <v>56</v>
      </c>
      <c r="G23" s="64"/>
      <c r="H23" s="122">
        <v>4915774.1892947741</v>
      </c>
      <c r="I23" s="341"/>
      <c r="J23" s="122">
        <f>$H23*K23/100</f>
        <v>193029.88705658203</v>
      </c>
      <c r="K23" s="147">
        <v>3.9267443870173873</v>
      </c>
      <c r="L23" s="239"/>
      <c r="M23" s="122">
        <f t="shared" ref="M23:M26" si="3">J23-O23</f>
        <v>97552.90679764474</v>
      </c>
      <c r="N23" s="238"/>
      <c r="O23" s="122">
        <f>Q23</f>
        <v>95476.980258937285</v>
      </c>
      <c r="P23" s="122">
        <f t="shared" ref="P23:P26" si="4">Q23-O23</f>
        <v>0</v>
      </c>
      <c r="Q23" s="122">
        <f>$H23*R23/100</f>
        <v>95476.980258937285</v>
      </c>
      <c r="R23" s="147">
        <v>1.9422572433628118</v>
      </c>
      <c r="S23" s="344"/>
      <c r="T23" s="178"/>
    </row>
    <row r="24" spans="2:21" x14ac:dyDescent="0.2">
      <c r="B24" s="64">
        <f>MAX(B$12:B23)+1</f>
        <v>9</v>
      </c>
      <c r="C24" s="33"/>
      <c r="D24" s="27" t="s">
        <v>65</v>
      </c>
      <c r="E24" s="64"/>
      <c r="F24" s="192" t="s">
        <v>56</v>
      </c>
      <c r="G24" s="64"/>
      <c r="H24" s="122">
        <v>70111.872093691025</v>
      </c>
      <c r="I24" s="341"/>
      <c r="J24" s="122">
        <f>$H24*K24/100</f>
        <v>679.88893560303268</v>
      </c>
      <c r="K24" s="147">
        <v>0.96972012770460903</v>
      </c>
      <c r="L24" s="239"/>
      <c r="M24" s="122">
        <f t="shared" si="3"/>
        <v>-681.86397859395129</v>
      </c>
      <c r="N24" s="239"/>
      <c r="O24" s="122">
        <f t="shared" ref="O24:O25" si="5">Q24</f>
        <v>1361.752914196984</v>
      </c>
      <c r="P24" s="122">
        <f t="shared" si="4"/>
        <v>0</v>
      </c>
      <c r="Q24" s="122">
        <f>$H24*R24/100</f>
        <v>1361.752914196984</v>
      </c>
      <c r="R24" s="147">
        <v>1.9422572433628118</v>
      </c>
      <c r="S24" s="344"/>
      <c r="T24" s="178"/>
      <c r="U24" s="64"/>
    </row>
    <row r="25" spans="2:21" x14ac:dyDescent="0.2">
      <c r="B25" s="64">
        <f>MAX(B$12:B24)+1</f>
        <v>10</v>
      </c>
      <c r="C25" s="33"/>
      <c r="D25" s="27" t="s">
        <v>66</v>
      </c>
      <c r="E25" s="64"/>
      <c r="F25" s="192" t="s">
        <v>56</v>
      </c>
      <c r="G25" s="64"/>
      <c r="H25" s="122">
        <v>15030.747007082216</v>
      </c>
      <c r="I25" s="341"/>
      <c r="J25" s="122">
        <f>$H25*K25/100</f>
        <v>590.21901442738488</v>
      </c>
      <c r="K25" s="147">
        <v>3.9267443870173873</v>
      </c>
      <c r="L25" s="239"/>
      <c r="M25" s="122">
        <f t="shared" si="3"/>
        <v>18.415707030539579</v>
      </c>
      <c r="N25" s="239"/>
      <c r="O25" s="122">
        <f t="shared" si="5"/>
        <v>571.8033073968453</v>
      </c>
      <c r="P25" s="122">
        <f t="shared" si="4"/>
        <v>0</v>
      </c>
      <c r="Q25" s="122">
        <f>$H25*R25/100</f>
        <v>571.8033073968453</v>
      </c>
      <c r="R25" s="147">
        <v>3.8042241488558211</v>
      </c>
      <c r="S25" s="344"/>
      <c r="T25" s="178"/>
      <c r="U25" s="64"/>
    </row>
    <row r="26" spans="2:21" x14ac:dyDescent="0.2">
      <c r="B26" s="64">
        <f>MAX(B$12:B25)+1</f>
        <v>11</v>
      </c>
      <c r="C26" s="33"/>
      <c r="D26" s="27" t="s">
        <v>67</v>
      </c>
      <c r="E26" s="64"/>
      <c r="F26" s="192" t="s">
        <v>56</v>
      </c>
      <c r="G26" s="64"/>
      <c r="H26" s="122">
        <f>H18-SUM(H23:H25)</f>
        <v>109.93213671725243</v>
      </c>
      <c r="I26" s="341"/>
      <c r="J26" s="122">
        <f>$H26*K26/100</f>
        <v>0</v>
      </c>
      <c r="K26" s="147">
        <v>0</v>
      </c>
      <c r="L26" s="239"/>
      <c r="M26" s="122">
        <f t="shared" si="3"/>
        <v>-2.1351648881743448</v>
      </c>
      <c r="N26" s="239"/>
      <c r="O26" s="122">
        <f>Q26</f>
        <v>2.1351648881743448</v>
      </c>
      <c r="P26" s="122">
        <f t="shared" si="4"/>
        <v>0</v>
      </c>
      <c r="Q26" s="122">
        <f>$H26*R26/100</f>
        <v>2.1351648881743448</v>
      </c>
      <c r="R26" s="147">
        <v>1.9422572433628118</v>
      </c>
      <c r="S26" s="124"/>
      <c r="T26" s="178"/>
      <c r="U26" s="64"/>
    </row>
    <row r="27" spans="2:21" x14ac:dyDescent="0.2">
      <c r="B27" s="64">
        <f>MAX(B$12:B26)+1</f>
        <v>12</v>
      </c>
      <c r="C27" s="33"/>
      <c r="D27" s="26" t="s">
        <v>87</v>
      </c>
      <c r="E27" s="64"/>
      <c r="F27" s="16"/>
      <c r="G27" s="64"/>
      <c r="H27" s="146">
        <f>SUM(H23:H26)</f>
        <v>5001026.7405322641</v>
      </c>
      <c r="I27" s="341"/>
      <c r="J27" s="146">
        <f>SUM(J23:J26)</f>
        <v>194299.99500661244</v>
      </c>
      <c r="K27" s="139">
        <f>J27/$H27*100</f>
        <v>3.8852020812416797</v>
      </c>
      <c r="L27" s="239"/>
      <c r="M27" s="146">
        <f>SUM(M23:M26)</f>
        <v>96887.323361193165</v>
      </c>
      <c r="N27" s="238"/>
      <c r="O27" s="146">
        <f>SUM(O23:O26)</f>
        <v>97412.671645419279</v>
      </c>
      <c r="P27" s="146">
        <f>SUM(P23:P26)</f>
        <v>0</v>
      </c>
      <c r="Q27" s="146">
        <f>SUM(Q23:Q26)</f>
        <v>97412.671645419279</v>
      </c>
      <c r="R27" s="139">
        <f>Q27/$H27*100</f>
        <v>1.9478534448918294</v>
      </c>
      <c r="S27" s="342">
        <f>Q27/O27</f>
        <v>1</v>
      </c>
      <c r="T27" s="177">
        <f>R27/K27-1</f>
        <v>-0.49864810010878224</v>
      </c>
    </row>
    <row r="28" spans="2:21" x14ac:dyDescent="0.2">
      <c r="H28" s="148"/>
      <c r="I28" s="148"/>
      <c r="J28" s="148"/>
      <c r="K28" s="148"/>
      <c r="L28" s="148"/>
      <c r="M28" s="148"/>
      <c r="N28" s="148"/>
      <c r="O28" s="148"/>
      <c r="P28" s="148"/>
      <c r="Q28" s="148"/>
      <c r="R28" s="148"/>
      <c r="S28" s="148"/>
      <c r="T28" s="180"/>
    </row>
    <row r="29" spans="2:21" x14ac:dyDescent="0.2">
      <c r="B29" s="64">
        <f>MAX(B$12:B28)+1</f>
        <v>13</v>
      </c>
      <c r="C29" s="33"/>
      <c r="D29" s="26" t="s">
        <v>88</v>
      </c>
      <c r="E29" s="64"/>
      <c r="F29" s="16" t="s">
        <v>56</v>
      </c>
      <c r="G29" s="64"/>
      <c r="H29" s="122">
        <f>H23</f>
        <v>4915774.1892947741</v>
      </c>
      <c r="I29" s="341"/>
      <c r="J29" s="122">
        <f>$H29*K29/100</f>
        <v>903396.25512575987</v>
      </c>
      <c r="K29" s="147">
        <v>18.377497019556195</v>
      </c>
      <c r="L29" s="239"/>
      <c r="M29" s="122">
        <f>J29-O29</f>
        <v>-124167.79397629201</v>
      </c>
      <c r="N29" s="238"/>
      <c r="O29" s="122">
        <f>Q29</f>
        <v>1027564.0491020519</v>
      </c>
      <c r="P29" s="122">
        <f>Q29-O29</f>
        <v>0</v>
      </c>
      <c r="Q29" s="122">
        <f>$H29*R29/100</f>
        <v>1027564.0491020519</v>
      </c>
      <c r="R29" s="147">
        <v>20.903402181080821</v>
      </c>
      <c r="S29" s="124">
        <f>Q29/O29</f>
        <v>1</v>
      </c>
      <c r="T29" s="178">
        <f>R29/K29-1</f>
        <v>0.13744554869668679</v>
      </c>
    </row>
    <row r="30" spans="2:21" x14ac:dyDescent="0.2">
      <c r="B30" s="64"/>
      <c r="C30" s="33"/>
      <c r="D30" s="26"/>
      <c r="E30" s="64"/>
      <c r="F30" s="16"/>
      <c r="G30" s="64"/>
      <c r="H30" s="122"/>
      <c r="I30" s="341"/>
      <c r="J30" s="122"/>
      <c r="K30" s="147"/>
      <c r="L30" s="239"/>
      <c r="M30" s="122"/>
      <c r="N30" s="238"/>
      <c r="O30" s="122"/>
      <c r="P30" s="122"/>
      <c r="Q30" s="122"/>
      <c r="R30" s="147"/>
      <c r="S30" s="124"/>
      <c r="T30" s="178"/>
    </row>
    <row r="31" spans="2:21" ht="13.5" thickBot="1" x14ac:dyDescent="0.25">
      <c r="B31" s="64">
        <f>MAX(B$12:B30)+1</f>
        <v>14</v>
      </c>
      <c r="C31" s="33"/>
      <c r="D31" s="26" t="s">
        <v>54</v>
      </c>
      <c r="E31" s="64"/>
      <c r="F31" s="16"/>
      <c r="G31" s="64"/>
      <c r="H31" s="159">
        <f>H18</f>
        <v>5001026.7405322641</v>
      </c>
      <c r="I31" s="341"/>
      <c r="J31" s="159">
        <f>J20+J27+J29</f>
        <v>2205307.6186063513</v>
      </c>
      <c r="K31" s="140">
        <f>J31/$H31*100</f>
        <v>44.097097116734041</v>
      </c>
      <c r="L31" s="239"/>
      <c r="M31" s="159">
        <f>M20+M27+M29</f>
        <v>-100700.44833711071</v>
      </c>
      <c r="N31" s="238"/>
      <c r="O31" s="159">
        <f>O20+O27+O29</f>
        <v>2306008.066943462</v>
      </c>
      <c r="P31" s="159">
        <f>P20+P27+P29</f>
        <v>-5377.8353829054395</v>
      </c>
      <c r="Q31" s="159">
        <f>Q20+Q27+Q29</f>
        <v>2300630.2315605562</v>
      </c>
      <c r="R31" s="140">
        <f>Q31/$H31*100</f>
        <v>46.003157969831172</v>
      </c>
      <c r="S31" s="345">
        <f>Q31/O31</f>
        <v>0.99766790261491411</v>
      </c>
      <c r="T31" s="179">
        <f>R31/K31-1</f>
        <v>4.3224179769733917E-2</v>
      </c>
    </row>
    <row r="32" spans="2:21" ht="13.5" thickTop="1" x14ac:dyDescent="0.2">
      <c r="B32" s="60"/>
      <c r="C32" s="30"/>
      <c r="D32" s="29"/>
      <c r="E32" s="60"/>
      <c r="F32" s="192"/>
      <c r="G32" s="60"/>
      <c r="H32" s="346"/>
      <c r="I32" s="153"/>
      <c r="J32" s="346"/>
      <c r="K32" s="347"/>
      <c r="L32" s="346"/>
      <c r="M32" s="346"/>
      <c r="N32" s="348"/>
      <c r="O32" s="346"/>
      <c r="P32" s="346"/>
      <c r="Q32" s="346"/>
      <c r="R32" s="347"/>
      <c r="S32" s="172"/>
      <c r="T32" s="349"/>
    </row>
    <row r="33" spans="2:21" x14ac:dyDescent="0.2">
      <c r="B33" s="64"/>
      <c r="C33" s="33"/>
      <c r="D33" s="31" t="s">
        <v>6</v>
      </c>
      <c r="E33" s="64"/>
      <c r="F33" s="186"/>
      <c r="G33" s="64"/>
      <c r="H33" s="350"/>
      <c r="I33" s="341"/>
      <c r="J33" s="350"/>
      <c r="K33" s="341"/>
      <c r="L33" s="341"/>
      <c r="M33" s="144"/>
      <c r="N33" s="341"/>
      <c r="O33" s="145"/>
      <c r="P33" s="341"/>
      <c r="Q33" s="341"/>
      <c r="R33" s="341"/>
      <c r="S33" s="341"/>
      <c r="T33" s="351"/>
      <c r="U33" s="64"/>
    </row>
    <row r="34" spans="2:21" x14ac:dyDescent="0.2">
      <c r="B34" s="64">
        <f>MAX(B$12:B33)+1</f>
        <v>15</v>
      </c>
      <c r="C34" s="33"/>
      <c r="D34" s="26" t="s">
        <v>85</v>
      </c>
      <c r="E34" s="64"/>
      <c r="F34" s="16" t="s">
        <v>55</v>
      </c>
      <c r="G34" s="64"/>
      <c r="H34" s="122">
        <v>2074114</v>
      </c>
      <c r="I34" s="341"/>
      <c r="J34" s="122">
        <f>$H34*K34/1000</f>
        <v>158826.84439635469</v>
      </c>
      <c r="K34" s="331">
        <v>76.575754464968981</v>
      </c>
      <c r="L34" s="239"/>
      <c r="M34" s="122">
        <f>J34-O34</f>
        <v>49656.920464956929</v>
      </c>
      <c r="N34" s="238"/>
      <c r="O34" s="122">
        <v>109169.92393139776</v>
      </c>
      <c r="P34" s="122">
        <f>Q34-O34</f>
        <v>56759.196068602236</v>
      </c>
      <c r="Q34" s="122">
        <f>$H34*R34/1000</f>
        <v>165929.12</v>
      </c>
      <c r="R34" s="331">
        <v>80</v>
      </c>
      <c r="S34" s="124">
        <f>Q34/O34</f>
        <v>1.5199160540248213</v>
      </c>
      <c r="T34" s="178">
        <f t="shared" ref="T34" si="6">R34/K34-1</f>
        <v>4.4717098237634811E-2</v>
      </c>
      <c r="U34" s="64"/>
    </row>
    <row r="35" spans="2:21" x14ac:dyDescent="0.2">
      <c r="B35" s="64"/>
      <c r="C35" s="33"/>
      <c r="D35" s="26" t="s">
        <v>86</v>
      </c>
      <c r="E35" s="64"/>
      <c r="F35" s="16"/>
      <c r="G35" s="64"/>
      <c r="H35" s="122"/>
      <c r="I35" s="341"/>
      <c r="J35" s="122"/>
      <c r="K35" s="147"/>
      <c r="L35" s="239"/>
      <c r="M35" s="122"/>
      <c r="N35" s="238"/>
      <c r="O35" s="122"/>
      <c r="P35" s="122"/>
      <c r="Q35" s="122"/>
      <c r="R35" s="147"/>
      <c r="S35" s="124"/>
      <c r="T35" s="178"/>
      <c r="U35" s="64"/>
    </row>
    <row r="36" spans="2:21" x14ac:dyDescent="0.2">
      <c r="B36" s="64">
        <f>MAX(B$12:B35)+1</f>
        <v>16</v>
      </c>
      <c r="C36" s="33"/>
      <c r="D36" s="27" t="s">
        <v>974</v>
      </c>
      <c r="E36" s="64"/>
      <c r="F36" s="16" t="s">
        <v>56</v>
      </c>
      <c r="G36" s="64"/>
      <c r="H36" s="122">
        <v>580941.09847216692</v>
      </c>
      <c r="I36" s="341"/>
      <c r="J36" s="122">
        <f t="shared" ref="J36:J41" si="7">$H36*K36/100</f>
        <v>65239.00198076314</v>
      </c>
      <c r="K36" s="147">
        <v>11.229882367134465</v>
      </c>
      <c r="L36" s="239"/>
      <c r="M36" s="122">
        <f t="shared" ref="M36:M41" si="8">J36-O36</f>
        <v>-16735.913714655231</v>
      </c>
      <c r="N36" s="238"/>
      <c r="O36" s="122">
        <v>81974.915695418371</v>
      </c>
      <c r="P36" s="122">
        <f t="shared" ref="P36:P41" si="9">Q36-O36</f>
        <v>-13477.640722333905</v>
      </c>
      <c r="Q36" s="122">
        <f t="shared" ref="Q36:Q41" si="10">$H36*R36/100</f>
        <v>68497.274973084466</v>
      </c>
      <c r="R36" s="147">
        <v>11.790743528599947</v>
      </c>
      <c r="S36" s="124"/>
      <c r="T36" s="178"/>
      <c r="U36" s="64"/>
    </row>
    <row r="37" spans="2:21" x14ac:dyDescent="0.2">
      <c r="B37" s="64">
        <f>MAX(B$12:B36)+1</f>
        <v>17</v>
      </c>
      <c r="C37" s="33"/>
      <c r="D37" s="27" t="s">
        <v>971</v>
      </c>
      <c r="E37" s="64"/>
      <c r="F37" s="16" t="s">
        <v>56</v>
      </c>
      <c r="G37" s="64"/>
      <c r="H37" s="122">
        <v>654353.08186775737</v>
      </c>
      <c r="I37" s="341"/>
      <c r="J37" s="122">
        <f t="shared" si="7"/>
        <v>57999.841304310539</v>
      </c>
      <c r="K37" s="147">
        <v>8.8636919289442755</v>
      </c>
      <c r="L37" s="239"/>
      <c r="M37" s="122">
        <f t="shared" si="8"/>
        <v>-11288.360791176514</v>
      </c>
      <c r="N37" s="238"/>
      <c r="O37" s="122">
        <v>69288.202095487053</v>
      </c>
      <c r="P37" s="122">
        <f t="shared" si="9"/>
        <v>-11199.041472549718</v>
      </c>
      <c r="Q37" s="122">
        <f t="shared" si="10"/>
        <v>58089.160622937336</v>
      </c>
      <c r="R37" s="147">
        <v>8.8773419477341076</v>
      </c>
      <c r="S37" s="124"/>
      <c r="T37" s="178"/>
      <c r="U37" s="64"/>
    </row>
    <row r="38" spans="2:21" x14ac:dyDescent="0.2">
      <c r="B38" s="64">
        <f>MAX(B$12:B37)+1</f>
        <v>18</v>
      </c>
      <c r="D38" s="27" t="s">
        <v>970</v>
      </c>
      <c r="F38" s="16" t="s">
        <v>56</v>
      </c>
      <c r="H38" s="122">
        <v>1155776.7363080741</v>
      </c>
      <c r="I38" s="148"/>
      <c r="J38" s="122">
        <f t="shared" si="7"/>
        <v>83293.289978798493</v>
      </c>
      <c r="K38" s="147">
        <v>7.206693763785581</v>
      </c>
      <c r="L38" s="148"/>
      <c r="M38" s="122">
        <f t="shared" si="8"/>
        <v>-10584.574882464454</v>
      </c>
      <c r="N38" s="148"/>
      <c r="O38" s="122">
        <v>93877.864861262948</v>
      </c>
      <c r="P38" s="122">
        <f t="shared" si="9"/>
        <v>-14855.738569298774</v>
      </c>
      <c r="Q38" s="122">
        <f t="shared" si="10"/>
        <v>79022.126291964174</v>
      </c>
      <c r="R38" s="147">
        <v>6.8371445634376142</v>
      </c>
      <c r="S38" s="148"/>
      <c r="T38" s="180"/>
      <c r="U38" s="64"/>
    </row>
    <row r="39" spans="2:21" x14ac:dyDescent="0.2">
      <c r="B39" s="64">
        <f>MAX(B$12:B38)+1</f>
        <v>19</v>
      </c>
      <c r="D39" s="27" t="s">
        <v>972</v>
      </c>
      <c r="F39" s="16" t="s">
        <v>56</v>
      </c>
      <c r="H39" s="122">
        <v>751113.55012704164</v>
      </c>
      <c r="I39" s="148"/>
      <c r="J39" s="122">
        <f t="shared" si="7"/>
        <v>46134.250712778194</v>
      </c>
      <c r="K39" s="147">
        <v>6.1421140258986346</v>
      </c>
      <c r="L39" s="148"/>
      <c r="M39" s="122">
        <f t="shared" si="8"/>
        <v>-2973.124630775339</v>
      </c>
      <c r="N39" s="148"/>
      <c r="O39" s="122">
        <v>49107.375343553533</v>
      </c>
      <c r="P39" s="122">
        <f t="shared" si="9"/>
        <v>-7598.0765772130762</v>
      </c>
      <c r="Q39" s="122">
        <f t="shared" si="10"/>
        <v>41509.298766340456</v>
      </c>
      <c r="R39" s="147">
        <v>5.5263679851494718</v>
      </c>
      <c r="S39" s="148"/>
      <c r="T39" s="180"/>
      <c r="U39" s="64"/>
    </row>
    <row r="40" spans="2:21" x14ac:dyDescent="0.2">
      <c r="B40" s="64">
        <f>MAX(B$12:B39)+1</f>
        <v>20</v>
      </c>
      <c r="C40" s="33"/>
      <c r="D40" s="27" t="s">
        <v>973</v>
      </c>
      <c r="E40" s="64"/>
      <c r="F40" s="16" t="s">
        <v>56</v>
      </c>
      <c r="G40" s="64"/>
      <c r="H40" s="122">
        <v>713799.78020561649</v>
      </c>
      <c r="I40" s="341"/>
      <c r="J40" s="122">
        <f t="shared" si="7"/>
        <v>40465.69357612219</v>
      </c>
      <c r="K40" s="147">
        <v>5.6690538016789072</v>
      </c>
      <c r="L40" s="239"/>
      <c r="M40" s="122">
        <f t="shared" si="8"/>
        <v>-1176.1594430992845</v>
      </c>
      <c r="N40" s="238"/>
      <c r="O40" s="122">
        <v>41641.853019221475</v>
      </c>
      <c r="P40" s="122">
        <f t="shared" si="9"/>
        <v>-6352.2516683497233</v>
      </c>
      <c r="Q40" s="122">
        <f t="shared" si="10"/>
        <v>35289.601350871751</v>
      </c>
      <c r="R40" s="147">
        <v>4.9439075675683544</v>
      </c>
      <c r="S40" s="124"/>
      <c r="T40" s="178"/>
      <c r="U40" s="64"/>
    </row>
    <row r="41" spans="2:21" x14ac:dyDescent="0.2">
      <c r="B41" s="64">
        <f>MAX(B$12:B40)+1</f>
        <v>21</v>
      </c>
      <c r="C41" s="33"/>
      <c r="D41" s="27" t="s">
        <v>78</v>
      </c>
      <c r="E41" s="64"/>
      <c r="F41" s="16" t="s">
        <v>56</v>
      </c>
      <c r="G41" s="64"/>
      <c r="H41" s="122">
        <v>939709.10720279766</v>
      </c>
      <c r="I41" s="341"/>
      <c r="J41" s="122">
        <f t="shared" si="7"/>
        <v>52156.287380778122</v>
      </c>
      <c r="K41" s="147">
        <v>5.550258796153428</v>
      </c>
      <c r="L41" s="239"/>
      <c r="M41" s="122">
        <f t="shared" si="8"/>
        <v>-1003.1514254922367</v>
      </c>
      <c r="N41" s="238"/>
      <c r="O41" s="122">
        <v>53159.438806270358</v>
      </c>
      <c r="P41" s="122">
        <f t="shared" si="9"/>
        <v>-8075.5876199022096</v>
      </c>
      <c r="Q41" s="122">
        <f t="shared" si="10"/>
        <v>45083.851186368149</v>
      </c>
      <c r="R41" s="147">
        <v>4.797639060939594</v>
      </c>
      <c r="S41" s="124"/>
      <c r="T41" s="178"/>
      <c r="U41" s="64"/>
    </row>
    <row r="42" spans="2:21" x14ac:dyDescent="0.2">
      <c r="B42" s="64">
        <f>MAX(B$12:B41)+1</f>
        <v>22</v>
      </c>
      <c r="C42" s="33"/>
      <c r="D42" s="26" t="s">
        <v>86</v>
      </c>
      <c r="E42" s="64"/>
      <c r="F42" s="16"/>
      <c r="G42" s="64"/>
      <c r="H42" s="146">
        <f>SUM(H36:H41)</f>
        <v>4795693.3541834541</v>
      </c>
      <c r="I42" s="341"/>
      <c r="J42" s="146">
        <f>SUM(J36:J41)</f>
        <v>345288.36493355065</v>
      </c>
      <c r="K42" s="139">
        <f>J42/$H42*100</f>
        <v>7.1999675423855729</v>
      </c>
      <c r="L42" s="239"/>
      <c r="M42" s="146">
        <f>SUM(M36:M41)</f>
        <v>-43761.28488766306</v>
      </c>
      <c r="N42" s="238"/>
      <c r="O42" s="146">
        <f>SUM(O36:O41)</f>
        <v>389049.64982121374</v>
      </c>
      <c r="P42" s="146">
        <f>SUM(P36:P41)</f>
        <v>-61558.336629647405</v>
      </c>
      <c r="Q42" s="146">
        <f>SUM(Q36:Q41)</f>
        <v>327491.31319156633</v>
      </c>
      <c r="R42" s="139">
        <f>Q42/$H42*100</f>
        <v>6.8288626691672016</v>
      </c>
      <c r="S42" s="342">
        <f>Q42/O42</f>
        <v>0.84177254327838025</v>
      </c>
      <c r="T42" s="177">
        <f>R42/K42-1</f>
        <v>-5.1542575856586836E-2</v>
      </c>
      <c r="U42" s="64"/>
    </row>
    <row r="43" spans="2:21" x14ac:dyDescent="0.2">
      <c r="B43" s="64"/>
      <c r="C43" s="33"/>
      <c r="D43" s="26"/>
      <c r="E43" s="64"/>
      <c r="F43" s="16"/>
      <c r="G43" s="64"/>
      <c r="H43" s="122"/>
      <c r="I43" s="341"/>
      <c r="J43" s="122"/>
      <c r="K43" s="147"/>
      <c r="L43" s="239"/>
      <c r="M43" s="122"/>
      <c r="N43" s="238"/>
      <c r="O43" s="122"/>
      <c r="P43" s="122"/>
      <c r="Q43" s="122"/>
      <c r="R43" s="147"/>
      <c r="S43" s="124"/>
      <c r="T43" s="178"/>
      <c r="U43" s="64"/>
    </row>
    <row r="44" spans="2:21" x14ac:dyDescent="0.2">
      <c r="B44" s="64">
        <f>MAX(B$12:B43)+1</f>
        <v>23</v>
      </c>
      <c r="C44" s="33"/>
      <c r="D44" s="26" t="s">
        <v>68</v>
      </c>
      <c r="E44" s="64"/>
      <c r="F44" s="16"/>
      <c r="G44" s="64"/>
      <c r="H44" s="146">
        <f>H42</f>
        <v>4795693.3541834541</v>
      </c>
      <c r="I44" s="341"/>
      <c r="J44" s="146">
        <f>J34+J42</f>
        <v>504115.20932990534</v>
      </c>
      <c r="K44" s="139">
        <f>J44/$H44*100</f>
        <v>10.511831597617634</v>
      </c>
      <c r="L44" s="239"/>
      <c r="M44" s="146">
        <f>M34+M42</f>
        <v>5895.6355772938696</v>
      </c>
      <c r="N44" s="238"/>
      <c r="O44" s="146">
        <f>O34+O42</f>
        <v>498219.57375261153</v>
      </c>
      <c r="P44" s="146">
        <f>P34+P42</f>
        <v>-4799.1405610451693</v>
      </c>
      <c r="Q44" s="146">
        <f>Q34+Q42</f>
        <v>493420.43319156632</v>
      </c>
      <c r="R44" s="139">
        <f>Q44/$H44*100</f>
        <v>10.288823674706768</v>
      </c>
      <c r="S44" s="342">
        <f>Q44/O44</f>
        <v>0.99036741867667333</v>
      </c>
      <c r="T44" s="177">
        <f>R44/K44-1</f>
        <v>-2.1214944402401681E-2</v>
      </c>
      <c r="U44" s="64"/>
    </row>
    <row r="45" spans="2:21" x14ac:dyDescent="0.2">
      <c r="E45" s="64"/>
      <c r="F45" s="16"/>
      <c r="G45" s="64"/>
      <c r="H45" s="122"/>
      <c r="I45" s="341"/>
      <c r="J45" s="122"/>
      <c r="K45" s="147"/>
      <c r="L45" s="239"/>
      <c r="M45" s="122"/>
      <c r="N45" s="238"/>
      <c r="O45" s="122"/>
      <c r="P45" s="122"/>
      <c r="Q45" s="122"/>
      <c r="R45" s="147"/>
      <c r="S45" s="124"/>
      <c r="T45" s="178"/>
      <c r="U45" s="64"/>
    </row>
    <row r="46" spans="2:21" x14ac:dyDescent="0.2">
      <c r="B46" s="64"/>
      <c r="C46" s="33"/>
      <c r="D46" s="26" t="s">
        <v>87</v>
      </c>
      <c r="E46" s="64"/>
      <c r="F46" s="192"/>
      <c r="G46" s="64"/>
      <c r="H46" s="122"/>
      <c r="I46" s="341"/>
      <c r="J46" s="122"/>
      <c r="K46" s="147"/>
      <c r="L46" s="239"/>
      <c r="M46" s="122"/>
      <c r="N46" s="238"/>
      <c r="O46" s="122"/>
      <c r="P46" s="122"/>
      <c r="Q46" s="122"/>
      <c r="R46" s="240"/>
      <c r="S46" s="124"/>
      <c r="T46" s="352"/>
      <c r="U46" s="64"/>
    </row>
    <row r="47" spans="2:21" x14ac:dyDescent="0.2">
      <c r="B47" s="64">
        <f>MAX(B$12:B46)+1</f>
        <v>24</v>
      </c>
      <c r="C47" s="33"/>
      <c r="D47" s="27" t="s">
        <v>64</v>
      </c>
      <c r="E47" s="64"/>
      <c r="F47" s="192" t="s">
        <v>56</v>
      </c>
      <c r="G47" s="64"/>
      <c r="H47" s="122">
        <v>2970863.8430425012</v>
      </c>
      <c r="I47" s="341"/>
      <c r="J47" s="122">
        <f>$H47*K47/100</f>
        <v>116658.22913080142</v>
      </c>
      <c r="K47" s="147">
        <v>3.9267443846006143</v>
      </c>
      <c r="L47" s="239"/>
      <c r="M47" s="122">
        <f t="shared" ref="M47:M50" si="11">J47-O47</f>
        <v>61891.511808307114</v>
      </c>
      <c r="N47" s="238"/>
      <c r="O47" s="122">
        <f>Q47</f>
        <v>54766.717322494311</v>
      </c>
      <c r="P47" s="122">
        <f t="shared" ref="P47:P50" si="12">Q47-O47</f>
        <v>0</v>
      </c>
      <c r="Q47" s="122">
        <f>$H47*R47/100</f>
        <v>54766.717322494311</v>
      </c>
      <c r="R47" s="147">
        <v>1.8434610340946149</v>
      </c>
      <c r="S47" s="344"/>
      <c r="T47" s="133"/>
      <c r="U47" s="64"/>
    </row>
    <row r="48" spans="2:21" x14ac:dyDescent="0.2">
      <c r="B48" s="64">
        <f>MAX(B$12:B47)+1</f>
        <v>25</v>
      </c>
      <c r="C48" s="33"/>
      <c r="D48" s="27" t="s">
        <v>65</v>
      </c>
      <c r="E48" s="64"/>
      <c r="F48" s="192" t="s">
        <v>56</v>
      </c>
      <c r="G48" s="64"/>
      <c r="H48" s="122">
        <v>1595783.9460776143</v>
      </c>
      <c r="I48" s="341"/>
      <c r="J48" s="122">
        <f>$H48*K48/100</f>
        <v>15474.642567799674</v>
      </c>
      <c r="K48" s="147">
        <v>0.96972040643947122</v>
      </c>
      <c r="L48" s="239"/>
      <c r="M48" s="122">
        <f t="shared" si="11"/>
        <v>-13943.012666478568</v>
      </c>
      <c r="N48" s="239"/>
      <c r="O48" s="122">
        <f t="shared" ref="O48:O49" si="13">Q48</f>
        <v>29417.655234278242</v>
      </c>
      <c r="P48" s="122">
        <f t="shared" si="12"/>
        <v>0</v>
      </c>
      <c r="Q48" s="122">
        <f>$H48*R48/100</f>
        <v>29417.655234278242</v>
      </c>
      <c r="R48" s="147">
        <v>1.8434610340946149</v>
      </c>
      <c r="S48" s="344"/>
      <c r="T48" s="133"/>
      <c r="U48" s="64"/>
    </row>
    <row r="49" spans="2:21" x14ac:dyDescent="0.2">
      <c r="B49" s="64">
        <f>MAX(B$12:B48)+1</f>
        <v>26</v>
      </c>
      <c r="C49" s="33"/>
      <c r="D49" s="27" t="s">
        <v>66</v>
      </c>
      <c r="E49" s="64"/>
      <c r="F49" s="192" t="s">
        <v>56</v>
      </c>
      <c r="G49" s="64"/>
      <c r="H49" s="122">
        <v>177307.5096291923</v>
      </c>
      <c r="I49" s="341"/>
      <c r="J49" s="122">
        <f>$H49*K49/100</f>
        <v>6962.4126778395021</v>
      </c>
      <c r="K49" s="147">
        <v>3.9267443846006143</v>
      </c>
      <c r="L49" s="239"/>
      <c r="M49" s="122">
        <f t="shared" si="11"/>
        <v>392.41067705239311</v>
      </c>
      <c r="N49" s="239"/>
      <c r="O49" s="122">
        <f t="shared" si="13"/>
        <v>6570.002000787109</v>
      </c>
      <c r="P49" s="122">
        <f t="shared" si="12"/>
        <v>0</v>
      </c>
      <c r="Q49" s="122">
        <f>$H49*R49/100</f>
        <v>6570.002000787109</v>
      </c>
      <c r="R49" s="147">
        <v>3.7054279395876244</v>
      </c>
      <c r="S49" s="344"/>
      <c r="T49" s="133"/>
      <c r="U49" s="64"/>
    </row>
    <row r="50" spans="2:21" x14ac:dyDescent="0.2">
      <c r="B50" s="64">
        <f>MAX(B$12:B49)+1</f>
        <v>27</v>
      </c>
      <c r="C50" s="33"/>
      <c r="D50" s="27" t="s">
        <v>67</v>
      </c>
      <c r="E50" s="64"/>
      <c r="F50" s="192" t="s">
        <v>56</v>
      </c>
      <c r="G50" s="64"/>
      <c r="H50" s="122">
        <f>H42-SUM(H47:H49)</f>
        <v>51738.055434146896</v>
      </c>
      <c r="I50" s="341"/>
      <c r="J50" s="122">
        <f>$H50*K50/100</f>
        <v>0</v>
      </c>
      <c r="K50" s="147">
        <v>0</v>
      </c>
      <c r="L50" s="239"/>
      <c r="M50" s="122">
        <f t="shared" si="11"/>
        <v>-953.77089172676949</v>
      </c>
      <c r="N50" s="239"/>
      <c r="O50" s="122">
        <f>Q50</f>
        <v>953.77089172676949</v>
      </c>
      <c r="P50" s="122">
        <f t="shared" si="12"/>
        <v>0</v>
      </c>
      <c r="Q50" s="122">
        <f>$H50*R50/100</f>
        <v>953.77089172676949</v>
      </c>
      <c r="R50" s="147">
        <v>1.8434610340946149</v>
      </c>
      <c r="S50" s="124"/>
      <c r="T50" s="133"/>
      <c r="U50" s="64"/>
    </row>
    <row r="51" spans="2:21" x14ac:dyDescent="0.2">
      <c r="B51" s="64">
        <f>MAX(B$12:B50)+1</f>
        <v>28</v>
      </c>
      <c r="C51" s="33"/>
      <c r="D51" s="26" t="s">
        <v>87</v>
      </c>
      <c r="E51" s="64"/>
      <c r="F51" s="16"/>
      <c r="G51" s="64"/>
      <c r="H51" s="146">
        <f>SUM(H47:H50)</f>
        <v>4795693.3541834541</v>
      </c>
      <c r="I51" s="341"/>
      <c r="J51" s="146">
        <f>SUM(J47:J50)</f>
        <v>139095.28437644063</v>
      </c>
      <c r="K51" s="139">
        <f>J51/$H51*100</f>
        <v>2.9004207338466053</v>
      </c>
      <c r="L51" s="239"/>
      <c r="M51" s="146">
        <f>SUM(M47:M50)</f>
        <v>47387.138927154178</v>
      </c>
      <c r="N51" s="238"/>
      <c r="O51" s="146">
        <f>SUM(O47:O50)</f>
        <v>91708.145449286429</v>
      </c>
      <c r="P51" s="146">
        <f>SUM(P47:P50)</f>
        <v>0</v>
      </c>
      <c r="Q51" s="146">
        <f>SUM(Q47:Q50)</f>
        <v>91708.145449286429</v>
      </c>
      <c r="R51" s="139">
        <f>Q51/$H51*100</f>
        <v>1.9123021151735264</v>
      </c>
      <c r="S51" s="342">
        <f>Q51/O51</f>
        <v>1</v>
      </c>
      <c r="T51" s="177">
        <f>R51/K51-1</f>
        <v>-0.34068113192757832</v>
      </c>
      <c r="U51" s="64"/>
    </row>
    <row r="52" spans="2:21" x14ac:dyDescent="0.2">
      <c r="H52" s="148"/>
      <c r="I52" s="148"/>
      <c r="J52" s="148"/>
      <c r="K52" s="148"/>
      <c r="L52" s="148"/>
      <c r="M52" s="148"/>
      <c r="N52" s="148"/>
      <c r="O52" s="148"/>
      <c r="P52" s="148"/>
      <c r="Q52" s="148"/>
      <c r="R52" s="148"/>
      <c r="S52" s="148"/>
      <c r="T52" s="180"/>
      <c r="U52" s="64"/>
    </row>
    <row r="53" spans="2:21" x14ac:dyDescent="0.2">
      <c r="B53" s="64">
        <f>MAX(B$12:B52)+1</f>
        <v>29</v>
      </c>
      <c r="C53" s="33"/>
      <c r="D53" s="26" t="s">
        <v>88</v>
      </c>
      <c r="E53" s="64"/>
      <c r="F53" s="16" t="s">
        <v>56</v>
      </c>
      <c r="G53" s="64"/>
      <c r="H53" s="122">
        <f>H47</f>
        <v>2970863.8430425012</v>
      </c>
      <c r="I53" s="341"/>
      <c r="J53" s="122">
        <f>$H53*K53/100</f>
        <v>546662.68254364328</v>
      </c>
      <c r="K53" s="147">
        <v>18.400798940142568</v>
      </c>
      <c r="L53" s="239"/>
      <c r="M53" s="122">
        <f>J53-O53</f>
        <v>-74348.934819844435</v>
      </c>
      <c r="N53" s="238"/>
      <c r="O53" s="122">
        <f>Q53</f>
        <v>621011.61736348772</v>
      </c>
      <c r="P53" s="122">
        <f>Q53-O53</f>
        <v>0</v>
      </c>
      <c r="Q53" s="122">
        <f>$H53*R53/100</f>
        <v>621011.61736348772</v>
      </c>
      <c r="R53" s="147">
        <v>20.903402181080821</v>
      </c>
      <c r="S53" s="124">
        <f>Q53/O53</f>
        <v>1</v>
      </c>
      <c r="T53" s="178">
        <f>R53/K53-1</f>
        <v>0.13600514027022248</v>
      </c>
      <c r="U53" s="64"/>
    </row>
    <row r="54" spans="2:21" x14ac:dyDescent="0.2">
      <c r="B54" s="64"/>
      <c r="C54" s="33"/>
      <c r="D54" s="26"/>
      <c r="E54" s="64"/>
      <c r="F54" s="16"/>
      <c r="G54" s="64"/>
      <c r="H54" s="122"/>
      <c r="I54" s="341"/>
      <c r="J54" s="122"/>
      <c r="K54" s="147"/>
      <c r="L54" s="239"/>
      <c r="M54" s="122"/>
      <c r="N54" s="238"/>
      <c r="O54" s="122"/>
      <c r="P54" s="122"/>
      <c r="Q54" s="122"/>
      <c r="R54" s="147"/>
      <c r="S54" s="124"/>
      <c r="T54" s="178"/>
      <c r="U54" s="64"/>
    </row>
    <row r="55" spans="2:21" ht="13.5" thickBot="1" x14ac:dyDescent="0.25">
      <c r="B55" s="64">
        <f>MAX(B$12:B54)+1</f>
        <v>30</v>
      </c>
      <c r="C55" s="33"/>
      <c r="D55" s="26" t="s">
        <v>72</v>
      </c>
      <c r="E55" s="64"/>
      <c r="F55" s="16"/>
      <c r="G55" s="64"/>
      <c r="H55" s="159">
        <f>H42</f>
        <v>4795693.3541834541</v>
      </c>
      <c r="I55" s="341"/>
      <c r="J55" s="159">
        <f>J44+J51+J53</f>
        <v>1189873.1762499893</v>
      </c>
      <c r="K55" s="140">
        <f>J55/$H55*100</f>
        <v>24.811285634266429</v>
      </c>
      <c r="L55" s="239"/>
      <c r="M55" s="159">
        <f>M44+M51+M53</f>
        <v>-21066.160315396388</v>
      </c>
      <c r="N55" s="238"/>
      <c r="O55" s="159">
        <f>O44+O51+O53</f>
        <v>1210939.3365653856</v>
      </c>
      <c r="P55" s="159">
        <f>P44+P51+P53</f>
        <v>-4799.1405610451693</v>
      </c>
      <c r="Q55" s="159">
        <f>Q44+Q51+Q53</f>
        <v>1206140.1960043404</v>
      </c>
      <c r="R55" s="140">
        <f>Q55/$H55*100</f>
        <v>25.150486215975036</v>
      </c>
      <c r="S55" s="345">
        <f>Q55/O55</f>
        <v>0.99603684477320142</v>
      </c>
      <c r="T55" s="179">
        <f>R55/K55-1</f>
        <v>1.3671221504142572E-2</v>
      </c>
      <c r="U55" s="64"/>
    </row>
    <row r="56" spans="2:21" ht="13.5" thickTop="1" x14ac:dyDescent="0.2">
      <c r="B56" s="60"/>
      <c r="C56" s="30"/>
      <c r="D56" s="32"/>
      <c r="E56" s="29"/>
      <c r="F56" s="192"/>
      <c r="G56" s="29"/>
      <c r="H56" s="192"/>
      <c r="I56" s="29"/>
      <c r="J56" s="192"/>
      <c r="K56" s="191"/>
      <c r="L56" s="192"/>
      <c r="M56" s="192"/>
      <c r="N56" s="192"/>
      <c r="O56" s="192"/>
      <c r="P56" s="192"/>
      <c r="Q56" s="192"/>
      <c r="R56" s="191"/>
      <c r="S56" s="353"/>
      <c r="T56" s="191"/>
      <c r="U56" s="64"/>
    </row>
    <row r="57" spans="2:21" x14ac:dyDescent="0.2">
      <c r="B57" s="339" t="s">
        <v>506</v>
      </c>
      <c r="C57" s="166"/>
      <c r="D57" s="166"/>
      <c r="E57" s="166"/>
      <c r="F57" s="166"/>
      <c r="G57" s="166"/>
      <c r="H57" s="166"/>
      <c r="I57" s="166"/>
      <c r="J57" s="166"/>
      <c r="K57" s="166"/>
      <c r="L57" s="166"/>
      <c r="M57" s="166"/>
      <c r="N57" s="166"/>
      <c r="O57" s="166"/>
      <c r="P57" s="166"/>
      <c r="Q57" s="166"/>
      <c r="R57" s="166"/>
      <c r="S57" s="166"/>
      <c r="T57" s="166"/>
      <c r="U57" s="31"/>
    </row>
    <row r="58" spans="2:21" x14ac:dyDescent="0.2">
      <c r="B58" s="339" t="s">
        <v>1057</v>
      </c>
      <c r="C58" s="166"/>
      <c r="D58" s="166"/>
      <c r="E58" s="166"/>
      <c r="F58" s="166"/>
      <c r="G58" s="166"/>
      <c r="H58" s="166"/>
      <c r="I58" s="166"/>
      <c r="J58" s="166"/>
      <c r="K58" s="166"/>
      <c r="L58" s="166"/>
      <c r="M58" s="166"/>
      <c r="N58" s="166"/>
      <c r="O58" s="166"/>
      <c r="P58" s="166"/>
      <c r="Q58" s="166"/>
      <c r="R58" s="166"/>
      <c r="S58" s="166"/>
      <c r="T58" s="166"/>
      <c r="U58" s="31"/>
    </row>
    <row r="59" spans="2:21" x14ac:dyDescent="0.2">
      <c r="B59" s="168"/>
      <c r="C59" s="168"/>
      <c r="D59" s="168"/>
      <c r="E59" s="168"/>
      <c r="F59" s="170"/>
      <c r="G59" s="168"/>
      <c r="H59" s="170"/>
      <c r="I59" s="168"/>
      <c r="J59" s="170"/>
      <c r="K59" s="170"/>
      <c r="L59" s="170"/>
      <c r="M59" s="170"/>
      <c r="N59" s="168"/>
      <c r="O59" s="168"/>
      <c r="P59" s="168"/>
      <c r="Q59" s="168"/>
      <c r="R59" s="168"/>
      <c r="S59" s="169"/>
      <c r="T59" s="169"/>
    </row>
    <row r="60" spans="2:21" x14ac:dyDescent="0.2">
      <c r="B60" s="170"/>
      <c r="C60" s="170"/>
      <c r="D60" s="170"/>
      <c r="E60" s="170"/>
      <c r="F60" s="340"/>
      <c r="G60" s="170"/>
      <c r="H60" s="340"/>
      <c r="I60" s="170"/>
      <c r="J60" s="173" t="s">
        <v>57</v>
      </c>
      <c r="K60" s="173"/>
      <c r="L60" s="170"/>
      <c r="M60" s="170"/>
      <c r="N60" s="170"/>
      <c r="O60" s="173" t="s">
        <v>60</v>
      </c>
      <c r="P60" s="173"/>
      <c r="Q60" s="173"/>
      <c r="R60" s="173"/>
      <c r="S60" s="174"/>
      <c r="T60" s="174"/>
    </row>
    <row r="61" spans="2:21" s="45" customFormat="1" ht="39" customHeight="1" x14ac:dyDescent="0.2">
      <c r="B61" s="154" t="s">
        <v>0</v>
      </c>
      <c r="C61" s="154"/>
      <c r="D61" s="154"/>
      <c r="E61" s="154"/>
      <c r="F61" s="60" t="s">
        <v>47</v>
      </c>
      <c r="G61" s="154"/>
      <c r="H61" s="45" t="s">
        <v>746</v>
      </c>
      <c r="I61" s="154"/>
      <c r="J61" s="45" t="s">
        <v>61</v>
      </c>
      <c r="K61" s="45" t="s">
        <v>571</v>
      </c>
      <c r="L61" s="154"/>
      <c r="M61" s="45" t="s">
        <v>34</v>
      </c>
      <c r="N61" s="154"/>
      <c r="O61" s="154" t="s">
        <v>79</v>
      </c>
      <c r="P61" s="45" t="s">
        <v>34</v>
      </c>
      <c r="Q61" s="45" t="s">
        <v>61</v>
      </c>
      <c r="R61" s="45" t="s">
        <v>69</v>
      </c>
      <c r="S61" s="154" t="s">
        <v>745</v>
      </c>
      <c r="T61" s="154" t="s">
        <v>747</v>
      </c>
      <c r="U61" s="154"/>
    </row>
    <row r="62" spans="2:21" ht="14.25" x14ac:dyDescent="0.2">
      <c r="B62" s="520" t="s">
        <v>1</v>
      </c>
      <c r="C62" s="33"/>
      <c r="D62" s="185" t="s">
        <v>33</v>
      </c>
      <c r="E62" s="64"/>
      <c r="F62" s="520" t="s">
        <v>48</v>
      </c>
      <c r="G62" s="64"/>
      <c r="H62" s="520" t="s">
        <v>560</v>
      </c>
      <c r="I62" s="64"/>
      <c r="J62" s="520" t="s">
        <v>389</v>
      </c>
      <c r="K62" s="520" t="s">
        <v>35</v>
      </c>
      <c r="L62" s="64"/>
      <c r="M62" s="520" t="s">
        <v>389</v>
      </c>
      <c r="N62" s="64"/>
      <c r="O62" s="520" t="s">
        <v>389</v>
      </c>
      <c r="P62" s="520" t="s">
        <v>389</v>
      </c>
      <c r="Q62" s="520" t="s">
        <v>389</v>
      </c>
      <c r="R62" s="520" t="s">
        <v>35</v>
      </c>
      <c r="S62" s="520" t="s">
        <v>36</v>
      </c>
      <c r="T62" s="520" t="s">
        <v>2</v>
      </c>
      <c r="U62" s="64"/>
    </row>
    <row r="63" spans="2:21" x14ac:dyDescent="0.2">
      <c r="B63" s="64"/>
      <c r="C63" s="33"/>
      <c r="D63" s="33"/>
      <c r="E63" s="64"/>
      <c r="F63" s="64"/>
      <c r="G63" s="64"/>
      <c r="H63" s="64" t="s">
        <v>3</v>
      </c>
      <c r="I63" s="64"/>
      <c r="J63" s="64" t="s">
        <v>4</v>
      </c>
      <c r="K63" s="64" t="s">
        <v>58</v>
      </c>
      <c r="L63" s="64"/>
      <c r="M63" s="64" t="s">
        <v>59</v>
      </c>
      <c r="N63" s="64"/>
      <c r="O63" s="64" t="s">
        <v>63</v>
      </c>
      <c r="P63" s="64" t="s">
        <v>227</v>
      </c>
      <c r="Q63" s="175" t="s">
        <v>38</v>
      </c>
      <c r="R63" s="175" t="s">
        <v>70</v>
      </c>
      <c r="S63" s="175" t="s">
        <v>479</v>
      </c>
      <c r="T63" s="175" t="s">
        <v>71</v>
      </c>
      <c r="U63" s="64"/>
    </row>
    <row r="64" spans="2:21" ht="12" customHeight="1" x14ac:dyDescent="0.2">
      <c r="B64" s="64"/>
      <c r="C64" s="33"/>
      <c r="D64" s="33"/>
      <c r="E64" s="64"/>
      <c r="F64" s="354"/>
      <c r="G64" s="64"/>
      <c r="H64" s="354"/>
      <c r="I64" s="64"/>
      <c r="J64" s="354"/>
      <c r="K64" s="189"/>
      <c r="L64" s="64"/>
      <c r="M64" s="64"/>
      <c r="N64" s="64"/>
      <c r="O64" s="64"/>
      <c r="P64" s="64"/>
      <c r="Q64" s="64"/>
      <c r="R64" s="64"/>
      <c r="S64" s="64"/>
      <c r="T64" s="64"/>
      <c r="U64" s="64"/>
    </row>
    <row r="65" spans="2:21" x14ac:dyDescent="0.2">
      <c r="B65" s="64"/>
      <c r="C65" s="33"/>
      <c r="D65" s="31" t="s">
        <v>7</v>
      </c>
      <c r="E65" s="64"/>
      <c r="F65" s="186"/>
      <c r="G65" s="64"/>
      <c r="H65" s="186"/>
      <c r="I65" s="64"/>
      <c r="J65" s="186"/>
      <c r="K65" s="64"/>
      <c r="L65" s="64"/>
      <c r="M65" s="13"/>
      <c r="N65" s="64"/>
      <c r="O65" s="12"/>
      <c r="P65" s="64"/>
      <c r="Q65" s="64"/>
      <c r="R65" s="64"/>
      <c r="S65" s="64"/>
      <c r="T65" s="64"/>
      <c r="U65" s="64"/>
    </row>
    <row r="66" spans="2:21" x14ac:dyDescent="0.2">
      <c r="B66" s="64">
        <f>MAX(B$12:B65)+1</f>
        <v>31</v>
      </c>
      <c r="C66" s="33"/>
      <c r="D66" s="26" t="s">
        <v>85</v>
      </c>
      <c r="E66" s="64"/>
      <c r="F66" s="16" t="s">
        <v>55</v>
      </c>
      <c r="G66" s="64"/>
      <c r="H66" s="122">
        <v>168</v>
      </c>
      <c r="I66" s="341"/>
      <c r="J66" s="122">
        <f>$H66*K66/1000</f>
        <v>22.423218725450067</v>
      </c>
      <c r="K66" s="331">
        <v>133.47154003244088</v>
      </c>
      <c r="L66" s="239"/>
      <c r="M66" s="122">
        <f>J66-O66</f>
        <v>-312.68083357164784</v>
      </c>
      <c r="N66" s="238"/>
      <c r="O66" s="122">
        <v>335.10405229709789</v>
      </c>
      <c r="P66" s="122">
        <f>Q66-O66</f>
        <v>-251.10405229709789</v>
      </c>
      <c r="Q66" s="122">
        <f>$H66*R66/1000</f>
        <v>84</v>
      </c>
      <c r="R66" s="331">
        <v>500</v>
      </c>
      <c r="S66" s="124">
        <f>Q66/O66</f>
        <v>0.25066841007797463</v>
      </c>
      <c r="T66" s="178">
        <f>R66/K66-1</f>
        <v>2.746116961552048</v>
      </c>
    </row>
    <row r="67" spans="2:21" x14ac:dyDescent="0.2">
      <c r="B67" s="64">
        <f>MAX(B$66:B66)+1</f>
        <v>32</v>
      </c>
      <c r="C67" s="33"/>
      <c r="D67" s="26" t="s">
        <v>89</v>
      </c>
      <c r="E67" s="64"/>
      <c r="F67" s="16" t="s">
        <v>81</v>
      </c>
      <c r="G67" s="64"/>
      <c r="H67" s="122">
        <v>4503.3599999999997</v>
      </c>
      <c r="I67" s="341"/>
      <c r="J67" s="122">
        <f>$H67*K67/100</f>
        <v>1783.9122401864358</v>
      </c>
      <c r="K67" s="147">
        <v>39.612916581984031</v>
      </c>
      <c r="L67" s="239"/>
      <c r="M67" s="122">
        <f>J67-O67</f>
        <v>479.26197338848783</v>
      </c>
      <c r="N67" s="238"/>
      <c r="O67" s="122">
        <v>1304.650266797948</v>
      </c>
      <c r="P67" s="122">
        <f>Q67-O67</f>
        <v>634.17678258285332</v>
      </c>
      <c r="Q67" s="122">
        <f>$H67*R67/100</f>
        <v>1938.8270493808013</v>
      </c>
      <c r="R67" s="147">
        <v>43.052899376927485</v>
      </c>
      <c r="S67" s="124">
        <f>Q67/O67</f>
        <v>1.4860894898211587</v>
      </c>
      <c r="T67" s="178">
        <f>R67/K67-1</f>
        <v>8.6839927270287331E-2</v>
      </c>
    </row>
    <row r="68" spans="2:21" x14ac:dyDescent="0.2">
      <c r="B68" s="64">
        <f>MAX(B$66:B67)+1</f>
        <v>33</v>
      </c>
      <c r="C68" s="33"/>
      <c r="D68" s="26" t="s">
        <v>86</v>
      </c>
      <c r="E68" s="64"/>
      <c r="F68" s="16" t="s">
        <v>56</v>
      </c>
      <c r="G68" s="64"/>
      <c r="H68" s="122">
        <v>27429.148000000001</v>
      </c>
      <c r="I68" s="341"/>
      <c r="J68" s="122">
        <f>$H68*K68/100</f>
        <v>381.59062688546561</v>
      </c>
      <c r="K68" s="147">
        <v>1.3911865832852905</v>
      </c>
      <c r="L68" s="239"/>
      <c r="M68" s="122">
        <f>J68-O68</f>
        <v>274.67761969848021</v>
      </c>
      <c r="N68" s="238"/>
      <c r="O68" s="122">
        <f>Q68</f>
        <v>106.9130071869854</v>
      </c>
      <c r="P68" s="122">
        <f>Q68-O68</f>
        <v>0</v>
      </c>
      <c r="Q68" s="122">
        <f>$H68*R68/100</f>
        <v>106.9130071869854</v>
      </c>
      <c r="R68" s="147">
        <v>0.38977881189377589</v>
      </c>
      <c r="S68" s="124">
        <f>Q68/O68</f>
        <v>1</v>
      </c>
      <c r="T68" s="178">
        <f>R68/K68-1</f>
        <v>-0.7198227638356659</v>
      </c>
    </row>
    <row r="69" spans="2:21" x14ac:dyDescent="0.2">
      <c r="B69" s="64"/>
      <c r="C69" s="33"/>
      <c r="D69" s="26"/>
      <c r="E69" s="64"/>
      <c r="F69" s="16"/>
      <c r="G69" s="64"/>
      <c r="H69" s="122"/>
      <c r="I69" s="341"/>
      <c r="J69" s="122"/>
      <c r="K69" s="147"/>
      <c r="L69" s="239"/>
      <c r="M69" s="122"/>
      <c r="N69" s="238"/>
      <c r="O69" s="122"/>
      <c r="P69" s="122"/>
      <c r="Q69" s="122"/>
      <c r="R69" s="147"/>
      <c r="S69" s="124"/>
      <c r="T69" s="138"/>
    </row>
    <row r="70" spans="2:21" x14ac:dyDescent="0.2">
      <c r="B70" s="64">
        <f>MAX(B$66:B69)+1</f>
        <v>34</v>
      </c>
      <c r="C70" s="33"/>
      <c r="D70" s="26" t="s">
        <v>68</v>
      </c>
      <c r="E70" s="64"/>
      <c r="F70" s="16"/>
      <c r="G70" s="64"/>
      <c r="H70" s="146">
        <f>H68</f>
        <v>27429.148000000001</v>
      </c>
      <c r="I70" s="341"/>
      <c r="J70" s="146">
        <f>SUM(J66:J68)</f>
        <v>2187.9260857973518</v>
      </c>
      <c r="K70" s="139">
        <f>J70/$H70*100</f>
        <v>7.976646178719629</v>
      </c>
      <c r="L70" s="239"/>
      <c r="M70" s="146">
        <f>SUM(M66:M68)</f>
        <v>441.25875951532021</v>
      </c>
      <c r="N70" s="238"/>
      <c r="O70" s="146">
        <f>SUM(O66:O68)</f>
        <v>1746.6673262820314</v>
      </c>
      <c r="P70" s="146">
        <f>SUM(P66:P68)</f>
        <v>383.07273028575543</v>
      </c>
      <c r="Q70" s="146">
        <f>SUM(Q66:Q68)</f>
        <v>2129.7400565677867</v>
      </c>
      <c r="R70" s="139">
        <f>Q70/$H70*100</f>
        <v>7.764514073013812</v>
      </c>
      <c r="S70" s="342">
        <f>Q70/O70</f>
        <v>1.2193163658137276</v>
      </c>
      <c r="T70" s="177">
        <f>R70/K70-1</f>
        <v>-2.6594147584451E-2</v>
      </c>
    </row>
    <row r="71" spans="2:21" x14ac:dyDescent="0.2">
      <c r="E71" s="64"/>
      <c r="F71" s="16"/>
      <c r="G71" s="64"/>
      <c r="H71" s="122"/>
      <c r="I71" s="341"/>
      <c r="J71" s="122"/>
      <c r="K71" s="147"/>
      <c r="L71" s="239"/>
      <c r="M71" s="122"/>
      <c r="N71" s="238"/>
      <c r="O71" s="122"/>
      <c r="P71" s="122"/>
      <c r="Q71" s="122"/>
      <c r="R71" s="147"/>
      <c r="S71" s="124"/>
      <c r="T71" s="178"/>
    </row>
    <row r="72" spans="2:21" x14ac:dyDescent="0.2">
      <c r="B72" s="64"/>
      <c r="C72" s="33"/>
      <c r="D72" s="26" t="s">
        <v>87</v>
      </c>
      <c r="E72" s="64"/>
      <c r="F72" s="192"/>
      <c r="G72" s="64"/>
      <c r="H72" s="122"/>
      <c r="I72" s="341"/>
      <c r="J72" s="122"/>
      <c r="K72" s="147"/>
      <c r="L72" s="239"/>
      <c r="M72" s="122"/>
      <c r="N72" s="238"/>
      <c r="O72" s="122"/>
      <c r="P72" s="122"/>
      <c r="Q72" s="122"/>
      <c r="R72" s="240"/>
      <c r="S72" s="124"/>
      <c r="T72" s="343"/>
    </row>
    <row r="73" spans="2:21" x14ac:dyDescent="0.2">
      <c r="B73" s="64">
        <f>MAX(B$66:B72)+1</f>
        <v>35</v>
      </c>
      <c r="C73" s="33"/>
      <c r="D73" s="27" t="s">
        <v>64</v>
      </c>
      <c r="E73" s="64"/>
      <c r="F73" s="192" t="s">
        <v>56</v>
      </c>
      <c r="G73" s="64"/>
      <c r="H73" s="122">
        <v>14756.638999999999</v>
      </c>
      <c r="I73" s="341"/>
      <c r="J73" s="122">
        <f>$H73*K73/100</f>
        <v>579.45572731266748</v>
      </c>
      <c r="K73" s="147">
        <v>3.9267459704927896</v>
      </c>
      <c r="L73" s="239"/>
      <c r="M73" s="122">
        <f>J73-O73</f>
        <v>382.36020001703599</v>
      </c>
      <c r="N73" s="238"/>
      <c r="O73" s="122">
        <f>Q73</f>
        <v>197.09552729563148</v>
      </c>
      <c r="P73" s="122">
        <f>Q73-O73</f>
        <v>0</v>
      </c>
      <c r="Q73" s="122">
        <f>$H73*R73/100</f>
        <v>197.09552729563148</v>
      </c>
      <c r="R73" s="147">
        <v>1.3356396893332654</v>
      </c>
      <c r="S73" s="344"/>
      <c r="T73" s="178"/>
    </row>
    <row r="74" spans="2:21" x14ac:dyDescent="0.2">
      <c r="B74" s="64">
        <f>MAX(B$66:B73)+1</f>
        <v>36</v>
      </c>
      <c r="C74" s="33"/>
      <c r="D74" s="27" t="s">
        <v>65</v>
      </c>
      <c r="E74" s="64"/>
      <c r="F74" s="192" t="s">
        <v>56</v>
      </c>
      <c r="G74" s="64"/>
      <c r="H74" s="122">
        <v>10804.124</v>
      </c>
      <c r="I74" s="341"/>
      <c r="J74" s="122">
        <f>$H74*K74/100</f>
        <v>104.76974909730973</v>
      </c>
      <c r="K74" s="147">
        <v>0.96971998004937487</v>
      </c>
      <c r="L74" s="239"/>
      <c r="M74" s="122">
        <f>J74-O74</f>
        <v>-39.534419131471026</v>
      </c>
      <c r="N74" s="239"/>
      <c r="O74" s="122">
        <f>Q74</f>
        <v>144.30416822878075</v>
      </c>
      <c r="P74" s="122">
        <f>Q74-O74</f>
        <v>0</v>
      </c>
      <c r="Q74" s="122">
        <f>$H74*R74/100</f>
        <v>144.30416822878075</v>
      </c>
      <c r="R74" s="147">
        <v>1.3356396893332654</v>
      </c>
      <c r="S74" s="344"/>
      <c r="T74" s="178"/>
      <c r="U74" s="64"/>
    </row>
    <row r="75" spans="2:21" x14ac:dyDescent="0.2">
      <c r="B75" s="64">
        <f>MAX(B$66:B74)+1</f>
        <v>37</v>
      </c>
      <c r="C75" s="33"/>
      <c r="D75" s="27" t="s">
        <v>66</v>
      </c>
      <c r="E75" s="64"/>
      <c r="F75" s="192" t="s">
        <v>56</v>
      </c>
      <c r="G75" s="64"/>
      <c r="H75" s="122">
        <v>0</v>
      </c>
      <c r="I75" s="341"/>
      <c r="J75" s="122">
        <f>$H75*K75/100</f>
        <v>0</v>
      </c>
      <c r="K75" s="147">
        <v>3.9267459704927896</v>
      </c>
      <c r="L75" s="239"/>
      <c r="M75" s="122">
        <f>J75-O75</f>
        <v>0</v>
      </c>
      <c r="N75" s="239"/>
      <c r="O75" s="122">
        <f>Q75</f>
        <v>0</v>
      </c>
      <c r="P75" s="122">
        <f>Q75-O75</f>
        <v>0</v>
      </c>
      <c r="Q75" s="122">
        <f>$H75*R75/100</f>
        <v>0</v>
      </c>
      <c r="R75" s="147">
        <v>3.1976065948262749</v>
      </c>
      <c r="S75" s="344"/>
      <c r="T75" s="178"/>
      <c r="U75" s="64"/>
    </row>
    <row r="76" spans="2:21" x14ac:dyDescent="0.2">
      <c r="B76" s="64">
        <f>MAX(B$66:B75)+1</f>
        <v>38</v>
      </c>
      <c r="C76" s="33"/>
      <c r="D76" s="27" t="s">
        <v>67</v>
      </c>
      <c r="E76" s="64"/>
      <c r="F76" s="192" t="s">
        <v>56</v>
      </c>
      <c r="G76" s="64"/>
      <c r="H76" s="122">
        <f>H70-SUM(H73:H75)</f>
        <v>1868.385000000002</v>
      </c>
      <c r="I76" s="341"/>
      <c r="J76" s="122">
        <f>$H76*K76/100</f>
        <v>0</v>
      </c>
      <c r="K76" s="147">
        <v>0</v>
      </c>
      <c r="L76" s="239"/>
      <c r="M76" s="122">
        <f>J76-O76</f>
        <v>-24.95489160954936</v>
      </c>
      <c r="N76" s="239"/>
      <c r="O76" s="122">
        <f>Q76</f>
        <v>24.95489160954936</v>
      </c>
      <c r="P76" s="122">
        <f>Q76-O76</f>
        <v>0</v>
      </c>
      <c r="Q76" s="122">
        <f>$H76*R76/100</f>
        <v>24.95489160954936</v>
      </c>
      <c r="R76" s="147">
        <v>1.3356396893332654</v>
      </c>
      <c r="S76" s="124"/>
      <c r="T76" s="178"/>
      <c r="U76" s="64"/>
    </row>
    <row r="77" spans="2:21" x14ac:dyDescent="0.2">
      <c r="B77" s="64">
        <f>MAX(B$66:B76)+1</f>
        <v>39</v>
      </c>
      <c r="C77" s="33"/>
      <c r="D77" s="26" t="s">
        <v>87</v>
      </c>
      <c r="E77" s="64"/>
      <c r="F77" s="16"/>
      <c r="G77" s="64"/>
      <c r="H77" s="146">
        <f>SUM(H73:H76)</f>
        <v>27429.148000000001</v>
      </c>
      <c r="I77" s="341"/>
      <c r="J77" s="146">
        <f>SUM(J73:J76)</f>
        <v>684.2254764099772</v>
      </c>
      <c r="K77" s="139">
        <f>J77/$H77*100</f>
        <v>2.4945196125303535</v>
      </c>
      <c r="L77" s="239"/>
      <c r="M77" s="146">
        <f>SUM(M73:M76)</f>
        <v>317.87088927601565</v>
      </c>
      <c r="N77" s="238"/>
      <c r="O77" s="146">
        <f>SUM(O73:O76)</f>
        <v>366.35458713396156</v>
      </c>
      <c r="P77" s="146">
        <f>SUM(P73:P76)</f>
        <v>0</v>
      </c>
      <c r="Q77" s="146">
        <f>SUM(Q73:Q76)</f>
        <v>366.35458713396156</v>
      </c>
      <c r="R77" s="139">
        <f>Q77/$H77*100</f>
        <v>1.3356396893332652</v>
      </c>
      <c r="S77" s="342">
        <f>Q77/O77</f>
        <v>1</v>
      </c>
      <c r="T77" s="177">
        <f>R77/K77-1</f>
        <v>-0.46457037955358504</v>
      </c>
    </row>
    <row r="78" spans="2:21" x14ac:dyDescent="0.2">
      <c r="H78" s="148"/>
      <c r="I78" s="148"/>
      <c r="J78" s="148"/>
      <c r="K78" s="148"/>
      <c r="L78" s="148"/>
      <c r="M78" s="148"/>
      <c r="N78" s="148"/>
      <c r="O78" s="148"/>
      <c r="P78" s="148"/>
      <c r="Q78" s="148"/>
      <c r="R78" s="148"/>
      <c r="S78" s="148"/>
      <c r="T78" s="180"/>
    </row>
    <row r="79" spans="2:21" x14ac:dyDescent="0.2">
      <c r="B79" s="64">
        <f>MAX(B$66:B78)+1</f>
        <v>40</v>
      </c>
      <c r="C79" s="33"/>
      <c r="D79" s="26" t="s">
        <v>88</v>
      </c>
      <c r="E79" s="64"/>
      <c r="F79" s="16" t="s">
        <v>56</v>
      </c>
      <c r="G79" s="64"/>
      <c r="H79" s="122">
        <f>H73</f>
        <v>14756.638999999999</v>
      </c>
      <c r="I79" s="341"/>
      <c r="J79" s="122">
        <f>$H79*K79/100</f>
        <v>2715.3412870065472</v>
      </c>
      <c r="K79" s="147">
        <v>18.400811234906183</v>
      </c>
      <c r="L79" s="239"/>
      <c r="M79" s="122">
        <f>J79-O79</f>
        <v>-369.29831157367562</v>
      </c>
      <c r="N79" s="238"/>
      <c r="O79" s="122">
        <f>Q79</f>
        <v>3084.6395985802228</v>
      </c>
      <c r="P79" s="122">
        <f>Q79-O79</f>
        <v>0</v>
      </c>
      <c r="Q79" s="122">
        <f>$H79*R79/100</f>
        <v>3084.6395985802228</v>
      </c>
      <c r="R79" s="147">
        <v>20.903402181080821</v>
      </c>
      <c r="S79" s="124">
        <f>Q79/O79</f>
        <v>1</v>
      </c>
      <c r="T79" s="178">
        <f>R79/K79-1</f>
        <v>0.13600438123223846</v>
      </c>
    </row>
    <row r="80" spans="2:21" x14ac:dyDescent="0.2">
      <c r="B80" s="64"/>
      <c r="C80" s="33"/>
      <c r="D80" s="26"/>
      <c r="E80" s="64"/>
      <c r="F80" s="16"/>
      <c r="G80" s="64"/>
      <c r="H80" s="122"/>
      <c r="I80" s="341"/>
      <c r="J80" s="122"/>
      <c r="K80" s="147"/>
      <c r="L80" s="239"/>
      <c r="M80" s="122"/>
      <c r="N80" s="238"/>
      <c r="O80" s="122"/>
      <c r="P80" s="122"/>
      <c r="Q80" s="122"/>
      <c r="R80" s="147"/>
      <c r="S80" s="124"/>
      <c r="T80" s="178"/>
    </row>
    <row r="81" spans="2:21" ht="13.5" thickBot="1" x14ac:dyDescent="0.25">
      <c r="B81" s="64">
        <f>MAX(B$66:B80)+1</f>
        <v>41</v>
      </c>
      <c r="C81" s="33"/>
      <c r="D81" s="26" t="s">
        <v>82</v>
      </c>
      <c r="E81" s="64"/>
      <c r="F81" s="16"/>
      <c r="G81" s="64"/>
      <c r="H81" s="159">
        <f>H70</f>
        <v>27429.148000000001</v>
      </c>
      <c r="I81" s="341"/>
      <c r="J81" s="159">
        <f>J70+J77+J79</f>
        <v>5587.4928492138761</v>
      </c>
      <c r="K81" s="140">
        <f>J81/$H81*100</f>
        <v>20.370639471608364</v>
      </c>
      <c r="L81" s="239"/>
      <c r="M81" s="159">
        <f>M70+M77+M79</f>
        <v>389.83133721766023</v>
      </c>
      <c r="N81" s="238"/>
      <c r="O81" s="159">
        <f>O70+O77+O79</f>
        <v>5197.6615119962153</v>
      </c>
      <c r="P81" s="159">
        <f>P70+P77+P79</f>
        <v>383.07273028575543</v>
      </c>
      <c r="Q81" s="159">
        <f>Q70+Q77+Q79</f>
        <v>5580.7342422819711</v>
      </c>
      <c r="R81" s="140">
        <f>Q81/$H81*100</f>
        <v>20.345999235127429</v>
      </c>
      <c r="S81" s="345">
        <f>Q81/O81</f>
        <v>1.0737009767568786</v>
      </c>
      <c r="T81" s="179">
        <f>R81/K81-1</f>
        <v>-1.2095956297923927E-3</v>
      </c>
    </row>
    <row r="82" spans="2:21" ht="13.5" thickTop="1" x14ac:dyDescent="0.2">
      <c r="H82" s="148"/>
      <c r="I82" s="148"/>
      <c r="J82" s="148"/>
      <c r="K82" s="148"/>
      <c r="L82" s="148"/>
      <c r="M82" s="148"/>
      <c r="N82" s="148"/>
      <c r="O82" s="148"/>
      <c r="P82" s="148"/>
      <c r="Q82" s="148"/>
      <c r="R82" s="148"/>
      <c r="S82" s="148"/>
      <c r="T82" s="180"/>
    </row>
    <row r="83" spans="2:21" x14ac:dyDescent="0.2">
      <c r="B83" s="64"/>
      <c r="C83" s="33"/>
      <c r="D83" s="31" t="s">
        <v>8</v>
      </c>
      <c r="E83" s="64"/>
      <c r="F83" s="186"/>
      <c r="G83" s="64"/>
      <c r="H83" s="350"/>
      <c r="I83" s="341"/>
      <c r="J83" s="350"/>
      <c r="K83" s="341"/>
      <c r="L83" s="341"/>
      <c r="M83" s="144"/>
      <c r="N83" s="341"/>
      <c r="O83" s="145"/>
      <c r="P83" s="341"/>
      <c r="Q83" s="341"/>
      <c r="R83" s="341"/>
      <c r="S83" s="341"/>
      <c r="T83" s="351"/>
      <c r="U83" s="64"/>
    </row>
    <row r="84" spans="2:21" x14ac:dyDescent="0.2">
      <c r="B84" s="64">
        <f>MAX(B$66:B83)+1</f>
        <v>42</v>
      </c>
      <c r="C84" s="33"/>
      <c r="D84" s="26" t="s">
        <v>85</v>
      </c>
      <c r="E84" s="64"/>
      <c r="F84" s="16" t="s">
        <v>55</v>
      </c>
      <c r="G84" s="64"/>
      <c r="H84" s="122">
        <v>4992</v>
      </c>
      <c r="I84" s="341"/>
      <c r="J84" s="122">
        <f>$H84*K84/1000</f>
        <v>3207.5954013320479</v>
      </c>
      <c r="K84" s="331">
        <v>642.54715571555448</v>
      </c>
      <c r="L84" s="239"/>
      <c r="M84" s="122">
        <f t="shared" ref="M84:M85" si="14">J84-O84</f>
        <v>-5684.2605568330691</v>
      </c>
      <c r="N84" s="238"/>
      <c r="O84" s="122">
        <v>8891.855958165117</v>
      </c>
      <c r="P84" s="122">
        <f t="shared" ref="P84:P85" si="15">Q84-O84</f>
        <v>-6395.855958165117</v>
      </c>
      <c r="Q84" s="122">
        <f>$H84*R84/1000</f>
        <v>2496</v>
      </c>
      <c r="R84" s="331">
        <v>500</v>
      </c>
      <c r="S84" s="124">
        <f>Q84/O84</f>
        <v>0.28070630155766302</v>
      </c>
      <c r="T84" s="178">
        <f t="shared" ref="T84:T85" si="16">R84/K84-1</f>
        <v>-0.22184699511557382</v>
      </c>
    </row>
    <row r="85" spans="2:21" x14ac:dyDescent="0.2">
      <c r="B85" s="64">
        <f>MAX(B$66:B84)+1</f>
        <v>43</v>
      </c>
      <c r="C85" s="33"/>
      <c r="D85" s="26" t="s">
        <v>89</v>
      </c>
      <c r="E85" s="64"/>
      <c r="F85" s="16" t="s">
        <v>81</v>
      </c>
      <c r="G85" s="64"/>
      <c r="H85" s="122">
        <v>75653.868000000002</v>
      </c>
      <c r="I85" s="341"/>
      <c r="J85" s="122">
        <f>$H85*K85/100</f>
        <v>19211.505789012077</v>
      </c>
      <c r="K85" s="147">
        <v>25.39395049703483</v>
      </c>
      <c r="L85" s="239"/>
      <c r="M85" s="122">
        <f t="shared" si="14"/>
        <v>-10439.813210795921</v>
      </c>
      <c r="N85" s="238"/>
      <c r="O85" s="122">
        <v>29651.318999807998</v>
      </c>
      <c r="P85" s="122">
        <f t="shared" si="15"/>
        <v>5845.187089508916</v>
      </c>
      <c r="Q85" s="122">
        <f>$H85*R85/100</f>
        <v>35496.506089316914</v>
      </c>
      <c r="R85" s="147">
        <v>46.919618292771112</v>
      </c>
      <c r="S85" s="124">
        <f>Q85/O85</f>
        <v>1.1971307613515192</v>
      </c>
      <c r="T85" s="178">
        <f t="shared" si="16"/>
        <v>0.84766912490633417</v>
      </c>
    </row>
    <row r="86" spans="2:21" x14ac:dyDescent="0.2">
      <c r="B86" s="64"/>
      <c r="C86" s="33"/>
      <c r="D86" s="26" t="s">
        <v>86</v>
      </c>
      <c r="E86" s="64"/>
      <c r="F86" s="16"/>
      <c r="G86" s="64"/>
      <c r="H86" s="122"/>
      <c r="I86" s="341"/>
      <c r="J86" s="122"/>
      <c r="K86" s="147"/>
      <c r="L86" s="239"/>
      <c r="M86" s="122"/>
      <c r="N86" s="238"/>
      <c r="O86" s="122"/>
      <c r="P86" s="122"/>
      <c r="Q86" s="122"/>
      <c r="R86" s="147"/>
      <c r="S86" s="124"/>
      <c r="T86" s="178"/>
      <c r="U86" s="64"/>
    </row>
    <row r="87" spans="2:21" x14ac:dyDescent="0.2">
      <c r="B87" s="64">
        <f>MAX(B$66:B86)+1</f>
        <v>44</v>
      </c>
      <c r="C87" s="33"/>
      <c r="D87" s="27" t="s">
        <v>84</v>
      </c>
      <c r="E87" s="64"/>
      <c r="F87" s="16" t="s">
        <v>56</v>
      </c>
      <c r="G87" s="64"/>
      <c r="H87" s="122">
        <v>897522.08799999999</v>
      </c>
      <c r="I87" s="341"/>
      <c r="J87" s="122">
        <f>$H87*K87/100</f>
        <v>11532.328614891991</v>
      </c>
      <c r="K87" s="147">
        <v>1.2849074991112632</v>
      </c>
      <c r="L87" s="239"/>
      <c r="M87" s="122">
        <f t="shared" ref="M87:M88" si="17">J87-O87</f>
        <v>8358.2145939047296</v>
      </c>
      <c r="N87" s="238"/>
      <c r="O87" s="122">
        <f t="shared" ref="O87:O88" si="18">Q87</f>
        <v>3174.1140209872601</v>
      </c>
      <c r="P87" s="122">
        <f t="shared" ref="P87:P88" si="19">Q87-O87</f>
        <v>0</v>
      </c>
      <c r="Q87" s="122">
        <f>$H87*R87/100</f>
        <v>3174.1140209872601</v>
      </c>
      <c r="R87" s="147">
        <v>0.35365302575007607</v>
      </c>
      <c r="S87" s="124"/>
      <c r="T87" s="178"/>
      <c r="U87" s="64"/>
    </row>
    <row r="88" spans="2:21" x14ac:dyDescent="0.2">
      <c r="B88" s="64">
        <f>MAX(B$66:B87)+1</f>
        <v>45</v>
      </c>
      <c r="C88" s="33"/>
      <c r="D88" s="27" t="s">
        <v>83</v>
      </c>
      <c r="E88" s="64"/>
      <c r="F88" s="16" t="s">
        <v>56</v>
      </c>
      <c r="G88" s="64"/>
      <c r="H88" s="122">
        <v>170759.079</v>
      </c>
      <c r="I88" s="341"/>
      <c r="J88" s="122">
        <f>$H88*K88/100</f>
        <v>1907.2654513877869</v>
      </c>
      <c r="K88" s="147">
        <v>1.1169335548991728</v>
      </c>
      <c r="L88" s="239"/>
      <c r="M88" s="122">
        <f t="shared" si="17"/>
        <v>1303.3708017613242</v>
      </c>
      <c r="N88" s="238"/>
      <c r="O88" s="122">
        <f t="shared" si="18"/>
        <v>603.89464962646275</v>
      </c>
      <c r="P88" s="122">
        <f t="shared" si="19"/>
        <v>0</v>
      </c>
      <c r="Q88" s="122">
        <f>$H88*R88/100</f>
        <v>603.89464962646275</v>
      </c>
      <c r="R88" s="147">
        <v>0.35365302575007607</v>
      </c>
      <c r="S88" s="124"/>
      <c r="T88" s="178"/>
      <c r="U88" s="64"/>
    </row>
    <row r="89" spans="2:21" x14ac:dyDescent="0.2">
      <c r="B89" s="64">
        <f>MAX(B$66:B88)+1</f>
        <v>46</v>
      </c>
      <c r="C89" s="33"/>
      <c r="D89" s="26" t="s">
        <v>86</v>
      </c>
      <c r="E89" s="64"/>
      <c r="F89" s="16"/>
      <c r="G89" s="64"/>
      <c r="H89" s="146">
        <f>SUM(H87:H88)</f>
        <v>1068281.1669999999</v>
      </c>
      <c r="I89" s="341"/>
      <c r="J89" s="146">
        <f>SUM(J87:J88)</f>
        <v>13439.594066279777</v>
      </c>
      <c r="K89" s="139">
        <f>J89/$H89*100</f>
        <v>1.2580577549655314</v>
      </c>
      <c r="L89" s="239"/>
      <c r="M89" s="146">
        <f>SUM(M87:M88)</f>
        <v>9661.585395666054</v>
      </c>
      <c r="N89" s="238"/>
      <c r="O89" s="146">
        <f>SUM(O87:O88)</f>
        <v>3778.0086706137226</v>
      </c>
      <c r="P89" s="146">
        <f>SUM(P87:P88)</f>
        <v>0</v>
      </c>
      <c r="Q89" s="146">
        <f>SUM(Q87:Q88)</f>
        <v>3778.0086706137226</v>
      </c>
      <c r="R89" s="139">
        <f>Q89/$H89*100</f>
        <v>0.35365302575007607</v>
      </c>
      <c r="S89" s="342">
        <f>Q89/O89</f>
        <v>1</v>
      </c>
      <c r="T89" s="177">
        <f>R89/K89-1</f>
        <v>-0.71888967390073</v>
      </c>
    </row>
    <row r="90" spans="2:21" x14ac:dyDescent="0.2">
      <c r="B90" s="64"/>
      <c r="C90" s="33"/>
      <c r="D90" s="26"/>
      <c r="E90" s="64"/>
      <c r="F90" s="16"/>
      <c r="G90" s="64"/>
      <c r="H90" s="122"/>
      <c r="I90" s="341"/>
      <c r="J90" s="122"/>
      <c r="K90" s="147"/>
      <c r="L90" s="239"/>
      <c r="M90" s="122"/>
      <c r="N90" s="238"/>
      <c r="O90" s="122"/>
      <c r="P90" s="122"/>
      <c r="Q90" s="122"/>
      <c r="R90" s="147"/>
      <c r="S90" s="124"/>
      <c r="T90" s="178"/>
    </row>
    <row r="91" spans="2:21" x14ac:dyDescent="0.2">
      <c r="B91" s="64">
        <f>MAX(B$66:B90)+1</f>
        <v>47</v>
      </c>
      <c r="C91" s="33"/>
      <c r="D91" s="26" t="s">
        <v>68</v>
      </c>
      <c r="E91" s="64"/>
      <c r="F91" s="16"/>
      <c r="G91" s="64"/>
      <c r="H91" s="146">
        <f>H89</f>
        <v>1068281.1669999999</v>
      </c>
      <c r="I91" s="341"/>
      <c r="J91" s="146">
        <f>SUM(J84:J85,J89)</f>
        <v>35858.695256623905</v>
      </c>
      <c r="K91" s="139">
        <f>J91/$H91*100</f>
        <v>3.3566720414368132</v>
      </c>
      <c r="L91" s="239"/>
      <c r="M91" s="146">
        <f>SUM(M84:M85,M89)</f>
        <v>-6462.4883719629361</v>
      </c>
      <c r="N91" s="238"/>
      <c r="O91" s="146">
        <f>SUM(O84:O85,O89)</f>
        <v>42321.183628586834</v>
      </c>
      <c r="P91" s="146">
        <f>SUM(P84:P85,P89)</f>
        <v>-550.66886865620108</v>
      </c>
      <c r="Q91" s="146">
        <f>SUM(Q84:Q85,Q89)</f>
        <v>41770.514759930637</v>
      </c>
      <c r="R91" s="139">
        <f>Q91/$H91*100</f>
        <v>3.9100675037857933</v>
      </c>
      <c r="S91" s="342">
        <f>Q91/O91</f>
        <v>0.98698833961051513</v>
      </c>
      <c r="T91" s="177">
        <f>R91/K91-1</f>
        <v>0.16486432261404382</v>
      </c>
    </row>
    <row r="92" spans="2:21" x14ac:dyDescent="0.2">
      <c r="E92" s="64"/>
      <c r="F92" s="16"/>
      <c r="G92" s="64"/>
      <c r="H92" s="122"/>
      <c r="I92" s="341"/>
      <c r="J92" s="122"/>
      <c r="K92" s="147"/>
      <c r="L92" s="239"/>
      <c r="M92" s="122"/>
      <c r="N92" s="238"/>
      <c r="O92" s="122"/>
      <c r="P92" s="122"/>
      <c r="Q92" s="122"/>
      <c r="R92" s="147"/>
      <c r="S92" s="124"/>
      <c r="T92" s="178"/>
    </row>
    <row r="93" spans="2:21" x14ac:dyDescent="0.2">
      <c r="B93" s="64"/>
      <c r="C93" s="33"/>
      <c r="D93" s="26" t="s">
        <v>87</v>
      </c>
      <c r="E93" s="64"/>
      <c r="F93" s="192"/>
      <c r="G93" s="64"/>
      <c r="H93" s="122"/>
      <c r="I93" s="341"/>
      <c r="J93" s="122"/>
      <c r="K93" s="147"/>
      <c r="L93" s="239"/>
      <c r="M93" s="122"/>
      <c r="N93" s="238"/>
      <c r="O93" s="122"/>
      <c r="P93" s="122"/>
      <c r="Q93" s="122"/>
      <c r="R93" s="240"/>
      <c r="S93" s="124"/>
      <c r="T93" s="343"/>
    </row>
    <row r="94" spans="2:21" x14ac:dyDescent="0.2">
      <c r="B94" s="64">
        <f>MAX(B$66:B93)+1</f>
        <v>48</v>
      </c>
      <c r="C94" s="33"/>
      <c r="D94" s="27" t="s">
        <v>64</v>
      </c>
      <c r="E94" s="64"/>
      <c r="F94" s="192" t="s">
        <v>56</v>
      </c>
      <c r="G94" s="64"/>
      <c r="H94" s="122">
        <v>102196.917</v>
      </c>
      <c r="I94" s="341"/>
      <c r="J94" s="122">
        <f>$H94*K94/100</f>
        <v>4013.011701740003</v>
      </c>
      <c r="K94" s="147">
        <v>3.9267443867607112</v>
      </c>
      <c r="L94" s="239"/>
      <c r="M94" s="122">
        <f t="shared" ref="M94:M97" si="20">J94-O94</f>
        <v>2785.5628672478197</v>
      </c>
      <c r="N94" s="238"/>
      <c r="O94" s="122">
        <f>Q94</f>
        <v>1227.4488344921831</v>
      </c>
      <c r="P94" s="122">
        <f t="shared" ref="P94:P97" si="21">Q94-O94</f>
        <v>0</v>
      </c>
      <c r="Q94" s="122">
        <f>$H94*R94/100</f>
        <v>1227.4488344921831</v>
      </c>
      <c r="R94" s="147">
        <v>1.201062488501667</v>
      </c>
      <c r="S94" s="344"/>
      <c r="T94" s="178"/>
    </row>
    <row r="95" spans="2:21" x14ac:dyDescent="0.2">
      <c r="B95" s="64">
        <f>MAX(B$66:B94)+1</f>
        <v>49</v>
      </c>
      <c r="C95" s="33"/>
      <c r="D95" s="27" t="s">
        <v>65</v>
      </c>
      <c r="E95" s="64"/>
      <c r="F95" s="192" t="s">
        <v>56</v>
      </c>
      <c r="G95" s="64"/>
      <c r="H95" s="122">
        <v>927920.70200000005</v>
      </c>
      <c r="I95" s="341"/>
      <c r="J95" s="122">
        <f>$H95*K95/100</f>
        <v>8998.2363175943883</v>
      </c>
      <c r="K95" s="147">
        <v>0.96972039724946102</v>
      </c>
      <c r="L95" s="239"/>
      <c r="M95" s="122">
        <f t="shared" si="20"/>
        <v>-2146.6711571689484</v>
      </c>
      <c r="N95" s="239"/>
      <c r="O95" s="122">
        <f t="shared" ref="O95:O96" si="22">Q95</f>
        <v>11144.907474763337</v>
      </c>
      <c r="P95" s="122">
        <f t="shared" si="21"/>
        <v>0</v>
      </c>
      <c r="Q95" s="122">
        <f>$H95*R95/100</f>
        <v>11144.907474763337</v>
      </c>
      <c r="R95" s="147">
        <v>1.201062488501667</v>
      </c>
      <c r="S95" s="344"/>
      <c r="T95" s="178"/>
      <c r="U95" s="64"/>
    </row>
    <row r="96" spans="2:21" x14ac:dyDescent="0.2">
      <c r="B96" s="64">
        <f>MAX(B$66:B95)+1</f>
        <v>50</v>
      </c>
      <c r="C96" s="33"/>
      <c r="D96" s="27" t="s">
        <v>66</v>
      </c>
      <c r="E96" s="64"/>
      <c r="F96" s="192" t="s">
        <v>56</v>
      </c>
      <c r="G96" s="64"/>
      <c r="H96" s="122">
        <v>11179.351999999999</v>
      </c>
      <c r="I96" s="341"/>
      <c r="J96" s="122">
        <f>$H96*K96/100</f>
        <v>438.98457713622128</v>
      </c>
      <c r="K96" s="147">
        <v>3.9267443867607112</v>
      </c>
      <c r="L96" s="239"/>
      <c r="M96" s="122">
        <f t="shared" si="20"/>
        <v>96.557739318089602</v>
      </c>
      <c r="N96" s="239"/>
      <c r="O96" s="122">
        <f t="shared" si="22"/>
        <v>342.42683781813167</v>
      </c>
      <c r="P96" s="122">
        <f t="shared" si="21"/>
        <v>0</v>
      </c>
      <c r="Q96" s="122">
        <f>$H96*R96/100</f>
        <v>342.42683781813167</v>
      </c>
      <c r="R96" s="147">
        <v>3.0630293939946762</v>
      </c>
      <c r="S96" s="344"/>
      <c r="T96" s="178"/>
      <c r="U96" s="64"/>
    </row>
    <row r="97" spans="2:21" x14ac:dyDescent="0.2">
      <c r="B97" s="64">
        <f>MAX(B$66:B96)+1</f>
        <v>51</v>
      </c>
      <c r="C97" s="33"/>
      <c r="D97" s="27" t="s">
        <v>67</v>
      </c>
      <c r="E97" s="64"/>
      <c r="F97" s="192" t="s">
        <v>56</v>
      </c>
      <c r="G97" s="64"/>
      <c r="H97" s="122">
        <f>H91-SUM(H94:H96)</f>
        <v>26984.19599999988</v>
      </c>
      <c r="I97" s="341"/>
      <c r="J97" s="122">
        <f>$H97*K97/100</f>
        <v>0</v>
      </c>
      <c r="K97" s="147">
        <v>0</v>
      </c>
      <c r="L97" s="239"/>
      <c r="M97" s="122">
        <f t="shared" si="20"/>
        <v>-324.09705597976586</v>
      </c>
      <c r="N97" s="239"/>
      <c r="O97" s="122">
        <f>Q97</f>
        <v>324.09705597976586</v>
      </c>
      <c r="P97" s="122">
        <f t="shared" si="21"/>
        <v>0</v>
      </c>
      <c r="Q97" s="122">
        <f>$H97*R97/100</f>
        <v>324.09705597976586</v>
      </c>
      <c r="R97" s="147">
        <v>1.201062488501667</v>
      </c>
      <c r="S97" s="124"/>
      <c r="T97" s="178"/>
      <c r="U97" s="64"/>
    </row>
    <row r="98" spans="2:21" x14ac:dyDescent="0.2">
      <c r="B98" s="64">
        <f>MAX(B$66:B97)+1</f>
        <v>52</v>
      </c>
      <c r="C98" s="33"/>
      <c r="D98" s="26" t="s">
        <v>87</v>
      </c>
      <c r="E98" s="64"/>
      <c r="F98" s="16"/>
      <c r="G98" s="64"/>
      <c r="H98" s="146">
        <f>SUM(H94:H97)</f>
        <v>1068281.1669999999</v>
      </c>
      <c r="I98" s="341"/>
      <c r="J98" s="146">
        <f>SUM(J94:J97)</f>
        <v>13450.232596470612</v>
      </c>
      <c r="K98" s="139">
        <f>J98/$H98*100</f>
        <v>1.2590536098508804</v>
      </c>
      <c r="L98" s="239"/>
      <c r="M98" s="146">
        <f>SUM(M94:M97)</f>
        <v>411.352393417195</v>
      </c>
      <c r="N98" s="238"/>
      <c r="O98" s="146">
        <f>SUM(O94:O97)</f>
        <v>13038.880203053417</v>
      </c>
      <c r="P98" s="146">
        <f>SUM(P94:P97)</f>
        <v>0</v>
      </c>
      <c r="Q98" s="146">
        <f>SUM(Q94:Q97)</f>
        <v>13038.880203053417</v>
      </c>
      <c r="R98" s="139">
        <f>Q98/$H98*100</f>
        <v>1.220547605427684</v>
      </c>
      <c r="S98" s="342">
        <f>Q98/O98</f>
        <v>1</v>
      </c>
      <c r="T98" s="177">
        <f>R98/K98-1</f>
        <v>-3.0583292182258193E-2</v>
      </c>
    </row>
    <row r="99" spans="2:21" x14ac:dyDescent="0.2">
      <c r="H99" s="148"/>
      <c r="I99" s="148"/>
      <c r="J99" s="148"/>
      <c r="K99" s="148"/>
      <c r="L99" s="148"/>
      <c r="M99" s="148"/>
      <c r="N99" s="148"/>
      <c r="O99" s="148"/>
      <c r="P99" s="148"/>
      <c r="Q99" s="148"/>
      <c r="R99" s="148"/>
      <c r="S99" s="148"/>
      <c r="T99" s="180"/>
    </row>
    <row r="100" spans="2:21" x14ac:dyDescent="0.2">
      <c r="B100" s="64">
        <f>MAX(B$66:B99)+1</f>
        <v>53</v>
      </c>
      <c r="C100" s="33"/>
      <c r="D100" s="26" t="s">
        <v>88</v>
      </c>
      <c r="E100" s="64"/>
      <c r="F100" s="16" t="s">
        <v>56</v>
      </c>
      <c r="G100" s="64"/>
      <c r="H100" s="122">
        <f>H94</f>
        <v>102196.917</v>
      </c>
      <c r="I100" s="341"/>
      <c r="J100" s="122">
        <f>$H100*K100/100</f>
        <v>18742.333536088754</v>
      </c>
      <c r="K100" s="147">
        <v>18.339431448884856</v>
      </c>
      <c r="L100" s="239"/>
      <c r="M100" s="122">
        <f>J100-O100</f>
        <v>-2620.2990410866041</v>
      </c>
      <c r="N100" s="238"/>
      <c r="O100" s="122">
        <f>Q100</f>
        <v>21362.632577175358</v>
      </c>
      <c r="P100" s="122">
        <f>Q100-O100</f>
        <v>0</v>
      </c>
      <c r="Q100" s="122">
        <f>$H100*R100/100</f>
        <v>21362.632577175358</v>
      </c>
      <c r="R100" s="147">
        <v>20.903402181080821</v>
      </c>
      <c r="S100" s="124">
        <f>Q100/O100</f>
        <v>1</v>
      </c>
      <c r="T100" s="178">
        <f>R100/K100-1</f>
        <v>0.13980644598182845</v>
      </c>
    </row>
    <row r="101" spans="2:21" x14ac:dyDescent="0.2">
      <c r="B101" s="64"/>
      <c r="C101" s="33"/>
      <c r="D101" s="26"/>
      <c r="E101" s="64"/>
      <c r="F101" s="16"/>
      <c r="G101" s="64"/>
      <c r="H101" s="122"/>
      <c r="I101" s="341"/>
      <c r="J101" s="122"/>
      <c r="K101" s="147"/>
      <c r="L101" s="239"/>
      <c r="M101" s="122"/>
      <c r="N101" s="238"/>
      <c r="O101" s="122"/>
      <c r="P101" s="122"/>
      <c r="Q101" s="122"/>
      <c r="R101" s="147"/>
      <c r="S101" s="124"/>
      <c r="T101" s="178"/>
    </row>
    <row r="102" spans="2:21" ht="13.5" thickBot="1" x14ac:dyDescent="0.25">
      <c r="B102" s="64">
        <f>MAX(B$66:B101)+1</f>
        <v>54</v>
      </c>
      <c r="C102" s="33"/>
      <c r="D102" s="26" t="s">
        <v>147</v>
      </c>
      <c r="E102" s="64"/>
      <c r="F102" s="16"/>
      <c r="G102" s="64"/>
      <c r="H102" s="159">
        <f>H91</f>
        <v>1068281.1669999999</v>
      </c>
      <c r="I102" s="341"/>
      <c r="J102" s="159">
        <f>J91+J98+J100</f>
        <v>68051.261389183273</v>
      </c>
      <c r="K102" s="140">
        <f>J102/$H102*100</f>
        <v>6.3701639129601233</v>
      </c>
      <c r="L102" s="239"/>
      <c r="M102" s="159">
        <f>M91+M98+M100</f>
        <v>-8671.4350196323448</v>
      </c>
      <c r="N102" s="238"/>
      <c r="O102" s="159">
        <f>O91+O98+O100</f>
        <v>76722.696408815609</v>
      </c>
      <c r="P102" s="159">
        <f>P91+P98+P100</f>
        <v>-550.66886865620108</v>
      </c>
      <c r="Q102" s="159">
        <f>Q91+Q98+Q100</f>
        <v>76172.027540159412</v>
      </c>
      <c r="R102" s="140">
        <f>Q102/$H102*100</f>
        <v>7.1303351489448676</v>
      </c>
      <c r="S102" s="345">
        <f>Q102/O102</f>
        <v>0.99282260798392741</v>
      </c>
      <c r="T102" s="179">
        <f>R102/K102-1</f>
        <v>0.11933307311577535</v>
      </c>
    </row>
    <row r="103" spans="2:21" ht="13.5" thickTop="1" x14ac:dyDescent="0.2">
      <c r="B103" s="64"/>
      <c r="C103" s="33"/>
      <c r="D103" s="33"/>
      <c r="E103" s="64"/>
      <c r="F103" s="354"/>
      <c r="G103" s="64"/>
      <c r="H103" s="355"/>
      <c r="I103" s="341"/>
      <c r="J103" s="355"/>
      <c r="K103" s="240"/>
      <c r="L103" s="341"/>
      <c r="M103" s="341"/>
      <c r="N103" s="341"/>
      <c r="O103" s="341"/>
      <c r="P103" s="341"/>
      <c r="Q103" s="341"/>
      <c r="R103" s="341"/>
      <c r="S103" s="341"/>
      <c r="T103" s="341"/>
      <c r="U103" s="64"/>
    </row>
    <row r="104" spans="2:21" x14ac:dyDescent="0.2">
      <c r="B104" s="64"/>
      <c r="C104" s="33"/>
      <c r="D104" s="31" t="s">
        <v>9</v>
      </c>
      <c r="E104" s="64"/>
      <c r="F104" s="186"/>
      <c r="G104" s="64"/>
      <c r="H104" s="350"/>
      <c r="I104" s="341"/>
      <c r="J104" s="350"/>
      <c r="K104" s="341"/>
      <c r="L104" s="341"/>
      <c r="M104" s="144"/>
      <c r="N104" s="341"/>
      <c r="O104" s="145"/>
      <c r="P104" s="341"/>
      <c r="Q104" s="341"/>
      <c r="R104" s="341"/>
      <c r="S104" s="341"/>
      <c r="T104" s="341"/>
      <c r="U104" s="64"/>
    </row>
    <row r="105" spans="2:21" x14ac:dyDescent="0.2">
      <c r="B105" s="64">
        <f>MAX(B$66:B104)+1</f>
        <v>55</v>
      </c>
      <c r="C105" s="33"/>
      <c r="D105" s="26" t="s">
        <v>85</v>
      </c>
      <c r="E105" s="64"/>
      <c r="F105" s="16" t="s">
        <v>55</v>
      </c>
      <c r="G105" s="64"/>
      <c r="H105" s="122">
        <v>264</v>
      </c>
      <c r="I105" s="341"/>
      <c r="J105" s="122">
        <f>$H105*K105/1000</f>
        <v>179.81264869534934</v>
      </c>
      <c r="K105" s="331">
        <v>681.10851778541416</v>
      </c>
      <c r="L105" s="239"/>
      <c r="M105" s="122">
        <f>J105-O105</f>
        <v>-523.47049034496104</v>
      </c>
      <c r="N105" s="238"/>
      <c r="O105" s="122">
        <v>703.2831390403104</v>
      </c>
      <c r="P105" s="122">
        <f>Q105-O105</f>
        <v>-571.2831390403104</v>
      </c>
      <c r="Q105" s="122">
        <f>$H105*R105/1000</f>
        <v>132</v>
      </c>
      <c r="R105" s="331">
        <v>500</v>
      </c>
      <c r="S105" s="124">
        <f>Q105/O105</f>
        <v>0.18769111993801701</v>
      </c>
      <c r="T105" s="178">
        <f>R105/K105-1</f>
        <v>-0.26590258828986346</v>
      </c>
    </row>
    <row r="106" spans="2:21" x14ac:dyDescent="0.2">
      <c r="B106" s="64">
        <f>MAX(B$105:B105)+1</f>
        <v>56</v>
      </c>
      <c r="C106" s="33"/>
      <c r="D106" s="26" t="s">
        <v>89</v>
      </c>
      <c r="E106" s="64"/>
      <c r="F106" s="16" t="s">
        <v>81</v>
      </c>
      <c r="G106" s="64"/>
      <c r="H106" s="122">
        <v>14480.82</v>
      </c>
      <c r="I106" s="341"/>
      <c r="J106" s="122">
        <f>$H106*K106/100</f>
        <v>3927.8156367445113</v>
      </c>
      <c r="K106" s="147">
        <v>27.124262553809189</v>
      </c>
      <c r="L106" s="239"/>
      <c r="M106" s="122">
        <f>J106-O106</f>
        <v>-966.14933817619885</v>
      </c>
      <c r="N106" s="238"/>
      <c r="O106" s="122">
        <v>4893.9649749207101</v>
      </c>
      <c r="P106" s="122">
        <f>Q106-O106</f>
        <v>455.55483358303445</v>
      </c>
      <c r="Q106" s="122">
        <f>$H106*R106/100</f>
        <v>5349.5198085037446</v>
      </c>
      <c r="R106" s="147">
        <v>36.942105547225538</v>
      </c>
      <c r="S106" s="124">
        <f>Q106/O106</f>
        <v>1.0930850212287053</v>
      </c>
      <c r="T106" s="178">
        <f>R106/K106-1</f>
        <v>0.36195796932505298</v>
      </c>
    </row>
    <row r="107" spans="2:21" x14ac:dyDescent="0.2">
      <c r="B107" s="64"/>
      <c r="C107" s="33"/>
      <c r="D107" s="26" t="s">
        <v>86</v>
      </c>
      <c r="E107" s="64"/>
      <c r="F107" s="16"/>
      <c r="G107" s="64"/>
      <c r="H107" s="122"/>
      <c r="I107" s="341"/>
      <c r="J107" s="122"/>
      <c r="K107" s="147"/>
      <c r="L107" s="239"/>
      <c r="M107" s="122"/>
      <c r="N107" s="238"/>
      <c r="O107" s="122"/>
      <c r="P107" s="122"/>
      <c r="Q107" s="122"/>
      <c r="R107" s="147"/>
      <c r="S107" s="124"/>
      <c r="T107" s="138"/>
      <c r="U107" s="64"/>
    </row>
    <row r="108" spans="2:21" x14ac:dyDescent="0.2">
      <c r="B108" s="64">
        <f>MAX(B$105:B107)+1</f>
        <v>57</v>
      </c>
      <c r="C108" s="33"/>
      <c r="D108" s="27" t="s">
        <v>84</v>
      </c>
      <c r="E108" s="64"/>
      <c r="F108" s="16" t="s">
        <v>56</v>
      </c>
      <c r="G108" s="64"/>
      <c r="H108" s="122">
        <v>144905.005</v>
      </c>
      <c r="I108" s="341"/>
      <c r="J108" s="122">
        <f>$H108*K108/100</f>
        <v>1109.3506462422765</v>
      </c>
      <c r="K108" s="147">
        <v>0.76557096578015116</v>
      </c>
      <c r="L108" s="239"/>
      <c r="M108" s="122">
        <f>J108-O108</f>
        <v>696.35780172598834</v>
      </c>
      <c r="N108" s="238"/>
      <c r="O108" s="122">
        <f>Q108</f>
        <v>412.99284451628819</v>
      </c>
      <c r="P108" s="122">
        <f>Q108-O108</f>
        <v>0</v>
      </c>
      <c r="Q108" s="122">
        <f>$H108*R108/100</f>
        <v>412.99284451628819</v>
      </c>
      <c r="R108" s="147">
        <v>0.28500937184073671</v>
      </c>
      <c r="S108" s="124"/>
      <c r="T108" s="138"/>
      <c r="U108" s="64"/>
    </row>
    <row r="109" spans="2:21" x14ac:dyDescent="0.2">
      <c r="B109" s="64">
        <f>MAX(B$105:B108)+1</f>
        <v>58</v>
      </c>
      <c r="C109" s="33"/>
      <c r="D109" s="27" t="s">
        <v>83</v>
      </c>
      <c r="E109" s="64"/>
      <c r="F109" s="16" t="s">
        <v>56</v>
      </c>
      <c r="G109" s="64"/>
      <c r="H109" s="122">
        <v>236967.948</v>
      </c>
      <c r="I109" s="341"/>
      <c r="J109" s="122">
        <f>$H109*K109/100</f>
        <v>1571.2973991696394</v>
      </c>
      <c r="K109" s="147">
        <v>0.66308435905839858</v>
      </c>
      <c r="L109" s="239"/>
      <c r="M109" s="122">
        <f>J109-O109</f>
        <v>895.9165391109558</v>
      </c>
      <c r="N109" s="238"/>
      <c r="O109" s="122">
        <f>Q109</f>
        <v>675.38086005868365</v>
      </c>
      <c r="P109" s="122">
        <f>Q109-O109</f>
        <v>0</v>
      </c>
      <c r="Q109" s="122">
        <f>$H109*R109/100</f>
        <v>675.38086005868365</v>
      </c>
      <c r="R109" s="147">
        <v>0.28500937184073671</v>
      </c>
      <c r="S109" s="124"/>
      <c r="T109" s="138"/>
      <c r="U109" s="64"/>
    </row>
    <row r="110" spans="2:21" x14ac:dyDescent="0.2">
      <c r="B110" s="64">
        <f>MAX(B$105:B109)+1</f>
        <v>59</v>
      </c>
      <c r="C110" s="33"/>
      <c r="D110" s="26" t="s">
        <v>86</v>
      </c>
      <c r="E110" s="64"/>
      <c r="F110" s="16"/>
      <c r="G110" s="64"/>
      <c r="H110" s="146">
        <f>SUM(H108:H109)</f>
        <v>381872.95299999998</v>
      </c>
      <c r="I110" s="341"/>
      <c r="J110" s="146">
        <f>SUM(J108:J109)</f>
        <v>2680.648045411916</v>
      </c>
      <c r="K110" s="139">
        <f>J110/$H110*100</f>
        <v>0.7019737911136944</v>
      </c>
      <c r="L110" s="239"/>
      <c r="M110" s="146">
        <f>SUM(M108:M109)</f>
        <v>1592.2743408369442</v>
      </c>
      <c r="N110" s="238"/>
      <c r="O110" s="146">
        <f>SUM(O108:O109)</f>
        <v>1088.3737045749717</v>
      </c>
      <c r="P110" s="146">
        <f>SUM(P108:P109)</f>
        <v>0</v>
      </c>
      <c r="Q110" s="146">
        <f>SUM(Q108:Q109)</f>
        <v>1088.3737045749717</v>
      </c>
      <c r="R110" s="139">
        <f>Q110/$H110*100</f>
        <v>0.28500937184073671</v>
      </c>
      <c r="S110" s="342">
        <f>Q110/O110</f>
        <v>1</v>
      </c>
      <c r="T110" s="177">
        <f>R110/K110-1</f>
        <v>-0.59398858554453426</v>
      </c>
    </row>
    <row r="111" spans="2:21" x14ac:dyDescent="0.2">
      <c r="B111" s="64"/>
      <c r="C111" s="33"/>
      <c r="D111" s="26"/>
      <c r="E111" s="64"/>
      <c r="F111" s="16"/>
      <c r="G111" s="64"/>
      <c r="H111" s="122"/>
      <c r="I111" s="341"/>
      <c r="J111" s="122"/>
      <c r="K111" s="147"/>
      <c r="L111" s="239"/>
      <c r="M111" s="122"/>
      <c r="N111" s="238"/>
      <c r="O111" s="122"/>
      <c r="P111" s="122"/>
      <c r="Q111" s="122"/>
      <c r="R111" s="147"/>
      <c r="S111" s="124"/>
      <c r="T111" s="138"/>
    </row>
    <row r="112" spans="2:21" x14ac:dyDescent="0.2">
      <c r="B112" s="64">
        <f>MAX(B$105:B111)+1</f>
        <v>60</v>
      </c>
      <c r="C112" s="33"/>
      <c r="D112" s="26" t="s">
        <v>68</v>
      </c>
      <c r="E112" s="64"/>
      <c r="F112" s="16"/>
      <c r="G112" s="64"/>
      <c r="H112" s="146">
        <f>H110</f>
        <v>381872.95299999998</v>
      </c>
      <c r="I112" s="341"/>
      <c r="J112" s="146">
        <f>SUM(J105:J106,J110)</f>
        <v>6788.2763308517769</v>
      </c>
      <c r="K112" s="139">
        <f>J112/$H112*100</f>
        <v>1.7776268985595787</v>
      </c>
      <c r="L112" s="239"/>
      <c r="M112" s="146">
        <f>SUM(M105:M106,M110)</f>
        <v>102.65451231578436</v>
      </c>
      <c r="N112" s="238"/>
      <c r="O112" s="146">
        <f>SUM(O105:O106,O110)</f>
        <v>6685.6218185359921</v>
      </c>
      <c r="P112" s="146">
        <f>SUM(P105:P106,P110)</f>
        <v>-115.72830545727595</v>
      </c>
      <c r="Q112" s="146">
        <f>SUM(Q105:Q106,Q110)</f>
        <v>6569.8935130787158</v>
      </c>
      <c r="R112" s="139">
        <f>Q112/$H112*100</f>
        <v>1.7204396020890005</v>
      </c>
      <c r="S112" s="342">
        <f>Q112/O112</f>
        <v>0.98268997131479707</v>
      </c>
      <c r="T112" s="177">
        <f>R112/K112-1</f>
        <v>-3.2170584568065097E-2</v>
      </c>
    </row>
    <row r="113" spans="2:21" x14ac:dyDescent="0.2">
      <c r="E113" s="64"/>
      <c r="F113" s="16"/>
      <c r="G113" s="64"/>
      <c r="H113" s="122"/>
      <c r="I113" s="341"/>
      <c r="J113" s="122"/>
      <c r="K113" s="147"/>
      <c r="L113" s="239"/>
      <c r="M113" s="122"/>
      <c r="N113" s="238"/>
      <c r="O113" s="122"/>
      <c r="P113" s="122"/>
      <c r="Q113" s="122"/>
      <c r="R113" s="147"/>
      <c r="S113" s="124"/>
      <c r="T113" s="178"/>
    </row>
    <row r="114" spans="2:21" x14ac:dyDescent="0.2">
      <c r="B114" s="64"/>
      <c r="C114" s="33"/>
      <c r="D114" s="26" t="s">
        <v>87</v>
      </c>
      <c r="E114" s="64"/>
      <c r="F114" s="192"/>
      <c r="G114" s="64"/>
      <c r="H114" s="122"/>
      <c r="I114" s="341"/>
      <c r="J114" s="122"/>
      <c r="K114" s="147"/>
      <c r="L114" s="239"/>
      <c r="M114" s="122"/>
      <c r="N114" s="238"/>
      <c r="O114" s="122"/>
      <c r="P114" s="122"/>
      <c r="Q114" s="122"/>
      <c r="R114" s="240"/>
      <c r="S114" s="124"/>
      <c r="T114" s="343"/>
    </row>
    <row r="115" spans="2:21" x14ac:dyDescent="0.2">
      <c r="B115" s="64">
        <f>MAX(B$105:B114)+1</f>
        <v>61</v>
      </c>
      <c r="C115" s="33"/>
      <c r="D115" s="27" t="s">
        <v>64</v>
      </c>
      <c r="E115" s="64"/>
      <c r="F115" s="192" t="s">
        <v>56</v>
      </c>
      <c r="G115" s="64"/>
      <c r="H115" s="122">
        <v>1651.1379999999999</v>
      </c>
      <c r="I115" s="341"/>
      <c r="J115" s="122">
        <f>$H115*K115/100</f>
        <v>64.8359851089931</v>
      </c>
      <c r="K115" s="147">
        <v>3.9267453785808999</v>
      </c>
      <c r="L115" s="239"/>
      <c r="M115" s="122">
        <f>J115-O115</f>
        <v>49.647961819864975</v>
      </c>
      <c r="N115" s="238"/>
      <c r="O115" s="122">
        <f>Q115</f>
        <v>15.188023289128125</v>
      </c>
      <c r="P115" s="122">
        <f>Q115-O115</f>
        <v>0</v>
      </c>
      <c r="Q115" s="122">
        <f>$H115*R115/100</f>
        <v>15.188023289128125</v>
      </c>
      <c r="R115" s="147">
        <v>0.91985184091990657</v>
      </c>
      <c r="S115" s="344"/>
      <c r="T115" s="178"/>
    </row>
    <row r="116" spans="2:21" x14ac:dyDescent="0.2">
      <c r="B116" s="64">
        <f>MAX(B$105:B115)+1</f>
        <v>62</v>
      </c>
      <c r="C116" s="33"/>
      <c r="D116" s="27" t="s">
        <v>65</v>
      </c>
      <c r="E116" s="64"/>
      <c r="F116" s="192" t="s">
        <v>56</v>
      </c>
      <c r="G116" s="64"/>
      <c r="H116" s="122">
        <v>241077.16699999999</v>
      </c>
      <c r="I116" s="341"/>
      <c r="J116" s="122">
        <f>$H116*K116/100</f>
        <v>2337.774598905788</v>
      </c>
      <c r="K116" s="147">
        <v>0.96972045424185205</v>
      </c>
      <c r="L116" s="239"/>
      <c r="M116" s="122">
        <f>J116-O116</f>
        <v>120.22184021873045</v>
      </c>
      <c r="N116" s="239"/>
      <c r="O116" s="122">
        <f>Q116</f>
        <v>2217.5527586870576</v>
      </c>
      <c r="P116" s="122">
        <f>Q116-O116</f>
        <v>0</v>
      </c>
      <c r="Q116" s="122">
        <f>$H116*R116/100</f>
        <v>2217.5527586870576</v>
      </c>
      <c r="R116" s="147">
        <v>0.91985184091990657</v>
      </c>
      <c r="S116" s="344"/>
      <c r="T116" s="178"/>
      <c r="U116" s="64"/>
    </row>
    <row r="117" spans="2:21" x14ac:dyDescent="0.2">
      <c r="B117" s="64">
        <f>MAX(B$105:B116)+1</f>
        <v>63</v>
      </c>
      <c r="C117" s="33"/>
      <c r="D117" s="27" t="s">
        <v>66</v>
      </c>
      <c r="E117" s="64"/>
      <c r="F117" s="192" t="s">
        <v>56</v>
      </c>
      <c r="G117" s="64"/>
      <c r="H117" s="122">
        <v>0</v>
      </c>
      <c r="I117" s="341"/>
      <c r="J117" s="122">
        <f>$H117*K117/100</f>
        <v>0</v>
      </c>
      <c r="K117" s="147">
        <v>3.9267453785808999</v>
      </c>
      <c r="L117" s="239"/>
      <c r="M117" s="122">
        <f>J117-O117</f>
        <v>0</v>
      </c>
      <c r="N117" s="239"/>
      <c r="O117" s="122">
        <f>Q117</f>
        <v>0</v>
      </c>
      <c r="P117" s="122">
        <f>Q117-O117</f>
        <v>0</v>
      </c>
      <c r="Q117" s="122">
        <f>$H117*R117/100</f>
        <v>0</v>
      </c>
      <c r="R117" s="147">
        <v>2.7818187464129158</v>
      </c>
      <c r="S117" s="344"/>
      <c r="T117" s="178"/>
      <c r="U117" s="64"/>
    </row>
    <row r="118" spans="2:21" x14ac:dyDescent="0.2">
      <c r="B118" s="64">
        <f>MAX(B$105:B117)+1</f>
        <v>64</v>
      </c>
      <c r="C118" s="33"/>
      <c r="D118" s="27" t="s">
        <v>67</v>
      </c>
      <c r="E118" s="64"/>
      <c r="F118" s="192" t="s">
        <v>56</v>
      </c>
      <c r="G118" s="64"/>
      <c r="H118" s="122">
        <f>H112-SUM(H115:H117)</f>
        <v>139144.64799999999</v>
      </c>
      <c r="I118" s="341"/>
      <c r="J118" s="122">
        <f>$H118*K118/100</f>
        <v>0</v>
      </c>
      <c r="K118" s="147">
        <v>0</v>
      </c>
      <c r="L118" s="239"/>
      <c r="M118" s="122">
        <f>J118-O118</f>
        <v>-1279.9246061695239</v>
      </c>
      <c r="N118" s="239"/>
      <c r="O118" s="122">
        <f>Q118</f>
        <v>1279.9246061695239</v>
      </c>
      <c r="P118" s="122">
        <f>Q118-O118</f>
        <v>0</v>
      </c>
      <c r="Q118" s="122">
        <f>$H118*R118/100</f>
        <v>1279.9246061695239</v>
      </c>
      <c r="R118" s="147">
        <v>0.91985184091990657</v>
      </c>
      <c r="S118" s="124"/>
      <c r="T118" s="178"/>
      <c r="U118" s="64"/>
    </row>
    <row r="119" spans="2:21" x14ac:dyDescent="0.2">
      <c r="B119" s="64">
        <f>MAX(B$105:B118)+1</f>
        <v>65</v>
      </c>
      <c r="C119" s="33"/>
      <c r="D119" s="26" t="s">
        <v>87</v>
      </c>
      <c r="E119" s="64"/>
      <c r="F119" s="16"/>
      <c r="G119" s="64"/>
      <c r="H119" s="146">
        <f>SUM(H115:H118)</f>
        <v>381872.95299999998</v>
      </c>
      <c r="I119" s="341"/>
      <c r="J119" s="146">
        <f>SUM(J115:J118)</f>
        <v>2402.6105840147811</v>
      </c>
      <c r="K119" s="139">
        <f>J119/$H119*100</f>
        <v>0.62916490029991234</v>
      </c>
      <c r="L119" s="239"/>
      <c r="M119" s="146">
        <f>SUM(M115:M118)</f>
        <v>-1110.0548041309285</v>
      </c>
      <c r="N119" s="238"/>
      <c r="O119" s="146">
        <f>SUM(O115:O118)</f>
        <v>3512.6653881457096</v>
      </c>
      <c r="P119" s="146">
        <f>SUM(P115:P118)</f>
        <v>0</v>
      </c>
      <c r="Q119" s="146">
        <f>SUM(Q115:Q118)</f>
        <v>3512.6653881457096</v>
      </c>
      <c r="R119" s="139">
        <f>Q119/$H119*100</f>
        <v>0.91985184091990657</v>
      </c>
      <c r="S119" s="342">
        <f>Q119/O119</f>
        <v>1</v>
      </c>
      <c r="T119" s="177">
        <f>R119/K119-1</f>
        <v>0.46202027557708414</v>
      </c>
    </row>
    <row r="120" spans="2:21" x14ac:dyDescent="0.2">
      <c r="H120" s="148"/>
      <c r="I120" s="148"/>
      <c r="J120" s="148"/>
      <c r="K120" s="148"/>
      <c r="L120" s="148"/>
      <c r="M120" s="148"/>
      <c r="N120" s="148"/>
      <c r="O120" s="148"/>
      <c r="P120" s="148"/>
      <c r="Q120" s="148"/>
      <c r="R120" s="148"/>
      <c r="S120" s="148"/>
      <c r="T120" s="180"/>
    </row>
    <row r="121" spans="2:21" x14ac:dyDescent="0.2">
      <c r="B121" s="64">
        <f>MAX(B$105:B120)+1</f>
        <v>66</v>
      </c>
      <c r="C121" s="33"/>
      <c r="D121" s="26" t="s">
        <v>88</v>
      </c>
      <c r="E121" s="64"/>
      <c r="F121" s="16" t="s">
        <v>56</v>
      </c>
      <c r="G121" s="64"/>
      <c r="H121" s="122">
        <f>H115</f>
        <v>1651.1379999999999</v>
      </c>
      <c r="I121" s="341"/>
      <c r="J121" s="122">
        <f>$H121*K121/100</f>
        <v>302.80932163648845</v>
      </c>
      <c r="K121" s="147">
        <v>18.339431448884856</v>
      </c>
      <c r="L121" s="239"/>
      <c r="M121" s="122">
        <f>J121-O121</f>
        <v>-42.334695068165729</v>
      </c>
      <c r="N121" s="238"/>
      <c r="O121" s="122">
        <f>Q121</f>
        <v>345.14401670465418</v>
      </c>
      <c r="P121" s="122">
        <f>Q121-O121</f>
        <v>0</v>
      </c>
      <c r="Q121" s="122">
        <f>$H121*R121/100</f>
        <v>345.14401670465418</v>
      </c>
      <c r="R121" s="147">
        <v>20.903402181080821</v>
      </c>
      <c r="S121" s="124">
        <f>Q121/O121</f>
        <v>1</v>
      </c>
      <c r="T121" s="178">
        <f>R121/K121-1</f>
        <v>0.13980644598182845</v>
      </c>
    </row>
    <row r="122" spans="2:21" x14ac:dyDescent="0.2">
      <c r="B122" s="64"/>
      <c r="C122" s="33"/>
      <c r="D122" s="26"/>
      <c r="E122" s="64"/>
      <c r="F122" s="16"/>
      <c r="G122" s="64"/>
      <c r="H122" s="122"/>
      <c r="I122" s="341"/>
      <c r="J122" s="122"/>
      <c r="K122" s="147"/>
      <c r="L122" s="239"/>
      <c r="M122" s="122"/>
      <c r="N122" s="238"/>
      <c r="O122" s="122"/>
      <c r="P122" s="122"/>
      <c r="Q122" s="122"/>
      <c r="R122" s="147"/>
      <c r="S122" s="124"/>
      <c r="T122" s="178"/>
    </row>
    <row r="123" spans="2:21" ht="13.5" thickBot="1" x14ac:dyDescent="0.25">
      <c r="B123" s="64">
        <f>MAX(B$105:B122)+1</f>
        <v>67</v>
      </c>
      <c r="C123" s="33"/>
      <c r="D123" s="26" t="s">
        <v>145</v>
      </c>
      <c r="E123" s="64"/>
      <c r="F123" s="16"/>
      <c r="G123" s="64"/>
      <c r="H123" s="159">
        <f>H112</f>
        <v>381872.95299999998</v>
      </c>
      <c r="I123" s="341"/>
      <c r="J123" s="159">
        <f>J112+J119+J121</f>
        <v>9493.6962365030467</v>
      </c>
      <c r="K123" s="140">
        <f>J123/$H123*100</f>
        <v>2.4860876272908095</v>
      </c>
      <c r="L123" s="239"/>
      <c r="M123" s="159">
        <f>M112+M119+M121</f>
        <v>-1049.7349868833098</v>
      </c>
      <c r="N123" s="238"/>
      <c r="O123" s="159">
        <f>O112+O119+O121</f>
        <v>10543.431223386357</v>
      </c>
      <c r="P123" s="159">
        <f>P112+P119+P121</f>
        <v>-115.72830545727595</v>
      </c>
      <c r="Q123" s="159">
        <f>Q112+Q119+Q121</f>
        <v>10427.70291792908</v>
      </c>
      <c r="R123" s="140">
        <f>Q123/$H123*100</f>
        <v>2.7306733393943929</v>
      </c>
      <c r="S123" s="345">
        <f>Q123/O123</f>
        <v>0.98902365814265669</v>
      </c>
      <c r="T123" s="179">
        <f>R123/K123-1</f>
        <v>9.8381774406768763E-2</v>
      </c>
    </row>
    <row r="124" spans="2:21" ht="13.5" thickTop="1" x14ac:dyDescent="0.2">
      <c r="H124" s="148"/>
      <c r="I124" s="148"/>
      <c r="J124" s="148"/>
      <c r="K124" s="148"/>
      <c r="L124" s="148"/>
      <c r="M124" s="148"/>
      <c r="N124" s="148"/>
      <c r="O124" s="148"/>
      <c r="P124" s="148"/>
      <c r="Q124" s="148"/>
      <c r="R124" s="148"/>
      <c r="S124" s="148"/>
      <c r="T124" s="180"/>
    </row>
    <row r="125" spans="2:21" x14ac:dyDescent="0.2">
      <c r="B125" s="339" t="s">
        <v>506</v>
      </c>
      <c r="C125" s="166"/>
      <c r="D125" s="166"/>
      <c r="E125" s="166"/>
      <c r="F125" s="166"/>
      <c r="G125" s="166"/>
      <c r="H125" s="166"/>
      <c r="I125" s="166"/>
      <c r="J125" s="166"/>
      <c r="K125" s="166"/>
      <c r="L125" s="166"/>
      <c r="M125" s="166"/>
      <c r="N125" s="166"/>
      <c r="O125" s="166"/>
      <c r="P125" s="166"/>
      <c r="Q125" s="166"/>
      <c r="R125" s="166"/>
      <c r="S125" s="166"/>
      <c r="T125" s="166"/>
      <c r="U125" s="31"/>
    </row>
    <row r="126" spans="2:21" x14ac:dyDescent="0.2">
      <c r="B126" s="339" t="s">
        <v>1057</v>
      </c>
      <c r="C126" s="166"/>
      <c r="D126" s="166"/>
      <c r="E126" s="166"/>
      <c r="F126" s="166"/>
      <c r="G126" s="166"/>
      <c r="H126" s="166"/>
      <c r="I126" s="166"/>
      <c r="J126" s="166"/>
      <c r="K126" s="166"/>
      <c r="L126" s="166"/>
      <c r="M126" s="166"/>
      <c r="N126" s="166"/>
      <c r="O126" s="166"/>
      <c r="P126" s="166"/>
      <c r="Q126" s="166"/>
      <c r="R126" s="166"/>
      <c r="S126" s="166"/>
      <c r="T126" s="166"/>
      <c r="U126" s="31"/>
    </row>
    <row r="127" spans="2:21" x14ac:dyDescent="0.2">
      <c r="B127" s="168"/>
      <c r="C127" s="168"/>
      <c r="D127" s="168"/>
      <c r="E127" s="168"/>
      <c r="F127" s="170"/>
      <c r="G127" s="168"/>
      <c r="H127" s="170"/>
      <c r="I127" s="168"/>
      <c r="J127" s="170"/>
      <c r="K127" s="170"/>
      <c r="L127" s="170"/>
      <c r="M127" s="170"/>
      <c r="N127" s="168"/>
      <c r="O127" s="168"/>
      <c r="P127" s="168"/>
      <c r="Q127" s="168"/>
      <c r="R127" s="168"/>
      <c r="S127" s="169"/>
      <c r="T127" s="169"/>
    </row>
    <row r="128" spans="2:21" x14ac:dyDescent="0.2">
      <c r="B128" s="170"/>
      <c r="C128" s="170"/>
      <c r="D128" s="170"/>
      <c r="E128" s="170"/>
      <c r="F128" s="340"/>
      <c r="G128" s="170"/>
      <c r="H128" s="340"/>
      <c r="I128" s="170"/>
      <c r="J128" s="173" t="s">
        <v>57</v>
      </c>
      <c r="K128" s="173"/>
      <c r="L128" s="170"/>
      <c r="M128" s="170"/>
      <c r="N128" s="170"/>
      <c r="O128" s="173" t="s">
        <v>60</v>
      </c>
      <c r="P128" s="173"/>
      <c r="Q128" s="173"/>
      <c r="R128" s="173"/>
      <c r="S128" s="174"/>
      <c r="T128" s="174"/>
    </row>
    <row r="129" spans="2:21" s="45" customFormat="1" ht="39" customHeight="1" x14ac:dyDescent="0.2">
      <c r="B129" s="154" t="s">
        <v>0</v>
      </c>
      <c r="C129" s="154"/>
      <c r="D129" s="154"/>
      <c r="E129" s="154"/>
      <c r="F129" s="60" t="s">
        <v>47</v>
      </c>
      <c r="G129" s="154"/>
      <c r="H129" s="45" t="s">
        <v>746</v>
      </c>
      <c r="I129" s="154"/>
      <c r="J129" s="45" t="s">
        <v>61</v>
      </c>
      <c r="K129" s="45" t="s">
        <v>571</v>
      </c>
      <c r="L129" s="154"/>
      <c r="M129" s="45" t="s">
        <v>34</v>
      </c>
      <c r="N129" s="154"/>
      <c r="O129" s="154" t="s">
        <v>79</v>
      </c>
      <c r="P129" s="45" t="s">
        <v>34</v>
      </c>
      <c r="Q129" s="45" t="s">
        <v>61</v>
      </c>
      <c r="R129" s="45" t="s">
        <v>69</v>
      </c>
      <c r="S129" s="154" t="s">
        <v>745</v>
      </c>
      <c r="T129" s="154" t="s">
        <v>747</v>
      </c>
      <c r="U129" s="154"/>
    </row>
    <row r="130" spans="2:21" ht="14.25" x14ac:dyDescent="0.2">
      <c r="B130" s="520" t="s">
        <v>1</v>
      </c>
      <c r="C130" s="33"/>
      <c r="D130" s="185" t="s">
        <v>33</v>
      </c>
      <c r="E130" s="64"/>
      <c r="F130" s="520" t="s">
        <v>48</v>
      </c>
      <c r="G130" s="64"/>
      <c r="H130" s="520" t="s">
        <v>560</v>
      </c>
      <c r="I130" s="64"/>
      <c r="J130" s="520" t="s">
        <v>389</v>
      </c>
      <c r="K130" s="520" t="s">
        <v>35</v>
      </c>
      <c r="L130" s="64"/>
      <c r="M130" s="520" t="s">
        <v>389</v>
      </c>
      <c r="N130" s="64"/>
      <c r="O130" s="520" t="s">
        <v>389</v>
      </c>
      <c r="P130" s="520" t="s">
        <v>389</v>
      </c>
      <c r="Q130" s="520" t="s">
        <v>389</v>
      </c>
      <c r="R130" s="520" t="s">
        <v>35</v>
      </c>
      <c r="S130" s="520" t="s">
        <v>36</v>
      </c>
      <c r="T130" s="520" t="s">
        <v>2</v>
      </c>
      <c r="U130" s="64"/>
    </row>
    <row r="131" spans="2:21" x14ac:dyDescent="0.2">
      <c r="B131" s="64"/>
      <c r="C131" s="33"/>
      <c r="D131" s="33"/>
      <c r="E131" s="64"/>
      <c r="F131" s="64"/>
      <c r="G131" s="64"/>
      <c r="H131" s="64" t="s">
        <v>3</v>
      </c>
      <c r="I131" s="64"/>
      <c r="J131" s="64" t="s">
        <v>4</v>
      </c>
      <c r="K131" s="64" t="s">
        <v>58</v>
      </c>
      <c r="L131" s="64"/>
      <c r="M131" s="64" t="s">
        <v>59</v>
      </c>
      <c r="N131" s="64"/>
      <c r="O131" s="64" t="s">
        <v>63</v>
      </c>
      <c r="P131" s="64" t="s">
        <v>227</v>
      </c>
      <c r="Q131" s="175" t="s">
        <v>38</v>
      </c>
      <c r="R131" s="175" t="s">
        <v>70</v>
      </c>
      <c r="S131" s="175" t="s">
        <v>479</v>
      </c>
      <c r="T131" s="175" t="s">
        <v>71</v>
      </c>
      <c r="U131" s="64"/>
    </row>
    <row r="132" spans="2:21" x14ac:dyDescent="0.2">
      <c r="B132" s="64"/>
      <c r="C132" s="33"/>
      <c r="D132" s="33"/>
      <c r="E132" s="64"/>
      <c r="F132" s="64"/>
      <c r="G132" s="64"/>
      <c r="H132" s="64"/>
      <c r="I132" s="64"/>
      <c r="J132" s="64"/>
      <c r="K132" s="64"/>
      <c r="L132" s="64"/>
      <c r="M132" s="64"/>
      <c r="N132" s="64"/>
      <c r="O132" s="64"/>
      <c r="P132" s="64"/>
      <c r="Q132" s="175"/>
      <c r="R132" s="175"/>
      <c r="S132" s="175"/>
      <c r="T132" s="175"/>
      <c r="U132" s="64"/>
    </row>
    <row r="133" spans="2:21" x14ac:dyDescent="0.2">
      <c r="B133" s="64"/>
      <c r="C133" s="33"/>
      <c r="D133" s="31" t="s">
        <v>10</v>
      </c>
      <c r="E133" s="64"/>
      <c r="F133" s="186"/>
      <c r="G133" s="64"/>
      <c r="H133" s="350"/>
      <c r="I133" s="341"/>
      <c r="J133" s="350"/>
      <c r="K133" s="341"/>
      <c r="L133" s="341"/>
      <c r="M133" s="144"/>
      <c r="N133" s="341"/>
      <c r="O133" s="145"/>
      <c r="P133" s="341"/>
      <c r="Q133" s="341"/>
      <c r="R133" s="341"/>
      <c r="S133" s="341"/>
      <c r="T133" s="351"/>
      <c r="U133" s="64"/>
    </row>
    <row r="134" spans="2:21" x14ac:dyDescent="0.2">
      <c r="B134" s="64">
        <f>MAX(B$105:B133)+1</f>
        <v>68</v>
      </c>
      <c r="C134" s="33"/>
      <c r="D134" s="26" t="s">
        <v>85</v>
      </c>
      <c r="E134" s="64"/>
      <c r="F134" s="16" t="s">
        <v>55</v>
      </c>
      <c r="G134" s="64"/>
      <c r="H134" s="122">
        <v>48</v>
      </c>
      <c r="I134" s="341"/>
      <c r="J134" s="122">
        <f>$H134*K134/1000</f>
        <v>26.254544387989348</v>
      </c>
      <c r="K134" s="331">
        <v>546.96967474977816</v>
      </c>
      <c r="L134" s="239"/>
      <c r="M134" s="122">
        <f t="shared" ref="M134:M135" si="23">J134-O134</f>
        <v>-593.63479086561813</v>
      </c>
      <c r="N134" s="238"/>
      <c r="O134" s="122">
        <v>619.88933525360744</v>
      </c>
      <c r="P134" s="122">
        <f t="shared" ref="P134:P135" si="24">Q134-O134</f>
        <v>-475.88933525360744</v>
      </c>
      <c r="Q134" s="122">
        <f>$H134*R134/1000</f>
        <v>144</v>
      </c>
      <c r="R134" s="331">
        <v>3000</v>
      </c>
      <c r="S134" s="124">
        <f>Q134/O134</f>
        <v>0.23229952801347536</v>
      </c>
      <c r="T134" s="178">
        <f t="shared" ref="T134:T135" si="25">R134/K134-1</f>
        <v>4.4847647657475855</v>
      </c>
    </row>
    <row r="135" spans="2:21" x14ac:dyDescent="0.2">
      <c r="B135" s="64">
        <f>MAX(B$105:B134)+1</f>
        <v>69</v>
      </c>
      <c r="C135" s="33"/>
      <c r="D135" s="26" t="s">
        <v>89</v>
      </c>
      <c r="E135" s="64"/>
      <c r="F135" s="16" t="s">
        <v>81</v>
      </c>
      <c r="G135" s="64"/>
      <c r="H135" s="122">
        <v>111124.284</v>
      </c>
      <c r="I135" s="341"/>
      <c r="J135" s="122">
        <f>$H135*K135/100</f>
        <v>12460.002477029422</v>
      </c>
      <c r="K135" s="147">
        <v>11.212672899678186</v>
      </c>
      <c r="L135" s="239"/>
      <c r="M135" s="122">
        <f t="shared" si="23"/>
        <v>1212.6274662839096</v>
      </c>
      <c r="N135" s="238"/>
      <c r="O135" s="122">
        <v>11247.375010745513</v>
      </c>
      <c r="P135" s="122">
        <f t="shared" si="24"/>
        <v>475.88933525360699</v>
      </c>
      <c r="Q135" s="122">
        <f>$H135*R135/100</f>
        <v>11723.26434599912</v>
      </c>
      <c r="R135" s="147">
        <v>10.549687182685577</v>
      </c>
      <c r="S135" s="124">
        <f>Q135/O135</f>
        <v>1.0423111468052726</v>
      </c>
      <c r="T135" s="178">
        <f t="shared" si="25"/>
        <v>-5.9128249162751945E-2</v>
      </c>
    </row>
    <row r="136" spans="2:21" x14ac:dyDescent="0.2">
      <c r="B136" s="64">
        <f>MAX(B$105:B135)+1</f>
        <v>70</v>
      </c>
      <c r="C136" s="33"/>
      <c r="D136" s="26" t="s">
        <v>68</v>
      </c>
      <c r="E136" s="64"/>
      <c r="F136" s="16" t="s">
        <v>56</v>
      </c>
      <c r="G136" s="64"/>
      <c r="H136" s="146">
        <v>824970.7141199999</v>
      </c>
      <c r="I136" s="341"/>
      <c r="J136" s="146">
        <f>SUM(J134:J135)</f>
        <v>12486.257021417412</v>
      </c>
      <c r="K136" s="139">
        <f>J136/$H136*100</f>
        <v>1.5135394272433731</v>
      </c>
      <c r="L136" s="239"/>
      <c r="M136" s="146">
        <f>SUM(M134:M135)</f>
        <v>618.99267541829147</v>
      </c>
      <c r="N136" s="238"/>
      <c r="O136" s="146">
        <f>SUM(O134:O135)</f>
        <v>11867.26434599912</v>
      </c>
      <c r="P136" s="146">
        <f>SUM(P134:P135)</f>
        <v>-4.5474735088646412E-13</v>
      </c>
      <c r="Q136" s="146">
        <f>SUM(Q134:Q135)</f>
        <v>11867.26434599912</v>
      </c>
      <c r="R136" s="139">
        <f>Q136/$H136*100</f>
        <v>1.438507348549698</v>
      </c>
      <c r="S136" s="342">
        <f>Q136/O136</f>
        <v>1</v>
      </c>
      <c r="T136" s="177">
        <f>R136/K136-1</f>
        <v>-4.9573917496375963E-2</v>
      </c>
    </row>
    <row r="137" spans="2:21" x14ac:dyDescent="0.2">
      <c r="E137" s="64"/>
      <c r="F137" s="16"/>
      <c r="G137" s="64"/>
      <c r="H137" s="122"/>
      <c r="I137" s="341"/>
      <c r="J137" s="122"/>
      <c r="K137" s="147"/>
      <c r="L137" s="239"/>
      <c r="M137" s="122"/>
      <c r="N137" s="238"/>
      <c r="O137" s="122"/>
      <c r="P137" s="122"/>
      <c r="Q137" s="122"/>
      <c r="R137" s="147"/>
      <c r="S137" s="124"/>
      <c r="T137" s="178"/>
    </row>
    <row r="138" spans="2:21" x14ac:dyDescent="0.2">
      <c r="B138" s="64">
        <f>MAX(B$105:B137)+1</f>
        <v>71</v>
      </c>
      <c r="C138" s="33"/>
      <c r="D138" s="26" t="s">
        <v>146</v>
      </c>
      <c r="E138" s="64"/>
      <c r="F138" s="16"/>
      <c r="G138" s="64"/>
      <c r="H138" s="122"/>
      <c r="I138" s="341"/>
      <c r="J138" s="122">
        <v>588.24265500000001</v>
      </c>
      <c r="K138" s="332">
        <v>8.9999999999999993E-3</v>
      </c>
      <c r="L138" s="239"/>
      <c r="M138" s="122">
        <f>J138-O138</f>
        <v>280.18466877864682</v>
      </c>
      <c r="N138" s="238"/>
      <c r="O138" s="122">
        <f>Q138</f>
        <v>308.05798622135319</v>
      </c>
      <c r="P138" s="122">
        <f>Q138-O138</f>
        <v>0</v>
      </c>
      <c r="Q138" s="122">
        <v>308.05798622135319</v>
      </c>
      <c r="R138" s="332">
        <v>4.7099999999999998E-3</v>
      </c>
      <c r="S138" s="124">
        <f>Q138/O138</f>
        <v>1</v>
      </c>
      <c r="T138" s="178">
        <f>R138/K138-1</f>
        <v>-0.47666666666666668</v>
      </c>
    </row>
    <row r="139" spans="2:21" x14ac:dyDescent="0.2">
      <c r="B139" s="64"/>
      <c r="C139" s="33"/>
      <c r="D139" s="26"/>
      <c r="E139" s="64"/>
      <c r="F139" s="16"/>
      <c r="G139" s="64"/>
      <c r="H139" s="122"/>
      <c r="I139" s="341"/>
      <c r="J139" s="122"/>
      <c r="K139" s="147"/>
      <c r="L139" s="239"/>
      <c r="M139" s="122"/>
      <c r="N139" s="238"/>
      <c r="O139" s="122"/>
      <c r="P139" s="122"/>
      <c r="Q139" s="122"/>
      <c r="R139" s="147"/>
      <c r="S139" s="124"/>
      <c r="T139" s="178"/>
    </row>
    <row r="140" spans="2:21" ht="13.5" thickBot="1" x14ac:dyDescent="0.25">
      <c r="B140" s="64">
        <f>MAX(B$105:B139)+1</f>
        <v>72</v>
      </c>
      <c r="C140" s="33"/>
      <c r="D140" s="26" t="s">
        <v>144</v>
      </c>
      <c r="E140" s="64"/>
      <c r="F140" s="16"/>
      <c r="G140" s="64"/>
      <c r="H140" s="159">
        <f>H136</f>
        <v>824970.7141199999</v>
      </c>
      <c r="I140" s="341"/>
      <c r="J140" s="159">
        <f>J136+J138</f>
        <v>13074.499676417412</v>
      </c>
      <c r="K140" s="140">
        <f>J140/$H140*100</f>
        <v>1.5848440984191834</v>
      </c>
      <c r="L140" s="239"/>
      <c r="M140" s="159">
        <f>M136+M138</f>
        <v>899.17734419693829</v>
      </c>
      <c r="N140" s="238"/>
      <c r="O140" s="159">
        <f>O136+O138</f>
        <v>12175.322332220472</v>
      </c>
      <c r="P140" s="159">
        <f>P136+P138</f>
        <v>-4.5474735088646412E-13</v>
      </c>
      <c r="Q140" s="159">
        <f>Q136+Q138</f>
        <v>12175.322332220472</v>
      </c>
      <c r="R140" s="140">
        <f>Q140/$H140*100</f>
        <v>1.4758490360725041</v>
      </c>
      <c r="S140" s="345">
        <f>Q140/O140</f>
        <v>1</v>
      </c>
      <c r="T140" s="179">
        <f>R140/K140-1</f>
        <v>-6.8773365440422451E-2</v>
      </c>
    </row>
    <row r="141" spans="2:21" ht="13.5" thickTop="1" x14ac:dyDescent="0.2">
      <c r="B141" s="64"/>
      <c r="C141" s="33"/>
      <c r="D141" s="33"/>
      <c r="E141" s="64"/>
      <c r="F141" s="354"/>
      <c r="G141" s="64"/>
      <c r="H141" s="354"/>
      <c r="I141" s="64"/>
      <c r="J141" s="354"/>
      <c r="K141" s="189"/>
      <c r="L141" s="64"/>
      <c r="M141" s="64"/>
      <c r="N141" s="64"/>
      <c r="O141" s="64"/>
      <c r="P141" s="64"/>
      <c r="Q141" s="64"/>
      <c r="R141" s="64"/>
      <c r="S141" s="64"/>
      <c r="T141" s="64"/>
      <c r="U141" s="64"/>
    </row>
    <row r="142" spans="2:21" x14ac:dyDescent="0.2">
      <c r="B142" s="64"/>
      <c r="C142" s="33"/>
      <c r="D142" s="31" t="s">
        <v>11</v>
      </c>
      <c r="E142" s="64"/>
      <c r="F142" s="186"/>
      <c r="G142" s="64"/>
      <c r="H142" s="350"/>
      <c r="I142" s="341"/>
      <c r="J142" s="350"/>
      <c r="K142" s="341"/>
      <c r="L142" s="341"/>
      <c r="M142" s="144"/>
      <c r="N142" s="341"/>
      <c r="O142" s="145"/>
      <c r="P142" s="341"/>
      <c r="Q142" s="341"/>
      <c r="R142" s="341"/>
      <c r="S142" s="341"/>
      <c r="T142" s="341"/>
      <c r="U142" s="64"/>
    </row>
    <row r="143" spans="2:21" x14ac:dyDescent="0.2">
      <c r="B143" s="64">
        <f>MAX(B$66:B142)+1</f>
        <v>73</v>
      </c>
      <c r="C143" s="33"/>
      <c r="D143" s="26" t="s">
        <v>85</v>
      </c>
      <c r="E143" s="64"/>
      <c r="F143" s="16" t="s">
        <v>55</v>
      </c>
      <c r="G143" s="64"/>
      <c r="H143" s="122">
        <v>492</v>
      </c>
      <c r="I143" s="341"/>
      <c r="J143" s="122">
        <f>$H143*K143/1000</f>
        <v>61.938145847481231</v>
      </c>
      <c r="K143" s="331">
        <v>125.890540340409</v>
      </c>
      <c r="L143" s="239"/>
      <c r="M143" s="122">
        <f>J143-O143</f>
        <v>-1077.2390763068724</v>
      </c>
      <c r="N143" s="238"/>
      <c r="O143" s="122">
        <v>1139.1772221543538</v>
      </c>
      <c r="P143" s="122">
        <f>Q143-O143</f>
        <v>-893.17722215435379</v>
      </c>
      <c r="Q143" s="122">
        <f>$H143*R143/1000</f>
        <v>246</v>
      </c>
      <c r="R143" s="331">
        <v>500</v>
      </c>
      <c r="S143" s="124">
        <f>Q143/O143</f>
        <v>0.21594532897592295</v>
      </c>
      <c r="T143" s="178">
        <f t="shared" ref="T143" si="26">R143/K143-1</f>
        <v>2.971704296827991</v>
      </c>
    </row>
    <row r="144" spans="2:21" x14ac:dyDescent="0.2">
      <c r="B144" s="64"/>
      <c r="C144" s="33"/>
      <c r="D144" s="26" t="s">
        <v>148</v>
      </c>
      <c r="E144" s="64"/>
      <c r="F144" s="16"/>
      <c r="G144" s="64"/>
      <c r="H144" s="122"/>
      <c r="I144" s="341"/>
      <c r="J144" s="122"/>
      <c r="K144" s="147"/>
      <c r="L144" s="239"/>
      <c r="M144" s="122"/>
      <c r="N144" s="238"/>
      <c r="O144" s="122"/>
      <c r="P144" s="122"/>
      <c r="Q144" s="122"/>
      <c r="R144" s="147"/>
      <c r="S144" s="124"/>
      <c r="T144" s="133"/>
    </row>
    <row r="145" spans="2:21" x14ac:dyDescent="0.2">
      <c r="B145" s="64"/>
      <c r="C145" s="33"/>
      <c r="D145" s="26" t="s">
        <v>86</v>
      </c>
      <c r="E145" s="64"/>
      <c r="F145" s="16"/>
      <c r="G145" s="64"/>
      <c r="H145" s="122"/>
      <c r="I145" s="341"/>
      <c r="J145" s="122"/>
      <c r="K145" s="147"/>
      <c r="L145" s="239"/>
      <c r="M145" s="122"/>
      <c r="N145" s="238"/>
      <c r="O145" s="122"/>
      <c r="P145" s="122"/>
      <c r="Q145" s="122"/>
      <c r="R145" s="147"/>
      <c r="S145" s="124"/>
      <c r="T145" s="133"/>
      <c r="U145" s="64"/>
    </row>
    <row r="146" spans="2:21" x14ac:dyDescent="0.2">
      <c r="B146" s="64">
        <f>MAX(B$143:B145)+1</f>
        <v>74</v>
      </c>
      <c r="C146" s="33"/>
      <c r="D146" s="356" t="s">
        <v>149</v>
      </c>
      <c r="E146" s="64"/>
      <c r="F146" s="16" t="s">
        <v>56</v>
      </c>
      <c r="G146" s="64"/>
      <c r="H146" s="122">
        <v>402.14400000000001</v>
      </c>
      <c r="I146" s="341"/>
      <c r="J146" s="122">
        <f>$H146*K146/100</f>
        <v>35.015314786719131</v>
      </c>
      <c r="K146" s="147">
        <v>8.7071583280414799</v>
      </c>
      <c r="L146" s="239"/>
      <c r="M146" s="122">
        <f t="shared" ref="M146:M148" si="27">J146-O146</f>
        <v>-10.5797062664126</v>
      </c>
      <c r="N146" s="238"/>
      <c r="O146" s="122">
        <v>45.595021053131731</v>
      </c>
      <c r="P146" s="122">
        <f t="shared" ref="P146:P148" si="28">Q146-O146</f>
        <v>-0.2659287204758769</v>
      </c>
      <c r="Q146" s="122">
        <f>$H146*R146/100</f>
        <v>45.329092332655854</v>
      </c>
      <c r="R146" s="147">
        <v>11.271855935350485</v>
      </c>
      <c r="S146" s="124"/>
      <c r="T146" s="133"/>
      <c r="U146" s="64"/>
    </row>
    <row r="147" spans="2:21" x14ac:dyDescent="0.2">
      <c r="B147" s="64">
        <f>MAX(B$143:B146)+1</f>
        <v>75</v>
      </c>
      <c r="C147" s="33"/>
      <c r="D147" s="356" t="s">
        <v>150</v>
      </c>
      <c r="E147" s="64"/>
      <c r="F147" s="16" t="s">
        <v>56</v>
      </c>
      <c r="G147" s="64"/>
      <c r="H147" s="122">
        <v>846.84799999999996</v>
      </c>
      <c r="I147" s="341"/>
      <c r="J147" s="122">
        <f>$H147*K147/100</f>
        <v>61.233583607525112</v>
      </c>
      <c r="K147" s="147">
        <v>7.2307643883583737</v>
      </c>
      <c r="L147" s="239"/>
      <c r="M147" s="122">
        <f t="shared" si="27"/>
        <v>-19.623449876528419</v>
      </c>
      <c r="N147" s="238"/>
      <c r="O147" s="122">
        <v>80.857033484053531</v>
      </c>
      <c r="P147" s="122">
        <f t="shared" si="28"/>
        <v>-0.4691699336829771</v>
      </c>
      <c r="Q147" s="122">
        <f>$H147*R147/100</f>
        <v>80.387863550370554</v>
      </c>
      <c r="R147" s="147">
        <v>9.492596493157043</v>
      </c>
      <c r="S147" s="124"/>
      <c r="T147" s="133"/>
      <c r="U147" s="64"/>
    </row>
    <row r="148" spans="2:21" x14ac:dyDescent="0.2">
      <c r="B148" s="64">
        <f>MAX(B$143:B147)+1</f>
        <v>76</v>
      </c>
      <c r="C148" s="33"/>
      <c r="D148" s="356" t="s">
        <v>975</v>
      </c>
      <c r="E148" s="64"/>
      <c r="F148" s="16" t="s">
        <v>56</v>
      </c>
      <c r="G148" s="64"/>
      <c r="H148" s="122">
        <v>2136.3440000000001</v>
      </c>
      <c r="I148" s="341"/>
      <c r="J148" s="122">
        <f>$H148*K148/100</f>
        <v>141.97355903898131</v>
      </c>
      <c r="K148" s="147">
        <v>6.6456319318883716</v>
      </c>
      <c r="L148" s="239"/>
      <c r="M148" s="122">
        <f t="shared" si="27"/>
        <v>-46.838363238881414</v>
      </c>
      <c r="N148" s="238"/>
      <c r="O148" s="122">
        <v>188.81192227786272</v>
      </c>
      <c r="P148" s="122">
        <f t="shared" si="28"/>
        <v>-1.0777475281126669</v>
      </c>
      <c r="Q148" s="122">
        <f>$H148*R148/100</f>
        <v>187.73417474975005</v>
      </c>
      <c r="R148" s="147">
        <v>8.7876378874259036</v>
      </c>
      <c r="S148" s="124"/>
      <c r="T148" s="133"/>
      <c r="U148" s="64"/>
    </row>
    <row r="149" spans="2:21" x14ac:dyDescent="0.2">
      <c r="B149" s="64">
        <f>MAX(B$143:B148)+1</f>
        <v>77</v>
      </c>
      <c r="C149" s="33"/>
      <c r="D149" s="26" t="s">
        <v>86</v>
      </c>
      <c r="E149" s="64"/>
      <c r="F149" s="16"/>
      <c r="G149" s="64"/>
      <c r="H149" s="146">
        <f>SUM(H146:H148)</f>
        <v>3385.3360000000002</v>
      </c>
      <c r="I149" s="341"/>
      <c r="J149" s="146">
        <f>SUM(J146:J148)</f>
        <v>238.22245743322554</v>
      </c>
      <c r="K149" s="139">
        <f>J149/$H149*100</f>
        <v>7.0368925694000692</v>
      </c>
      <c r="L149" s="239"/>
      <c r="M149" s="146">
        <f>SUM(M146:M148)</f>
        <v>-77.04151938182244</v>
      </c>
      <c r="N149" s="238"/>
      <c r="O149" s="146">
        <f>SUM(O146:O148)</f>
        <v>315.26397681504795</v>
      </c>
      <c r="P149" s="146">
        <f>SUM(P146:P148)</f>
        <v>-1.8128461822715209</v>
      </c>
      <c r="Q149" s="146">
        <f>SUM(Q146:Q148)</f>
        <v>313.45113063277643</v>
      </c>
      <c r="R149" s="139">
        <f>Q149/$H149*100</f>
        <v>9.2590847890069519</v>
      </c>
      <c r="S149" s="342">
        <f>Q149/O149</f>
        <v>0.99424975158727047</v>
      </c>
      <c r="T149" s="177">
        <f>R149/K149-1</f>
        <v>0.31579169323546119</v>
      </c>
    </row>
    <row r="150" spans="2:21" x14ac:dyDescent="0.2">
      <c r="B150" s="64"/>
      <c r="C150" s="33"/>
      <c r="D150" s="26"/>
      <c r="E150" s="64"/>
      <c r="F150" s="16"/>
      <c r="G150" s="64"/>
      <c r="H150" s="122"/>
      <c r="I150" s="341"/>
      <c r="J150" s="122"/>
      <c r="K150" s="147"/>
      <c r="L150" s="239"/>
      <c r="M150" s="122"/>
      <c r="N150" s="238"/>
      <c r="O150" s="122"/>
      <c r="P150" s="122"/>
      <c r="Q150" s="122"/>
      <c r="R150" s="147"/>
      <c r="S150" s="124"/>
      <c r="T150" s="133"/>
    </row>
    <row r="151" spans="2:21" x14ac:dyDescent="0.2">
      <c r="B151" s="64"/>
      <c r="C151" s="33"/>
      <c r="D151" s="26" t="s">
        <v>152</v>
      </c>
      <c r="E151" s="64"/>
      <c r="F151" s="16"/>
      <c r="G151" s="64"/>
      <c r="H151" s="122"/>
      <c r="I151" s="341"/>
      <c r="J151" s="122"/>
      <c r="K151" s="147"/>
      <c r="L151" s="239"/>
      <c r="M151" s="122"/>
      <c r="N151" s="238"/>
      <c r="O151" s="122"/>
      <c r="P151" s="122"/>
      <c r="Q151" s="122"/>
      <c r="R151" s="147"/>
      <c r="S151" s="124"/>
      <c r="T151" s="133"/>
    </row>
    <row r="152" spans="2:21" x14ac:dyDescent="0.2">
      <c r="B152" s="64"/>
      <c r="C152" s="33"/>
      <c r="D152" s="26" t="s">
        <v>86</v>
      </c>
      <c r="E152" s="64"/>
      <c r="F152" s="16"/>
      <c r="G152" s="64"/>
      <c r="H152" s="122"/>
      <c r="I152" s="341"/>
      <c r="J152" s="122"/>
      <c r="K152" s="147"/>
      <c r="L152" s="239"/>
      <c r="M152" s="122"/>
      <c r="N152" s="238"/>
      <c r="O152" s="122"/>
      <c r="P152" s="122"/>
      <c r="Q152" s="122"/>
      <c r="R152" s="147"/>
      <c r="S152" s="124"/>
      <c r="T152" s="133"/>
      <c r="U152" s="64"/>
    </row>
    <row r="153" spans="2:21" x14ac:dyDescent="0.2">
      <c r="B153" s="64">
        <f>MAX(B$143:B152)+1</f>
        <v>78</v>
      </c>
      <c r="C153" s="33"/>
      <c r="D153" s="356" t="s">
        <v>149</v>
      </c>
      <c r="E153" s="64"/>
      <c r="F153" s="16" t="s">
        <v>56</v>
      </c>
      <c r="G153" s="64"/>
      <c r="H153" s="122">
        <v>3705.44</v>
      </c>
      <c r="I153" s="341"/>
      <c r="J153" s="122">
        <f>$H153*K153/100</f>
        <v>111.85631867227292</v>
      </c>
      <c r="K153" s="147">
        <v>3.0187054350434206</v>
      </c>
      <c r="L153" s="239"/>
      <c r="M153" s="122">
        <f t="shared" ref="M153:M155" si="29">J153-O153</f>
        <v>-52.641700801332576</v>
      </c>
      <c r="N153" s="238"/>
      <c r="O153" s="122">
        <v>164.4980194736055</v>
      </c>
      <c r="P153" s="122">
        <f t="shared" ref="P153:P155" si="30">Q153-O153</f>
        <v>-0.80880493807634934</v>
      </c>
      <c r="Q153" s="122">
        <f>$H153*R153/100</f>
        <v>163.68921453552915</v>
      </c>
      <c r="R153" s="147">
        <v>4.4175378507148713</v>
      </c>
      <c r="S153" s="124"/>
      <c r="T153" s="133"/>
      <c r="U153" s="64"/>
    </row>
    <row r="154" spans="2:21" x14ac:dyDescent="0.2">
      <c r="B154" s="64">
        <f>MAX(B$143:B153)+1</f>
        <v>79</v>
      </c>
      <c r="C154" s="33"/>
      <c r="D154" s="356" t="s">
        <v>150</v>
      </c>
      <c r="E154" s="64"/>
      <c r="F154" s="16" t="s">
        <v>56</v>
      </c>
      <c r="G154" s="64"/>
      <c r="H154" s="122">
        <v>7201.058</v>
      </c>
      <c r="I154" s="341"/>
      <c r="J154" s="122">
        <f>$H154*K154/100</f>
        <v>157.22947760271464</v>
      </c>
      <c r="K154" s="147">
        <v>2.1834219027636586</v>
      </c>
      <c r="L154" s="239"/>
      <c r="M154" s="122">
        <f t="shared" si="29"/>
        <v>-89.495150657679829</v>
      </c>
      <c r="N154" s="238"/>
      <c r="O154" s="122">
        <v>246.72462826039447</v>
      </c>
      <c r="P154" s="122">
        <f t="shared" si="30"/>
        <v>-1.090199496825079</v>
      </c>
      <c r="Q154" s="122">
        <f>$H154*R154/100</f>
        <v>245.63442876356939</v>
      </c>
      <c r="R154" s="147">
        <v>3.4110880479447516</v>
      </c>
      <c r="S154" s="124"/>
      <c r="T154" s="133"/>
      <c r="U154" s="64"/>
    </row>
    <row r="155" spans="2:21" x14ac:dyDescent="0.2">
      <c r="B155" s="64">
        <f>MAX(B$143:B154)+1</f>
        <v>80</v>
      </c>
      <c r="C155" s="33"/>
      <c r="D155" s="356" t="s">
        <v>151</v>
      </c>
      <c r="E155" s="64"/>
      <c r="F155" s="16" t="s">
        <v>56</v>
      </c>
      <c r="G155" s="64"/>
      <c r="H155" s="122">
        <v>38354.665000000001</v>
      </c>
      <c r="I155" s="341"/>
      <c r="J155" s="122">
        <f>$H155*K155/100</f>
        <v>739.33668347133414</v>
      </c>
      <c r="K155" s="147">
        <v>1.9276317065247057</v>
      </c>
      <c r="L155" s="239"/>
      <c r="M155" s="122">
        <f t="shared" si="29"/>
        <v>-455.79025664957078</v>
      </c>
      <c r="N155" s="238"/>
      <c r="O155" s="122">
        <v>1195.1269401209049</v>
      </c>
      <c r="P155" s="122">
        <f t="shared" si="30"/>
        <v>-5.0297299979658874</v>
      </c>
      <c r="Q155" s="122">
        <f>$H155*R155/100</f>
        <v>1190.097210122939</v>
      </c>
      <c r="R155" s="147">
        <v>3.1028747353755768</v>
      </c>
      <c r="S155" s="124"/>
      <c r="T155" s="133"/>
      <c r="U155" s="64"/>
    </row>
    <row r="156" spans="2:21" x14ac:dyDescent="0.2">
      <c r="B156" s="64">
        <f>MAX(B$143:B155)+1</f>
        <v>81</v>
      </c>
      <c r="C156" s="33"/>
      <c r="D156" s="26" t="s">
        <v>86</v>
      </c>
      <c r="E156" s="64"/>
      <c r="F156" s="16"/>
      <c r="G156" s="64"/>
      <c r="H156" s="146">
        <f>SUM(H153:H155)</f>
        <v>49261.163</v>
      </c>
      <c r="I156" s="341"/>
      <c r="J156" s="146">
        <f>SUM(J153:J155)</f>
        <v>1008.4224797463216</v>
      </c>
      <c r="K156" s="139">
        <f>J156/$H156*100</f>
        <v>2.0470943403149486</v>
      </c>
      <c r="L156" s="239"/>
      <c r="M156" s="146">
        <f>SUM(M153:M155)</f>
        <v>-597.92710810858318</v>
      </c>
      <c r="N156" s="238"/>
      <c r="O156" s="146">
        <f>SUM(O153:O155)</f>
        <v>1606.3495878549049</v>
      </c>
      <c r="P156" s="146">
        <f>SUM(P153:P155)</f>
        <v>-6.9287344328673157</v>
      </c>
      <c r="Q156" s="146">
        <f>SUM(Q153:Q155)</f>
        <v>1599.4208534220375</v>
      </c>
      <c r="R156" s="139">
        <f>Q156/$H156*100</f>
        <v>3.246819108639472</v>
      </c>
      <c r="S156" s="342">
        <f>Q156/O156</f>
        <v>0.99568665844268678</v>
      </c>
      <c r="T156" s="177">
        <f>R156/K156-1</f>
        <v>0.58606227602580541</v>
      </c>
    </row>
    <row r="157" spans="2:21" x14ac:dyDescent="0.2">
      <c r="B157" s="64"/>
      <c r="C157" s="33"/>
      <c r="D157" s="26"/>
      <c r="E157" s="64"/>
      <c r="F157" s="16"/>
      <c r="G157" s="64"/>
      <c r="H157" s="122"/>
      <c r="I157" s="341"/>
      <c r="J157" s="122"/>
      <c r="K157" s="147"/>
      <c r="L157" s="239"/>
      <c r="M157" s="122"/>
      <c r="N157" s="238"/>
      <c r="O157" s="122"/>
      <c r="P157" s="122"/>
      <c r="Q157" s="122"/>
      <c r="R157" s="147"/>
      <c r="S157" s="124"/>
      <c r="T157" s="133"/>
    </row>
    <row r="158" spans="2:21" x14ac:dyDescent="0.2">
      <c r="B158" s="64">
        <f>MAX(B$143:B157)+1</f>
        <v>82</v>
      </c>
      <c r="C158" s="33"/>
      <c r="D158" s="26" t="s">
        <v>153</v>
      </c>
      <c r="E158" s="64"/>
      <c r="F158" s="16"/>
      <c r="G158" s="64"/>
      <c r="H158" s="122"/>
      <c r="I158" s="341"/>
      <c r="J158" s="122">
        <v>-443.52872445205486</v>
      </c>
      <c r="K158" s="147"/>
      <c r="L158" s="239"/>
      <c r="M158" s="122"/>
      <c r="N158" s="238"/>
      <c r="O158" s="122">
        <f>Q158</f>
        <v>-443.52872445205486</v>
      </c>
      <c r="P158" s="122"/>
      <c r="Q158" s="122">
        <v>-443.52872445205486</v>
      </c>
      <c r="R158" s="122"/>
      <c r="S158" s="124"/>
      <c r="T158" s="178"/>
    </row>
    <row r="159" spans="2:21" x14ac:dyDescent="0.2">
      <c r="B159" s="64"/>
      <c r="C159" s="33"/>
      <c r="D159" s="26"/>
      <c r="E159" s="64"/>
      <c r="F159" s="16"/>
      <c r="G159" s="64"/>
      <c r="H159" s="122"/>
      <c r="I159" s="341"/>
      <c r="J159" s="122"/>
      <c r="K159" s="147"/>
      <c r="L159" s="239"/>
      <c r="M159" s="122"/>
      <c r="N159" s="238"/>
      <c r="O159" s="122"/>
      <c r="P159" s="122"/>
      <c r="Q159" s="122"/>
      <c r="R159" s="147"/>
      <c r="S159" s="124"/>
      <c r="T159" s="133"/>
    </row>
    <row r="160" spans="2:21" x14ac:dyDescent="0.2">
      <c r="B160" s="64">
        <f>MAX(B$143:B159)+1</f>
        <v>83</v>
      </c>
      <c r="C160" s="33"/>
      <c r="D160" s="26" t="s">
        <v>68</v>
      </c>
      <c r="E160" s="64"/>
      <c r="F160" s="16"/>
      <c r="G160" s="64"/>
      <c r="H160" s="146">
        <f>H149+H156</f>
        <v>52646.499000000003</v>
      </c>
      <c r="I160" s="341"/>
      <c r="J160" s="146">
        <f>SUM(J143,J149,J156,J158)</f>
        <v>865.05435857497355</v>
      </c>
      <c r="K160" s="139">
        <f>J160/$H160*100</f>
        <v>1.6431374830356213</v>
      </c>
      <c r="L160" s="239"/>
      <c r="M160" s="146">
        <f>SUM(M143,M149,M156,M158)</f>
        <v>-1752.2077037972781</v>
      </c>
      <c r="N160" s="238"/>
      <c r="O160" s="146">
        <f>SUM(O143,O149,O156,O158)</f>
        <v>2617.2620623722514</v>
      </c>
      <c r="P160" s="146">
        <f>SUM(P143,P149,P156,P158)</f>
        <v>-901.91880276949269</v>
      </c>
      <c r="Q160" s="146">
        <f>SUM(Q143,Q149,Q156,Q158)</f>
        <v>1715.343259602759</v>
      </c>
      <c r="R160" s="139">
        <f>Q160/$H160*100</f>
        <v>3.2582285473584083</v>
      </c>
      <c r="S160" s="342">
        <f>Q160/O160</f>
        <v>0.65539606608900092</v>
      </c>
      <c r="T160" s="177">
        <f>R160/K160-1</f>
        <v>0.98293117952551357</v>
      </c>
    </row>
    <row r="161" spans="2:21" x14ac:dyDescent="0.2">
      <c r="E161" s="64"/>
      <c r="F161" s="16"/>
      <c r="G161" s="64"/>
      <c r="H161" s="122"/>
      <c r="I161" s="341"/>
      <c r="J161" s="122"/>
      <c r="K161" s="147"/>
      <c r="L161" s="239"/>
      <c r="M161" s="122"/>
      <c r="N161" s="238"/>
      <c r="O161" s="122"/>
      <c r="P161" s="122"/>
      <c r="Q161" s="122"/>
      <c r="R161" s="147"/>
      <c r="S161" s="124"/>
      <c r="T161" s="178"/>
    </row>
    <row r="162" spans="2:21" x14ac:dyDescent="0.2">
      <c r="B162" s="64"/>
      <c r="C162" s="33"/>
      <c r="D162" s="26" t="s">
        <v>87</v>
      </c>
      <c r="E162" s="64"/>
      <c r="F162" s="192"/>
      <c r="G162" s="64"/>
      <c r="H162" s="122"/>
      <c r="I162" s="341"/>
      <c r="J162" s="122"/>
      <c r="K162" s="147"/>
      <c r="L162" s="239"/>
      <c r="M162" s="122"/>
      <c r="N162" s="238"/>
      <c r="O162" s="122"/>
      <c r="P162" s="122"/>
      <c r="Q162" s="122"/>
      <c r="R162" s="240"/>
      <c r="S162" s="124"/>
      <c r="T162" s="343"/>
    </row>
    <row r="163" spans="2:21" x14ac:dyDescent="0.2">
      <c r="B163" s="64">
        <f>MAX(B$143:B162)+1</f>
        <v>84</v>
      </c>
      <c r="C163" s="33"/>
      <c r="D163" s="27" t="s">
        <v>64</v>
      </c>
      <c r="E163" s="64"/>
      <c r="F163" s="192" t="s">
        <v>56</v>
      </c>
      <c r="G163" s="64"/>
      <c r="H163" s="122">
        <v>4391.5119999999997</v>
      </c>
      <c r="I163" s="341"/>
      <c r="J163" s="122">
        <f>$H163*K163/100</f>
        <v>172.44346504549389</v>
      </c>
      <c r="K163" s="147">
        <v>3.9267447076426962</v>
      </c>
      <c r="L163" s="239"/>
      <c r="M163" s="122">
        <f t="shared" ref="M163:M166" si="31">J163-O163</f>
        <v>133.46878281549525</v>
      </c>
      <c r="N163" s="238"/>
      <c r="O163" s="122">
        <f>Q163</f>
        <v>38.974682229998656</v>
      </c>
      <c r="P163" s="122">
        <f t="shared" ref="P163:P166" si="32">Q163-O163</f>
        <v>0</v>
      </c>
      <c r="Q163" s="122">
        <f>$H163*R163/100</f>
        <v>38.974682229998656</v>
      </c>
      <c r="R163" s="147">
        <v>0.88750030126295132</v>
      </c>
      <c r="S163" s="344"/>
      <c r="T163" s="178"/>
    </row>
    <row r="164" spans="2:21" x14ac:dyDescent="0.2">
      <c r="B164" s="64">
        <f>MAX(B$143:B163)+1</f>
        <v>85</v>
      </c>
      <c r="C164" s="33"/>
      <c r="D164" s="27" t="s">
        <v>65</v>
      </c>
      <c r="E164" s="64"/>
      <c r="F164" s="192" t="s">
        <v>56</v>
      </c>
      <c r="G164" s="64"/>
      <c r="H164" s="122">
        <v>48254.987000000001</v>
      </c>
      <c r="I164" s="341"/>
      <c r="J164" s="122">
        <f>$H164*K164/100</f>
        <v>467.93900000524388</v>
      </c>
      <c r="K164" s="147">
        <v>0.96972153366292246</v>
      </c>
      <c r="L164" s="239"/>
      <c r="M164" s="122">
        <f t="shared" si="31"/>
        <v>39.675845005845872</v>
      </c>
      <c r="N164" s="239"/>
      <c r="O164" s="122">
        <f t="shared" ref="O164:O165" si="33">Q164</f>
        <v>428.26315499939801</v>
      </c>
      <c r="P164" s="122">
        <f t="shared" si="32"/>
        <v>0</v>
      </c>
      <c r="Q164" s="122">
        <f>$H164*R164/100</f>
        <v>428.26315499939801</v>
      </c>
      <c r="R164" s="147">
        <v>0.88750030126295132</v>
      </c>
      <c r="S164" s="344"/>
      <c r="T164" s="178"/>
      <c r="U164" s="64"/>
    </row>
    <row r="165" spans="2:21" x14ac:dyDescent="0.2">
      <c r="B165" s="64">
        <f>MAX(B$143:B164)+1</f>
        <v>86</v>
      </c>
      <c r="C165" s="33"/>
      <c r="D165" s="27" t="s">
        <v>66</v>
      </c>
      <c r="E165" s="64"/>
      <c r="F165" s="192" t="s">
        <v>56</v>
      </c>
      <c r="G165" s="64"/>
      <c r="H165" s="122">
        <v>0</v>
      </c>
      <c r="I165" s="341"/>
      <c r="J165" s="122">
        <f>$H165*K165/100</f>
        <v>0</v>
      </c>
      <c r="K165" s="147">
        <v>3.9267447076426962</v>
      </c>
      <c r="L165" s="239"/>
      <c r="M165" s="122">
        <f t="shared" si="31"/>
        <v>0</v>
      </c>
      <c r="N165" s="239"/>
      <c r="O165" s="122">
        <f t="shared" si="33"/>
        <v>0</v>
      </c>
      <c r="P165" s="122">
        <f t="shared" si="32"/>
        <v>0</v>
      </c>
      <c r="Q165" s="122">
        <f>$H165*R165/100</f>
        <v>0</v>
      </c>
      <c r="R165" s="147">
        <v>2.7494672067559605</v>
      </c>
      <c r="S165" s="344"/>
      <c r="T165" s="178"/>
      <c r="U165" s="64"/>
    </row>
    <row r="166" spans="2:21" x14ac:dyDescent="0.2">
      <c r="B166" s="64">
        <f>MAX(B$143:B165)+1</f>
        <v>87</v>
      </c>
      <c r="C166" s="33"/>
      <c r="D166" s="27" t="s">
        <v>67</v>
      </c>
      <c r="E166" s="64"/>
      <c r="F166" s="192" t="s">
        <v>56</v>
      </c>
      <c r="G166" s="64"/>
      <c r="H166" s="122">
        <f>H160-SUM(H163:H165)</f>
        <v>0</v>
      </c>
      <c r="I166" s="341"/>
      <c r="J166" s="122">
        <f>$H166*K166/100</f>
        <v>0</v>
      </c>
      <c r="K166" s="147">
        <v>0</v>
      </c>
      <c r="L166" s="239"/>
      <c r="M166" s="122">
        <f t="shared" si="31"/>
        <v>0</v>
      </c>
      <c r="N166" s="239"/>
      <c r="O166" s="122">
        <f>Q166</f>
        <v>0</v>
      </c>
      <c r="P166" s="122">
        <f t="shared" si="32"/>
        <v>0</v>
      </c>
      <c r="Q166" s="122">
        <f>$H166*R166/100</f>
        <v>0</v>
      </c>
      <c r="R166" s="147">
        <v>0.88750030126295132</v>
      </c>
      <c r="S166" s="124"/>
      <c r="T166" s="178"/>
      <c r="U166" s="64"/>
    </row>
    <row r="167" spans="2:21" x14ac:dyDescent="0.2">
      <c r="B167" s="64">
        <f>MAX(B$143:B166)+1</f>
        <v>88</v>
      </c>
      <c r="C167" s="33"/>
      <c r="D167" s="26" t="s">
        <v>87</v>
      </c>
      <c r="E167" s="64"/>
      <c r="F167" s="16"/>
      <c r="G167" s="64"/>
      <c r="H167" s="146">
        <f>SUM(H163:H166)</f>
        <v>52646.499000000003</v>
      </c>
      <c r="I167" s="341"/>
      <c r="J167" s="146">
        <f>SUM(J163:J166)</f>
        <v>640.38246505073778</v>
      </c>
      <c r="K167" s="139">
        <f>J167/$H167*100</f>
        <v>1.2163818624496525</v>
      </c>
      <c r="L167" s="239"/>
      <c r="M167" s="146">
        <f>SUM(M163:M166)</f>
        <v>173.14462782134112</v>
      </c>
      <c r="N167" s="238"/>
      <c r="O167" s="146">
        <f>SUM(O163:O166)</f>
        <v>467.23783722939669</v>
      </c>
      <c r="P167" s="146">
        <f>SUM(P163:P166)</f>
        <v>0</v>
      </c>
      <c r="Q167" s="146">
        <f>SUM(Q163:Q166)</f>
        <v>467.23783722939669</v>
      </c>
      <c r="R167" s="139">
        <f>Q167/$H167*100</f>
        <v>0.88750030126295132</v>
      </c>
      <c r="S167" s="342">
        <f>Q167/O167</f>
        <v>1</v>
      </c>
      <c r="T167" s="177">
        <f>R167/K167-1</f>
        <v>-0.27037690328954078</v>
      </c>
    </row>
    <row r="168" spans="2:21" x14ac:dyDescent="0.2">
      <c r="H168" s="148"/>
      <c r="I168" s="148"/>
      <c r="J168" s="148"/>
      <c r="K168" s="148"/>
      <c r="L168" s="148"/>
      <c r="M168" s="148"/>
      <c r="N168" s="148"/>
      <c r="O168" s="148"/>
      <c r="P168" s="148"/>
      <c r="Q168" s="148"/>
      <c r="R168" s="148"/>
      <c r="S168" s="148"/>
      <c r="T168" s="180"/>
    </row>
    <row r="169" spans="2:21" x14ac:dyDescent="0.2">
      <c r="B169" s="64">
        <f>MAX(B$143:B168)+1</f>
        <v>89</v>
      </c>
      <c r="C169" s="33"/>
      <c r="D169" s="26" t="s">
        <v>88</v>
      </c>
      <c r="E169" s="64"/>
      <c r="F169" s="16" t="s">
        <v>56</v>
      </c>
      <c r="G169" s="64"/>
      <c r="H169" s="122">
        <f>H163</f>
        <v>4391.5119999999997</v>
      </c>
      <c r="I169" s="341"/>
      <c r="J169" s="122">
        <f>$H169*K169/100</f>
        <v>805.71480507816364</v>
      </c>
      <c r="K169" s="147">
        <v>18.34709332635693</v>
      </c>
      <c r="L169" s="239"/>
      <c r="M169" s="122">
        <f>J169-O169</f>
        <v>-112.26061011226238</v>
      </c>
      <c r="N169" s="238"/>
      <c r="O169" s="122">
        <f>Q169</f>
        <v>917.97541519042602</v>
      </c>
      <c r="P169" s="122">
        <f>Q169-O169</f>
        <v>0</v>
      </c>
      <c r="Q169" s="122">
        <f>$H169*R169/100</f>
        <v>917.97541519042602</v>
      </c>
      <c r="R169" s="147">
        <v>20.903402181080821</v>
      </c>
      <c r="S169" s="124">
        <f>Q169/O169</f>
        <v>1</v>
      </c>
      <c r="T169" s="178">
        <f>R169/K169-1</f>
        <v>0.13933045465308491</v>
      </c>
    </row>
    <row r="170" spans="2:21" x14ac:dyDescent="0.2">
      <c r="B170" s="64"/>
      <c r="C170" s="33"/>
      <c r="D170" s="26"/>
      <c r="E170" s="64"/>
      <c r="F170" s="16"/>
      <c r="G170" s="64"/>
      <c r="H170" s="122"/>
      <c r="I170" s="341"/>
      <c r="J170" s="122"/>
      <c r="K170" s="147"/>
      <c r="L170" s="239"/>
      <c r="M170" s="122"/>
      <c r="N170" s="238"/>
      <c r="O170" s="122"/>
      <c r="P170" s="122"/>
      <c r="Q170" s="122"/>
      <c r="R170" s="147"/>
      <c r="S170" s="124"/>
      <c r="T170" s="178"/>
    </row>
    <row r="171" spans="2:21" ht="13.5" thickBot="1" x14ac:dyDescent="0.25">
      <c r="B171" s="64">
        <f>MAX(B$143:B170)+1</f>
        <v>90</v>
      </c>
      <c r="C171" s="33"/>
      <c r="D171" s="26" t="s">
        <v>154</v>
      </c>
      <c r="E171" s="64"/>
      <c r="F171" s="16"/>
      <c r="G171" s="64"/>
      <c r="H171" s="159">
        <f>H160</f>
        <v>52646.499000000003</v>
      </c>
      <c r="I171" s="341"/>
      <c r="J171" s="159">
        <f>SUM(J160,J167,J169)</f>
        <v>2311.1516287038748</v>
      </c>
      <c r="K171" s="140">
        <f>J171/$H171*100</f>
        <v>4.3899436289274902</v>
      </c>
      <c r="L171" s="239"/>
      <c r="M171" s="159">
        <f>SUM(M160,M167,M169)</f>
        <v>-1691.3236860881993</v>
      </c>
      <c r="N171" s="238"/>
      <c r="O171" s="159">
        <f>SUM(O160,O167,O169)</f>
        <v>4002.4753147920737</v>
      </c>
      <c r="P171" s="159">
        <f>SUM(P160,P167,P169)</f>
        <v>-901.91880276949269</v>
      </c>
      <c r="Q171" s="159">
        <f>SUM(Q160,Q167,Q169)</f>
        <v>3100.556512022582</v>
      </c>
      <c r="R171" s="140">
        <f>Q171/$H171*100</f>
        <v>5.889387843287702</v>
      </c>
      <c r="S171" s="345">
        <f>Q171/O171</f>
        <v>0.77465974632342083</v>
      </c>
      <c r="T171" s="179">
        <f>R171/K171-1</f>
        <v>0.34156343249595245</v>
      </c>
    </row>
    <row r="172" spans="2:21" ht="13.5" thickTop="1" x14ac:dyDescent="0.2">
      <c r="B172" s="64"/>
      <c r="C172" s="33"/>
      <c r="D172" s="26"/>
      <c r="E172" s="64"/>
      <c r="F172" s="16"/>
      <c r="G172" s="64"/>
      <c r="H172" s="346"/>
      <c r="I172" s="341"/>
      <c r="J172" s="346"/>
      <c r="K172" s="147"/>
      <c r="L172" s="239"/>
      <c r="M172" s="346"/>
      <c r="N172" s="238"/>
      <c r="O172" s="346"/>
      <c r="P172" s="346"/>
      <c r="Q172" s="346"/>
      <c r="R172" s="147"/>
      <c r="S172" s="172"/>
      <c r="T172" s="138"/>
    </row>
    <row r="173" spans="2:21" x14ac:dyDescent="0.2">
      <c r="B173" s="339" t="s">
        <v>506</v>
      </c>
      <c r="C173" s="166"/>
      <c r="D173" s="166"/>
      <c r="E173" s="166"/>
      <c r="F173" s="166"/>
      <c r="G173" s="166"/>
      <c r="H173" s="166"/>
      <c r="I173" s="166"/>
      <c r="J173" s="166"/>
      <c r="K173" s="166"/>
      <c r="L173" s="166"/>
      <c r="M173" s="166"/>
      <c r="N173" s="166"/>
      <c r="O173" s="166"/>
      <c r="P173" s="166"/>
      <c r="Q173" s="166"/>
      <c r="R173" s="166"/>
      <c r="S173" s="166"/>
      <c r="T173" s="166"/>
      <c r="U173" s="31"/>
    </row>
    <row r="174" spans="2:21" x14ac:dyDescent="0.2">
      <c r="B174" s="549" t="s">
        <v>1057</v>
      </c>
      <c r="C174" s="549"/>
      <c r="D174" s="549"/>
      <c r="E174" s="549"/>
      <c r="F174" s="549"/>
      <c r="G174" s="549"/>
      <c r="H174" s="549"/>
      <c r="I174" s="549"/>
      <c r="J174" s="549"/>
      <c r="K174" s="549"/>
      <c r="L174" s="549"/>
      <c r="M174" s="549"/>
      <c r="N174" s="549"/>
      <c r="O174" s="549"/>
      <c r="P174" s="549"/>
      <c r="Q174" s="549"/>
      <c r="R174" s="549"/>
      <c r="S174" s="549"/>
      <c r="T174" s="549"/>
    </row>
    <row r="175" spans="2:21" x14ac:dyDescent="0.2">
      <c r="B175" s="521"/>
      <c r="C175" s="64"/>
      <c r="D175" s="64"/>
      <c r="E175" s="64"/>
      <c r="F175" s="170"/>
      <c r="G175" s="64"/>
      <c r="H175" s="170"/>
      <c r="I175" s="64"/>
      <c r="J175" s="170"/>
      <c r="K175" s="170"/>
      <c r="L175" s="170"/>
      <c r="M175" s="170"/>
      <c r="N175" s="64"/>
      <c r="O175" s="64"/>
      <c r="P175" s="64"/>
      <c r="Q175" s="64"/>
      <c r="R175" s="64"/>
      <c r="S175" s="63"/>
      <c r="T175" s="63"/>
    </row>
    <row r="176" spans="2:21" x14ac:dyDescent="0.2">
      <c r="B176" s="170"/>
      <c r="C176" s="170"/>
      <c r="D176" s="170"/>
      <c r="E176" s="170"/>
      <c r="F176" s="340"/>
      <c r="G176" s="170"/>
      <c r="H176" s="340"/>
      <c r="I176" s="170"/>
      <c r="J176" s="173" t="s">
        <v>57</v>
      </c>
      <c r="K176" s="173"/>
      <c r="L176" s="170"/>
      <c r="M176" s="170"/>
      <c r="N176" s="170"/>
      <c r="O176" s="173" t="s">
        <v>60</v>
      </c>
      <c r="P176" s="173"/>
      <c r="Q176" s="173"/>
      <c r="R176" s="173"/>
      <c r="S176" s="174"/>
      <c r="T176" s="174"/>
    </row>
    <row r="177" spans="2:21" s="45" customFormat="1" ht="39" customHeight="1" x14ac:dyDescent="0.2">
      <c r="B177" s="154" t="s">
        <v>0</v>
      </c>
      <c r="C177" s="154"/>
      <c r="D177" s="154"/>
      <c r="E177" s="154"/>
      <c r="F177" s="60" t="s">
        <v>47</v>
      </c>
      <c r="G177" s="154"/>
      <c r="H177" s="45" t="s">
        <v>746</v>
      </c>
      <c r="I177" s="154"/>
      <c r="J177" s="45" t="s">
        <v>61</v>
      </c>
      <c r="K177" s="45" t="s">
        <v>571</v>
      </c>
      <c r="L177" s="154"/>
      <c r="M177" s="45" t="s">
        <v>34</v>
      </c>
      <c r="N177" s="154"/>
      <c r="O177" s="154" t="s">
        <v>79</v>
      </c>
      <c r="P177" s="45" t="s">
        <v>34</v>
      </c>
      <c r="Q177" s="45" t="s">
        <v>61</v>
      </c>
      <c r="R177" s="45" t="s">
        <v>69</v>
      </c>
      <c r="S177" s="154" t="s">
        <v>745</v>
      </c>
      <c r="T177" s="154" t="s">
        <v>747</v>
      </c>
      <c r="U177" s="154"/>
    </row>
    <row r="178" spans="2:21" ht="14.25" x14ac:dyDescent="0.2">
      <c r="B178" s="520" t="s">
        <v>1</v>
      </c>
      <c r="C178" s="33"/>
      <c r="D178" s="185" t="s">
        <v>33</v>
      </c>
      <c r="E178" s="64"/>
      <c r="F178" s="520" t="s">
        <v>48</v>
      </c>
      <c r="G178" s="64"/>
      <c r="H178" s="520" t="s">
        <v>560</v>
      </c>
      <c r="I178" s="64"/>
      <c r="J178" s="520" t="s">
        <v>389</v>
      </c>
      <c r="K178" s="520" t="s">
        <v>35</v>
      </c>
      <c r="L178" s="64"/>
      <c r="M178" s="520" t="s">
        <v>389</v>
      </c>
      <c r="N178" s="64"/>
      <c r="O178" s="520" t="s">
        <v>389</v>
      </c>
      <c r="P178" s="520" t="s">
        <v>389</v>
      </c>
      <c r="Q178" s="520" t="s">
        <v>389</v>
      </c>
      <c r="R178" s="520" t="s">
        <v>35</v>
      </c>
      <c r="S178" s="520" t="s">
        <v>36</v>
      </c>
      <c r="T178" s="520" t="s">
        <v>2</v>
      </c>
      <c r="U178" s="64"/>
    </row>
    <row r="179" spans="2:21" x14ac:dyDescent="0.2">
      <c r="B179" s="64"/>
      <c r="C179" s="33"/>
      <c r="D179" s="33"/>
      <c r="E179" s="64"/>
      <c r="F179" s="64"/>
      <c r="G179" s="64"/>
      <c r="H179" s="64" t="s">
        <v>3</v>
      </c>
      <c r="I179" s="64"/>
      <c r="J179" s="64" t="s">
        <v>4</v>
      </c>
      <c r="K179" s="64" t="s">
        <v>58</v>
      </c>
      <c r="L179" s="64"/>
      <c r="M179" s="64" t="s">
        <v>59</v>
      </c>
      <c r="N179" s="64"/>
      <c r="O179" s="64" t="s">
        <v>63</v>
      </c>
      <c r="P179" s="64" t="s">
        <v>227</v>
      </c>
      <c r="Q179" s="175" t="s">
        <v>38</v>
      </c>
      <c r="R179" s="175" t="s">
        <v>70</v>
      </c>
      <c r="S179" s="175" t="s">
        <v>479</v>
      </c>
      <c r="T179" s="175" t="s">
        <v>71</v>
      </c>
      <c r="U179" s="64"/>
    </row>
    <row r="180" spans="2:21" x14ac:dyDescent="0.2">
      <c r="B180" s="64"/>
      <c r="C180" s="33"/>
      <c r="D180" s="33"/>
      <c r="E180" s="64"/>
      <c r="F180" s="354"/>
      <c r="G180" s="64"/>
      <c r="H180" s="354"/>
      <c r="I180" s="64"/>
      <c r="J180" s="354"/>
      <c r="K180" s="189"/>
      <c r="L180" s="64"/>
      <c r="M180" s="64"/>
      <c r="N180" s="64"/>
      <c r="O180" s="64"/>
      <c r="P180" s="64"/>
      <c r="Q180" s="64"/>
      <c r="R180" s="64"/>
      <c r="S180" s="64"/>
      <c r="T180" s="64"/>
      <c r="U180" s="64"/>
    </row>
    <row r="181" spans="2:21" x14ac:dyDescent="0.2">
      <c r="B181" s="64"/>
      <c r="C181" s="33"/>
      <c r="D181" s="31" t="s">
        <v>12</v>
      </c>
      <c r="E181" s="64"/>
      <c r="F181" s="186"/>
      <c r="G181" s="64"/>
      <c r="H181" s="350"/>
      <c r="I181" s="341"/>
      <c r="J181" s="350"/>
      <c r="K181" s="341"/>
      <c r="L181" s="341"/>
      <c r="M181" s="144"/>
      <c r="N181" s="341"/>
      <c r="O181" s="145"/>
      <c r="P181" s="341"/>
      <c r="Q181" s="341"/>
      <c r="R181" s="341"/>
      <c r="S181" s="341"/>
      <c r="T181" s="357"/>
      <c r="U181" s="64"/>
    </row>
    <row r="182" spans="2:21" x14ac:dyDescent="0.2">
      <c r="B182" s="64">
        <f>MAX(B$143:B181)+1</f>
        <v>91</v>
      </c>
      <c r="C182" s="33"/>
      <c r="D182" s="26" t="s">
        <v>85</v>
      </c>
      <c r="E182" s="64"/>
      <c r="F182" s="16" t="s">
        <v>55</v>
      </c>
      <c r="G182" s="64"/>
      <c r="H182" s="122">
        <v>192</v>
      </c>
      <c r="I182" s="341"/>
      <c r="J182" s="122">
        <f>$H182*K182/1000</f>
        <v>25.905884038516852</v>
      </c>
      <c r="K182" s="331">
        <v>134.92647936727528</v>
      </c>
      <c r="L182" s="239"/>
      <c r="M182" s="122">
        <f t="shared" ref="M182:M183" si="34">J182-O182</f>
        <v>-226.51743877766461</v>
      </c>
      <c r="N182" s="238"/>
      <c r="O182" s="122">
        <v>252.42332281618147</v>
      </c>
      <c r="P182" s="122">
        <f t="shared" ref="P182:P183" si="35">Q182-O182</f>
        <v>-226.51743877766461</v>
      </c>
      <c r="Q182" s="122">
        <f>$H182*R182/1000</f>
        <v>25.905884038516852</v>
      </c>
      <c r="R182" s="331">
        <v>134.92647936727528</v>
      </c>
      <c r="S182" s="124">
        <f>Q182/O182</f>
        <v>0.10262872602062177</v>
      </c>
      <c r="T182" s="178">
        <f t="shared" ref="T182:T183" si="36">R182/K182-1</f>
        <v>0</v>
      </c>
    </row>
    <row r="183" spans="2:21" x14ac:dyDescent="0.2">
      <c r="B183" s="64">
        <f>MAX(B$143:B182)+1</f>
        <v>92</v>
      </c>
      <c r="C183" s="33"/>
      <c r="D183" s="26" t="s">
        <v>89</v>
      </c>
      <c r="E183" s="64"/>
      <c r="F183" s="16" t="s">
        <v>81</v>
      </c>
      <c r="G183" s="64"/>
      <c r="H183" s="122">
        <v>6138.48</v>
      </c>
      <c r="I183" s="341"/>
      <c r="J183" s="122">
        <f>$H183*K183/100</f>
        <v>555.63807381094978</v>
      </c>
      <c r="K183" s="147">
        <v>9.0517208463813486</v>
      </c>
      <c r="L183" s="239"/>
      <c r="M183" s="122">
        <f t="shared" si="34"/>
        <v>69.592071333736556</v>
      </c>
      <c r="N183" s="238"/>
      <c r="O183" s="122">
        <v>486.04600247721322</v>
      </c>
      <c r="P183" s="122">
        <f t="shared" si="35"/>
        <v>226.51743877766461</v>
      </c>
      <c r="Q183" s="122">
        <f>$H183*R183/100</f>
        <v>712.56344125487783</v>
      </c>
      <c r="R183" s="147">
        <v>11.608141449591395</v>
      </c>
      <c r="S183" s="124">
        <f>Q183/O183</f>
        <v>1.4660411517082361</v>
      </c>
      <c r="T183" s="178">
        <f t="shared" si="36"/>
        <v>0.282423712197448</v>
      </c>
    </row>
    <row r="184" spans="2:21" x14ac:dyDescent="0.2">
      <c r="B184" s="64"/>
      <c r="C184" s="33"/>
      <c r="D184" s="26" t="s">
        <v>86</v>
      </c>
      <c r="E184" s="64"/>
      <c r="F184" s="16"/>
      <c r="G184" s="64"/>
      <c r="H184" s="122"/>
      <c r="I184" s="341"/>
      <c r="J184" s="122"/>
      <c r="K184" s="147"/>
      <c r="L184" s="239"/>
      <c r="M184" s="122"/>
      <c r="N184" s="238"/>
      <c r="O184" s="122"/>
      <c r="P184" s="122"/>
      <c r="Q184" s="122"/>
      <c r="R184" s="147"/>
      <c r="S184" s="124"/>
      <c r="T184" s="133"/>
      <c r="U184" s="64"/>
    </row>
    <row r="185" spans="2:21" x14ac:dyDescent="0.2">
      <c r="B185" s="64">
        <f>MAX(B$143:B184)+1</f>
        <v>93</v>
      </c>
      <c r="C185" s="33"/>
      <c r="D185" s="356" t="s">
        <v>149</v>
      </c>
      <c r="E185" s="64"/>
      <c r="F185" s="16" t="s">
        <v>56</v>
      </c>
      <c r="G185" s="64"/>
      <c r="H185" s="122">
        <v>2496.9</v>
      </c>
      <c r="I185" s="341"/>
      <c r="J185" s="122">
        <f>$H185*K185/100</f>
        <v>200.99060998813246</v>
      </c>
      <c r="K185" s="147">
        <v>8.0496059108547584</v>
      </c>
      <c r="L185" s="239"/>
      <c r="M185" s="122">
        <f t="shared" ref="M185:M187" si="37">J185-O185</f>
        <v>180.53635013409792</v>
      </c>
      <c r="N185" s="238"/>
      <c r="O185" s="122">
        <f t="shared" ref="O185:O187" si="38">Q185</f>
        <v>20.454259854034557</v>
      </c>
      <c r="P185" s="122">
        <f t="shared" ref="P185:P187" si="39">Q185-O185</f>
        <v>0</v>
      </c>
      <c r="Q185" s="122">
        <f>$H185*R185/100</f>
        <v>20.454259854034557</v>
      </c>
      <c r="R185" s="147">
        <v>0.81918618503082052</v>
      </c>
      <c r="S185" s="124"/>
      <c r="T185" s="133"/>
      <c r="U185" s="64"/>
    </row>
    <row r="186" spans="2:21" x14ac:dyDescent="0.2">
      <c r="B186" s="64">
        <f>MAX(B$143:B185)+1</f>
        <v>94</v>
      </c>
      <c r="C186" s="33"/>
      <c r="D186" s="356" t="s">
        <v>150</v>
      </c>
      <c r="E186" s="64"/>
      <c r="F186" s="16" t="s">
        <v>56</v>
      </c>
      <c r="G186" s="64"/>
      <c r="H186" s="122">
        <v>4159.7690000000002</v>
      </c>
      <c r="I186" s="341"/>
      <c r="J186" s="122">
        <f>$H186*K186/100</f>
        <v>277.68025523467702</v>
      </c>
      <c r="K186" s="147">
        <v>6.6753768114209473</v>
      </c>
      <c r="L186" s="239"/>
      <c r="M186" s="122">
        <f t="shared" si="37"/>
        <v>243.60400225748231</v>
      </c>
      <c r="N186" s="238"/>
      <c r="O186" s="122">
        <f t="shared" si="38"/>
        <v>34.076252977194713</v>
      </c>
      <c r="P186" s="122">
        <f t="shared" si="39"/>
        <v>0</v>
      </c>
      <c r="Q186" s="122">
        <f>$H186*R186/100</f>
        <v>34.076252977194713</v>
      </c>
      <c r="R186" s="147">
        <v>0.81918618503082052</v>
      </c>
      <c r="S186" s="124"/>
      <c r="T186" s="133"/>
      <c r="U186" s="64"/>
    </row>
    <row r="187" spans="2:21" x14ac:dyDescent="0.2">
      <c r="B187" s="64">
        <f>MAX(B$143:B186)+1</f>
        <v>95</v>
      </c>
      <c r="C187" s="33"/>
      <c r="D187" s="356" t="s">
        <v>975</v>
      </c>
      <c r="E187" s="64"/>
      <c r="F187" s="16" t="s">
        <v>56</v>
      </c>
      <c r="G187" s="64"/>
      <c r="H187" s="122">
        <v>9056.9930000000004</v>
      </c>
      <c r="I187" s="341"/>
      <c r="J187" s="122">
        <f>$H187*K187/100</f>
        <v>553.37356206490983</v>
      </c>
      <c r="K187" s="147">
        <v>6.1099038286207117</v>
      </c>
      <c r="L187" s="239"/>
      <c r="M187" s="122">
        <f t="shared" si="37"/>
        <v>479.17992662970136</v>
      </c>
      <c r="N187" s="238"/>
      <c r="O187" s="122">
        <f t="shared" si="38"/>
        <v>74.193635435208463</v>
      </c>
      <c r="P187" s="122">
        <f t="shared" si="39"/>
        <v>0</v>
      </c>
      <c r="Q187" s="122">
        <f>$H187*R187/100</f>
        <v>74.193635435208463</v>
      </c>
      <c r="R187" s="147">
        <v>0.81918618503082052</v>
      </c>
      <c r="S187" s="124"/>
      <c r="T187" s="133"/>
      <c r="U187" s="64"/>
    </row>
    <row r="188" spans="2:21" x14ac:dyDescent="0.2">
      <c r="B188" s="64">
        <f>MAX(B$143:B187)+1</f>
        <v>96</v>
      </c>
      <c r="C188" s="33"/>
      <c r="D188" s="26" t="s">
        <v>86</v>
      </c>
      <c r="E188" s="64"/>
      <c r="F188" s="16"/>
      <c r="G188" s="64"/>
      <c r="H188" s="146">
        <f>SUM(H185:H187)</f>
        <v>15713.662</v>
      </c>
      <c r="I188" s="341"/>
      <c r="J188" s="146">
        <f>SUM(J185:J187)</f>
        <v>1032.0444272877194</v>
      </c>
      <c r="K188" s="139">
        <f>J188/$H188*100</f>
        <v>6.5678161289692962</v>
      </c>
      <c r="L188" s="239"/>
      <c r="M188" s="146">
        <f>SUM(M185:M187)</f>
        <v>903.32027902128152</v>
      </c>
      <c r="N188" s="238"/>
      <c r="O188" s="146">
        <f>SUM(O185:O187)</f>
        <v>128.72414826643774</v>
      </c>
      <c r="P188" s="146">
        <f>SUM(P185:P187)</f>
        <v>0</v>
      </c>
      <c r="Q188" s="146">
        <f>SUM(Q185:Q187)</f>
        <v>128.72414826643774</v>
      </c>
      <c r="R188" s="139">
        <f>Q188/$H188*100</f>
        <v>0.81918618503082052</v>
      </c>
      <c r="S188" s="342">
        <f>Q188/O188</f>
        <v>1</v>
      </c>
      <c r="T188" s="177">
        <f>R188/K188-1</f>
        <v>-0.87527266766535117</v>
      </c>
    </row>
    <row r="189" spans="2:21" x14ac:dyDescent="0.2">
      <c r="B189" s="64"/>
      <c r="C189" s="33"/>
      <c r="D189" s="26"/>
      <c r="E189" s="64"/>
      <c r="F189" s="16"/>
      <c r="G189" s="64"/>
      <c r="H189" s="122"/>
      <c r="I189" s="341"/>
      <c r="J189" s="122"/>
      <c r="K189" s="147"/>
      <c r="L189" s="239"/>
      <c r="M189" s="122"/>
      <c r="N189" s="238"/>
      <c r="O189" s="122"/>
      <c r="P189" s="122"/>
      <c r="Q189" s="122"/>
      <c r="R189" s="147"/>
      <c r="S189" s="124"/>
      <c r="T189" s="133"/>
    </row>
    <row r="190" spans="2:21" x14ac:dyDescent="0.2">
      <c r="B190" s="64">
        <f>MAX(B$143:B189)+1</f>
        <v>97</v>
      </c>
      <c r="C190" s="33"/>
      <c r="D190" s="26" t="s">
        <v>226</v>
      </c>
      <c r="E190" s="64"/>
      <c r="F190" s="16"/>
      <c r="G190" s="64"/>
      <c r="H190" s="122"/>
      <c r="I190" s="341"/>
      <c r="J190" s="122">
        <v>-86.102257534246576</v>
      </c>
      <c r="K190" s="147"/>
      <c r="L190" s="239"/>
      <c r="M190" s="122"/>
      <c r="N190" s="238"/>
      <c r="O190" s="122">
        <f>Q190</f>
        <v>-86.102257534246576</v>
      </c>
      <c r="P190" s="122"/>
      <c r="Q190" s="122">
        <v>-86.102257534246576</v>
      </c>
      <c r="R190" s="122"/>
      <c r="S190" s="124"/>
      <c r="T190" s="333"/>
    </row>
    <row r="191" spans="2:21" x14ac:dyDescent="0.2">
      <c r="B191" s="64"/>
      <c r="C191" s="33"/>
      <c r="D191" s="26"/>
      <c r="E191" s="64"/>
      <c r="F191" s="16"/>
      <c r="G191" s="64"/>
      <c r="H191" s="122"/>
      <c r="I191" s="341"/>
      <c r="J191" s="122"/>
      <c r="K191" s="147"/>
      <c r="L191" s="239"/>
      <c r="M191" s="122"/>
      <c r="N191" s="238"/>
      <c r="O191" s="122"/>
      <c r="P191" s="122"/>
      <c r="Q191" s="122"/>
      <c r="R191" s="147"/>
      <c r="S191" s="124"/>
      <c r="T191" s="133"/>
    </row>
    <row r="192" spans="2:21" x14ac:dyDescent="0.2">
      <c r="B192" s="64">
        <f>MAX(B$143:B191)+1</f>
        <v>98</v>
      </c>
      <c r="C192" s="33"/>
      <c r="D192" s="26" t="s">
        <v>68</v>
      </c>
      <c r="E192" s="64"/>
      <c r="F192" s="16"/>
      <c r="G192" s="64"/>
      <c r="H192" s="146">
        <f>H188</f>
        <v>15713.662</v>
      </c>
      <c r="I192" s="341"/>
      <c r="J192" s="146">
        <f>SUM(J182:J183,J188,J190)</f>
        <v>1527.4861276029394</v>
      </c>
      <c r="K192" s="139">
        <f>J192/$H192*100</f>
        <v>9.7207520920517396</v>
      </c>
      <c r="L192" s="239"/>
      <c r="M192" s="146">
        <f>SUM(M182:M183,M188,M190)</f>
        <v>746.39491157735347</v>
      </c>
      <c r="N192" s="238"/>
      <c r="O192" s="146">
        <f>SUM(O182:O183,O188,O190)</f>
        <v>781.09121602558594</v>
      </c>
      <c r="P192" s="146">
        <f>SUM(P182:P183,P188,P190)</f>
        <v>0</v>
      </c>
      <c r="Q192" s="146">
        <f>SUM(Q182:Q183,Q188,Q190)</f>
        <v>781.09121602558594</v>
      </c>
      <c r="R192" s="139">
        <f>Q192/$H192*100</f>
        <v>4.9707777603055607</v>
      </c>
      <c r="S192" s="342">
        <f>Q192/O192</f>
        <v>1</v>
      </c>
      <c r="T192" s="177">
        <f>R192/K192-1</f>
        <v>-0.48864267772346937</v>
      </c>
    </row>
    <row r="193" spans="2:21" x14ac:dyDescent="0.2">
      <c r="E193" s="64"/>
      <c r="F193" s="16"/>
      <c r="G193" s="64"/>
      <c r="H193" s="122"/>
      <c r="I193" s="341"/>
      <c r="J193" s="122"/>
      <c r="K193" s="147"/>
      <c r="L193" s="239"/>
      <c r="M193" s="122"/>
      <c r="N193" s="238"/>
      <c r="O193" s="122"/>
      <c r="P193" s="122"/>
      <c r="Q193" s="122"/>
      <c r="R193" s="147"/>
      <c r="S193" s="124"/>
      <c r="T193" s="178"/>
    </row>
    <row r="194" spans="2:21" x14ac:dyDescent="0.2">
      <c r="B194" s="64"/>
      <c r="C194" s="33"/>
      <c r="D194" s="26" t="s">
        <v>87</v>
      </c>
      <c r="E194" s="64"/>
      <c r="F194" s="192"/>
      <c r="G194" s="64"/>
      <c r="H194" s="122"/>
      <c r="I194" s="341"/>
      <c r="J194" s="122"/>
      <c r="K194" s="147"/>
      <c r="L194" s="239"/>
      <c r="M194" s="122"/>
      <c r="N194" s="238"/>
      <c r="O194" s="122"/>
      <c r="P194" s="122"/>
      <c r="Q194" s="122"/>
      <c r="R194" s="240"/>
      <c r="S194" s="124"/>
      <c r="T194" s="343"/>
    </row>
    <row r="195" spans="2:21" x14ac:dyDescent="0.2">
      <c r="B195" s="64">
        <f>MAX(B$143:B194)+1</f>
        <v>99</v>
      </c>
      <c r="C195" s="33"/>
      <c r="D195" s="27" t="s">
        <v>64</v>
      </c>
      <c r="E195" s="64"/>
      <c r="F195" s="192" t="s">
        <v>56</v>
      </c>
      <c r="G195" s="64"/>
      <c r="H195" s="122">
        <v>573.62400000000002</v>
      </c>
      <c r="I195" s="341"/>
      <c r="J195" s="122">
        <f>$H195*K195/100</f>
        <v>22.524756575774905</v>
      </c>
      <c r="K195" s="147">
        <v>3.9267458432309148</v>
      </c>
      <c r="L195" s="239"/>
      <c r="M195" s="122">
        <f t="shared" ref="M195:M198" si="40">J195-O195</f>
        <v>17.43384206759778</v>
      </c>
      <c r="N195" s="238"/>
      <c r="O195" s="122">
        <f>Q195</f>
        <v>5.0909145081771241</v>
      </c>
      <c r="P195" s="122">
        <f t="shared" ref="P195:P198" si="41">Q195-O195</f>
        <v>0</v>
      </c>
      <c r="Q195" s="122">
        <f>$H195*R195/100</f>
        <v>5.0909145081771241</v>
      </c>
      <c r="R195" s="147">
        <v>0.88750026292085471</v>
      </c>
      <c r="S195" s="344"/>
      <c r="T195" s="178"/>
    </row>
    <row r="196" spans="2:21" x14ac:dyDescent="0.2">
      <c r="B196" s="64">
        <f>MAX(B$143:B195)+1</f>
        <v>100</v>
      </c>
      <c r="C196" s="33"/>
      <c r="D196" s="27" t="s">
        <v>65</v>
      </c>
      <c r="E196" s="64"/>
      <c r="F196" s="192" t="s">
        <v>56</v>
      </c>
      <c r="G196" s="64"/>
      <c r="H196" s="122">
        <v>15140.038</v>
      </c>
      <c r="I196" s="341"/>
      <c r="J196" s="122">
        <f>$H196*K196/100</f>
        <v>146.81595424139729</v>
      </c>
      <c r="K196" s="147">
        <v>0.96971985302412911</v>
      </c>
      <c r="L196" s="239"/>
      <c r="M196" s="122">
        <f t="shared" si="40"/>
        <v>12.448077185079967</v>
      </c>
      <c r="N196" s="239"/>
      <c r="O196" s="122">
        <f t="shared" ref="O196:O197" si="42">Q196</f>
        <v>134.36787705631733</v>
      </c>
      <c r="P196" s="122">
        <f t="shared" si="41"/>
        <v>0</v>
      </c>
      <c r="Q196" s="122">
        <f>$H196*R196/100</f>
        <v>134.36787705631733</v>
      </c>
      <c r="R196" s="147">
        <v>0.88750026292085471</v>
      </c>
      <c r="S196" s="344"/>
      <c r="T196" s="178"/>
      <c r="U196" s="64"/>
    </row>
    <row r="197" spans="2:21" x14ac:dyDescent="0.2">
      <c r="B197" s="64">
        <f>MAX(B$143:B196)+1</f>
        <v>101</v>
      </c>
      <c r="C197" s="33"/>
      <c r="D197" s="27" t="s">
        <v>66</v>
      </c>
      <c r="E197" s="64"/>
      <c r="F197" s="192" t="s">
        <v>56</v>
      </c>
      <c r="G197" s="64"/>
      <c r="H197" s="122">
        <v>0</v>
      </c>
      <c r="I197" s="341"/>
      <c r="J197" s="122">
        <f>$H197*K197/100</f>
        <v>0</v>
      </c>
      <c r="K197" s="147">
        <v>3.9267458432309148</v>
      </c>
      <c r="L197" s="239"/>
      <c r="M197" s="122">
        <f t="shared" si="40"/>
        <v>0</v>
      </c>
      <c r="N197" s="239"/>
      <c r="O197" s="122">
        <f t="shared" si="42"/>
        <v>0</v>
      </c>
      <c r="P197" s="122">
        <f t="shared" si="41"/>
        <v>0</v>
      </c>
      <c r="Q197" s="122">
        <f>$H197*R197/100</f>
        <v>0</v>
      </c>
      <c r="R197" s="147">
        <v>2.7494671684138638</v>
      </c>
      <c r="S197" s="344"/>
      <c r="T197" s="178"/>
      <c r="U197" s="64"/>
    </row>
    <row r="198" spans="2:21" x14ac:dyDescent="0.2">
      <c r="B198" s="64">
        <f>MAX(B$143:B197)+1</f>
        <v>102</v>
      </c>
      <c r="C198" s="33"/>
      <c r="D198" s="27" t="s">
        <v>67</v>
      </c>
      <c r="E198" s="64"/>
      <c r="F198" s="192" t="s">
        <v>56</v>
      </c>
      <c r="G198" s="64"/>
      <c r="H198" s="122">
        <f>H192-SUM(H195:H197)</f>
        <v>0</v>
      </c>
      <c r="I198" s="341"/>
      <c r="J198" s="122">
        <f>$H198*K198/100</f>
        <v>0</v>
      </c>
      <c r="K198" s="147">
        <v>0</v>
      </c>
      <c r="L198" s="239"/>
      <c r="M198" s="122">
        <f t="shared" si="40"/>
        <v>0</v>
      </c>
      <c r="N198" s="239"/>
      <c r="O198" s="122">
        <f>Q198</f>
        <v>0</v>
      </c>
      <c r="P198" s="122">
        <f t="shared" si="41"/>
        <v>0</v>
      </c>
      <c r="Q198" s="122">
        <f>$H198*R198/100</f>
        <v>0</v>
      </c>
      <c r="R198" s="147">
        <v>0.88750026292085471</v>
      </c>
      <c r="S198" s="124"/>
      <c r="T198" s="178"/>
      <c r="U198" s="64"/>
    </row>
    <row r="199" spans="2:21" x14ac:dyDescent="0.2">
      <c r="B199" s="64">
        <f>MAX(B$143:B198)+1</f>
        <v>103</v>
      </c>
      <c r="C199" s="33"/>
      <c r="D199" s="26" t="s">
        <v>87</v>
      </c>
      <c r="E199" s="64"/>
      <c r="F199" s="16"/>
      <c r="G199" s="64"/>
      <c r="H199" s="146">
        <f>SUM(H195:H198)</f>
        <v>15713.662</v>
      </c>
      <c r="I199" s="341"/>
      <c r="J199" s="146">
        <f>SUM(J195:J198)</f>
        <v>169.34071081717221</v>
      </c>
      <c r="K199" s="139">
        <f>J199/$H199*100</f>
        <v>1.0776654787227331</v>
      </c>
      <c r="L199" s="239"/>
      <c r="M199" s="146">
        <f>SUM(M195:M198)</f>
        <v>29.881919252677747</v>
      </c>
      <c r="N199" s="238"/>
      <c r="O199" s="146">
        <f>SUM(O195:O198)</f>
        <v>139.45879156449445</v>
      </c>
      <c r="P199" s="146">
        <f>SUM(P195:P198)</f>
        <v>0</v>
      </c>
      <c r="Q199" s="146">
        <f>SUM(Q195:Q198)</f>
        <v>139.45879156449445</v>
      </c>
      <c r="R199" s="139">
        <f>Q199/$H199*100</f>
        <v>0.88750026292085482</v>
      </c>
      <c r="S199" s="342">
        <f>Q199/O199</f>
        <v>1</v>
      </c>
      <c r="T199" s="177">
        <f>R199/K199-1</f>
        <v>-0.17646033909081438</v>
      </c>
    </row>
    <row r="200" spans="2:21" x14ac:dyDescent="0.2">
      <c r="H200" s="148"/>
      <c r="I200" s="148"/>
      <c r="J200" s="148"/>
      <c r="K200" s="148"/>
      <c r="L200" s="148"/>
      <c r="M200" s="148"/>
      <c r="N200" s="148"/>
      <c r="O200" s="148"/>
      <c r="P200" s="148"/>
      <c r="Q200" s="148"/>
      <c r="R200" s="148"/>
      <c r="S200" s="148"/>
      <c r="T200" s="180"/>
    </row>
    <row r="201" spans="2:21" x14ac:dyDescent="0.2">
      <c r="B201" s="64">
        <f>MAX(B$143:B200)+1</f>
        <v>104</v>
      </c>
      <c r="C201" s="33"/>
      <c r="D201" s="26" t="s">
        <v>88</v>
      </c>
      <c r="E201" s="64"/>
      <c r="F201" s="16" t="s">
        <v>56</v>
      </c>
      <c r="G201" s="64"/>
      <c r="H201" s="122">
        <f>H195</f>
        <v>573.62400000000002</v>
      </c>
      <c r="I201" s="341"/>
      <c r="J201" s="122">
        <f>$H201*K201/100</f>
        <v>105.22198609451885</v>
      </c>
      <c r="K201" s="147">
        <v>18.343372330048751</v>
      </c>
      <c r="L201" s="239"/>
      <c r="M201" s="122">
        <f>J201-O201</f>
        <v>-14.684945632684204</v>
      </c>
      <c r="N201" s="238"/>
      <c r="O201" s="122">
        <f>Q201</f>
        <v>119.90693172720306</v>
      </c>
      <c r="P201" s="122">
        <f>Q201-O201</f>
        <v>0</v>
      </c>
      <c r="Q201" s="122">
        <f>$H201*R201/100</f>
        <v>119.90693172720306</v>
      </c>
      <c r="R201" s="147">
        <v>20.903402181080821</v>
      </c>
      <c r="S201" s="124">
        <f>Q201/O201</f>
        <v>1</v>
      </c>
      <c r="T201" s="178">
        <f>R201/K201-1</f>
        <v>0.13956157052094609</v>
      </c>
    </row>
    <row r="202" spans="2:21" x14ac:dyDescent="0.2">
      <c r="B202" s="64"/>
      <c r="C202" s="33"/>
      <c r="D202" s="26"/>
      <c r="E202" s="64"/>
      <c r="F202" s="16"/>
      <c r="G202" s="64"/>
      <c r="H202" s="122"/>
      <c r="I202" s="341"/>
      <c r="J202" s="122"/>
      <c r="K202" s="147"/>
      <c r="L202" s="239"/>
      <c r="M202" s="122"/>
      <c r="N202" s="238"/>
      <c r="O202" s="122"/>
      <c r="P202" s="122"/>
      <c r="Q202" s="122"/>
      <c r="R202" s="147"/>
      <c r="S202" s="124"/>
      <c r="T202" s="178"/>
    </row>
    <row r="203" spans="2:21" ht="13.5" thickBot="1" x14ac:dyDescent="0.25">
      <c r="B203" s="64">
        <f>MAX(B$143:B202)+1</f>
        <v>105</v>
      </c>
      <c r="C203" s="33"/>
      <c r="D203" s="26" t="s">
        <v>155</v>
      </c>
      <c r="E203" s="64"/>
      <c r="F203" s="16"/>
      <c r="G203" s="64"/>
      <c r="H203" s="159">
        <f>H192</f>
        <v>15713.662</v>
      </c>
      <c r="I203" s="341"/>
      <c r="J203" s="159">
        <f>SUM(J192,J199,J201)</f>
        <v>1802.0488245146305</v>
      </c>
      <c r="K203" s="140">
        <f>J203/$H203*100</f>
        <v>11.468038605607212</v>
      </c>
      <c r="L203" s="239"/>
      <c r="M203" s="159">
        <f>SUM(M192,M199,M201)</f>
        <v>761.5918851973471</v>
      </c>
      <c r="N203" s="238"/>
      <c r="O203" s="159">
        <f>SUM(O192,O199,O201)</f>
        <v>1040.4569393172835</v>
      </c>
      <c r="P203" s="159">
        <f>SUM(P192,P199,P201)</f>
        <v>0</v>
      </c>
      <c r="Q203" s="159">
        <f>SUM(Q192,Q199,Q201)</f>
        <v>1040.4569393172835</v>
      </c>
      <c r="R203" s="140">
        <f>Q203/$H203*100</f>
        <v>6.6213524213342732</v>
      </c>
      <c r="S203" s="345">
        <f>Q203/O203</f>
        <v>1</v>
      </c>
      <c r="T203" s="179">
        <f>R203/K203-1</f>
        <v>-0.42262555533281754</v>
      </c>
    </row>
    <row r="204" spans="2:21" ht="13.5" thickTop="1" x14ac:dyDescent="0.2">
      <c r="B204" s="64"/>
      <c r="C204" s="33"/>
      <c r="D204" s="26"/>
      <c r="E204" s="64"/>
      <c r="F204" s="16"/>
      <c r="G204" s="64"/>
      <c r="H204" s="346"/>
      <c r="I204" s="341"/>
      <c r="J204" s="346"/>
      <c r="K204" s="147"/>
      <c r="L204" s="239"/>
      <c r="M204" s="346"/>
      <c r="N204" s="238"/>
      <c r="O204" s="346"/>
      <c r="P204" s="346"/>
      <c r="Q204" s="346"/>
      <c r="R204" s="147"/>
      <c r="S204" s="172"/>
      <c r="T204" s="178"/>
    </row>
    <row r="205" spans="2:21" x14ac:dyDescent="0.2">
      <c r="B205" s="64"/>
      <c r="C205" s="33"/>
      <c r="D205" s="31" t="s">
        <v>13</v>
      </c>
      <c r="E205" s="64"/>
      <c r="F205" s="186"/>
      <c r="G205" s="64"/>
      <c r="H205" s="350"/>
      <c r="I205" s="341"/>
      <c r="J205" s="350"/>
      <c r="K205" s="341"/>
      <c r="L205" s="341"/>
      <c r="M205" s="144"/>
      <c r="N205" s="341"/>
      <c r="O205" s="145"/>
      <c r="P205" s="341"/>
      <c r="Q205" s="341"/>
      <c r="R205" s="341"/>
      <c r="S205" s="341"/>
      <c r="T205" s="341"/>
      <c r="U205" s="64"/>
    </row>
    <row r="206" spans="2:21" x14ac:dyDescent="0.2">
      <c r="B206" s="64">
        <f>MAX(B$66:B205)+1</f>
        <v>106</v>
      </c>
      <c r="C206" s="33"/>
      <c r="D206" s="26" t="s">
        <v>85</v>
      </c>
      <c r="E206" s="64"/>
      <c r="F206" s="16" t="s">
        <v>55</v>
      </c>
      <c r="G206" s="64"/>
      <c r="H206" s="122">
        <v>264</v>
      </c>
      <c r="I206" s="341"/>
      <c r="J206" s="122">
        <f>$H206*K206/1000</f>
        <v>80.664724723102395</v>
      </c>
      <c r="K206" s="331">
        <v>305.5481997087212</v>
      </c>
      <c r="L206" s="239"/>
      <c r="M206" s="122">
        <f t="shared" ref="M206:M207" si="43">J206-O206</f>
        <v>-260.65899451485717</v>
      </c>
      <c r="N206" s="238"/>
      <c r="O206" s="122">
        <v>341.32371923795955</v>
      </c>
      <c r="P206" s="122">
        <f t="shared" ref="P206:P207" si="44">Q206-O206</f>
        <v>-260.65899451485717</v>
      </c>
      <c r="Q206" s="122">
        <f>$H206*R206/1000</f>
        <v>80.664724723102395</v>
      </c>
      <c r="R206" s="331">
        <v>305.5481997087212</v>
      </c>
      <c r="S206" s="124">
        <f>Q206/O206</f>
        <v>0.23632909222715234</v>
      </c>
      <c r="T206" s="178">
        <f t="shared" ref="T206:T207" si="45">R206/K206-1</f>
        <v>0</v>
      </c>
    </row>
    <row r="207" spans="2:21" x14ac:dyDescent="0.2">
      <c r="B207" s="64">
        <f>MAX(B$206:B206)+1</f>
        <v>107</v>
      </c>
      <c r="C207" s="33"/>
      <c r="D207" s="26" t="s">
        <v>89</v>
      </c>
      <c r="E207" s="64"/>
      <c r="F207" s="16" t="s">
        <v>81</v>
      </c>
      <c r="G207" s="64"/>
      <c r="H207" s="122">
        <v>30927.768</v>
      </c>
      <c r="I207" s="341"/>
      <c r="J207" s="122">
        <f>$H207*K207/100</f>
        <v>1390.0522253663821</v>
      </c>
      <c r="K207" s="147">
        <v>4.4945119394531865</v>
      </c>
      <c r="L207" s="239"/>
      <c r="M207" s="122">
        <f t="shared" si="43"/>
        <v>487.16745018712618</v>
      </c>
      <c r="N207" s="238"/>
      <c r="O207" s="122">
        <v>902.88477517925594</v>
      </c>
      <c r="P207" s="122">
        <f t="shared" si="44"/>
        <v>260.65899451485711</v>
      </c>
      <c r="Q207" s="122">
        <f>$H207*R207/100</f>
        <v>1163.5437696941131</v>
      </c>
      <c r="R207" s="147">
        <v>3.7621330116486682</v>
      </c>
      <c r="S207" s="124">
        <f>Q207/O207</f>
        <v>1.2886957468776752</v>
      </c>
      <c r="T207" s="178">
        <f t="shared" si="45"/>
        <v>-0.16294960112924328</v>
      </c>
    </row>
    <row r="208" spans="2:21" x14ac:dyDescent="0.2">
      <c r="B208" s="64"/>
      <c r="C208" s="33"/>
      <c r="D208" s="26" t="s">
        <v>86</v>
      </c>
      <c r="E208" s="64"/>
      <c r="F208" s="16"/>
      <c r="G208" s="64"/>
      <c r="H208" s="122"/>
      <c r="I208" s="341"/>
      <c r="J208" s="122"/>
      <c r="K208" s="147"/>
      <c r="L208" s="239"/>
      <c r="M208" s="122"/>
      <c r="N208" s="238"/>
      <c r="O208" s="122"/>
      <c r="P208" s="122"/>
      <c r="Q208" s="122"/>
      <c r="R208" s="147"/>
      <c r="S208" s="124"/>
      <c r="T208" s="138"/>
      <c r="U208" s="64"/>
    </row>
    <row r="209" spans="2:21" x14ac:dyDescent="0.2">
      <c r="B209" s="64">
        <f>MAX(B$206:B208)+1</f>
        <v>108</v>
      </c>
      <c r="C209" s="33"/>
      <c r="D209" s="27" t="s">
        <v>84</v>
      </c>
      <c r="E209" s="64"/>
      <c r="F209" s="16" t="s">
        <v>56</v>
      </c>
      <c r="G209" s="64"/>
      <c r="H209" s="122">
        <v>183923.41800000001</v>
      </c>
      <c r="I209" s="341"/>
      <c r="J209" s="122">
        <f>$H209*K209/100</f>
        <v>1553.2599827549159</v>
      </c>
      <c r="K209" s="147">
        <v>0.84451452655959003</v>
      </c>
      <c r="L209" s="239"/>
      <c r="M209" s="122">
        <f t="shared" ref="M209:M210" si="46">J209-O209</f>
        <v>-1147.7084488638081</v>
      </c>
      <c r="N209" s="238"/>
      <c r="O209" s="122">
        <f t="shared" ref="O209:O210" si="47">Q209</f>
        <v>2700.968431618724</v>
      </c>
      <c r="P209" s="122">
        <f t="shared" ref="P209:P210" si="48">Q209-O209</f>
        <v>0</v>
      </c>
      <c r="Q209" s="122">
        <f>$H209*R209/100</f>
        <v>2700.968431618724</v>
      </c>
      <c r="R209" s="147">
        <v>1.468528837159129</v>
      </c>
      <c r="S209" s="124"/>
      <c r="T209" s="138"/>
      <c r="U209" s="64"/>
    </row>
    <row r="210" spans="2:21" x14ac:dyDescent="0.2">
      <c r="B210" s="64">
        <f>MAX(B$206:B209)+1</f>
        <v>109</v>
      </c>
      <c r="C210" s="33"/>
      <c r="D210" s="27" t="s">
        <v>83</v>
      </c>
      <c r="E210" s="64"/>
      <c r="F210" s="16" t="s">
        <v>56</v>
      </c>
      <c r="G210" s="64"/>
      <c r="H210" s="122">
        <v>139330.31</v>
      </c>
      <c r="I210" s="341"/>
      <c r="J210" s="122">
        <f>$H210*K210/100</f>
        <v>892.38609991092176</v>
      </c>
      <c r="K210" s="147">
        <v>0.64048239030755172</v>
      </c>
      <c r="L210" s="239"/>
      <c r="M210" s="122">
        <f t="shared" si="46"/>
        <v>-1153.7196813422879</v>
      </c>
      <c r="N210" s="238"/>
      <c r="O210" s="122">
        <f t="shared" si="47"/>
        <v>2046.1057812532097</v>
      </c>
      <c r="P210" s="122">
        <f t="shared" si="48"/>
        <v>0</v>
      </c>
      <c r="Q210" s="122">
        <f>$H210*R210/100</f>
        <v>2046.1057812532097</v>
      </c>
      <c r="R210" s="147">
        <v>1.468528837159129</v>
      </c>
      <c r="S210" s="124"/>
      <c r="T210" s="138"/>
      <c r="U210" s="64"/>
    </row>
    <row r="211" spans="2:21" x14ac:dyDescent="0.2">
      <c r="B211" s="64">
        <f>MAX(B$206:B210)+1</f>
        <v>110</v>
      </c>
      <c r="C211" s="33"/>
      <c r="D211" s="26" t="s">
        <v>86</v>
      </c>
      <c r="E211" s="64"/>
      <c r="F211" s="16"/>
      <c r="G211" s="64"/>
      <c r="H211" s="146">
        <f>SUM(H209:H210)</f>
        <v>323253.728</v>
      </c>
      <c r="I211" s="341"/>
      <c r="J211" s="146">
        <f>SUM(J209:J210)</f>
        <v>2445.6460826658376</v>
      </c>
      <c r="K211" s="139">
        <f>J211/$H211*100</f>
        <v>0.75657165589311859</v>
      </c>
      <c r="L211" s="239"/>
      <c r="M211" s="146">
        <f>SUM(M209:M210)</f>
        <v>-2301.4281302060963</v>
      </c>
      <c r="N211" s="238"/>
      <c r="O211" s="146">
        <f>SUM(O209:O210)</f>
        <v>4747.0742128719339</v>
      </c>
      <c r="P211" s="146">
        <f>SUM(P209:P210)</f>
        <v>0</v>
      </c>
      <c r="Q211" s="146">
        <f>SUM(Q209:Q210)</f>
        <v>4747.0742128719339</v>
      </c>
      <c r="R211" s="139">
        <f>Q211/$H211*100</f>
        <v>1.468528837159129</v>
      </c>
      <c r="S211" s="342">
        <f>Q211/O211</f>
        <v>1</v>
      </c>
      <c r="T211" s="177">
        <f>R211/K211-1</f>
        <v>0.94103073478950039</v>
      </c>
    </row>
    <row r="212" spans="2:21" x14ac:dyDescent="0.2">
      <c r="B212" s="64"/>
      <c r="C212" s="33"/>
      <c r="D212" s="26"/>
      <c r="E212" s="64"/>
      <c r="F212" s="16"/>
      <c r="G212" s="64"/>
      <c r="H212" s="122"/>
      <c r="I212" s="341"/>
      <c r="J212" s="122"/>
      <c r="K212" s="147"/>
      <c r="L212" s="239"/>
      <c r="M212" s="122"/>
      <c r="N212" s="238"/>
      <c r="O212" s="122"/>
      <c r="P212" s="122"/>
      <c r="Q212" s="122"/>
      <c r="R212" s="147"/>
      <c r="S212" s="124"/>
      <c r="T212" s="138"/>
    </row>
    <row r="213" spans="2:21" x14ac:dyDescent="0.2">
      <c r="B213" s="64">
        <f>MAX(B$206:B212)+1</f>
        <v>111</v>
      </c>
      <c r="C213" s="33"/>
      <c r="D213" s="26" t="s">
        <v>226</v>
      </c>
      <c r="E213" s="64"/>
      <c r="F213" s="16"/>
      <c r="G213" s="64"/>
      <c r="H213" s="122"/>
      <c r="I213" s="341"/>
      <c r="J213" s="122">
        <v>-3896.7572690410957</v>
      </c>
      <c r="K213" s="147"/>
      <c r="L213" s="239"/>
      <c r="M213" s="122"/>
      <c r="N213" s="238"/>
      <c r="O213" s="122">
        <f>Q213</f>
        <v>-3896.7572690410957</v>
      </c>
      <c r="P213" s="122"/>
      <c r="Q213" s="122">
        <v>-3896.7572690410957</v>
      </c>
      <c r="R213" s="122"/>
      <c r="S213" s="124"/>
      <c r="T213" s="122"/>
    </row>
    <row r="214" spans="2:21" x14ac:dyDescent="0.2">
      <c r="B214" s="64"/>
      <c r="C214" s="33"/>
      <c r="D214" s="26"/>
      <c r="E214" s="64"/>
      <c r="F214" s="16"/>
      <c r="G214" s="64"/>
      <c r="H214" s="122"/>
      <c r="I214" s="341"/>
      <c r="J214" s="122"/>
      <c r="K214" s="147"/>
      <c r="L214" s="239"/>
      <c r="M214" s="122"/>
      <c r="N214" s="238"/>
      <c r="O214" s="122"/>
      <c r="P214" s="122"/>
      <c r="Q214" s="122"/>
      <c r="R214" s="147"/>
      <c r="S214" s="124"/>
      <c r="T214" s="138"/>
    </row>
    <row r="215" spans="2:21" x14ac:dyDescent="0.2">
      <c r="B215" s="64">
        <f>MAX(B$206:B214)+1</f>
        <v>112</v>
      </c>
      <c r="C215" s="33"/>
      <c r="D215" s="26" t="s">
        <v>68</v>
      </c>
      <c r="E215" s="64"/>
      <c r="F215" s="16"/>
      <c r="G215" s="64"/>
      <c r="H215" s="146">
        <f>H211</f>
        <v>323253.728</v>
      </c>
      <c r="I215" s="341"/>
      <c r="J215" s="146">
        <f>SUM(J206:J207,J211,J213)</f>
        <v>19.605763714226214</v>
      </c>
      <c r="K215" s="139">
        <f>J215/$H215*100</f>
        <v>6.0651315100150099E-3</v>
      </c>
      <c r="L215" s="239"/>
      <c r="M215" s="146">
        <f>SUM(M206:M207,M211,M213)</f>
        <v>-2074.9196745338272</v>
      </c>
      <c r="N215" s="238"/>
      <c r="O215" s="146">
        <f>SUM(O206:O207,O211,O213)</f>
        <v>2094.5254382480539</v>
      </c>
      <c r="P215" s="146">
        <f>SUM(P206:P207,P211,P213)</f>
        <v>-5.6843418860808015E-14</v>
      </c>
      <c r="Q215" s="146">
        <f>SUM(Q206:Q207,Q211,Q213)</f>
        <v>2094.5254382480539</v>
      </c>
      <c r="R215" s="139">
        <f>Q215/$H215*100</f>
        <v>0.64795089950147577</v>
      </c>
      <c r="S215" s="342">
        <f>Q215/O215</f>
        <v>1</v>
      </c>
      <c r="T215" s="177">
        <f>R215/K215-1</f>
        <v>105.83212695908588</v>
      </c>
    </row>
    <row r="216" spans="2:21" x14ac:dyDescent="0.2">
      <c r="E216" s="64"/>
      <c r="F216" s="16"/>
      <c r="G216" s="64"/>
      <c r="H216" s="122"/>
      <c r="I216" s="341"/>
      <c r="J216" s="122"/>
      <c r="K216" s="147"/>
      <c r="L216" s="239"/>
      <c r="M216" s="122"/>
      <c r="N216" s="238"/>
      <c r="O216" s="122"/>
      <c r="P216" s="122"/>
      <c r="Q216" s="122"/>
      <c r="R216" s="147"/>
      <c r="S216" s="124"/>
      <c r="T216" s="178"/>
    </row>
    <row r="217" spans="2:21" x14ac:dyDescent="0.2">
      <c r="B217" s="64"/>
      <c r="C217" s="33"/>
      <c r="D217" s="26" t="s">
        <v>87</v>
      </c>
      <c r="E217" s="64"/>
      <c r="F217" s="192"/>
      <c r="G217" s="64"/>
      <c r="H217" s="122"/>
      <c r="I217" s="341"/>
      <c r="J217" s="122"/>
      <c r="K217" s="147"/>
      <c r="L217" s="239"/>
      <c r="M217" s="122"/>
      <c r="N217" s="238"/>
      <c r="O217" s="122"/>
      <c r="P217" s="122"/>
      <c r="Q217" s="122"/>
      <c r="R217" s="240"/>
      <c r="S217" s="124"/>
      <c r="T217" s="343"/>
    </row>
    <row r="218" spans="2:21" x14ac:dyDescent="0.2">
      <c r="B218" s="64">
        <f>MAX(B$206:B217)+1</f>
        <v>113</v>
      </c>
      <c r="C218" s="33"/>
      <c r="D218" s="27" t="s">
        <v>64</v>
      </c>
      <c r="E218" s="64"/>
      <c r="F218" s="192" t="s">
        <v>56</v>
      </c>
      <c r="G218" s="64"/>
      <c r="H218" s="122">
        <v>5360.2020000000002</v>
      </c>
      <c r="I218" s="341"/>
      <c r="J218" s="122">
        <f>$H218*K218/100</f>
        <v>210.48144238362977</v>
      </c>
      <c r="K218" s="147">
        <v>3.9267445962601735</v>
      </c>
      <c r="L218" s="239"/>
      <c r="M218" s="122">
        <f t="shared" ref="M218:M221" si="49">J218-O218</f>
        <v>162.90963016625088</v>
      </c>
      <c r="N218" s="238"/>
      <c r="O218" s="122">
        <f>Q218</f>
        <v>47.571812217378891</v>
      </c>
      <c r="P218" s="122">
        <f t="shared" ref="P218:P221" si="50">Q218-O218</f>
        <v>0</v>
      </c>
      <c r="Q218" s="122">
        <f>$H218*R218/100</f>
        <v>47.571812217378891</v>
      </c>
      <c r="R218" s="147">
        <v>0.8875003631836802</v>
      </c>
      <c r="S218" s="344"/>
      <c r="T218" s="178"/>
    </row>
    <row r="219" spans="2:21" x14ac:dyDescent="0.2">
      <c r="B219" s="64">
        <f>MAX(B$206:B218)+1</f>
        <v>114</v>
      </c>
      <c r="C219" s="33"/>
      <c r="D219" s="27" t="s">
        <v>65</v>
      </c>
      <c r="E219" s="64"/>
      <c r="F219" s="192" t="s">
        <v>56</v>
      </c>
      <c r="G219" s="64"/>
      <c r="H219" s="122">
        <v>108433.382</v>
      </c>
      <c r="I219" s="341"/>
      <c r="J219" s="122">
        <f>$H219*K219/100</f>
        <v>1051.5006587066987</v>
      </c>
      <c r="K219" s="147">
        <v>0.96972043047287659</v>
      </c>
      <c r="L219" s="239"/>
      <c r="M219" s="122">
        <f t="shared" si="49"/>
        <v>89.153999644351416</v>
      </c>
      <c r="N219" s="239"/>
      <c r="O219" s="122">
        <f t="shared" ref="O219:O220" si="51">Q219</f>
        <v>962.34665906234727</v>
      </c>
      <c r="P219" s="122">
        <f t="shared" si="50"/>
        <v>0</v>
      </c>
      <c r="Q219" s="122">
        <f>$H219*R219/100</f>
        <v>962.34665906234727</v>
      </c>
      <c r="R219" s="147">
        <v>0.8875003631836802</v>
      </c>
      <c r="S219" s="344"/>
      <c r="T219" s="178"/>
      <c r="U219" s="64"/>
    </row>
    <row r="220" spans="2:21" x14ac:dyDescent="0.2">
      <c r="B220" s="64">
        <f>MAX(B$206:B219)+1</f>
        <v>115</v>
      </c>
      <c r="C220" s="33"/>
      <c r="D220" s="27" t="s">
        <v>66</v>
      </c>
      <c r="E220" s="64"/>
      <c r="F220" s="192" t="s">
        <v>56</v>
      </c>
      <c r="G220" s="64"/>
      <c r="H220" s="122">
        <v>0</v>
      </c>
      <c r="I220" s="341"/>
      <c r="J220" s="122">
        <f>$H220*K220/100</f>
        <v>0</v>
      </c>
      <c r="K220" s="147">
        <v>3.9267445962601735</v>
      </c>
      <c r="L220" s="239"/>
      <c r="M220" s="122">
        <f t="shared" si="49"/>
        <v>0</v>
      </c>
      <c r="N220" s="239"/>
      <c r="O220" s="122">
        <f t="shared" si="51"/>
        <v>0</v>
      </c>
      <c r="P220" s="122">
        <f t="shared" si="50"/>
        <v>0</v>
      </c>
      <c r="Q220" s="122">
        <f>$H220*R220/100</f>
        <v>0</v>
      </c>
      <c r="R220" s="147">
        <v>2.7494672686766894</v>
      </c>
      <c r="S220" s="344"/>
      <c r="T220" s="178"/>
      <c r="U220" s="64"/>
    </row>
    <row r="221" spans="2:21" x14ac:dyDescent="0.2">
      <c r="B221" s="64">
        <f>MAX(B$206:B220)+1</f>
        <v>116</v>
      </c>
      <c r="C221" s="33"/>
      <c r="D221" s="27" t="s">
        <v>67</v>
      </c>
      <c r="E221" s="64"/>
      <c r="F221" s="192" t="s">
        <v>56</v>
      </c>
      <c r="G221" s="64"/>
      <c r="H221" s="122">
        <f>H215-SUM(H218:H220)</f>
        <v>209460.144</v>
      </c>
      <c r="I221" s="341"/>
      <c r="J221" s="122">
        <f>$H221*K221/100</f>
        <v>0</v>
      </c>
      <c r="K221" s="147">
        <v>0</v>
      </c>
      <c r="L221" s="239"/>
      <c r="M221" s="122">
        <f t="shared" si="49"/>
        <v>-1858.9595387250595</v>
      </c>
      <c r="N221" s="239"/>
      <c r="O221" s="122">
        <f>Q221</f>
        <v>1858.9595387250595</v>
      </c>
      <c r="P221" s="122">
        <f t="shared" si="50"/>
        <v>0</v>
      </c>
      <c r="Q221" s="122">
        <f>$H221*R221/100</f>
        <v>1858.9595387250595</v>
      </c>
      <c r="R221" s="147">
        <v>0.8875003631836802</v>
      </c>
      <c r="S221" s="124"/>
      <c r="T221" s="178"/>
      <c r="U221" s="64"/>
    </row>
    <row r="222" spans="2:21" x14ac:dyDescent="0.2">
      <c r="B222" s="64">
        <f>MAX(B$206:B221)+1</f>
        <v>117</v>
      </c>
      <c r="C222" s="33"/>
      <c r="D222" s="26" t="s">
        <v>87</v>
      </c>
      <c r="E222" s="64"/>
      <c r="F222" s="16"/>
      <c r="G222" s="64"/>
      <c r="H222" s="146">
        <f>SUM(H218:H221)</f>
        <v>323253.728</v>
      </c>
      <c r="I222" s="341"/>
      <c r="J222" s="146">
        <f>SUM(J218:J221)</f>
        <v>1261.9821010903283</v>
      </c>
      <c r="K222" s="139">
        <f>J222/$H222*100</f>
        <v>0.3903998598557008</v>
      </c>
      <c r="L222" s="239"/>
      <c r="M222" s="146">
        <f>SUM(M218:M221)</f>
        <v>-1606.8959089144571</v>
      </c>
      <c r="N222" s="238"/>
      <c r="O222" s="146">
        <f>SUM(O218:O221)</f>
        <v>2868.8780100047857</v>
      </c>
      <c r="P222" s="146">
        <f>SUM(P218:P221)</f>
        <v>0</v>
      </c>
      <c r="Q222" s="146">
        <f>SUM(Q218:Q221)</f>
        <v>2868.8780100047857</v>
      </c>
      <c r="R222" s="139">
        <f>Q222/$H222*100</f>
        <v>0.88750036318368009</v>
      </c>
      <c r="S222" s="342">
        <f>Q222/O222</f>
        <v>1</v>
      </c>
      <c r="T222" s="177">
        <f>R222/K222-1</f>
        <v>1.2733111725801263</v>
      </c>
    </row>
    <row r="223" spans="2:21" x14ac:dyDescent="0.2">
      <c r="H223" s="148"/>
      <c r="I223" s="148"/>
      <c r="J223" s="148"/>
      <c r="K223" s="148"/>
      <c r="L223" s="148"/>
      <c r="M223" s="148"/>
      <c r="N223" s="148"/>
      <c r="O223" s="148"/>
      <c r="P223" s="148"/>
      <c r="Q223" s="148"/>
      <c r="R223" s="148"/>
      <c r="S223" s="148"/>
      <c r="T223" s="180"/>
    </row>
    <row r="224" spans="2:21" x14ac:dyDescent="0.2">
      <c r="B224" s="64">
        <f>MAX(B$206:B223)+1</f>
        <v>118</v>
      </c>
      <c r="C224" s="33"/>
      <c r="D224" s="26" t="s">
        <v>88</v>
      </c>
      <c r="E224" s="64"/>
      <c r="F224" s="16" t="s">
        <v>56</v>
      </c>
      <c r="G224" s="64"/>
      <c r="H224" s="122">
        <f>H218</f>
        <v>5360.2020000000002</v>
      </c>
      <c r="I224" s="341"/>
      <c r="J224" s="122">
        <f>$H224*K224/100</f>
        <v>983.03055790717644</v>
      </c>
      <c r="K224" s="147">
        <v>18.339431198808857</v>
      </c>
      <c r="L224" s="239"/>
      <c r="M224" s="122">
        <f>J224-O224</f>
        <v>-137.43402387116134</v>
      </c>
      <c r="N224" s="238"/>
      <c r="O224" s="122">
        <f>Q224</f>
        <v>1120.4645817783378</v>
      </c>
      <c r="P224" s="122">
        <f>Q224-O224</f>
        <v>0</v>
      </c>
      <c r="Q224" s="122">
        <f>$H224*R224/100</f>
        <v>1120.4645817783378</v>
      </c>
      <c r="R224" s="147">
        <v>20.903402181080821</v>
      </c>
      <c r="S224" s="124">
        <f>Q224/O224</f>
        <v>1</v>
      </c>
      <c r="T224" s="178">
        <f>R224/K224-1</f>
        <v>0.13980646152419896</v>
      </c>
    </row>
    <row r="225" spans="2:21" x14ac:dyDescent="0.2">
      <c r="B225" s="64"/>
      <c r="C225" s="33"/>
      <c r="D225" s="26"/>
      <c r="E225" s="64"/>
      <c r="F225" s="16"/>
      <c r="G225" s="64"/>
      <c r="H225" s="122"/>
      <c r="I225" s="341"/>
      <c r="J225" s="122"/>
      <c r="K225" s="147"/>
      <c r="L225" s="239"/>
      <c r="M225" s="122"/>
      <c r="N225" s="238"/>
      <c r="O225" s="122"/>
      <c r="P225" s="122"/>
      <c r="Q225" s="122"/>
      <c r="R225" s="147"/>
      <c r="S225" s="124"/>
      <c r="T225" s="178"/>
    </row>
    <row r="226" spans="2:21" ht="13.5" thickBot="1" x14ac:dyDescent="0.25">
      <c r="B226" s="64">
        <f>MAX(B$206:B225)+1</f>
        <v>119</v>
      </c>
      <c r="C226" s="33"/>
      <c r="D226" s="26" t="s">
        <v>156</v>
      </c>
      <c r="E226" s="64"/>
      <c r="F226" s="16"/>
      <c r="G226" s="64"/>
      <c r="H226" s="159">
        <f>H215</f>
        <v>323253.728</v>
      </c>
      <c r="I226" s="341"/>
      <c r="J226" s="159">
        <f>SUM(J215,J222,J224)</f>
        <v>2264.618422711731</v>
      </c>
      <c r="K226" s="140">
        <f>J226/$H226*100</f>
        <v>0.7005699320849692</v>
      </c>
      <c r="L226" s="239"/>
      <c r="M226" s="159">
        <f>SUM(M215,M222,M224)</f>
        <v>-3819.2496073194452</v>
      </c>
      <c r="N226" s="238"/>
      <c r="O226" s="159">
        <f>SUM(O215,O222,O224)</f>
        <v>6083.8680300311771</v>
      </c>
      <c r="P226" s="159">
        <f>SUM(P215,P222,P224)</f>
        <v>-5.6843418860808015E-14</v>
      </c>
      <c r="Q226" s="159">
        <f>SUM(Q215,Q222,Q224)</f>
        <v>6083.8680300311771</v>
      </c>
      <c r="R226" s="140">
        <f>Q226/$H226*100</f>
        <v>1.8820720390983943</v>
      </c>
      <c r="S226" s="345">
        <f>Q226/O226</f>
        <v>1</v>
      </c>
      <c r="T226" s="179">
        <f>R226/K226-1</f>
        <v>1.6864870342024978</v>
      </c>
    </row>
    <row r="227" spans="2:21" ht="13.5" thickTop="1" x14ac:dyDescent="0.2">
      <c r="B227" s="64"/>
      <c r="C227" s="33"/>
      <c r="D227" s="26"/>
      <c r="E227" s="64"/>
      <c r="F227" s="16"/>
      <c r="G227" s="64"/>
      <c r="H227" s="346"/>
      <c r="I227" s="341"/>
      <c r="J227" s="346"/>
      <c r="K227" s="147"/>
      <c r="L227" s="239"/>
      <c r="M227" s="346"/>
      <c r="N227" s="238"/>
      <c r="O227" s="346"/>
      <c r="P227" s="346"/>
      <c r="Q227" s="346"/>
      <c r="R227" s="147"/>
      <c r="S227" s="172"/>
      <c r="T227" s="178"/>
    </row>
    <row r="228" spans="2:21" x14ac:dyDescent="0.2">
      <c r="B228" s="64"/>
      <c r="C228" s="33"/>
      <c r="D228" s="31" t="s">
        <v>14</v>
      </c>
      <c r="E228" s="64"/>
      <c r="F228" s="186"/>
      <c r="G228" s="64"/>
      <c r="H228" s="350"/>
      <c r="I228" s="341"/>
      <c r="J228" s="350"/>
      <c r="K228" s="341"/>
      <c r="L228" s="341"/>
      <c r="M228" s="144"/>
      <c r="N228" s="341"/>
      <c r="O228" s="145"/>
      <c r="P228" s="341"/>
      <c r="Q228" s="341"/>
      <c r="R228" s="341"/>
      <c r="S228" s="341"/>
      <c r="T228" s="351"/>
      <c r="U228" s="64"/>
    </row>
    <row r="229" spans="2:21" x14ac:dyDescent="0.2">
      <c r="B229" s="64">
        <f>MAX(B$206:B228)+1</f>
        <v>120</v>
      </c>
      <c r="C229" s="33"/>
      <c r="D229" s="26" t="s">
        <v>85</v>
      </c>
      <c r="E229" s="64"/>
      <c r="F229" s="16" t="s">
        <v>55</v>
      </c>
      <c r="G229" s="64"/>
      <c r="H229" s="122">
        <v>12</v>
      </c>
      <c r="I229" s="341"/>
      <c r="J229" s="122">
        <f>$H229*K229/1000</f>
        <v>0</v>
      </c>
      <c r="K229" s="331">
        <v>0</v>
      </c>
      <c r="L229" s="239"/>
      <c r="M229" s="122">
        <f t="shared" ref="M229:M231" si="52">J229-O229</f>
        <v>-15.178851929378597</v>
      </c>
      <c r="N229" s="238"/>
      <c r="O229" s="122">
        <v>15.178851929378597</v>
      </c>
      <c r="P229" s="122">
        <f t="shared" ref="P229:P231" si="53">Q229-O229</f>
        <v>-15.178851929378597</v>
      </c>
      <c r="Q229" s="122">
        <f>$H229*R229/1000</f>
        <v>0</v>
      </c>
      <c r="R229" s="331">
        <v>0</v>
      </c>
      <c r="S229" s="124">
        <f>Q229/O229</f>
        <v>0</v>
      </c>
      <c r="T229" s="178">
        <v>0</v>
      </c>
    </row>
    <row r="230" spans="2:21" x14ac:dyDescent="0.2">
      <c r="B230" s="64">
        <f>MAX(B$206:B229)+1</f>
        <v>121</v>
      </c>
      <c r="C230" s="33"/>
      <c r="D230" s="26" t="s">
        <v>89</v>
      </c>
      <c r="E230" s="64"/>
      <c r="F230" s="16" t="s">
        <v>81</v>
      </c>
      <c r="G230" s="64"/>
      <c r="H230" s="122">
        <v>15025.2</v>
      </c>
      <c r="I230" s="341"/>
      <c r="J230" s="122">
        <f>$H230*K230/100</f>
        <v>2442.9785861728078</v>
      </c>
      <c r="K230" s="147">
        <v>16.259208437643476</v>
      </c>
      <c r="L230" s="239"/>
      <c r="M230" s="122">
        <f t="shared" si="52"/>
        <v>-2103.2614923229194</v>
      </c>
      <c r="N230" s="238"/>
      <c r="O230" s="122">
        <v>4546.2400784957272</v>
      </c>
      <c r="P230" s="122">
        <f t="shared" si="53"/>
        <v>-112.50265814078648</v>
      </c>
      <c r="Q230" s="122">
        <f>$H230*R230/100</f>
        <v>4433.7374203549407</v>
      </c>
      <c r="R230" s="147">
        <v>29.508674895208987</v>
      </c>
      <c r="S230" s="124">
        <f>Q230/O230</f>
        <v>0.97525369179842969</v>
      </c>
      <c r="T230" s="178">
        <f t="shared" ref="T230:T231" si="54">R230/K230-1</f>
        <v>0.81489000576991311</v>
      </c>
    </row>
    <row r="231" spans="2:21" x14ac:dyDescent="0.2">
      <c r="B231" s="64">
        <f>MAX(B$206:B230)+1</f>
        <v>122</v>
      </c>
      <c r="C231" s="33"/>
      <c r="D231" s="26" t="s">
        <v>86</v>
      </c>
      <c r="E231" s="64"/>
      <c r="F231" s="16" t="s">
        <v>56</v>
      </c>
      <c r="G231" s="64"/>
      <c r="H231" s="122">
        <v>188852.1</v>
      </c>
      <c r="I231" s="341"/>
      <c r="J231" s="122">
        <f>$H231*K231/100</f>
        <v>4714.2181272109929</v>
      </c>
      <c r="K231" s="147">
        <v>2.4962487190828129</v>
      </c>
      <c r="L231" s="239"/>
      <c r="M231" s="122">
        <f t="shared" si="52"/>
        <v>3676.86028658136</v>
      </c>
      <c r="N231" s="238"/>
      <c r="O231" s="122">
        <f t="shared" ref="O231:O232" si="55">Q231</f>
        <v>1037.3578406296328</v>
      </c>
      <c r="P231" s="122">
        <f t="shared" si="53"/>
        <v>0</v>
      </c>
      <c r="Q231" s="122">
        <f>$H231*R231/100</f>
        <v>1037.3578406296328</v>
      </c>
      <c r="R231" s="147">
        <v>0.54929642859657524</v>
      </c>
      <c r="S231" s="124">
        <f>Q231/O231</f>
        <v>1</v>
      </c>
      <c r="T231" s="178">
        <f t="shared" si="54"/>
        <v>-0.77995124267969529</v>
      </c>
    </row>
    <row r="232" spans="2:21" x14ac:dyDescent="0.2">
      <c r="B232" s="64">
        <f>MAX(B$206:B231)+1</f>
        <v>123</v>
      </c>
      <c r="C232" s="33"/>
      <c r="D232" s="26" t="s">
        <v>226</v>
      </c>
      <c r="E232" s="64"/>
      <c r="F232" s="16"/>
      <c r="G232" s="64"/>
      <c r="H232" s="122"/>
      <c r="I232" s="341"/>
      <c r="J232" s="122">
        <v>-260.51260400000001</v>
      </c>
      <c r="K232" s="147"/>
      <c r="L232" s="239"/>
      <c r="M232" s="122"/>
      <c r="N232" s="238"/>
      <c r="O232" s="122">
        <f t="shared" si="55"/>
        <v>-260.51260400000001</v>
      </c>
      <c r="P232" s="122"/>
      <c r="Q232" s="122">
        <v>-260.51260400000001</v>
      </c>
      <c r="R232" s="122"/>
      <c r="S232" s="124"/>
      <c r="T232" s="178"/>
    </row>
    <row r="233" spans="2:21" x14ac:dyDescent="0.2">
      <c r="B233" s="64"/>
      <c r="C233" s="33"/>
      <c r="D233" s="26"/>
      <c r="E233" s="64"/>
      <c r="F233" s="16"/>
      <c r="G233" s="64"/>
      <c r="H233" s="122"/>
      <c r="I233" s="341"/>
      <c r="J233" s="122"/>
      <c r="K233" s="147"/>
      <c r="L233" s="239"/>
      <c r="M233" s="122"/>
      <c r="N233" s="238"/>
      <c r="O233" s="122"/>
      <c r="P233" s="122"/>
      <c r="Q233" s="122"/>
      <c r="R233" s="147"/>
      <c r="S233" s="124"/>
      <c r="T233" s="178"/>
    </row>
    <row r="234" spans="2:21" x14ac:dyDescent="0.2">
      <c r="B234" s="64">
        <f>MAX(B$206:B233)+1</f>
        <v>124</v>
      </c>
      <c r="C234" s="33"/>
      <c r="D234" s="26" t="s">
        <v>68</v>
      </c>
      <c r="E234" s="64"/>
      <c r="F234" s="16"/>
      <c r="G234" s="64"/>
      <c r="H234" s="146">
        <f>H231</f>
        <v>188852.1</v>
      </c>
      <c r="I234" s="341"/>
      <c r="J234" s="146">
        <f>SUM(J229:J232)</f>
        <v>6896.6841093838011</v>
      </c>
      <c r="K234" s="139">
        <f>J234/$H234*100</f>
        <v>3.6518969656063134</v>
      </c>
      <c r="L234" s="239"/>
      <c r="M234" s="146">
        <f>SUM(M229:M232)</f>
        <v>1558.419942329062</v>
      </c>
      <c r="N234" s="238"/>
      <c r="O234" s="146">
        <f>SUM(O229:O232)</f>
        <v>5338.2641670547382</v>
      </c>
      <c r="P234" s="146">
        <f>SUM(P229:P232)</f>
        <v>-127.68151007016507</v>
      </c>
      <c r="Q234" s="146">
        <f>SUM(Q229:Q232)</f>
        <v>5210.582656984574</v>
      </c>
      <c r="R234" s="139">
        <f>Q234/$H234*100</f>
        <v>2.7590811312050931</v>
      </c>
      <c r="S234" s="342">
        <f>Q234/O234</f>
        <v>0.9760818299592301</v>
      </c>
      <c r="T234" s="177">
        <f>R234/K234-1</f>
        <v>-0.24448001759353821</v>
      </c>
    </row>
    <row r="235" spans="2:21" x14ac:dyDescent="0.2">
      <c r="E235" s="64"/>
      <c r="F235" s="16"/>
      <c r="G235" s="64"/>
      <c r="H235" s="122"/>
      <c r="I235" s="341"/>
      <c r="J235" s="122"/>
      <c r="K235" s="147"/>
      <c r="L235" s="239"/>
      <c r="M235" s="122"/>
      <c r="N235" s="238"/>
      <c r="O235" s="122"/>
      <c r="P235" s="122"/>
      <c r="Q235" s="122"/>
      <c r="R235" s="147"/>
      <c r="S235" s="124"/>
      <c r="T235" s="178"/>
    </row>
    <row r="236" spans="2:21" x14ac:dyDescent="0.2">
      <c r="B236" s="64"/>
      <c r="C236" s="33"/>
      <c r="D236" s="26" t="s">
        <v>87</v>
      </c>
      <c r="E236" s="64"/>
      <c r="F236" s="192"/>
      <c r="G236" s="64"/>
      <c r="H236" s="122"/>
      <c r="I236" s="341"/>
      <c r="J236" s="122"/>
      <c r="K236" s="147"/>
      <c r="L236" s="239"/>
      <c r="M236" s="122"/>
      <c r="N236" s="238"/>
      <c r="O236" s="122"/>
      <c r="P236" s="122"/>
      <c r="Q236" s="122"/>
      <c r="R236" s="240"/>
      <c r="S236" s="124"/>
      <c r="T236" s="343"/>
    </row>
    <row r="237" spans="2:21" x14ac:dyDescent="0.2">
      <c r="B237" s="64">
        <f>MAX(B$206:B236)+1</f>
        <v>125</v>
      </c>
      <c r="C237" s="33"/>
      <c r="D237" s="27" t="s">
        <v>64</v>
      </c>
      <c r="E237" s="64"/>
      <c r="F237" s="192" t="s">
        <v>56</v>
      </c>
      <c r="G237" s="64"/>
      <c r="H237" s="122">
        <v>140305.60000000001</v>
      </c>
      <c r="I237" s="341"/>
      <c r="J237" s="122">
        <f>$H237*K237/100</f>
        <v>5509.4422677101684</v>
      </c>
      <c r="K237" s="147">
        <v>3.9267443834816063</v>
      </c>
      <c r="L237" s="239"/>
      <c r="M237" s="122">
        <f t="shared" ref="M237:M240" si="56">J237-O237</f>
        <v>3525.9395686765638</v>
      </c>
      <c r="N237" s="238"/>
      <c r="O237" s="122">
        <f>Q237</f>
        <v>1983.5026990336044</v>
      </c>
      <c r="P237" s="122">
        <f t="shared" ref="P237:P240" si="57">Q237-O237</f>
        <v>0</v>
      </c>
      <c r="Q237" s="122">
        <f>$H237*R237/100</f>
        <v>1983.5026990336044</v>
      </c>
      <c r="R237" s="147">
        <v>1.4137017332405863</v>
      </c>
      <c r="S237" s="344"/>
      <c r="T237" s="178"/>
    </row>
    <row r="238" spans="2:21" x14ac:dyDescent="0.2">
      <c r="B238" s="64">
        <f>MAX(B$206:B237)+1</f>
        <v>126</v>
      </c>
      <c r="C238" s="33"/>
      <c r="D238" s="27" t="s">
        <v>65</v>
      </c>
      <c r="E238" s="64"/>
      <c r="F238" s="192" t="s">
        <v>56</v>
      </c>
      <c r="G238" s="64"/>
      <c r="H238" s="122">
        <v>48544.5</v>
      </c>
      <c r="I238" s="341"/>
      <c r="J238" s="122">
        <f>$H238*K238/100</f>
        <v>470.74592514174344</v>
      </c>
      <c r="K238" s="147">
        <v>0.96972041146112009</v>
      </c>
      <c r="L238" s="239"/>
      <c r="M238" s="122">
        <f t="shared" si="56"/>
        <v>-215.52851275123294</v>
      </c>
      <c r="N238" s="239"/>
      <c r="O238" s="122">
        <f t="shared" ref="O238:O239" si="58">Q238</f>
        <v>686.27443789297638</v>
      </c>
      <c r="P238" s="122">
        <f t="shared" si="57"/>
        <v>0</v>
      </c>
      <c r="Q238" s="122">
        <f>$H238*R238/100</f>
        <v>686.27443789297638</v>
      </c>
      <c r="R238" s="147">
        <v>1.4137017332405863</v>
      </c>
      <c r="S238" s="344"/>
      <c r="T238" s="178"/>
      <c r="U238" s="64"/>
    </row>
    <row r="239" spans="2:21" x14ac:dyDescent="0.2">
      <c r="B239" s="64">
        <f>MAX(B$206:B238)+1</f>
        <v>127</v>
      </c>
      <c r="C239" s="33"/>
      <c r="D239" s="27" t="s">
        <v>66</v>
      </c>
      <c r="E239" s="64"/>
      <c r="F239" s="192" t="s">
        <v>56</v>
      </c>
      <c r="G239" s="64"/>
      <c r="H239" s="122">
        <v>2</v>
      </c>
      <c r="I239" s="341"/>
      <c r="J239" s="122">
        <f>$H239*K239/100</f>
        <v>7.8534887669632125E-2</v>
      </c>
      <c r="K239" s="147">
        <v>3.9267443834816063</v>
      </c>
      <c r="L239" s="239"/>
      <c r="M239" s="122">
        <f t="shared" si="56"/>
        <v>1.3021514894960215E-2</v>
      </c>
      <c r="N239" s="239"/>
      <c r="O239" s="122">
        <f t="shared" si="58"/>
        <v>6.551337277467191E-2</v>
      </c>
      <c r="P239" s="122">
        <f t="shared" si="57"/>
        <v>0</v>
      </c>
      <c r="Q239" s="122">
        <f>$H239*R239/100</f>
        <v>6.551337277467191E-2</v>
      </c>
      <c r="R239" s="147">
        <v>3.2756686387335954</v>
      </c>
      <c r="S239" s="344"/>
      <c r="T239" s="178"/>
      <c r="U239" s="64"/>
    </row>
    <row r="240" spans="2:21" x14ac:dyDescent="0.2">
      <c r="B240" s="64">
        <f>MAX(B$206:B239)+1</f>
        <v>128</v>
      </c>
      <c r="C240" s="33"/>
      <c r="D240" s="27" t="s">
        <v>67</v>
      </c>
      <c r="E240" s="64"/>
      <c r="F240" s="192" t="s">
        <v>56</v>
      </c>
      <c r="G240" s="64"/>
      <c r="H240" s="122">
        <f>H234-SUM(H237:H239)</f>
        <v>0</v>
      </c>
      <c r="I240" s="341"/>
      <c r="J240" s="122">
        <f>$H240*K240/100</f>
        <v>0</v>
      </c>
      <c r="K240" s="147">
        <v>0</v>
      </c>
      <c r="L240" s="239"/>
      <c r="M240" s="122">
        <f t="shared" si="56"/>
        <v>0</v>
      </c>
      <c r="N240" s="239"/>
      <c r="O240" s="122">
        <f>Q240</f>
        <v>0</v>
      </c>
      <c r="P240" s="122">
        <f t="shared" si="57"/>
        <v>0</v>
      </c>
      <c r="Q240" s="122">
        <f>$H240*R240/100</f>
        <v>0</v>
      </c>
      <c r="R240" s="147">
        <v>1.4137017332405863</v>
      </c>
      <c r="S240" s="124"/>
      <c r="T240" s="178"/>
      <c r="U240" s="64"/>
    </row>
    <row r="241" spans="2:21" x14ac:dyDescent="0.2">
      <c r="B241" s="64">
        <f>MAX(B$206:B240)+1</f>
        <v>129</v>
      </c>
      <c r="C241" s="33"/>
      <c r="D241" s="26" t="s">
        <v>87</v>
      </c>
      <c r="E241" s="64"/>
      <c r="F241" s="16"/>
      <c r="G241" s="64"/>
      <c r="H241" s="146">
        <f>SUM(H237:H240)</f>
        <v>188852.1</v>
      </c>
      <c r="I241" s="341"/>
      <c r="J241" s="146">
        <f>SUM(J237:J240)</f>
        <v>5980.2667277395813</v>
      </c>
      <c r="K241" s="139">
        <f>J241/$H241*100</f>
        <v>3.1666403115133912</v>
      </c>
      <c r="L241" s="239"/>
      <c r="M241" s="146">
        <f>SUM(M237:M240)</f>
        <v>3310.424077440226</v>
      </c>
      <c r="N241" s="238"/>
      <c r="O241" s="146">
        <f>SUM(O237:O240)</f>
        <v>2669.8426502993552</v>
      </c>
      <c r="P241" s="146">
        <f>SUM(P237:P240)</f>
        <v>0</v>
      </c>
      <c r="Q241" s="146">
        <f>SUM(Q237:Q240)</f>
        <v>2669.8426502993552</v>
      </c>
      <c r="R241" s="139">
        <f>Q241/$H241*100</f>
        <v>1.4137214520248147</v>
      </c>
      <c r="S241" s="342">
        <f>Q241/O241</f>
        <v>1</v>
      </c>
      <c r="T241" s="177">
        <f>R241/K241-1</f>
        <v>-0.55355793113453633</v>
      </c>
    </row>
    <row r="242" spans="2:21" x14ac:dyDescent="0.2">
      <c r="H242" s="148"/>
      <c r="I242" s="148"/>
      <c r="J242" s="148"/>
      <c r="K242" s="148"/>
      <c r="L242" s="148"/>
      <c r="M242" s="148"/>
      <c r="N242" s="148"/>
      <c r="O242" s="148"/>
      <c r="P242" s="148"/>
      <c r="Q242" s="148"/>
      <c r="R242" s="148"/>
      <c r="S242" s="148"/>
      <c r="T242" s="180"/>
    </row>
    <row r="243" spans="2:21" x14ac:dyDescent="0.2">
      <c r="B243" s="64">
        <f>MAX(B$206:B242)+1</f>
        <v>130</v>
      </c>
      <c r="C243" s="33"/>
      <c r="D243" s="26" t="s">
        <v>88</v>
      </c>
      <c r="E243" s="64"/>
      <c r="F243" s="16" t="s">
        <v>56</v>
      </c>
      <c r="G243" s="64"/>
      <c r="H243" s="122">
        <f>H237</f>
        <v>140305.60000000001</v>
      </c>
      <c r="I243" s="341"/>
      <c r="J243" s="122">
        <f>$H243*K243/100</f>
        <v>25731.108039998187</v>
      </c>
      <c r="K243" s="147">
        <v>18.339330746597561</v>
      </c>
      <c r="L243" s="239"/>
      <c r="M243" s="122">
        <f>J243-O243</f>
        <v>-3597.5358105803462</v>
      </c>
      <c r="N243" s="238"/>
      <c r="O243" s="122">
        <f>Q243</f>
        <v>29328.643850578534</v>
      </c>
      <c r="P243" s="122">
        <f>Q243-O243</f>
        <v>0</v>
      </c>
      <c r="Q243" s="122">
        <f>$H243*R243/100</f>
        <v>29328.643850578534</v>
      </c>
      <c r="R243" s="147">
        <v>20.903402181080821</v>
      </c>
      <c r="S243" s="124">
        <f>Q243/O243</f>
        <v>1</v>
      </c>
      <c r="T243" s="178">
        <f>R243/K243-1</f>
        <v>0.1398127047225517</v>
      </c>
    </row>
    <row r="244" spans="2:21" x14ac:dyDescent="0.2">
      <c r="B244" s="64"/>
      <c r="C244" s="33"/>
      <c r="D244" s="26"/>
      <c r="E244" s="64"/>
      <c r="F244" s="16"/>
      <c r="G244" s="64"/>
      <c r="H244" s="122"/>
      <c r="I244" s="341"/>
      <c r="J244" s="122"/>
      <c r="K244" s="147"/>
      <c r="L244" s="239"/>
      <c r="M244" s="122"/>
      <c r="N244" s="238"/>
      <c r="O244" s="122"/>
      <c r="P244" s="122"/>
      <c r="Q244" s="122"/>
      <c r="R244" s="147"/>
      <c r="S244" s="124"/>
      <c r="T244" s="178"/>
    </row>
    <row r="245" spans="2:21" ht="13.5" thickBot="1" x14ac:dyDescent="0.25">
      <c r="B245" s="64">
        <f>MAX(B$206:B244)+1</f>
        <v>131</v>
      </c>
      <c r="C245" s="33"/>
      <c r="D245" s="26" t="s">
        <v>157</v>
      </c>
      <c r="E245" s="64"/>
      <c r="F245" s="16"/>
      <c r="G245" s="64"/>
      <c r="H245" s="159">
        <f>H234</f>
        <v>188852.1</v>
      </c>
      <c r="I245" s="341"/>
      <c r="J245" s="159">
        <f>SUM(J234,J241,J243)</f>
        <v>38608.05887712157</v>
      </c>
      <c r="K245" s="140">
        <f>J245/$H245*100</f>
        <v>20.443542262501484</v>
      </c>
      <c r="L245" s="239"/>
      <c r="M245" s="159">
        <f>SUM(M234,M241,M243)</f>
        <v>1271.3082091889419</v>
      </c>
      <c r="N245" s="238"/>
      <c r="O245" s="159">
        <f>SUM(O234,O241,O243)</f>
        <v>37336.750667932625</v>
      </c>
      <c r="P245" s="159">
        <f>SUM(P234,P241,P243)</f>
        <v>-127.68151007016507</v>
      </c>
      <c r="Q245" s="159">
        <f>SUM(Q234,Q241,Q243)</f>
        <v>37209.069157862461</v>
      </c>
      <c r="R245" s="140">
        <f>Q245/$H245*100</f>
        <v>19.702756367476169</v>
      </c>
      <c r="S245" s="345">
        <f>Q245/O245</f>
        <v>0.99658027257900017</v>
      </c>
      <c r="T245" s="179">
        <f>R245/K245-1</f>
        <v>-3.6235691716894891E-2</v>
      </c>
    </row>
    <row r="246" spans="2:21" ht="13.5" thickTop="1" x14ac:dyDescent="0.2"/>
    <row r="247" spans="2:21" x14ac:dyDescent="0.2">
      <c r="B247" s="339" t="s">
        <v>506</v>
      </c>
      <c r="C247" s="166"/>
      <c r="D247" s="166"/>
      <c r="E247" s="166"/>
      <c r="F247" s="166"/>
      <c r="G247" s="166"/>
      <c r="H247" s="166"/>
      <c r="I247" s="166"/>
      <c r="J247" s="166"/>
      <c r="K247" s="166"/>
      <c r="L247" s="166"/>
      <c r="M247" s="166"/>
      <c r="N247" s="166"/>
      <c r="O247" s="166"/>
      <c r="P247" s="166"/>
      <c r="Q247" s="166"/>
      <c r="R247" s="166"/>
      <c r="S247" s="166"/>
      <c r="T247" s="166"/>
      <c r="U247" s="31"/>
    </row>
    <row r="248" spans="2:21" x14ac:dyDescent="0.2">
      <c r="B248" s="549" t="s">
        <v>1057</v>
      </c>
      <c r="C248" s="549"/>
      <c r="D248" s="549"/>
      <c r="E248" s="549"/>
      <c r="F248" s="549"/>
      <c r="G248" s="549"/>
      <c r="H248" s="549"/>
      <c r="I248" s="549"/>
      <c r="J248" s="549"/>
      <c r="K248" s="549"/>
      <c r="L248" s="549"/>
      <c r="M248" s="549"/>
      <c r="N248" s="549"/>
      <c r="O248" s="549"/>
      <c r="P248" s="549"/>
      <c r="Q248" s="549"/>
      <c r="R248" s="549"/>
      <c r="S248" s="549"/>
      <c r="T248" s="549"/>
    </row>
    <row r="249" spans="2:21" x14ac:dyDescent="0.2">
      <c r="B249" s="521"/>
      <c r="C249" s="64"/>
      <c r="D249" s="64"/>
      <c r="E249" s="64"/>
      <c r="F249" s="170"/>
      <c r="G249" s="64"/>
      <c r="H249" s="170"/>
      <c r="I249" s="64"/>
      <c r="J249" s="170"/>
      <c r="K249" s="170"/>
      <c r="L249" s="170"/>
      <c r="M249" s="170"/>
      <c r="N249" s="64"/>
      <c r="O249" s="64"/>
      <c r="P249" s="64"/>
      <c r="Q249" s="64"/>
      <c r="R249" s="64"/>
      <c r="S249" s="63"/>
      <c r="T249" s="63"/>
    </row>
    <row r="250" spans="2:21" x14ac:dyDescent="0.2">
      <c r="B250" s="170"/>
      <c r="C250" s="170"/>
      <c r="D250" s="170"/>
      <c r="E250" s="170"/>
      <c r="F250" s="340"/>
      <c r="G250" s="170"/>
      <c r="H250" s="340"/>
      <c r="I250" s="170"/>
      <c r="J250" s="173" t="s">
        <v>57</v>
      </c>
      <c r="K250" s="173"/>
      <c r="L250" s="170"/>
      <c r="M250" s="170"/>
      <c r="N250" s="170"/>
      <c r="O250" s="173" t="s">
        <v>60</v>
      </c>
      <c r="P250" s="173"/>
      <c r="Q250" s="173"/>
      <c r="R250" s="173"/>
      <c r="S250" s="174"/>
      <c r="T250" s="174"/>
    </row>
    <row r="251" spans="2:21" s="45" customFormat="1" ht="39" customHeight="1" x14ac:dyDescent="0.2">
      <c r="B251" s="154" t="s">
        <v>0</v>
      </c>
      <c r="C251" s="154"/>
      <c r="D251" s="154"/>
      <c r="E251" s="154"/>
      <c r="F251" s="60" t="s">
        <v>47</v>
      </c>
      <c r="G251" s="154"/>
      <c r="H251" s="45" t="s">
        <v>746</v>
      </c>
      <c r="I251" s="154"/>
      <c r="J251" s="45" t="s">
        <v>61</v>
      </c>
      <c r="K251" s="45" t="s">
        <v>571</v>
      </c>
      <c r="L251" s="154"/>
      <c r="M251" s="45" t="s">
        <v>34</v>
      </c>
      <c r="N251" s="154"/>
      <c r="O251" s="154" t="s">
        <v>79</v>
      </c>
      <c r="P251" s="45" t="s">
        <v>34</v>
      </c>
      <c r="Q251" s="45" t="s">
        <v>61</v>
      </c>
      <c r="R251" s="45" t="s">
        <v>69</v>
      </c>
      <c r="S251" s="154" t="s">
        <v>745</v>
      </c>
      <c r="T251" s="154" t="s">
        <v>747</v>
      </c>
      <c r="U251" s="154"/>
    </row>
    <row r="252" spans="2:21" ht="14.25" x14ac:dyDescent="0.2">
      <c r="B252" s="520" t="s">
        <v>1</v>
      </c>
      <c r="C252" s="33"/>
      <c r="D252" s="185" t="s">
        <v>33</v>
      </c>
      <c r="E252" s="64"/>
      <c r="F252" s="520" t="s">
        <v>48</v>
      </c>
      <c r="G252" s="64"/>
      <c r="H252" s="520" t="s">
        <v>560</v>
      </c>
      <c r="I252" s="64"/>
      <c r="J252" s="520" t="s">
        <v>389</v>
      </c>
      <c r="K252" s="520" t="s">
        <v>35</v>
      </c>
      <c r="L252" s="64"/>
      <c r="M252" s="520" t="s">
        <v>389</v>
      </c>
      <c r="N252" s="64"/>
      <c r="O252" s="520" t="s">
        <v>389</v>
      </c>
      <c r="P252" s="520" t="s">
        <v>389</v>
      </c>
      <c r="Q252" s="520" t="s">
        <v>389</v>
      </c>
      <c r="R252" s="520" t="s">
        <v>35</v>
      </c>
      <c r="S252" s="520" t="s">
        <v>36</v>
      </c>
      <c r="T252" s="520" t="s">
        <v>2</v>
      </c>
      <c r="U252" s="64"/>
    </row>
    <row r="253" spans="2:21" x14ac:dyDescent="0.2">
      <c r="B253" s="64"/>
      <c r="C253" s="33"/>
      <c r="D253" s="33"/>
      <c r="E253" s="64"/>
      <c r="F253" s="64"/>
      <c r="G253" s="64"/>
      <c r="H253" s="64" t="s">
        <v>3</v>
      </c>
      <c r="I253" s="64"/>
      <c r="J253" s="64" t="s">
        <v>4</v>
      </c>
      <c r="K253" s="64" t="s">
        <v>58</v>
      </c>
      <c r="L253" s="64"/>
      <c r="M253" s="64" t="s">
        <v>59</v>
      </c>
      <c r="N253" s="64"/>
      <c r="O253" s="64" t="s">
        <v>63</v>
      </c>
      <c r="P253" s="64" t="s">
        <v>227</v>
      </c>
      <c r="Q253" s="175" t="s">
        <v>38</v>
      </c>
      <c r="R253" s="175" t="s">
        <v>70</v>
      </c>
      <c r="S253" s="175" t="s">
        <v>479</v>
      </c>
      <c r="T253" s="175" t="s">
        <v>71</v>
      </c>
      <c r="U253" s="64"/>
    </row>
    <row r="254" spans="2:21" x14ac:dyDescent="0.2">
      <c r="B254" s="64"/>
      <c r="C254" s="33"/>
      <c r="D254" s="33"/>
      <c r="E254" s="64"/>
      <c r="F254" s="64"/>
      <c r="G254" s="64"/>
      <c r="H254" s="64"/>
      <c r="I254" s="64"/>
      <c r="J254" s="64"/>
      <c r="K254" s="64"/>
      <c r="L254" s="64"/>
      <c r="M254" s="64"/>
      <c r="N254" s="64"/>
      <c r="O254" s="64"/>
      <c r="P254" s="64"/>
      <c r="Q254" s="175"/>
      <c r="R254" s="175"/>
      <c r="S254" s="175"/>
      <c r="T254" s="175"/>
      <c r="U254" s="64"/>
    </row>
    <row r="255" spans="2:21" x14ac:dyDescent="0.2">
      <c r="B255" s="64"/>
      <c r="C255" s="33"/>
      <c r="D255" s="31" t="s">
        <v>15</v>
      </c>
      <c r="E255" s="64"/>
      <c r="F255" s="186"/>
      <c r="G255" s="64"/>
      <c r="H255" s="350"/>
      <c r="I255" s="341"/>
      <c r="J255" s="350"/>
      <c r="K255" s="341"/>
      <c r="L255" s="341"/>
      <c r="M255" s="144"/>
      <c r="N255" s="341"/>
      <c r="O255" s="145"/>
      <c r="P255" s="341"/>
      <c r="Q255" s="341"/>
      <c r="R255" s="341"/>
      <c r="S255" s="341"/>
      <c r="T255" s="351"/>
      <c r="U255" s="64"/>
    </row>
    <row r="256" spans="2:21" x14ac:dyDescent="0.2">
      <c r="B256" s="64">
        <f>MAX(B$206:B255)+1</f>
        <v>132</v>
      </c>
      <c r="C256" s="33"/>
      <c r="D256" s="26" t="s">
        <v>85</v>
      </c>
      <c r="E256" s="64"/>
      <c r="F256" s="16" t="s">
        <v>55</v>
      </c>
      <c r="G256" s="64"/>
      <c r="H256" s="122">
        <v>0</v>
      </c>
      <c r="I256" s="341"/>
      <c r="J256" s="122">
        <f>$H256*K256/1000</f>
        <v>0</v>
      </c>
      <c r="K256" s="331">
        <v>546.96967474977816</v>
      </c>
      <c r="L256" s="239"/>
      <c r="M256" s="122">
        <f t="shared" ref="M256:M257" si="59">J256-O256</f>
        <v>0</v>
      </c>
      <c r="N256" s="238"/>
      <c r="O256" s="122">
        <v>0</v>
      </c>
      <c r="P256" s="122">
        <f t="shared" ref="P256:P257" si="60">Q256-O256</f>
        <v>0</v>
      </c>
      <c r="Q256" s="122">
        <f>$H256*R256/1000</f>
        <v>0</v>
      </c>
      <c r="R256" s="331">
        <v>1500</v>
      </c>
      <c r="S256" s="124"/>
      <c r="T256" s="178">
        <f>R256/K256-1</f>
        <v>1.7423823828737928</v>
      </c>
    </row>
    <row r="257" spans="2:21" x14ac:dyDescent="0.2">
      <c r="B257" s="64">
        <f>MAX(B$206:B256)+1</f>
        <v>133</v>
      </c>
      <c r="C257" s="33"/>
      <c r="D257" s="26" t="s">
        <v>89</v>
      </c>
      <c r="E257" s="64"/>
      <c r="F257" s="16" t="s">
        <v>81</v>
      </c>
      <c r="G257" s="64"/>
      <c r="H257" s="122">
        <v>0</v>
      </c>
      <c r="I257" s="341"/>
      <c r="J257" s="122">
        <f>$H257*K257/100</f>
        <v>0</v>
      </c>
      <c r="K257" s="147">
        <v>26.375232474581111</v>
      </c>
      <c r="L257" s="239"/>
      <c r="M257" s="122">
        <f t="shared" si="59"/>
        <v>0</v>
      </c>
      <c r="N257" s="238"/>
      <c r="O257" s="122">
        <v>0</v>
      </c>
      <c r="P257" s="122">
        <f t="shared" si="60"/>
        <v>0</v>
      </c>
      <c r="Q257" s="122">
        <f>$H257*R257/100</f>
        <v>0</v>
      </c>
      <c r="R257" s="147">
        <v>25.025400000000001</v>
      </c>
      <c r="S257" s="124"/>
      <c r="T257" s="178">
        <f>R257/K257-1</f>
        <v>-5.117803135506005E-2</v>
      </c>
    </row>
    <row r="258" spans="2:21" x14ac:dyDescent="0.2">
      <c r="B258" s="64">
        <f>MAX(B$206:B257)+1</f>
        <v>134</v>
      </c>
      <c r="C258" s="33"/>
      <c r="D258" s="26" t="s">
        <v>68</v>
      </c>
      <c r="E258" s="64"/>
      <c r="F258" s="16" t="s">
        <v>56</v>
      </c>
      <c r="G258" s="64"/>
      <c r="H258" s="146">
        <v>0</v>
      </c>
      <c r="I258" s="341"/>
      <c r="J258" s="146">
        <f>SUM(J256:J257)</f>
        <v>0</v>
      </c>
      <c r="K258" s="139"/>
      <c r="L258" s="239"/>
      <c r="M258" s="146">
        <f>SUM(M256:M257)</f>
        <v>0</v>
      </c>
      <c r="N258" s="238"/>
      <c r="O258" s="146">
        <f>SUM(O256:O257)</f>
        <v>0</v>
      </c>
      <c r="P258" s="146">
        <f>SUM(P256:P257)</f>
        <v>0</v>
      </c>
      <c r="Q258" s="146">
        <f>SUM(Q256:Q257)</f>
        <v>0</v>
      </c>
      <c r="R258" s="139"/>
      <c r="S258" s="342"/>
      <c r="T258" s="177"/>
    </row>
    <row r="259" spans="2:21" x14ac:dyDescent="0.2">
      <c r="E259" s="64"/>
      <c r="F259" s="16"/>
      <c r="G259" s="64"/>
      <c r="H259" s="122"/>
      <c r="I259" s="341"/>
      <c r="J259" s="122"/>
      <c r="K259" s="147"/>
      <c r="L259" s="239"/>
      <c r="M259" s="122"/>
      <c r="N259" s="238"/>
      <c r="O259" s="122"/>
      <c r="P259" s="122"/>
      <c r="Q259" s="122"/>
      <c r="R259" s="147"/>
      <c r="S259" s="124"/>
      <c r="T259" s="178"/>
    </row>
    <row r="260" spans="2:21" x14ac:dyDescent="0.2">
      <c r="B260" s="64">
        <f>MAX(B$206:B259)+1</f>
        <v>135</v>
      </c>
      <c r="C260" s="33"/>
      <c r="D260" s="26" t="s">
        <v>146</v>
      </c>
      <c r="E260" s="64"/>
      <c r="F260" s="16"/>
      <c r="G260" s="64"/>
      <c r="H260" s="122"/>
      <c r="I260" s="341"/>
      <c r="J260" s="122">
        <v>0</v>
      </c>
      <c r="K260" s="332">
        <v>8.9999999999999993E-3</v>
      </c>
      <c r="L260" s="239"/>
      <c r="M260" s="122">
        <f>J260-O260</f>
        <v>0</v>
      </c>
      <c r="N260" s="238"/>
      <c r="O260" s="122">
        <v>0</v>
      </c>
      <c r="P260" s="122">
        <f>Q260-O260</f>
        <v>0</v>
      </c>
      <c r="Q260" s="122">
        <v>0</v>
      </c>
      <c r="R260" s="332">
        <v>4.7099999999999998E-3</v>
      </c>
      <c r="S260" s="124"/>
      <c r="T260" s="178">
        <f>R260/K260-1</f>
        <v>-0.47666666666666668</v>
      </c>
    </row>
    <row r="261" spans="2:21" x14ac:dyDescent="0.2">
      <c r="B261" s="64"/>
      <c r="C261" s="33"/>
      <c r="D261" s="26"/>
      <c r="E261" s="64"/>
      <c r="F261" s="16"/>
      <c r="G261" s="64"/>
      <c r="H261" s="122"/>
      <c r="I261" s="341"/>
      <c r="J261" s="122"/>
      <c r="K261" s="147"/>
      <c r="L261" s="239"/>
      <c r="M261" s="122"/>
      <c r="N261" s="238"/>
      <c r="O261" s="122"/>
      <c r="P261" s="122"/>
      <c r="Q261" s="122"/>
      <c r="R261" s="147"/>
      <c r="S261" s="124"/>
      <c r="T261" s="133"/>
    </row>
    <row r="262" spans="2:21" ht="13.5" thickBot="1" x14ac:dyDescent="0.25">
      <c r="B262" s="64">
        <f>MAX(B$206:B261)+1</f>
        <v>136</v>
      </c>
      <c r="C262" s="33"/>
      <c r="D262" s="26" t="s">
        <v>158</v>
      </c>
      <c r="E262" s="64"/>
      <c r="F262" s="16"/>
      <c r="G262" s="64"/>
      <c r="H262" s="159">
        <f>H258</f>
        <v>0</v>
      </c>
      <c r="I262" s="341"/>
      <c r="J262" s="159">
        <f>J258+J260</f>
        <v>0</v>
      </c>
      <c r="K262" s="140"/>
      <c r="L262" s="239"/>
      <c r="M262" s="159">
        <f>M258+M260</f>
        <v>0</v>
      </c>
      <c r="N262" s="238"/>
      <c r="O262" s="159">
        <f>O258+O260</f>
        <v>0</v>
      </c>
      <c r="P262" s="159">
        <f>P258+P260</f>
        <v>0</v>
      </c>
      <c r="Q262" s="159">
        <f>Q258+Q260</f>
        <v>0</v>
      </c>
      <c r="R262" s="140"/>
      <c r="S262" s="345"/>
      <c r="T262" s="136"/>
    </row>
    <row r="263" spans="2:21" ht="13.5" thickTop="1" x14ac:dyDescent="0.2">
      <c r="B263" s="64"/>
      <c r="C263" s="33"/>
      <c r="D263" s="26"/>
      <c r="E263" s="64"/>
      <c r="F263" s="16"/>
      <c r="G263" s="64"/>
      <c r="H263" s="346"/>
      <c r="I263" s="341"/>
      <c r="J263" s="346"/>
      <c r="K263" s="147"/>
      <c r="L263" s="239"/>
      <c r="M263" s="346"/>
      <c r="N263" s="238"/>
      <c r="O263" s="346"/>
      <c r="P263" s="346"/>
      <c r="Q263" s="346"/>
      <c r="R263" s="147"/>
      <c r="S263" s="172"/>
      <c r="T263" s="133"/>
    </row>
    <row r="264" spans="2:21" x14ac:dyDescent="0.2">
      <c r="D264" s="358" t="s">
        <v>395</v>
      </c>
      <c r="H264" s="148"/>
      <c r="I264" s="148"/>
      <c r="J264" s="148"/>
      <c r="K264" s="148"/>
      <c r="L264" s="148"/>
      <c r="M264" s="148"/>
      <c r="N264" s="148"/>
      <c r="O264" s="148"/>
      <c r="P264" s="148"/>
      <c r="Q264" s="148"/>
      <c r="R264" s="148"/>
      <c r="S264" s="148"/>
      <c r="T264" s="148"/>
    </row>
    <row r="265" spans="2:21" x14ac:dyDescent="0.2">
      <c r="B265" s="64"/>
      <c r="C265" s="33"/>
      <c r="D265" s="31" t="s">
        <v>16</v>
      </c>
      <c r="E265" s="64"/>
      <c r="F265" s="186"/>
      <c r="G265" s="64"/>
      <c r="H265" s="350"/>
      <c r="I265" s="341"/>
      <c r="J265" s="350"/>
      <c r="K265" s="341"/>
      <c r="L265" s="341"/>
      <c r="M265" s="144"/>
      <c r="N265" s="341"/>
      <c r="O265" s="145"/>
      <c r="P265" s="341"/>
      <c r="Q265" s="341"/>
      <c r="R265" s="341"/>
      <c r="S265" s="341"/>
      <c r="T265" s="341"/>
      <c r="U265" s="64"/>
    </row>
    <row r="266" spans="2:21" x14ac:dyDescent="0.2">
      <c r="B266" s="64">
        <f>MAX(B$66:B265)+1</f>
        <v>137</v>
      </c>
      <c r="C266" s="33"/>
      <c r="D266" s="26" t="s">
        <v>85</v>
      </c>
      <c r="E266" s="64"/>
      <c r="F266" s="16" t="s">
        <v>55</v>
      </c>
      <c r="G266" s="64"/>
      <c r="H266" s="122">
        <v>4430024</v>
      </c>
      <c r="I266" s="341"/>
      <c r="J266" s="122">
        <f>$H266*K266/1000</f>
        <v>101801.95152</v>
      </c>
      <c r="K266" s="331">
        <v>22.98</v>
      </c>
      <c r="L266" s="239"/>
      <c r="M266" s="122">
        <f>J266-O266</f>
        <v>-27720.289133207756</v>
      </c>
      <c r="N266" s="238"/>
      <c r="O266" s="122">
        <v>129522.24065320776</v>
      </c>
      <c r="P266" s="122">
        <f>Q266-O266</f>
        <v>-27631.688653207762</v>
      </c>
      <c r="Q266" s="122">
        <f>$H266*R266/1000</f>
        <v>101890.552</v>
      </c>
      <c r="R266" s="331">
        <v>23</v>
      </c>
      <c r="S266" s="124">
        <f>Q266/O266</f>
        <v>0.78666452561463285</v>
      </c>
      <c r="T266" s="178">
        <f>R266/K266-1</f>
        <v>8.7032201914705176E-4</v>
      </c>
    </row>
    <row r="267" spans="2:21" x14ac:dyDescent="0.2">
      <c r="B267" s="64"/>
      <c r="C267" s="33"/>
      <c r="D267" s="26" t="s">
        <v>86</v>
      </c>
      <c r="E267" s="64"/>
      <c r="F267" s="16"/>
      <c r="G267" s="64"/>
      <c r="H267" s="122"/>
      <c r="I267" s="341"/>
      <c r="J267" s="122"/>
      <c r="K267" s="147"/>
      <c r="L267" s="239"/>
      <c r="M267" s="122"/>
      <c r="N267" s="238"/>
      <c r="O267" s="122"/>
      <c r="P267" s="122"/>
      <c r="Q267" s="122"/>
      <c r="R267" s="147"/>
      <c r="S267" s="124"/>
      <c r="T267" s="133"/>
    </row>
    <row r="268" spans="2:21" x14ac:dyDescent="0.2">
      <c r="B268" s="64">
        <f>MAX(B$266:B267)+1</f>
        <v>138</v>
      </c>
      <c r="C268" s="33"/>
      <c r="D268" s="359" t="s">
        <v>161</v>
      </c>
      <c r="E268" s="64"/>
      <c r="F268" s="16" t="s">
        <v>56</v>
      </c>
      <c r="G268" s="64"/>
      <c r="H268" s="122">
        <v>300034.3661651985</v>
      </c>
      <c r="I268" s="341"/>
      <c r="J268" s="122">
        <f>$H268*K268/100</f>
        <v>33426.528700098599</v>
      </c>
      <c r="K268" s="147">
        <v>11.1409</v>
      </c>
      <c r="L268" s="239"/>
      <c r="M268" s="122">
        <f t="shared" ref="M268:M272" si="61">J268-O268</f>
        <v>19744.105234110073</v>
      </c>
      <c r="N268" s="238"/>
      <c r="O268" s="122">
        <v>13682.423465988524</v>
      </c>
      <c r="P268" s="122">
        <f t="shared" ref="P268:P272" si="62">Q268-O268</f>
        <v>8446.7608660404749</v>
      </c>
      <c r="Q268" s="122">
        <f>$H268*R268/100</f>
        <v>22129.184332028999</v>
      </c>
      <c r="R268" s="147">
        <v>7.3755498794577088</v>
      </c>
      <c r="S268" s="124"/>
      <c r="T268" s="133"/>
    </row>
    <row r="269" spans="2:21" x14ac:dyDescent="0.2">
      <c r="B269" s="64">
        <f>MAX(B$266:B268)+1</f>
        <v>139</v>
      </c>
      <c r="C269" s="33"/>
      <c r="D269" s="359" t="s">
        <v>162</v>
      </c>
      <c r="E269" s="64"/>
      <c r="F269" s="16" t="s">
        <v>56</v>
      </c>
      <c r="G269" s="64"/>
      <c r="H269" s="122">
        <v>344054.1096208872</v>
      </c>
      <c r="I269" s="341"/>
      <c r="J269" s="122">
        <f>$H269*K269/100</f>
        <v>37374.253874007358</v>
      </c>
      <c r="K269" s="147">
        <v>10.862900000000002</v>
      </c>
      <c r="L269" s="239"/>
      <c r="M269" s="122">
        <f t="shared" si="61"/>
        <v>22140.32208485037</v>
      </c>
      <c r="N269" s="238"/>
      <c r="O269" s="122">
        <v>15233.93178915699</v>
      </c>
      <c r="P269" s="122">
        <f t="shared" si="62"/>
        <v>9442.9202736283823</v>
      </c>
      <c r="Q269" s="122">
        <f>$H269*R269/100</f>
        <v>24676.852062785372</v>
      </c>
      <c r="R269" s="147">
        <v>7.172375324909436</v>
      </c>
      <c r="S269" s="124"/>
      <c r="T269" s="133"/>
    </row>
    <row r="270" spans="2:21" x14ac:dyDescent="0.2">
      <c r="B270" s="64">
        <f>MAX(B$266:B269)+1</f>
        <v>140</v>
      </c>
      <c r="C270" s="33"/>
      <c r="D270" s="359" t="s">
        <v>162</v>
      </c>
      <c r="E270" s="64"/>
      <c r="F270" s="16" t="s">
        <v>56</v>
      </c>
      <c r="G270" s="64"/>
      <c r="H270" s="122">
        <v>129905.68038836875</v>
      </c>
      <c r="I270" s="341"/>
      <c r="J270" s="122">
        <f>$H270*K270/100</f>
        <v>13539.029821436568</v>
      </c>
      <c r="K270" s="147">
        <v>10.4222</v>
      </c>
      <c r="L270" s="239"/>
      <c r="M270" s="122">
        <f t="shared" si="61"/>
        <v>8059.9913779369344</v>
      </c>
      <c r="N270" s="238"/>
      <c r="O270" s="122">
        <v>5479.038443499634</v>
      </c>
      <c r="P270" s="122">
        <f t="shared" si="62"/>
        <v>3419.8806331785945</v>
      </c>
      <c r="Q270" s="122">
        <f>$H270*R270/100</f>
        <v>8898.9190766782285</v>
      </c>
      <c r="R270" s="147">
        <v>6.8502924968899235</v>
      </c>
      <c r="S270" s="124"/>
      <c r="T270" s="133"/>
    </row>
    <row r="271" spans="2:21" x14ac:dyDescent="0.2">
      <c r="B271" s="64">
        <f>MAX(B$266:B270)+1</f>
        <v>141</v>
      </c>
      <c r="C271" s="33"/>
      <c r="D271" s="359" t="s">
        <v>163</v>
      </c>
      <c r="E271" s="64"/>
      <c r="F271" s="16" t="s">
        <v>56</v>
      </c>
      <c r="G271" s="64"/>
      <c r="H271" s="122">
        <v>88809.558943589713</v>
      </c>
      <c r="I271" s="341"/>
      <c r="J271" s="122">
        <f>$H271*K271/100</f>
        <v>8896.8528054098751</v>
      </c>
      <c r="K271" s="147">
        <v>10.017900000000001</v>
      </c>
      <c r="L271" s="239"/>
      <c r="M271" s="122">
        <f t="shared" si="61"/>
        <v>5322.2780970938466</v>
      </c>
      <c r="N271" s="238"/>
      <c r="O271" s="122">
        <v>3574.5747083160286</v>
      </c>
      <c r="P271" s="122">
        <f t="shared" si="62"/>
        <v>2246.7252562341928</v>
      </c>
      <c r="Q271" s="122">
        <f>$H271*R271/100</f>
        <v>5821.2999645502214</v>
      </c>
      <c r="R271" s="147">
        <v>6.55481238032925</v>
      </c>
      <c r="S271" s="124"/>
      <c r="T271" s="133"/>
    </row>
    <row r="272" spans="2:21" x14ac:dyDescent="0.2">
      <c r="B272" s="64">
        <f>MAX(B$266:B271)+1</f>
        <v>142</v>
      </c>
      <c r="C272" s="33"/>
      <c r="D272" s="359" t="s">
        <v>164</v>
      </c>
      <c r="E272" s="64"/>
      <c r="F272" s="16" t="s">
        <v>56</v>
      </c>
      <c r="G272" s="64"/>
      <c r="H272" s="122">
        <v>126200.90529496717</v>
      </c>
      <c r="I272" s="341"/>
      <c r="J272" s="122">
        <f>$H272*K272/100</f>
        <v>12220.790865143443</v>
      </c>
      <c r="K272" s="147">
        <v>9.6836000000000002</v>
      </c>
      <c r="L272" s="239"/>
      <c r="M272" s="122">
        <f t="shared" si="61"/>
        <v>7342.3194378178769</v>
      </c>
      <c r="N272" s="238"/>
      <c r="O272" s="122">
        <v>4878.4714273255659</v>
      </c>
      <c r="P272" s="122">
        <f t="shared" si="62"/>
        <v>3085.4257524589229</v>
      </c>
      <c r="Q272" s="122">
        <f>$H272*R272/100</f>
        <v>7963.8971797844888</v>
      </c>
      <c r="R272" s="147">
        <v>6.3104913242663434</v>
      </c>
      <c r="S272" s="124"/>
      <c r="T272" s="133"/>
    </row>
    <row r="273" spans="2:21" x14ac:dyDescent="0.2">
      <c r="B273" s="64">
        <f>MAX(B$266:B272)+1</f>
        <v>143</v>
      </c>
      <c r="C273" s="33"/>
      <c r="D273" s="26" t="s">
        <v>86</v>
      </c>
      <c r="E273" s="64"/>
      <c r="F273" s="16"/>
      <c r="G273" s="64"/>
      <c r="H273" s="146">
        <f>SUM(H268:H272)</f>
        <v>989004.62041301141</v>
      </c>
      <c r="I273" s="341"/>
      <c r="J273" s="146">
        <f>SUM(J268:J272)</f>
        <v>105457.45606609582</v>
      </c>
      <c r="K273" s="139">
        <f>J273/$H273*100</f>
        <v>10.662989220622292</v>
      </c>
      <c r="L273" s="239"/>
      <c r="M273" s="146">
        <f>SUM(M268:M272)</f>
        <v>62609.016231809102</v>
      </c>
      <c r="N273" s="238"/>
      <c r="O273" s="146">
        <f>SUM(O268:O272)</f>
        <v>42848.439834286743</v>
      </c>
      <c r="P273" s="146">
        <f>SUM(P268:P272)</f>
        <v>26641.712781540569</v>
      </c>
      <c r="Q273" s="146">
        <f>SUM(Q268:Q272)</f>
        <v>69490.152615827305</v>
      </c>
      <c r="R273" s="139">
        <f>Q273/$H273*100</f>
        <v>7.0262717869617228</v>
      </c>
      <c r="S273" s="342">
        <f>Q273/O273</f>
        <v>1.6217662273019851</v>
      </c>
      <c r="T273" s="177">
        <f>R273/K273-1</f>
        <v>-0.34105984339055062</v>
      </c>
    </row>
    <row r="274" spans="2:21" x14ac:dyDescent="0.2">
      <c r="B274" s="64"/>
      <c r="C274" s="33"/>
      <c r="D274" s="26"/>
      <c r="E274" s="64"/>
      <c r="F274" s="16"/>
      <c r="G274" s="64"/>
      <c r="H274" s="122"/>
      <c r="I274" s="341"/>
      <c r="J274" s="122"/>
      <c r="K274" s="147"/>
      <c r="L274" s="239"/>
      <c r="M274" s="122"/>
      <c r="N274" s="238"/>
      <c r="O274" s="122"/>
      <c r="P274" s="122"/>
      <c r="Q274" s="122"/>
      <c r="R274" s="147"/>
      <c r="S274" s="124"/>
      <c r="T274" s="133"/>
    </row>
    <row r="275" spans="2:21" x14ac:dyDescent="0.2">
      <c r="B275" s="64">
        <f>MAX(B$266:B274)+1</f>
        <v>144</v>
      </c>
      <c r="C275" s="33"/>
      <c r="D275" s="26" t="s">
        <v>68</v>
      </c>
      <c r="E275" s="64"/>
      <c r="F275" s="16"/>
      <c r="G275" s="64"/>
      <c r="H275" s="146">
        <f>H273</f>
        <v>989004.62041301141</v>
      </c>
      <c r="I275" s="341"/>
      <c r="J275" s="146">
        <f>J266+J273</f>
        <v>207259.40758609583</v>
      </c>
      <c r="K275" s="139">
        <f>J275/$H275*100</f>
        <v>20.956363934836183</v>
      </c>
      <c r="L275" s="239"/>
      <c r="M275" s="146">
        <f>M266+M273</f>
        <v>34888.727098601346</v>
      </c>
      <c r="N275" s="238"/>
      <c r="O275" s="146">
        <f>O266+O273</f>
        <v>172370.68048749451</v>
      </c>
      <c r="P275" s="146">
        <f>P266+P273</f>
        <v>-989.97587166719313</v>
      </c>
      <c r="Q275" s="146">
        <f>Q266+Q273</f>
        <v>171380.7046158273</v>
      </c>
      <c r="R275" s="139">
        <f>Q275/$H275*100</f>
        <v>17.328605051840725</v>
      </c>
      <c r="S275" s="342">
        <f>Q275/O275</f>
        <v>0.99425670381489828</v>
      </c>
      <c r="T275" s="177">
        <f>R275/K275-1</f>
        <v>-0.1731101299002048</v>
      </c>
    </row>
    <row r="276" spans="2:21" x14ac:dyDescent="0.2">
      <c r="H276" s="148"/>
      <c r="I276" s="148"/>
      <c r="J276" s="148"/>
      <c r="K276" s="148"/>
      <c r="L276" s="148"/>
      <c r="M276" s="148"/>
      <c r="N276" s="148"/>
      <c r="O276" s="148"/>
      <c r="P276" s="148"/>
      <c r="Q276" s="148"/>
      <c r="R276" s="148"/>
      <c r="S276" s="148"/>
      <c r="T276" s="180"/>
    </row>
    <row r="277" spans="2:21" x14ac:dyDescent="0.2">
      <c r="B277" s="64"/>
      <c r="C277" s="33"/>
      <c r="D277" s="26" t="s">
        <v>170</v>
      </c>
      <c r="E277" s="64"/>
      <c r="F277" s="16"/>
      <c r="G277" s="64"/>
      <c r="H277" s="148"/>
      <c r="I277" s="148"/>
      <c r="J277" s="148"/>
      <c r="K277" s="148"/>
      <c r="L277" s="148"/>
      <c r="M277" s="148"/>
      <c r="N277" s="148"/>
      <c r="O277" s="148"/>
      <c r="P277" s="148"/>
      <c r="Q277" s="148"/>
      <c r="R277" s="148"/>
      <c r="S277" s="148"/>
      <c r="T277" s="180"/>
    </row>
    <row r="278" spans="2:21" x14ac:dyDescent="0.2">
      <c r="B278" s="64">
        <f>MAX(B$266:B277)+1</f>
        <v>145</v>
      </c>
      <c r="C278" s="33"/>
      <c r="D278" s="27" t="s">
        <v>168</v>
      </c>
      <c r="E278" s="64"/>
      <c r="F278" s="16" t="s">
        <v>56</v>
      </c>
      <c r="G278" s="64"/>
      <c r="H278" s="122">
        <v>277957.19740979047</v>
      </c>
      <c r="I278" s="341"/>
      <c r="J278" s="122">
        <f>$H278*K278/100</f>
        <v>6340.7595873121409</v>
      </c>
      <c r="K278" s="147">
        <v>2.2812000000000001</v>
      </c>
      <c r="L278" s="239"/>
      <c r="M278" s="122">
        <f t="shared" ref="M278:M279" si="63">J278-O278</f>
        <v>161.60621718178663</v>
      </c>
      <c r="N278" s="238"/>
      <c r="O278" s="122">
        <f t="shared" ref="O278:O279" si="64">Q278</f>
        <v>6179.1533701303542</v>
      </c>
      <c r="P278" s="122">
        <f t="shared" ref="P278:P279" si="65">Q278-O278</f>
        <v>0</v>
      </c>
      <c r="Q278" s="122">
        <f>$H278*R278/100</f>
        <v>6179.1533701303542</v>
      </c>
      <c r="R278" s="147">
        <v>2.2230593155033396</v>
      </c>
      <c r="S278" s="124"/>
      <c r="T278" s="178"/>
    </row>
    <row r="279" spans="2:21" x14ac:dyDescent="0.2">
      <c r="B279" s="64">
        <f>MAX(B$266:B278)+1</f>
        <v>146</v>
      </c>
      <c r="C279" s="33"/>
      <c r="D279" s="27" t="s">
        <v>169</v>
      </c>
      <c r="E279" s="64"/>
      <c r="F279" s="16" t="s">
        <v>56</v>
      </c>
      <c r="G279" s="64"/>
      <c r="H279" s="122">
        <v>711047.42300322105</v>
      </c>
      <c r="I279" s="341"/>
      <c r="J279" s="122">
        <f>$H279*K279/100</f>
        <v>44510.14658515562</v>
      </c>
      <c r="K279" s="147">
        <v>6.2597999999999994</v>
      </c>
      <c r="L279" s="239"/>
      <c r="M279" s="122">
        <f t="shared" si="63"/>
        <v>28703.140610436079</v>
      </c>
      <c r="N279" s="238"/>
      <c r="O279" s="122">
        <f t="shared" si="64"/>
        <v>15807.005974719541</v>
      </c>
      <c r="P279" s="122">
        <f t="shared" si="65"/>
        <v>0</v>
      </c>
      <c r="Q279" s="122">
        <f>$H279*R279/100</f>
        <v>15807.005974719541</v>
      </c>
      <c r="R279" s="147">
        <v>2.2230593155033396</v>
      </c>
      <c r="S279" s="124"/>
      <c r="T279" s="178"/>
    </row>
    <row r="280" spans="2:21" x14ac:dyDescent="0.2">
      <c r="B280" s="64">
        <f>MAX(B$266:B279)+1</f>
        <v>147</v>
      </c>
      <c r="C280" s="33"/>
      <c r="D280" s="26" t="s">
        <v>170</v>
      </c>
      <c r="E280" s="64"/>
      <c r="F280" s="16"/>
      <c r="G280" s="64"/>
      <c r="H280" s="146">
        <f>SUM(H278:H279)</f>
        <v>989004.62041301152</v>
      </c>
      <c r="I280" s="341"/>
      <c r="J280" s="146">
        <f>SUM(J278:J279)</f>
        <v>50850.906172467759</v>
      </c>
      <c r="K280" s="139">
        <f>J280/$H280*100</f>
        <v>5.1416247328786246</v>
      </c>
      <c r="L280" s="239"/>
      <c r="M280" s="146">
        <f>SUM(M278:M279)</f>
        <v>28864.746827617866</v>
      </c>
      <c r="N280" s="238"/>
      <c r="O280" s="146">
        <f>SUM(O278:O279)</f>
        <v>21986.159344849897</v>
      </c>
      <c r="P280" s="146">
        <f>SUM(P278:P279)</f>
        <v>0</v>
      </c>
      <c r="Q280" s="146">
        <f>SUM(Q278:Q279)</f>
        <v>21986.159344849897</v>
      </c>
      <c r="R280" s="139">
        <f>Q280/$H280*100</f>
        <v>2.2230593155033396</v>
      </c>
      <c r="S280" s="342">
        <f>Q280/O280</f>
        <v>1</v>
      </c>
      <c r="T280" s="177">
        <f>R280/K280-1</f>
        <v>-0.56763485649044587</v>
      </c>
    </row>
    <row r="281" spans="2:21" x14ac:dyDescent="0.2">
      <c r="E281" s="64"/>
      <c r="F281" s="16"/>
      <c r="G281" s="64"/>
      <c r="H281" s="122"/>
      <c r="I281" s="341"/>
      <c r="J281" s="122"/>
      <c r="K281" s="147"/>
      <c r="L281" s="239"/>
      <c r="M281" s="122"/>
      <c r="N281" s="238"/>
      <c r="O281" s="122"/>
      <c r="P281" s="122"/>
      <c r="Q281" s="122"/>
      <c r="R281" s="147"/>
      <c r="S281" s="124"/>
      <c r="T281" s="178"/>
    </row>
    <row r="282" spans="2:21" x14ac:dyDescent="0.2">
      <c r="B282" s="64"/>
      <c r="C282" s="33"/>
      <c r="D282" s="26" t="s">
        <v>87</v>
      </c>
      <c r="E282" s="64"/>
      <c r="F282" s="192"/>
      <c r="G282" s="64"/>
      <c r="H282" s="122"/>
      <c r="I282" s="341"/>
      <c r="J282" s="122"/>
      <c r="K282" s="147"/>
      <c r="L282" s="239"/>
      <c r="M282" s="122"/>
      <c r="N282" s="238"/>
      <c r="O282" s="122"/>
      <c r="P282" s="122"/>
      <c r="Q282" s="122"/>
      <c r="R282" s="240"/>
      <c r="S282" s="124"/>
      <c r="T282" s="343"/>
    </row>
    <row r="283" spans="2:21" x14ac:dyDescent="0.2">
      <c r="B283" s="64">
        <f>MAX(B$266:B282)+1</f>
        <v>148</v>
      </c>
      <c r="C283" s="33"/>
      <c r="D283" s="27" t="s">
        <v>171</v>
      </c>
      <c r="E283" s="64"/>
      <c r="F283" s="192" t="s">
        <v>56</v>
      </c>
      <c r="G283" s="64"/>
      <c r="H283" s="122">
        <f>H290</f>
        <v>265159.68152517336</v>
      </c>
      <c r="I283" s="341"/>
      <c r="J283" s="122">
        <f>$H283*K283/100</f>
        <v>11906.730339206388</v>
      </c>
      <c r="K283" s="147">
        <v>4.4904000000000011</v>
      </c>
      <c r="L283" s="239"/>
      <c r="M283" s="122">
        <f t="shared" ref="M283:M286" si="66">J283-O283</f>
        <v>3141.9635988957853</v>
      </c>
      <c r="N283" s="238"/>
      <c r="O283" s="122">
        <f>Q283</f>
        <v>8764.7667403106025</v>
      </c>
      <c r="P283" s="122">
        <f t="shared" ref="P283:P286" si="67">Q283-O283</f>
        <v>0</v>
      </c>
      <c r="Q283" s="122">
        <f>$H283*R283/100</f>
        <v>8764.7667403106025</v>
      </c>
      <c r="R283" s="147">
        <v>3.3054673658892995</v>
      </c>
      <c r="S283" s="344"/>
      <c r="T283" s="178"/>
    </row>
    <row r="284" spans="2:21" x14ac:dyDescent="0.2">
      <c r="B284" s="64">
        <f>MAX(B$266:B283)+1</f>
        <v>149</v>
      </c>
      <c r="C284" s="33"/>
      <c r="D284" s="27" t="s">
        <v>174</v>
      </c>
      <c r="E284" s="64"/>
      <c r="F284" s="192" t="s">
        <v>56</v>
      </c>
      <c r="G284" s="64"/>
      <c r="H284" s="122">
        <f>H291</f>
        <v>666053.40067181876</v>
      </c>
      <c r="I284" s="341"/>
      <c r="J284" s="122">
        <f>$H284*K284/100</f>
        <v>15302.576880435035</v>
      </c>
      <c r="K284" s="147">
        <v>2.2974999999999999</v>
      </c>
      <c r="L284" s="239"/>
      <c r="M284" s="122">
        <f t="shared" si="66"/>
        <v>-6713.6009181678328</v>
      </c>
      <c r="N284" s="238"/>
      <c r="O284" s="122">
        <f>Q284</f>
        <v>22016.177798602868</v>
      </c>
      <c r="P284" s="122">
        <f t="shared" si="67"/>
        <v>0</v>
      </c>
      <c r="Q284" s="122">
        <f>$H284*R284/100</f>
        <v>22016.177798602868</v>
      </c>
      <c r="R284" s="147">
        <v>3.3054673658892995</v>
      </c>
      <c r="S284" s="344"/>
      <c r="T284" s="178"/>
    </row>
    <row r="285" spans="2:21" x14ac:dyDescent="0.2">
      <c r="B285" s="64">
        <f>MAX(B$266:B284)+1</f>
        <v>150</v>
      </c>
      <c r="C285" s="33"/>
      <c r="D285" s="27" t="s">
        <v>173</v>
      </c>
      <c r="E285" s="64"/>
      <c r="F285" s="192" t="s">
        <v>56</v>
      </c>
      <c r="G285" s="64"/>
      <c r="H285" s="122">
        <v>12797.515884617113</v>
      </c>
      <c r="I285" s="341"/>
      <c r="J285" s="122">
        <f>$H285*K285/100</f>
        <v>574.65965328284688</v>
      </c>
      <c r="K285" s="147">
        <v>4.4904000000000011</v>
      </c>
      <c r="L285" s="239"/>
      <c r="M285" s="122">
        <f t="shared" si="66"/>
        <v>-86.64356842445261</v>
      </c>
      <c r="N285" s="239"/>
      <c r="O285" s="122">
        <f>Q285</f>
        <v>661.30322170729949</v>
      </c>
      <c r="P285" s="122">
        <f t="shared" si="67"/>
        <v>0</v>
      </c>
      <c r="Q285" s="122">
        <f>$H285*R285/100</f>
        <v>661.30322170729949</v>
      </c>
      <c r="R285" s="147">
        <v>5.1674342713823087</v>
      </c>
      <c r="S285" s="344"/>
      <c r="T285" s="178"/>
      <c r="U285" s="64"/>
    </row>
    <row r="286" spans="2:21" x14ac:dyDescent="0.2">
      <c r="B286" s="64">
        <f>MAX(B$266:B285)+1</f>
        <v>151</v>
      </c>
      <c r="C286" s="33"/>
      <c r="D286" s="27" t="s">
        <v>172</v>
      </c>
      <c r="E286" s="64"/>
      <c r="F286" s="192" t="s">
        <v>56</v>
      </c>
      <c r="G286" s="64"/>
      <c r="H286" s="122">
        <v>44994.022331402288</v>
      </c>
      <c r="I286" s="341"/>
      <c r="J286" s="122">
        <f>$H286*K286/100</f>
        <v>1033.7376630639674</v>
      </c>
      <c r="K286" s="147">
        <v>2.2974999999999999</v>
      </c>
      <c r="L286" s="239"/>
      <c r="M286" s="122">
        <f t="shared" si="66"/>
        <v>-453.52506170147899</v>
      </c>
      <c r="N286" s="239"/>
      <c r="O286" s="122">
        <f>Q286</f>
        <v>1487.2627247654464</v>
      </c>
      <c r="P286" s="122">
        <f t="shared" si="67"/>
        <v>0</v>
      </c>
      <c r="Q286" s="122">
        <f>$H286*R286/100</f>
        <v>1487.2627247654464</v>
      </c>
      <c r="R286" s="147">
        <v>3.3054673658892995</v>
      </c>
      <c r="S286" s="344"/>
      <c r="T286" s="178"/>
      <c r="U286" s="64"/>
    </row>
    <row r="287" spans="2:21" x14ac:dyDescent="0.2">
      <c r="B287" s="64">
        <f>MAX(B$266:B286)+1</f>
        <v>152</v>
      </c>
      <c r="C287" s="33"/>
      <c r="D287" s="26" t="s">
        <v>87</v>
      </c>
      <c r="E287" s="64"/>
      <c r="F287" s="16"/>
      <c r="G287" s="64"/>
      <c r="H287" s="146">
        <f>SUM(H283:H286)</f>
        <v>989004.62041301152</v>
      </c>
      <c r="I287" s="341"/>
      <c r="J287" s="146">
        <f>SUM(J283:J286)</f>
        <v>28817.704535988236</v>
      </c>
      <c r="K287" s="139">
        <f>J287/$H287*100</f>
        <v>2.9138088883703972</v>
      </c>
      <c r="L287" s="239"/>
      <c r="M287" s="146">
        <f>SUM(M283:M286)</f>
        <v>-4111.805949397979</v>
      </c>
      <c r="N287" s="238"/>
      <c r="O287" s="146">
        <f>SUM(O283:O286)</f>
        <v>32929.510485386214</v>
      </c>
      <c r="P287" s="146">
        <f>SUM(P283:P286)</f>
        <v>0</v>
      </c>
      <c r="Q287" s="146">
        <f>SUM(Q283:Q286)</f>
        <v>32929.510485386214</v>
      </c>
      <c r="R287" s="139">
        <f>Q287/$H287*100</f>
        <v>3.3295608337638249</v>
      </c>
      <c r="S287" s="342">
        <f>Q287/O287</f>
        <v>1</v>
      </c>
      <c r="T287" s="177">
        <f>R287/K287-1</f>
        <v>0.14268332664258732</v>
      </c>
    </row>
    <row r="288" spans="2:21" x14ac:dyDescent="0.2">
      <c r="H288" s="148"/>
      <c r="I288" s="148"/>
      <c r="J288" s="148"/>
      <c r="K288" s="148"/>
      <c r="L288" s="148"/>
      <c r="M288" s="148"/>
      <c r="N288" s="148"/>
      <c r="O288" s="148"/>
      <c r="P288" s="148"/>
      <c r="Q288" s="148"/>
      <c r="R288" s="148"/>
      <c r="S288" s="148"/>
      <c r="T288" s="180"/>
    </row>
    <row r="289" spans="2:21" x14ac:dyDescent="0.2">
      <c r="B289" s="64"/>
      <c r="C289" s="33"/>
      <c r="D289" s="26" t="s">
        <v>167</v>
      </c>
      <c r="E289" s="64"/>
      <c r="F289" s="16"/>
      <c r="G289" s="64"/>
      <c r="H289" s="148"/>
      <c r="I289" s="148"/>
      <c r="J289" s="148"/>
      <c r="K289" s="148"/>
      <c r="L289" s="148"/>
      <c r="M289" s="148"/>
      <c r="N289" s="148"/>
      <c r="O289" s="148"/>
      <c r="P289" s="148"/>
      <c r="Q289" s="148"/>
      <c r="R289" s="148"/>
      <c r="S289" s="148"/>
      <c r="T289" s="180"/>
    </row>
    <row r="290" spans="2:21" x14ac:dyDescent="0.2">
      <c r="B290" s="64">
        <f>MAX(B$266:B289)+1</f>
        <v>153</v>
      </c>
      <c r="C290" s="33"/>
      <c r="D290" s="27" t="s">
        <v>165</v>
      </c>
      <c r="E290" s="64"/>
      <c r="F290" s="16" t="s">
        <v>56</v>
      </c>
      <c r="G290" s="64"/>
      <c r="H290" s="122">
        <v>265159.68152517336</v>
      </c>
      <c r="I290" s="341"/>
      <c r="J290" s="122">
        <f>$H290*K290/100</f>
        <v>48455.545361591707</v>
      </c>
      <c r="K290" s="147">
        <v>18.274100000000001</v>
      </c>
      <c r="L290" s="239"/>
      <c r="M290" s="122">
        <f t="shared" ref="M290:M291" si="68">J290-O290</f>
        <v>-6971.8492896883399</v>
      </c>
      <c r="N290" s="238"/>
      <c r="O290" s="122">
        <f t="shared" ref="O290:O291" si="69">Q290</f>
        <v>55427.394651280047</v>
      </c>
      <c r="P290" s="122">
        <f t="shared" ref="P290:P291" si="70">Q290-O290</f>
        <v>0</v>
      </c>
      <c r="Q290" s="122">
        <f>$H290*R290/100</f>
        <v>55427.394651280047</v>
      </c>
      <c r="R290" s="147">
        <v>20.903402181080821</v>
      </c>
      <c r="S290" s="124"/>
      <c r="T290" s="178"/>
    </row>
    <row r="291" spans="2:21" x14ac:dyDescent="0.2">
      <c r="B291" s="64">
        <f>MAX(B$266:B290)+1</f>
        <v>154</v>
      </c>
      <c r="C291" s="33"/>
      <c r="D291" s="27" t="s">
        <v>166</v>
      </c>
      <c r="E291" s="64"/>
      <c r="F291" s="16" t="s">
        <v>56</v>
      </c>
      <c r="G291" s="64"/>
      <c r="H291" s="122">
        <v>666053.40067181876</v>
      </c>
      <c r="I291" s="341"/>
      <c r="J291" s="122">
        <f>$H291*K291/100</f>
        <v>148630.65489924158</v>
      </c>
      <c r="K291" s="147">
        <v>22.315125896711042</v>
      </c>
      <c r="L291" s="239"/>
      <c r="M291" s="122">
        <f t="shared" si="68"/>
        <v>9402.8338160456333</v>
      </c>
      <c r="N291" s="238"/>
      <c r="O291" s="122">
        <f t="shared" si="69"/>
        <v>139227.82108319594</v>
      </c>
      <c r="P291" s="122">
        <f t="shared" si="70"/>
        <v>0</v>
      </c>
      <c r="Q291" s="122">
        <f>$H291*R291/100</f>
        <v>139227.82108319594</v>
      </c>
      <c r="R291" s="147">
        <v>20.903402181080821</v>
      </c>
      <c r="S291" s="124"/>
      <c r="T291" s="178"/>
    </row>
    <row r="292" spans="2:21" x14ac:dyDescent="0.2">
      <c r="B292" s="64">
        <f>MAX(B$266:B291)+1</f>
        <v>155</v>
      </c>
      <c r="C292" s="33"/>
      <c r="D292" s="26" t="s">
        <v>167</v>
      </c>
      <c r="E292" s="64"/>
      <c r="F292" s="16"/>
      <c r="G292" s="64"/>
      <c r="H292" s="146">
        <f>SUM(H290:H291)</f>
        <v>931213.08219699212</v>
      </c>
      <c r="I292" s="341"/>
      <c r="J292" s="146">
        <f>SUM(J290:J291)</f>
        <v>197086.20026083328</v>
      </c>
      <c r="K292" s="139">
        <f>J292/$H292*100</f>
        <v>21.164457848449874</v>
      </c>
      <c r="L292" s="239"/>
      <c r="M292" s="146">
        <f>SUM(M290:M291)</f>
        <v>2430.9845263572934</v>
      </c>
      <c r="N292" s="238"/>
      <c r="O292" s="146">
        <f>SUM(O290:O291)</f>
        <v>194655.21573447599</v>
      </c>
      <c r="P292" s="146">
        <f>SUM(P290:P291)</f>
        <v>0</v>
      </c>
      <c r="Q292" s="146">
        <f>SUM(Q290:Q291)</f>
        <v>194655.21573447599</v>
      </c>
      <c r="R292" s="139">
        <f>Q292/$H292*100</f>
        <v>20.903402181080821</v>
      </c>
      <c r="S292" s="342">
        <f>Q292/O292</f>
        <v>1</v>
      </c>
      <c r="T292" s="177">
        <f>R292/K292-1</f>
        <v>-1.2334625778669506E-2</v>
      </c>
    </row>
    <row r="293" spans="2:21" x14ac:dyDescent="0.2">
      <c r="B293" s="64"/>
      <c r="C293" s="33"/>
      <c r="D293" s="26"/>
      <c r="E293" s="64"/>
      <c r="F293" s="16"/>
      <c r="G293" s="64"/>
      <c r="H293" s="122"/>
      <c r="I293" s="341"/>
      <c r="J293" s="122"/>
      <c r="K293" s="147"/>
      <c r="L293" s="239"/>
      <c r="M293" s="122"/>
      <c r="N293" s="238"/>
      <c r="O293" s="122"/>
      <c r="P293" s="122"/>
      <c r="Q293" s="122"/>
      <c r="R293" s="147"/>
      <c r="S293" s="124"/>
      <c r="T293" s="178"/>
    </row>
    <row r="294" spans="2:21" ht="13.5" thickBot="1" x14ac:dyDescent="0.25">
      <c r="B294" s="64">
        <f>MAX(B$266:B293)+1</f>
        <v>156</v>
      </c>
      <c r="C294" s="33"/>
      <c r="D294" s="26" t="s">
        <v>160</v>
      </c>
      <c r="E294" s="64"/>
      <c r="F294" s="16"/>
      <c r="G294" s="64"/>
      <c r="H294" s="159">
        <f>H273</f>
        <v>989004.62041301141</v>
      </c>
      <c r="I294" s="341"/>
      <c r="J294" s="159">
        <f>SUM(J275,J280,J287,J292)</f>
        <v>484014.21855538513</v>
      </c>
      <c r="K294" s="140">
        <f>J294/$H294*100</f>
        <v>48.939530570975421</v>
      </c>
      <c r="L294" s="239"/>
      <c r="M294" s="159">
        <f>SUM(M275,M280,M287,M292)</f>
        <v>62072.652503178528</v>
      </c>
      <c r="N294" s="238"/>
      <c r="O294" s="159">
        <f>SUM(O275,O280,O287,O292)</f>
        <v>421941.56605220662</v>
      </c>
      <c r="P294" s="159">
        <f>SUM(P275,P280,P287,P292)</f>
        <v>-989.97587166719313</v>
      </c>
      <c r="Q294" s="159">
        <f>SUM(Q275,Q280,Q287,Q292)</f>
        <v>420951.59018053941</v>
      </c>
      <c r="R294" s="140">
        <f>Q294/$H294*100</f>
        <v>42.563157086642192</v>
      </c>
      <c r="S294" s="345">
        <f>Q294/O294</f>
        <v>0.99765376073059198</v>
      </c>
      <c r="T294" s="179">
        <f>R294/K294-1</f>
        <v>-0.13029085914679506</v>
      </c>
    </row>
    <row r="295" spans="2:21" ht="13.5" thickTop="1" x14ac:dyDescent="0.2">
      <c r="B295" s="60"/>
      <c r="C295" s="30"/>
      <c r="D295" s="29"/>
      <c r="E295" s="60"/>
      <c r="F295" s="192"/>
      <c r="G295" s="60"/>
      <c r="H295" s="346"/>
      <c r="I295" s="153"/>
      <c r="J295" s="346"/>
      <c r="K295" s="347"/>
      <c r="L295" s="346"/>
      <c r="M295" s="346"/>
      <c r="N295" s="348"/>
      <c r="O295" s="346"/>
      <c r="P295" s="346"/>
      <c r="Q295" s="346"/>
      <c r="R295" s="347"/>
      <c r="S295" s="172"/>
      <c r="T295" s="347"/>
    </row>
    <row r="296" spans="2:21" x14ac:dyDescent="0.2">
      <c r="B296" s="549" t="s">
        <v>506</v>
      </c>
      <c r="C296" s="549"/>
      <c r="D296" s="549"/>
      <c r="E296" s="549"/>
      <c r="F296" s="549"/>
      <c r="G296" s="549"/>
      <c r="H296" s="549"/>
      <c r="I296" s="549"/>
      <c r="J296" s="549"/>
      <c r="K296" s="549"/>
      <c r="L296" s="549"/>
      <c r="M296" s="549"/>
      <c r="N296" s="549"/>
      <c r="O296" s="549"/>
      <c r="P296" s="549"/>
      <c r="Q296" s="549"/>
      <c r="R296" s="549"/>
      <c r="S296" s="549"/>
      <c r="T296" s="549"/>
      <c r="U296" s="31"/>
    </row>
    <row r="297" spans="2:21" x14ac:dyDescent="0.2">
      <c r="B297" s="549" t="s">
        <v>1057</v>
      </c>
      <c r="C297" s="549"/>
      <c r="D297" s="549"/>
      <c r="E297" s="549"/>
      <c r="F297" s="549"/>
      <c r="G297" s="549"/>
      <c r="H297" s="549"/>
      <c r="I297" s="549"/>
      <c r="J297" s="549"/>
      <c r="K297" s="549"/>
      <c r="L297" s="549"/>
      <c r="M297" s="549"/>
      <c r="N297" s="549"/>
      <c r="O297" s="549"/>
      <c r="P297" s="549"/>
      <c r="Q297" s="549"/>
      <c r="R297" s="549"/>
      <c r="S297" s="549"/>
      <c r="T297" s="549"/>
      <c r="U297" s="31"/>
    </row>
    <row r="298" spans="2:21" x14ac:dyDescent="0.2">
      <c r="B298" s="168"/>
      <c r="C298" s="168"/>
      <c r="D298" s="168"/>
      <c r="E298" s="168"/>
      <c r="F298" s="170"/>
      <c r="G298" s="168"/>
      <c r="H298" s="170"/>
      <c r="I298" s="168"/>
      <c r="J298" s="170"/>
      <c r="K298" s="170"/>
      <c r="L298" s="170"/>
      <c r="M298" s="170"/>
      <c r="N298" s="168"/>
      <c r="O298" s="168"/>
      <c r="P298" s="168"/>
      <c r="Q298" s="168"/>
      <c r="R298" s="168"/>
      <c r="S298" s="169"/>
      <c r="T298" s="169"/>
    </row>
    <row r="299" spans="2:21" x14ac:dyDescent="0.2">
      <c r="B299" s="170"/>
      <c r="C299" s="170"/>
      <c r="D299" s="170"/>
      <c r="E299" s="170"/>
      <c r="F299" s="340"/>
      <c r="G299" s="170"/>
      <c r="H299" s="340"/>
      <c r="I299" s="170"/>
      <c r="J299" s="173" t="s">
        <v>57</v>
      </c>
      <c r="K299" s="173"/>
      <c r="L299" s="170"/>
      <c r="M299" s="170"/>
      <c r="N299" s="170"/>
      <c r="O299" s="173" t="s">
        <v>60</v>
      </c>
      <c r="P299" s="173"/>
      <c r="Q299" s="173"/>
      <c r="R299" s="173"/>
      <c r="S299" s="174"/>
      <c r="T299" s="174"/>
    </row>
    <row r="300" spans="2:21" s="45" customFormat="1" ht="39" customHeight="1" x14ac:dyDescent="0.2">
      <c r="B300" s="154" t="s">
        <v>0</v>
      </c>
      <c r="C300" s="154"/>
      <c r="D300" s="154"/>
      <c r="E300" s="154"/>
      <c r="F300" s="60" t="s">
        <v>47</v>
      </c>
      <c r="G300" s="154"/>
      <c r="H300" s="45" t="s">
        <v>746</v>
      </c>
      <c r="I300" s="154"/>
      <c r="J300" s="45" t="s">
        <v>61</v>
      </c>
      <c r="K300" s="45" t="s">
        <v>571</v>
      </c>
      <c r="L300" s="154"/>
      <c r="M300" s="45" t="s">
        <v>34</v>
      </c>
      <c r="N300" s="154"/>
      <c r="O300" s="154" t="s">
        <v>79</v>
      </c>
      <c r="P300" s="45" t="s">
        <v>34</v>
      </c>
      <c r="Q300" s="45" t="s">
        <v>61</v>
      </c>
      <c r="R300" s="45" t="s">
        <v>69</v>
      </c>
      <c r="S300" s="154" t="s">
        <v>745</v>
      </c>
      <c r="T300" s="154" t="s">
        <v>747</v>
      </c>
      <c r="U300" s="154"/>
    </row>
    <row r="301" spans="2:21" ht="14.25" x14ac:dyDescent="0.2">
      <c r="B301" s="520" t="s">
        <v>1</v>
      </c>
      <c r="C301" s="33"/>
      <c r="D301" s="185" t="s">
        <v>33</v>
      </c>
      <c r="E301" s="64"/>
      <c r="F301" s="520" t="s">
        <v>48</v>
      </c>
      <c r="G301" s="64"/>
      <c r="H301" s="520" t="s">
        <v>560</v>
      </c>
      <c r="I301" s="64"/>
      <c r="J301" s="520" t="s">
        <v>389</v>
      </c>
      <c r="K301" s="520" t="s">
        <v>35</v>
      </c>
      <c r="L301" s="64"/>
      <c r="M301" s="520" t="s">
        <v>389</v>
      </c>
      <c r="N301" s="64"/>
      <c r="O301" s="520" t="s">
        <v>389</v>
      </c>
      <c r="P301" s="520" t="s">
        <v>389</v>
      </c>
      <c r="Q301" s="520" t="s">
        <v>389</v>
      </c>
      <c r="R301" s="520" t="s">
        <v>35</v>
      </c>
      <c r="S301" s="520" t="s">
        <v>36</v>
      </c>
      <c r="T301" s="520" t="s">
        <v>2</v>
      </c>
      <c r="U301" s="64"/>
    </row>
    <row r="302" spans="2:21" x14ac:dyDescent="0.2">
      <c r="B302" s="64"/>
      <c r="C302" s="33"/>
      <c r="D302" s="33"/>
      <c r="E302" s="64"/>
      <c r="F302" s="64"/>
      <c r="G302" s="64"/>
      <c r="H302" s="64" t="s">
        <v>3</v>
      </c>
      <c r="I302" s="64"/>
      <c r="J302" s="64" t="s">
        <v>4</v>
      </c>
      <c r="K302" s="64" t="s">
        <v>58</v>
      </c>
      <c r="L302" s="64"/>
      <c r="M302" s="64" t="s">
        <v>59</v>
      </c>
      <c r="N302" s="64"/>
      <c r="O302" s="64" t="s">
        <v>63</v>
      </c>
      <c r="P302" s="64" t="s">
        <v>227</v>
      </c>
      <c r="Q302" s="175" t="s">
        <v>38</v>
      </c>
      <c r="R302" s="175" t="s">
        <v>70</v>
      </c>
      <c r="S302" s="175" t="s">
        <v>479</v>
      </c>
      <c r="T302" s="175" t="s">
        <v>71</v>
      </c>
      <c r="U302" s="64"/>
    </row>
    <row r="303" spans="2:21" x14ac:dyDescent="0.2">
      <c r="B303" s="60"/>
      <c r="C303" s="30"/>
      <c r="D303" s="29"/>
      <c r="E303" s="60"/>
      <c r="F303" s="192"/>
      <c r="G303" s="60"/>
      <c r="H303" s="346"/>
      <c r="I303" s="153"/>
      <c r="J303" s="346"/>
      <c r="K303" s="347"/>
      <c r="L303" s="346"/>
      <c r="M303" s="346"/>
      <c r="N303" s="348"/>
      <c r="O303" s="346"/>
      <c r="P303" s="346"/>
      <c r="Q303" s="346"/>
      <c r="R303" s="347"/>
      <c r="S303" s="172"/>
      <c r="T303" s="347"/>
    </row>
    <row r="304" spans="2:21" x14ac:dyDescent="0.2">
      <c r="B304" s="64"/>
      <c r="C304" s="33"/>
      <c r="D304" s="31" t="s">
        <v>17</v>
      </c>
      <c r="E304" s="64"/>
      <c r="F304" s="186"/>
      <c r="G304" s="64"/>
      <c r="H304" s="350"/>
      <c r="I304" s="341"/>
      <c r="J304" s="350"/>
      <c r="K304" s="341"/>
      <c r="L304" s="341"/>
      <c r="M304" s="144"/>
      <c r="N304" s="341"/>
      <c r="O304" s="145"/>
      <c r="P304" s="341"/>
      <c r="Q304" s="341"/>
      <c r="R304" s="341"/>
      <c r="S304" s="341"/>
      <c r="T304" s="351"/>
      <c r="U304" s="64"/>
    </row>
    <row r="305" spans="2:20" x14ac:dyDescent="0.2">
      <c r="B305" s="64">
        <f>MAX(B$266:B304)+1</f>
        <v>157</v>
      </c>
      <c r="C305" s="33"/>
      <c r="D305" s="26" t="s">
        <v>85</v>
      </c>
      <c r="E305" s="64"/>
      <c r="F305" s="16" t="s">
        <v>55</v>
      </c>
      <c r="G305" s="64"/>
      <c r="H305" s="122">
        <v>26448</v>
      </c>
      <c r="I305" s="341"/>
      <c r="J305" s="122">
        <f>$H305*K305/1000</f>
        <v>2025.3878399999999</v>
      </c>
      <c r="K305" s="331">
        <v>76.58</v>
      </c>
      <c r="L305" s="239"/>
      <c r="M305" s="122">
        <f>J305-O305</f>
        <v>-2540.526388182318</v>
      </c>
      <c r="N305" s="238"/>
      <c r="O305" s="122">
        <v>4565.9142281823179</v>
      </c>
      <c r="P305" s="122">
        <f>Q305-O305</f>
        <v>-2450.0742281823177</v>
      </c>
      <c r="Q305" s="122">
        <f>$H305*R305/1000</f>
        <v>2115.84</v>
      </c>
      <c r="R305" s="331">
        <v>80</v>
      </c>
      <c r="S305" s="124">
        <f>Q305/O305</f>
        <v>0.4633989808525843</v>
      </c>
      <c r="T305" s="178">
        <f>R305/K305-1</f>
        <v>4.4659179942543759E-2</v>
      </c>
    </row>
    <row r="306" spans="2:20" x14ac:dyDescent="0.2">
      <c r="B306" s="64"/>
      <c r="C306" s="33"/>
      <c r="D306" s="26" t="s">
        <v>86</v>
      </c>
      <c r="E306" s="64"/>
      <c r="F306" s="16"/>
      <c r="G306" s="64"/>
      <c r="H306" s="122"/>
      <c r="I306" s="341"/>
      <c r="J306" s="122"/>
      <c r="K306" s="147"/>
      <c r="L306" s="239"/>
      <c r="M306" s="122"/>
      <c r="N306" s="238"/>
      <c r="O306" s="122"/>
      <c r="P306" s="122"/>
      <c r="Q306" s="122"/>
      <c r="R306" s="147"/>
      <c r="S306" s="124"/>
      <c r="T306" s="178"/>
    </row>
    <row r="307" spans="2:20" x14ac:dyDescent="0.2">
      <c r="B307" s="64">
        <f>MAX(B$266:B306)+1</f>
        <v>158</v>
      </c>
      <c r="C307" s="33"/>
      <c r="D307" s="359" t="s">
        <v>176</v>
      </c>
      <c r="E307" s="64"/>
      <c r="F307" s="16" t="s">
        <v>56</v>
      </c>
      <c r="G307" s="64"/>
      <c r="H307" s="122">
        <v>21365.254170514676</v>
      </c>
      <c r="I307" s="341"/>
      <c r="J307" s="122">
        <f>$H307*K307/100</f>
        <v>2177.3971482796619</v>
      </c>
      <c r="K307" s="147">
        <v>10.1913</v>
      </c>
      <c r="L307" s="239"/>
      <c r="M307" s="122">
        <f t="shared" ref="M307:M311" si="71">J307-O307</f>
        <v>926.31403508702829</v>
      </c>
      <c r="N307" s="238"/>
      <c r="O307" s="122">
        <v>1251.0831131926336</v>
      </c>
      <c r="P307" s="122">
        <f t="shared" ref="P307:P311" si="72">Q307-O307</f>
        <v>196.21231303992795</v>
      </c>
      <c r="Q307" s="122">
        <f>$H307*R307/100</f>
        <v>1447.2954262325616</v>
      </c>
      <c r="R307" s="147">
        <v>6.774061355328576</v>
      </c>
      <c r="S307" s="124"/>
      <c r="T307" s="178"/>
    </row>
    <row r="308" spans="2:20" x14ac:dyDescent="0.2">
      <c r="B308" s="64">
        <f>MAX(B$266:B307)+1</f>
        <v>159</v>
      </c>
      <c r="C308" s="33"/>
      <c r="D308" s="359" t="s">
        <v>177</v>
      </c>
      <c r="E308" s="64"/>
      <c r="F308" s="16" t="s">
        <v>56</v>
      </c>
      <c r="G308" s="64"/>
      <c r="H308" s="122">
        <v>124186.71734667888</v>
      </c>
      <c r="I308" s="341"/>
      <c r="J308" s="122">
        <f>$H308*K308/100</f>
        <v>10330.099522331444</v>
      </c>
      <c r="K308" s="147">
        <v>8.3182000000000009</v>
      </c>
      <c r="L308" s="239"/>
      <c r="M308" s="122">
        <f t="shared" si="71"/>
        <v>4532.8092523122796</v>
      </c>
      <c r="N308" s="238"/>
      <c r="O308" s="122">
        <v>5797.2902700191644</v>
      </c>
      <c r="P308" s="122">
        <f t="shared" si="72"/>
        <v>930.54913557161672</v>
      </c>
      <c r="Q308" s="122">
        <f>$H308*R308/100</f>
        <v>6727.8394055907811</v>
      </c>
      <c r="R308" s="147">
        <v>5.4175193203709426</v>
      </c>
      <c r="S308" s="124"/>
      <c r="T308" s="178"/>
    </row>
    <row r="309" spans="2:20" x14ac:dyDescent="0.2">
      <c r="B309" s="64">
        <f>MAX(B$266:B308)+1</f>
        <v>160</v>
      </c>
      <c r="C309" s="33"/>
      <c r="D309" s="359" t="s">
        <v>178</v>
      </c>
      <c r="E309" s="64"/>
      <c r="F309" s="16" t="s">
        <v>56</v>
      </c>
      <c r="G309" s="64"/>
      <c r="H309" s="122">
        <v>83168.481060518243</v>
      </c>
      <c r="I309" s="341"/>
      <c r="J309" s="122">
        <f>$H309*K309/100</f>
        <v>6015.4098981451643</v>
      </c>
      <c r="K309" s="147">
        <v>7.2328000000000001</v>
      </c>
      <c r="L309" s="239"/>
      <c r="M309" s="122">
        <f t="shared" si="71"/>
        <v>2705.2246104296132</v>
      </c>
      <c r="N309" s="238"/>
      <c r="O309" s="122">
        <v>3310.1852877155511</v>
      </c>
      <c r="P309" s="122">
        <f t="shared" si="72"/>
        <v>541.71942764113692</v>
      </c>
      <c r="Q309" s="122">
        <f>$H309*R309/100</f>
        <v>3851.904715356688</v>
      </c>
      <c r="R309" s="147">
        <v>4.6314477146141666</v>
      </c>
      <c r="S309" s="124"/>
      <c r="T309" s="178"/>
    </row>
    <row r="310" spans="2:20" x14ac:dyDescent="0.2">
      <c r="B310" s="64">
        <f>MAX(B$266:B309)+1</f>
        <v>161</v>
      </c>
      <c r="C310" s="33"/>
      <c r="D310" s="359" t="s">
        <v>179</v>
      </c>
      <c r="E310" s="64"/>
      <c r="F310" s="16" t="s">
        <v>56</v>
      </c>
      <c r="G310" s="64"/>
      <c r="H310" s="122">
        <v>58024.807725332095</v>
      </c>
      <c r="I310" s="341"/>
      <c r="J310" s="122">
        <f>$H310*K310/100</f>
        <v>3801.3212037019562</v>
      </c>
      <c r="K310" s="147">
        <v>6.5511999999999997</v>
      </c>
      <c r="L310" s="239"/>
      <c r="M310" s="122">
        <f t="shared" si="71"/>
        <v>1742.6107317490896</v>
      </c>
      <c r="N310" s="238"/>
      <c r="O310" s="122">
        <v>2058.7104719528666</v>
      </c>
      <c r="P310" s="122">
        <f t="shared" si="72"/>
        <v>342.25008474220522</v>
      </c>
      <c r="Q310" s="122">
        <f>$H310*R310/100</f>
        <v>2400.9605566950718</v>
      </c>
      <c r="R310" s="147">
        <v>4.1378173419554063</v>
      </c>
      <c r="S310" s="124"/>
      <c r="T310" s="178"/>
    </row>
    <row r="311" spans="2:20" x14ac:dyDescent="0.2">
      <c r="B311" s="64">
        <f>MAX(B$266:B310)+1</f>
        <v>162</v>
      </c>
      <c r="C311" s="33"/>
      <c r="D311" s="359" t="s">
        <v>180</v>
      </c>
      <c r="E311" s="64"/>
      <c r="F311" s="16" t="s">
        <v>56</v>
      </c>
      <c r="G311" s="64"/>
      <c r="H311" s="122">
        <v>41228.886994960922</v>
      </c>
      <c r="I311" s="341"/>
      <c r="J311" s="122">
        <f>$H311*K311/100</f>
        <v>1636.2508381690141</v>
      </c>
      <c r="K311" s="147">
        <v>3.9687000000000001</v>
      </c>
      <c r="L311" s="239"/>
      <c r="M311" s="122">
        <f t="shared" si="71"/>
        <v>848.46540935287055</v>
      </c>
      <c r="N311" s="238"/>
      <c r="O311" s="122">
        <v>787.78542881614351</v>
      </c>
      <c r="P311" s="122">
        <f t="shared" si="72"/>
        <v>147.08433992751907</v>
      </c>
      <c r="Q311" s="122">
        <f>$H311*R311/100</f>
        <v>934.86976874366258</v>
      </c>
      <c r="R311" s="147">
        <v>2.2675115359236457</v>
      </c>
      <c r="S311" s="124"/>
      <c r="T311" s="178"/>
    </row>
    <row r="312" spans="2:20" x14ac:dyDescent="0.2">
      <c r="B312" s="64">
        <f>MAX(B$266:B311)+1</f>
        <v>163</v>
      </c>
      <c r="C312" s="33"/>
      <c r="D312" s="26" t="s">
        <v>86</v>
      </c>
      <c r="E312" s="64"/>
      <c r="F312" s="16"/>
      <c r="G312" s="64"/>
      <c r="H312" s="146">
        <f>SUM(H307:H311)</f>
        <v>327974.14729800483</v>
      </c>
      <c r="I312" s="341"/>
      <c r="J312" s="146">
        <f>SUM(J307:J311)</f>
        <v>23960.478610627237</v>
      </c>
      <c r="K312" s="139">
        <f>J312/$H312*100</f>
        <v>7.3055997882833719</v>
      </c>
      <c r="L312" s="239"/>
      <c r="M312" s="146">
        <f>SUM(M307:M311)</f>
        <v>10755.42403893088</v>
      </c>
      <c r="N312" s="238"/>
      <c r="O312" s="146">
        <f>SUM(O307:O311)</f>
        <v>13205.054571696359</v>
      </c>
      <c r="P312" s="146">
        <f>SUM(P307:P311)</f>
        <v>2157.8153009224061</v>
      </c>
      <c r="Q312" s="146">
        <f>SUM(Q307:Q311)</f>
        <v>15362.869872618767</v>
      </c>
      <c r="R312" s="139">
        <f>Q312/$H312*100</f>
        <v>4.6841709931056581</v>
      </c>
      <c r="S312" s="342">
        <f>Q312/O312</f>
        <v>1.1634082834877075</v>
      </c>
      <c r="T312" s="177">
        <f>R312/K312-1</f>
        <v>-0.35882458266902717</v>
      </c>
    </row>
    <row r="313" spans="2:20" x14ac:dyDescent="0.2">
      <c r="B313" s="64"/>
      <c r="C313" s="33"/>
      <c r="D313" s="26"/>
      <c r="E313" s="64"/>
      <c r="F313" s="16"/>
      <c r="G313" s="64"/>
      <c r="H313" s="122"/>
      <c r="I313" s="341"/>
      <c r="J313" s="122"/>
      <c r="K313" s="147"/>
      <c r="L313" s="239"/>
      <c r="M313" s="122"/>
      <c r="N313" s="238"/>
      <c r="O313" s="122"/>
      <c r="P313" s="122"/>
      <c r="Q313" s="122"/>
      <c r="R313" s="147"/>
      <c r="S313" s="124"/>
      <c r="T313" s="178"/>
    </row>
    <row r="314" spans="2:20" x14ac:dyDescent="0.2">
      <c r="B314" s="64">
        <f>MAX(B$266:B313)+1</f>
        <v>164</v>
      </c>
      <c r="C314" s="33"/>
      <c r="D314" s="26" t="s">
        <v>68</v>
      </c>
      <c r="E314" s="64"/>
      <c r="F314" s="16"/>
      <c r="G314" s="64"/>
      <c r="H314" s="146">
        <f>H312</f>
        <v>327974.14729800483</v>
      </c>
      <c r="I314" s="341"/>
      <c r="J314" s="146">
        <f>J305+J312</f>
        <v>25985.866450627236</v>
      </c>
      <c r="K314" s="139">
        <f>J314/$H314*100</f>
        <v>7.9231447553748442</v>
      </c>
      <c r="L314" s="239"/>
      <c r="M314" s="146">
        <f>M305+M312</f>
        <v>8214.8976507485622</v>
      </c>
      <c r="N314" s="238"/>
      <c r="O314" s="146">
        <f>O305+O312</f>
        <v>17770.968799878676</v>
      </c>
      <c r="P314" s="146">
        <f>P305+P312</f>
        <v>-292.25892725991162</v>
      </c>
      <c r="Q314" s="146">
        <f>Q305+Q312</f>
        <v>17478.709872618769</v>
      </c>
      <c r="R314" s="139">
        <f>Q314/$H314*100</f>
        <v>5.3292950120050806</v>
      </c>
      <c r="S314" s="342">
        <f>Q314/O314</f>
        <v>0.98355413649356571</v>
      </c>
      <c r="T314" s="177">
        <f>R314/K314-1</f>
        <v>-0.32737629103774324</v>
      </c>
    </row>
    <row r="315" spans="2:20" x14ac:dyDescent="0.2">
      <c r="H315" s="148"/>
      <c r="I315" s="148"/>
      <c r="J315" s="148"/>
      <c r="K315" s="148"/>
      <c r="L315" s="148"/>
      <c r="M315" s="148"/>
      <c r="N315" s="148"/>
      <c r="O315" s="148"/>
      <c r="P315" s="148"/>
      <c r="Q315" s="148"/>
      <c r="R315" s="148"/>
      <c r="S315" s="148"/>
      <c r="T315" s="180"/>
    </row>
    <row r="316" spans="2:20" x14ac:dyDescent="0.2">
      <c r="B316" s="64"/>
      <c r="C316" s="33"/>
      <c r="D316" s="26" t="s">
        <v>170</v>
      </c>
      <c r="E316" s="64"/>
      <c r="F316" s="16"/>
      <c r="G316" s="64"/>
      <c r="H316" s="148"/>
      <c r="I316" s="148"/>
      <c r="J316" s="148"/>
      <c r="K316" s="148"/>
      <c r="L316" s="148"/>
      <c r="M316" s="148"/>
      <c r="N316" s="148"/>
      <c r="O316" s="148"/>
      <c r="P316" s="148"/>
      <c r="Q316" s="148"/>
      <c r="R316" s="148"/>
      <c r="S316" s="148"/>
      <c r="T316" s="180"/>
    </row>
    <row r="317" spans="2:20" x14ac:dyDescent="0.2">
      <c r="B317" s="64">
        <f>MAX(B$266:B316)+1</f>
        <v>165</v>
      </c>
      <c r="C317" s="33"/>
      <c r="D317" s="27" t="s">
        <v>168</v>
      </c>
      <c r="E317" s="64"/>
      <c r="F317" s="16" t="s">
        <v>56</v>
      </c>
      <c r="G317" s="64"/>
      <c r="H317" s="122">
        <v>74067.232172430071</v>
      </c>
      <c r="I317" s="341"/>
      <c r="J317" s="122">
        <f>$H317*K317/100</f>
        <v>1340.913171249674</v>
      </c>
      <c r="K317" s="147">
        <v>1.8104</v>
      </c>
      <c r="L317" s="239"/>
      <c r="M317" s="122">
        <f t="shared" ref="M317:M318" si="73">J317-O317</f>
        <v>-50.18597241422458</v>
      </c>
      <c r="N317" s="238"/>
      <c r="O317" s="122">
        <f t="shared" ref="O317:O318" si="74">Q317</f>
        <v>1391.0991436638985</v>
      </c>
      <c r="P317" s="122">
        <f t="shared" ref="P317:P318" si="75">Q317-O317</f>
        <v>0</v>
      </c>
      <c r="Q317" s="122">
        <f>$H317*R317/100</f>
        <v>1391.0991436638985</v>
      </c>
      <c r="R317" s="147">
        <v>1.8781573212097227</v>
      </c>
      <c r="S317" s="124"/>
      <c r="T317" s="178"/>
    </row>
    <row r="318" spans="2:20" x14ac:dyDescent="0.2">
      <c r="B318" s="64">
        <f>MAX(B$266:B317)+1</f>
        <v>166</v>
      </c>
      <c r="C318" s="33"/>
      <c r="D318" s="27" t="s">
        <v>169</v>
      </c>
      <c r="E318" s="64"/>
      <c r="F318" s="16" t="s">
        <v>56</v>
      </c>
      <c r="G318" s="64"/>
      <c r="H318" s="122">
        <v>250025.90575654924</v>
      </c>
      <c r="I318" s="341"/>
      <c r="J318" s="122">
        <f>$H318*K318/100</f>
        <v>11696.211871291373</v>
      </c>
      <c r="K318" s="147">
        <v>4.6779999999999999</v>
      </c>
      <c r="L318" s="239"/>
      <c r="M318" s="122">
        <f t="shared" si="73"/>
        <v>7000.3320174038217</v>
      </c>
      <c r="N318" s="238"/>
      <c r="O318" s="122">
        <f t="shared" si="74"/>
        <v>4695.8798538875508</v>
      </c>
      <c r="P318" s="122">
        <f t="shared" si="75"/>
        <v>0</v>
      </c>
      <c r="Q318" s="122">
        <f>$H318*R318/100</f>
        <v>4695.8798538875508</v>
      </c>
      <c r="R318" s="147">
        <v>1.8781573212097227</v>
      </c>
      <c r="S318" s="124"/>
      <c r="T318" s="178"/>
    </row>
    <row r="319" spans="2:20" x14ac:dyDescent="0.2">
      <c r="B319" s="64">
        <f>MAX(B$266:B318)+1</f>
        <v>167</v>
      </c>
      <c r="C319" s="33"/>
      <c r="D319" s="26" t="s">
        <v>170</v>
      </c>
      <c r="E319" s="64"/>
      <c r="F319" s="16"/>
      <c r="G319" s="64"/>
      <c r="H319" s="146">
        <f>SUM(H317:H318)</f>
        <v>324093.1379289793</v>
      </c>
      <c r="I319" s="341"/>
      <c r="J319" s="146">
        <f>SUM(J317:J318)</f>
        <v>13037.125042541047</v>
      </c>
      <c r="K319" s="139">
        <f>J319/$H319*100</f>
        <v>4.022647664140905</v>
      </c>
      <c r="L319" s="239"/>
      <c r="M319" s="146">
        <f>SUM(M317:M318)</f>
        <v>6950.1460449895967</v>
      </c>
      <c r="N319" s="238"/>
      <c r="O319" s="146">
        <f>SUM(O317:O318)</f>
        <v>6086.9789975514495</v>
      </c>
      <c r="P319" s="146">
        <f>SUM(P317:P318)</f>
        <v>0</v>
      </c>
      <c r="Q319" s="146">
        <f>SUM(Q317:Q318)</f>
        <v>6086.9789975514495</v>
      </c>
      <c r="R319" s="139">
        <f>Q319/$H319*100</f>
        <v>1.8781573212097229</v>
      </c>
      <c r="S319" s="342">
        <f>Q319/O319</f>
        <v>1</v>
      </c>
      <c r="T319" s="177">
        <f>R319/K319-1</f>
        <v>-0.53310419454525337</v>
      </c>
    </row>
    <row r="320" spans="2:20" x14ac:dyDescent="0.2">
      <c r="E320" s="64"/>
      <c r="F320" s="16"/>
      <c r="G320" s="64"/>
      <c r="H320" s="122"/>
      <c r="I320" s="341"/>
      <c r="J320" s="122"/>
      <c r="K320" s="147"/>
      <c r="L320" s="239"/>
      <c r="M320" s="122"/>
      <c r="N320" s="238"/>
      <c r="O320" s="122"/>
      <c r="P320" s="122"/>
      <c r="Q320" s="122"/>
      <c r="R320" s="147"/>
      <c r="S320" s="124"/>
      <c r="T320" s="178"/>
    </row>
    <row r="321" spans="2:21" x14ac:dyDescent="0.2">
      <c r="B321" s="64"/>
      <c r="C321" s="33"/>
      <c r="D321" s="26" t="s">
        <v>87</v>
      </c>
      <c r="E321" s="64"/>
      <c r="F321" s="192"/>
      <c r="G321" s="64"/>
      <c r="H321" s="122"/>
      <c r="I321" s="341"/>
      <c r="J321" s="122"/>
      <c r="K321" s="147"/>
      <c r="L321" s="239"/>
      <c r="M321" s="122"/>
      <c r="N321" s="238"/>
      <c r="O321" s="122"/>
      <c r="P321" s="122"/>
      <c r="Q321" s="122"/>
      <c r="R321" s="240"/>
      <c r="S321" s="124"/>
      <c r="T321" s="343"/>
    </row>
    <row r="322" spans="2:21" x14ac:dyDescent="0.2">
      <c r="B322" s="64">
        <f>MAX(B$266:B321)+1</f>
        <v>168</v>
      </c>
      <c r="C322" s="33"/>
      <c r="D322" s="27" t="s">
        <v>171</v>
      </c>
      <c r="E322" s="64"/>
      <c r="F322" s="192" t="s">
        <v>56</v>
      </c>
      <c r="G322" s="64"/>
      <c r="H322" s="122">
        <f>H329</f>
        <v>38768.213882143405</v>
      </c>
      <c r="I322" s="341"/>
      <c r="J322" s="122">
        <f>$H322*K322/100</f>
        <v>1527.4288587425679</v>
      </c>
      <c r="K322" s="147">
        <v>3.9398999999999997</v>
      </c>
      <c r="L322" s="239"/>
      <c r="M322" s="122">
        <f t="shared" ref="M322:M325" si="76">J322-O322</f>
        <v>351.01017674584887</v>
      </c>
      <c r="N322" s="238"/>
      <c r="O322" s="122">
        <f>Q322</f>
        <v>1176.418681996719</v>
      </c>
      <c r="P322" s="122">
        <f t="shared" ref="P322:P325" si="77">Q322-O322</f>
        <v>0</v>
      </c>
      <c r="Q322" s="122">
        <f>$H322*R322/100</f>
        <v>1176.418681996719</v>
      </c>
      <c r="R322" s="147">
        <v>3.0344928594674725</v>
      </c>
      <c r="S322" s="344"/>
      <c r="T322" s="178"/>
    </row>
    <row r="323" spans="2:21" x14ac:dyDescent="0.2">
      <c r="B323" s="64">
        <f>MAX(B$266:B322)+1</f>
        <v>169</v>
      </c>
      <c r="C323" s="33"/>
      <c r="D323" s="27" t="s">
        <v>174</v>
      </c>
      <c r="E323" s="64"/>
      <c r="F323" s="192" t="s">
        <v>56</v>
      </c>
      <c r="G323" s="64"/>
      <c r="H323" s="122">
        <f>H330</f>
        <v>125821.97106758892</v>
      </c>
      <c r="I323" s="341"/>
      <c r="J323" s="122">
        <f>$H323*K323/100</f>
        <v>2656.7309190921396</v>
      </c>
      <c r="K323" s="147">
        <v>2.1114999999999999</v>
      </c>
      <c r="L323" s="239"/>
      <c r="M323" s="122">
        <f t="shared" si="76"/>
        <v>-1161.3278085950751</v>
      </c>
      <c r="N323" s="238"/>
      <c r="O323" s="122">
        <f>Q323</f>
        <v>3818.0587276872147</v>
      </c>
      <c r="P323" s="122">
        <f t="shared" si="77"/>
        <v>0</v>
      </c>
      <c r="Q323" s="122">
        <f>$H323*R323/100</f>
        <v>3818.0587276872147</v>
      </c>
      <c r="R323" s="147">
        <v>3.0344928594674725</v>
      </c>
      <c r="S323" s="344"/>
      <c r="T323" s="178"/>
    </row>
    <row r="324" spans="2:21" x14ac:dyDescent="0.2">
      <c r="B324" s="64">
        <f>MAX(B$266:B323)+1</f>
        <v>170</v>
      </c>
      <c r="C324" s="33"/>
      <c r="D324" s="27" t="s">
        <v>173</v>
      </c>
      <c r="E324" s="64"/>
      <c r="F324" s="192" t="s">
        <v>56</v>
      </c>
      <c r="G324" s="64"/>
      <c r="H324" s="122">
        <v>35299.018290286658</v>
      </c>
      <c r="I324" s="341"/>
      <c r="J324" s="122">
        <f>$H324*K324/100</f>
        <v>1390.7460216190041</v>
      </c>
      <c r="K324" s="147">
        <v>3.9398999999999997</v>
      </c>
      <c r="L324" s="239"/>
      <c r="M324" s="122">
        <f t="shared" si="76"/>
        <v>-337.65620639092344</v>
      </c>
      <c r="N324" s="239"/>
      <c r="O324" s="122">
        <f>Q324</f>
        <v>1728.4022280099275</v>
      </c>
      <c r="P324" s="122">
        <f t="shared" si="77"/>
        <v>0</v>
      </c>
      <c r="Q324" s="122">
        <f>$H324*R324/100</f>
        <v>1728.4022280099275</v>
      </c>
      <c r="R324" s="147">
        <v>4.8964597649604817</v>
      </c>
      <c r="S324" s="344"/>
      <c r="T324" s="178"/>
      <c r="U324" s="64"/>
    </row>
    <row r="325" spans="2:21" x14ac:dyDescent="0.2">
      <c r="B325" s="64">
        <f>MAX(B$266:B324)+1</f>
        <v>171</v>
      </c>
      <c r="C325" s="33"/>
      <c r="D325" s="27" t="s">
        <v>172</v>
      </c>
      <c r="E325" s="64"/>
      <c r="F325" s="192" t="s">
        <v>56</v>
      </c>
      <c r="G325" s="64"/>
      <c r="H325" s="122">
        <v>124203.93468896032</v>
      </c>
      <c r="I325" s="341"/>
      <c r="J325" s="122">
        <f>$H325*K325/100</f>
        <v>2622.5660809573969</v>
      </c>
      <c r="K325" s="147">
        <v>2.1114999999999999</v>
      </c>
      <c r="L325" s="239"/>
      <c r="M325" s="122">
        <f t="shared" si="76"/>
        <v>-1146.3934483567473</v>
      </c>
      <c r="N325" s="239"/>
      <c r="O325" s="122">
        <f>Q325</f>
        <v>3768.9595293141442</v>
      </c>
      <c r="P325" s="122">
        <f t="shared" si="77"/>
        <v>0</v>
      </c>
      <c r="Q325" s="122">
        <f>$H325*R325/100</f>
        <v>3768.9595293141442</v>
      </c>
      <c r="R325" s="147">
        <v>3.0344928594674725</v>
      </c>
      <c r="S325" s="344"/>
      <c r="T325" s="178"/>
      <c r="U325" s="64"/>
    </row>
    <row r="326" spans="2:21" x14ac:dyDescent="0.2">
      <c r="B326" s="64">
        <f>MAX(B$266:B325)+1</f>
        <v>172</v>
      </c>
      <c r="C326" s="33"/>
      <c r="D326" s="26" t="s">
        <v>87</v>
      </c>
      <c r="E326" s="64"/>
      <c r="F326" s="16"/>
      <c r="G326" s="64"/>
      <c r="H326" s="146">
        <f>SUM(H322:H325)</f>
        <v>324093.1379289793</v>
      </c>
      <c r="I326" s="341"/>
      <c r="J326" s="146">
        <f>SUM(J322:J325)</f>
        <v>8197.4718804111089</v>
      </c>
      <c r="K326" s="139">
        <f>J326/$H326*100</f>
        <v>2.5293568178563151</v>
      </c>
      <c r="L326" s="239"/>
      <c r="M326" s="146">
        <f>SUM(M322:M325)</f>
        <v>-2294.367286596897</v>
      </c>
      <c r="N326" s="238"/>
      <c r="O326" s="146">
        <f>SUM(O322:O325)</f>
        <v>10491.839167008005</v>
      </c>
      <c r="P326" s="146">
        <f>SUM(P322:P325)</f>
        <v>0</v>
      </c>
      <c r="Q326" s="146">
        <f>SUM(Q322:Q325)</f>
        <v>10491.839167008005</v>
      </c>
      <c r="R326" s="139">
        <f>Q326/$H326*100</f>
        <v>3.2372913644679366</v>
      </c>
      <c r="S326" s="342">
        <f>Q326/O326</f>
        <v>1</v>
      </c>
      <c r="T326" s="177">
        <f>R326/K326-1</f>
        <v>0.27988717986085154</v>
      </c>
    </row>
    <row r="327" spans="2:21" x14ac:dyDescent="0.2">
      <c r="H327" s="148"/>
      <c r="I327" s="148"/>
      <c r="J327" s="148"/>
      <c r="K327" s="148"/>
      <c r="L327" s="148"/>
      <c r="M327" s="148"/>
      <c r="N327" s="148"/>
      <c r="O327" s="148"/>
      <c r="P327" s="148"/>
      <c r="Q327" s="148"/>
      <c r="R327" s="148"/>
      <c r="S327" s="148"/>
      <c r="T327" s="180"/>
    </row>
    <row r="328" spans="2:21" x14ac:dyDescent="0.2">
      <c r="B328" s="64"/>
      <c r="C328" s="33"/>
      <c r="D328" s="26" t="s">
        <v>167</v>
      </c>
      <c r="E328" s="64"/>
      <c r="F328" s="16"/>
      <c r="G328" s="64"/>
      <c r="H328" s="148"/>
      <c r="I328" s="148"/>
      <c r="J328" s="148"/>
      <c r="K328" s="148"/>
      <c r="L328" s="148"/>
      <c r="M328" s="148"/>
      <c r="N328" s="148"/>
      <c r="O328" s="148"/>
      <c r="P328" s="148"/>
      <c r="Q328" s="148"/>
      <c r="R328" s="148"/>
      <c r="S328" s="148"/>
      <c r="T328" s="180"/>
    </row>
    <row r="329" spans="2:21" x14ac:dyDescent="0.2">
      <c r="B329" s="64">
        <f>MAX(B$266:B328)+1</f>
        <v>173</v>
      </c>
      <c r="C329" s="33"/>
      <c r="D329" s="27" t="s">
        <v>165</v>
      </c>
      <c r="E329" s="64"/>
      <c r="F329" s="16" t="s">
        <v>56</v>
      </c>
      <c r="G329" s="64"/>
      <c r="H329" s="122">
        <v>38768.213882143405</v>
      </c>
      <c r="I329" s="341"/>
      <c r="J329" s="122">
        <f>$H329*K329/100</f>
        <v>7084.5421730367689</v>
      </c>
      <c r="K329" s="147">
        <v>18.274100000000001</v>
      </c>
      <c r="L329" s="239"/>
      <c r="M329" s="122">
        <f t="shared" ref="M329:M330" si="78">J329-O329</f>
        <v>-1019.3334931692734</v>
      </c>
      <c r="N329" s="238"/>
      <c r="O329" s="122">
        <f t="shared" ref="O329:O330" si="79">Q329</f>
        <v>8103.8756662060423</v>
      </c>
      <c r="P329" s="122">
        <f t="shared" ref="P329:P330" si="80">Q329-O329</f>
        <v>0</v>
      </c>
      <c r="Q329" s="122">
        <f>$H329*R329/100</f>
        <v>8103.8756662060423</v>
      </c>
      <c r="R329" s="147">
        <v>20.903402181080821</v>
      </c>
      <c r="S329" s="124"/>
      <c r="T329" s="178"/>
    </row>
    <row r="330" spans="2:21" x14ac:dyDescent="0.2">
      <c r="B330" s="64">
        <f>MAX(B$266:B329)+1</f>
        <v>174</v>
      </c>
      <c r="C330" s="33"/>
      <c r="D330" s="27" t="s">
        <v>166</v>
      </c>
      <c r="E330" s="64"/>
      <c r="F330" s="16" t="s">
        <v>56</v>
      </c>
      <c r="G330" s="64"/>
      <c r="H330" s="122">
        <v>125821.97106758892</v>
      </c>
      <c r="I330" s="341"/>
      <c r="J330" s="122">
        <f>$H330*K330/100</f>
        <v>28077.331249455809</v>
      </c>
      <c r="K330" s="147">
        <v>22.315125896711042</v>
      </c>
      <c r="L330" s="239"/>
      <c r="M330" s="122">
        <f t="shared" si="78"/>
        <v>1776.2586050345453</v>
      </c>
      <c r="N330" s="238"/>
      <c r="O330" s="122">
        <f t="shared" si="79"/>
        <v>26301.072644421263</v>
      </c>
      <c r="P330" s="122">
        <f t="shared" si="80"/>
        <v>0</v>
      </c>
      <c r="Q330" s="122">
        <f>$H330*R330/100</f>
        <v>26301.072644421263</v>
      </c>
      <c r="R330" s="147">
        <v>20.903402181080821</v>
      </c>
      <c r="S330" s="124"/>
      <c r="T330" s="178"/>
    </row>
    <row r="331" spans="2:21" x14ac:dyDescent="0.2">
      <c r="B331" s="64">
        <f>MAX(B$266:B330)+1</f>
        <v>175</v>
      </c>
      <c r="C331" s="33"/>
      <c r="D331" s="26" t="s">
        <v>167</v>
      </c>
      <c r="E331" s="64"/>
      <c r="F331" s="16"/>
      <c r="G331" s="64"/>
      <c r="H331" s="146">
        <f>SUM(H329:H330)</f>
        <v>164590.18494973233</v>
      </c>
      <c r="I331" s="341"/>
      <c r="J331" s="146">
        <f>SUM(J329:J330)</f>
        <v>35161.873422492579</v>
      </c>
      <c r="K331" s="139">
        <f>J331/$H331*100</f>
        <v>21.363286901482859</v>
      </c>
      <c r="L331" s="239"/>
      <c r="M331" s="146">
        <f>SUM(M329:M330)</f>
        <v>756.9251118652719</v>
      </c>
      <c r="N331" s="238"/>
      <c r="O331" s="146">
        <f>SUM(O329:O330)</f>
        <v>34404.948310627304</v>
      </c>
      <c r="P331" s="146">
        <f>SUM(P329:P330)</f>
        <v>0</v>
      </c>
      <c r="Q331" s="146">
        <f>SUM(Q329:Q330)</f>
        <v>34404.948310627304</v>
      </c>
      <c r="R331" s="139">
        <f>Q331/$H331*100</f>
        <v>20.903402181080821</v>
      </c>
      <c r="S331" s="342">
        <f>Q331/O331</f>
        <v>1</v>
      </c>
      <c r="T331" s="177">
        <f>R331/K331-1</f>
        <v>-2.152687095964223E-2</v>
      </c>
    </row>
    <row r="332" spans="2:21" x14ac:dyDescent="0.2">
      <c r="B332" s="64"/>
      <c r="C332" s="33"/>
      <c r="D332" s="26"/>
      <c r="E332" s="64"/>
      <c r="F332" s="16"/>
      <c r="G332" s="64"/>
      <c r="H332" s="122"/>
      <c r="I332" s="341"/>
      <c r="J332" s="122"/>
      <c r="K332" s="147"/>
      <c r="L332" s="239"/>
      <c r="M332" s="122"/>
      <c r="N332" s="238"/>
      <c r="O332" s="122"/>
      <c r="P332" s="122"/>
      <c r="Q332" s="122"/>
      <c r="R332" s="147"/>
      <c r="S332" s="124"/>
      <c r="T332" s="178"/>
    </row>
    <row r="333" spans="2:21" ht="13.5" thickBot="1" x14ac:dyDescent="0.25">
      <c r="B333" s="64">
        <f>MAX(B$266:B332)+1</f>
        <v>176</v>
      </c>
      <c r="C333" s="33"/>
      <c r="D333" s="26" t="s">
        <v>175</v>
      </c>
      <c r="E333" s="64"/>
      <c r="F333" s="16"/>
      <c r="G333" s="64"/>
      <c r="H333" s="159">
        <f>H312</f>
        <v>327974.14729800483</v>
      </c>
      <c r="I333" s="341"/>
      <c r="J333" s="159">
        <f>SUM(J314,J319,J326,J331)</f>
        <v>82382.336796071977</v>
      </c>
      <c r="K333" s="140">
        <f>J333/$H333*100</f>
        <v>25.118545920394602</v>
      </c>
      <c r="L333" s="239"/>
      <c r="M333" s="159">
        <f>SUM(M314,M319,M326,M331)</f>
        <v>13627.601521006534</v>
      </c>
      <c r="N333" s="238"/>
      <c r="O333" s="159">
        <f>SUM(O314,O319,O326,O331)</f>
        <v>68754.735275065439</v>
      </c>
      <c r="P333" s="159">
        <f>SUM(P314,P319,P326,P331)</f>
        <v>-292.25892725991162</v>
      </c>
      <c r="Q333" s="159">
        <f>SUM(Q314,Q319,Q326,Q331)</f>
        <v>68462.476347805525</v>
      </c>
      <c r="R333" s="140">
        <f>Q333/$H333*100</f>
        <v>20.874351503564988</v>
      </c>
      <c r="S333" s="345">
        <f>Q333/O333</f>
        <v>0.99574925383552593</v>
      </c>
      <c r="T333" s="179">
        <f>R333/K333-1</f>
        <v>-0.16896656479560024</v>
      </c>
    </row>
    <row r="334" spans="2:21" ht="13.5" thickTop="1" x14ac:dyDescent="0.2">
      <c r="B334" s="60"/>
      <c r="C334" s="30"/>
      <c r="D334" s="29"/>
      <c r="E334" s="60"/>
      <c r="F334" s="192"/>
      <c r="G334" s="60"/>
      <c r="H334" s="346"/>
      <c r="I334" s="153"/>
      <c r="J334" s="346"/>
      <c r="K334" s="347"/>
      <c r="L334" s="346"/>
      <c r="M334" s="346"/>
      <c r="N334" s="348"/>
      <c r="O334" s="346"/>
      <c r="P334" s="346"/>
      <c r="Q334" s="346"/>
      <c r="R334" s="347"/>
      <c r="S334" s="172"/>
      <c r="T334" s="349"/>
    </row>
    <row r="335" spans="2:21" x14ac:dyDescent="0.2">
      <c r="B335" s="549" t="s">
        <v>506</v>
      </c>
      <c r="C335" s="549"/>
      <c r="D335" s="549"/>
      <c r="E335" s="549"/>
      <c r="F335" s="549"/>
      <c r="G335" s="549"/>
      <c r="H335" s="549"/>
      <c r="I335" s="549"/>
      <c r="J335" s="549"/>
      <c r="K335" s="549"/>
      <c r="L335" s="549"/>
      <c r="M335" s="549"/>
      <c r="N335" s="549"/>
      <c r="O335" s="549"/>
      <c r="P335" s="549"/>
      <c r="Q335" s="549"/>
      <c r="R335" s="549"/>
      <c r="S335" s="549"/>
      <c r="T335" s="549"/>
      <c r="U335" s="31"/>
    </row>
    <row r="336" spans="2:21" x14ac:dyDescent="0.2">
      <c r="B336" s="549" t="s">
        <v>1057</v>
      </c>
      <c r="C336" s="549"/>
      <c r="D336" s="549"/>
      <c r="E336" s="549"/>
      <c r="F336" s="549"/>
      <c r="G336" s="549"/>
      <c r="H336" s="549"/>
      <c r="I336" s="549"/>
      <c r="J336" s="549"/>
      <c r="K336" s="549"/>
      <c r="L336" s="549"/>
      <c r="M336" s="549"/>
      <c r="N336" s="549"/>
      <c r="O336" s="549"/>
      <c r="P336" s="549"/>
      <c r="Q336" s="549"/>
      <c r="R336" s="549"/>
      <c r="S336" s="549"/>
      <c r="T336" s="549"/>
      <c r="U336" s="31"/>
    </row>
    <row r="337" spans="2:21" x14ac:dyDescent="0.2">
      <c r="B337" s="168"/>
      <c r="C337" s="168"/>
      <c r="D337" s="168"/>
      <c r="E337" s="168"/>
      <c r="F337" s="170"/>
      <c r="G337" s="168"/>
      <c r="H337" s="170"/>
      <c r="I337" s="168"/>
      <c r="J337" s="170"/>
      <c r="K337" s="170"/>
      <c r="L337" s="170"/>
      <c r="M337" s="170"/>
      <c r="N337" s="168"/>
      <c r="O337" s="168"/>
      <c r="P337" s="168"/>
      <c r="Q337" s="168"/>
      <c r="R337" s="168"/>
      <c r="S337" s="169"/>
      <c r="T337" s="361"/>
    </row>
    <row r="338" spans="2:21" x14ac:dyDescent="0.2">
      <c r="B338" s="170"/>
      <c r="C338" s="170"/>
      <c r="D338" s="170"/>
      <c r="E338" s="170"/>
      <c r="F338" s="340"/>
      <c r="G338" s="170"/>
      <c r="H338" s="340"/>
      <c r="I338" s="170"/>
      <c r="J338" s="173" t="s">
        <v>57</v>
      </c>
      <c r="K338" s="173"/>
      <c r="L338" s="170"/>
      <c r="M338" s="170"/>
      <c r="N338" s="170"/>
      <c r="O338" s="173" t="s">
        <v>60</v>
      </c>
      <c r="P338" s="173"/>
      <c r="Q338" s="173"/>
      <c r="R338" s="173"/>
      <c r="S338" s="174"/>
      <c r="T338" s="362"/>
    </row>
    <row r="339" spans="2:21" s="45" customFormat="1" ht="39" customHeight="1" x14ac:dyDescent="0.2">
      <c r="B339" s="154" t="s">
        <v>0</v>
      </c>
      <c r="C339" s="154"/>
      <c r="D339" s="154"/>
      <c r="E339" s="154"/>
      <c r="F339" s="60" t="s">
        <v>47</v>
      </c>
      <c r="G339" s="154"/>
      <c r="H339" s="45" t="s">
        <v>746</v>
      </c>
      <c r="I339" s="154"/>
      <c r="J339" s="45" t="s">
        <v>61</v>
      </c>
      <c r="K339" s="45" t="s">
        <v>571</v>
      </c>
      <c r="L339" s="154"/>
      <c r="M339" s="45" t="s">
        <v>34</v>
      </c>
      <c r="N339" s="154"/>
      <c r="O339" s="154" t="s">
        <v>79</v>
      </c>
      <c r="P339" s="45" t="s">
        <v>34</v>
      </c>
      <c r="Q339" s="45" t="s">
        <v>61</v>
      </c>
      <c r="R339" s="45" t="s">
        <v>69</v>
      </c>
      <c r="S339" s="154" t="s">
        <v>745</v>
      </c>
      <c r="T339" s="154" t="s">
        <v>747</v>
      </c>
      <c r="U339" s="154"/>
    </row>
    <row r="340" spans="2:21" ht="14.25" x14ac:dyDescent="0.2">
      <c r="B340" s="520" t="s">
        <v>1</v>
      </c>
      <c r="C340" s="33"/>
      <c r="D340" s="185" t="s">
        <v>33</v>
      </c>
      <c r="E340" s="64"/>
      <c r="F340" s="520" t="s">
        <v>48</v>
      </c>
      <c r="G340" s="64"/>
      <c r="H340" s="520" t="s">
        <v>560</v>
      </c>
      <c r="I340" s="64"/>
      <c r="J340" s="520" t="s">
        <v>389</v>
      </c>
      <c r="K340" s="520" t="s">
        <v>35</v>
      </c>
      <c r="L340" s="64"/>
      <c r="M340" s="520" t="s">
        <v>389</v>
      </c>
      <c r="N340" s="64"/>
      <c r="O340" s="520" t="s">
        <v>389</v>
      </c>
      <c r="P340" s="520" t="s">
        <v>389</v>
      </c>
      <c r="Q340" s="520" t="s">
        <v>389</v>
      </c>
      <c r="R340" s="520" t="s">
        <v>35</v>
      </c>
      <c r="S340" s="520" t="s">
        <v>36</v>
      </c>
      <c r="T340" s="363" t="s">
        <v>2</v>
      </c>
      <c r="U340" s="64"/>
    </row>
    <row r="341" spans="2:21" x14ac:dyDescent="0.2">
      <c r="B341" s="64"/>
      <c r="C341" s="33"/>
      <c r="D341" s="33"/>
      <c r="E341" s="64"/>
      <c r="F341" s="64"/>
      <c r="G341" s="64"/>
      <c r="H341" s="64" t="s">
        <v>3</v>
      </c>
      <c r="I341" s="64"/>
      <c r="J341" s="64" t="s">
        <v>4</v>
      </c>
      <c r="K341" s="64" t="s">
        <v>58</v>
      </c>
      <c r="L341" s="64"/>
      <c r="M341" s="64" t="s">
        <v>59</v>
      </c>
      <c r="N341" s="64"/>
      <c r="O341" s="64" t="s">
        <v>63</v>
      </c>
      <c r="P341" s="64" t="s">
        <v>227</v>
      </c>
      <c r="Q341" s="175" t="s">
        <v>38</v>
      </c>
      <c r="R341" s="175" t="s">
        <v>70</v>
      </c>
      <c r="S341" s="175" t="s">
        <v>479</v>
      </c>
      <c r="T341" s="364" t="s">
        <v>71</v>
      </c>
      <c r="U341" s="64"/>
    </row>
    <row r="342" spans="2:21" x14ac:dyDescent="0.2">
      <c r="B342" s="60"/>
      <c r="C342" s="30"/>
      <c r="D342" s="29"/>
      <c r="E342" s="60"/>
      <c r="F342" s="192"/>
      <c r="G342" s="60"/>
      <c r="H342" s="346"/>
      <c r="I342" s="153"/>
      <c r="J342" s="346"/>
      <c r="K342" s="347"/>
      <c r="L342" s="346"/>
      <c r="M342" s="346"/>
      <c r="N342" s="348"/>
      <c r="O342" s="346"/>
      <c r="P342" s="346"/>
      <c r="Q342" s="346"/>
      <c r="R342" s="347"/>
      <c r="S342" s="172"/>
      <c r="T342" s="349"/>
    </row>
    <row r="343" spans="2:21" x14ac:dyDescent="0.2">
      <c r="B343" s="64"/>
      <c r="C343" s="33"/>
      <c r="D343" s="31" t="s">
        <v>18</v>
      </c>
      <c r="E343" s="64"/>
      <c r="F343" s="186"/>
      <c r="G343" s="64"/>
      <c r="H343" s="350"/>
      <c r="I343" s="341"/>
      <c r="J343" s="350"/>
      <c r="K343" s="341"/>
      <c r="L343" s="341"/>
      <c r="M343" s="144"/>
      <c r="N343" s="341"/>
      <c r="O343" s="145"/>
      <c r="P343" s="341"/>
      <c r="Q343" s="341"/>
      <c r="R343" s="341"/>
      <c r="S343" s="341"/>
      <c r="T343" s="341"/>
      <c r="U343" s="64"/>
    </row>
    <row r="344" spans="2:21" x14ac:dyDescent="0.2">
      <c r="B344" s="64">
        <f>MAX(B$66:B343)+1</f>
        <v>177</v>
      </c>
      <c r="C344" s="33"/>
      <c r="D344" s="26" t="s">
        <v>85</v>
      </c>
      <c r="E344" s="64"/>
      <c r="F344" s="16" t="s">
        <v>55</v>
      </c>
      <c r="G344" s="64"/>
      <c r="H344" s="122">
        <v>756.00000000000398</v>
      </c>
      <c r="I344" s="341"/>
      <c r="J344" s="122">
        <f>$H344*K344/1000</f>
        <v>824.61456000000442</v>
      </c>
      <c r="K344" s="331">
        <v>1090.76</v>
      </c>
      <c r="L344" s="239"/>
      <c r="M344" s="122">
        <f>J344-O344</f>
        <v>-1146.0767916928007</v>
      </c>
      <c r="N344" s="238"/>
      <c r="O344" s="122">
        <v>1970.691351692805</v>
      </c>
      <c r="P344" s="122">
        <f>Q344-O344</f>
        <v>-1214.6913516928012</v>
      </c>
      <c r="Q344" s="122">
        <f>$H344*R344/1000</f>
        <v>756.00000000000398</v>
      </c>
      <c r="R344" s="331">
        <v>1000</v>
      </c>
      <c r="S344" s="124">
        <f>Q344/O344</f>
        <v>0.38362171699317971</v>
      </c>
      <c r="T344" s="178">
        <f>R344/K344-1</f>
        <v>-8.320803843191904E-2</v>
      </c>
    </row>
    <row r="345" spans="2:21" x14ac:dyDescent="0.2">
      <c r="B345" s="64"/>
      <c r="C345" s="33"/>
      <c r="D345" s="26" t="s">
        <v>89</v>
      </c>
      <c r="E345" s="64"/>
      <c r="F345" s="16"/>
      <c r="G345" s="64"/>
      <c r="H345" s="122"/>
      <c r="I345" s="341"/>
      <c r="J345" s="122"/>
      <c r="K345" s="147"/>
      <c r="L345" s="239"/>
      <c r="M345" s="122"/>
      <c r="N345" s="238"/>
      <c r="O345" s="122"/>
      <c r="P345" s="122"/>
      <c r="Q345" s="122"/>
      <c r="R345" s="147"/>
      <c r="S345" s="124"/>
      <c r="T345" s="138"/>
    </row>
    <row r="346" spans="2:21" x14ac:dyDescent="0.2">
      <c r="B346" s="64">
        <f>MAX(B$344:B345)+1</f>
        <v>178</v>
      </c>
      <c r="C346" s="33"/>
      <c r="D346" s="359" t="s">
        <v>181</v>
      </c>
      <c r="E346" s="64"/>
      <c r="F346" s="360" t="s">
        <v>81</v>
      </c>
      <c r="G346" s="64"/>
      <c r="H346" s="122">
        <v>25506.168000000001</v>
      </c>
      <c r="I346" s="341"/>
      <c r="J346" s="122">
        <f>$H346*K346/100</f>
        <v>8875.3302666240015</v>
      </c>
      <c r="K346" s="147">
        <v>34.796800000000005</v>
      </c>
      <c r="L346" s="239"/>
      <c r="M346" s="122">
        <f t="shared" ref="M346:M347" si="81">J346-O346</f>
        <v>4572.922181322534</v>
      </c>
      <c r="N346" s="238"/>
      <c r="O346" s="122">
        <v>4302.4080853014675</v>
      </c>
      <c r="P346" s="122">
        <f t="shared" ref="P346:P347" si="82">Q346-O346</f>
        <v>6192.8639591437477</v>
      </c>
      <c r="Q346" s="122">
        <f>$H346*R346/100</f>
        <v>10495.272044445215</v>
      </c>
      <c r="R346" s="147">
        <v>41.147976616656862</v>
      </c>
      <c r="S346" s="124"/>
      <c r="T346" s="138"/>
    </row>
    <row r="347" spans="2:21" x14ac:dyDescent="0.2">
      <c r="B347" s="64">
        <f>MAX(B$344:B346)+1</f>
        <v>179</v>
      </c>
      <c r="C347" s="33"/>
      <c r="D347" s="359" t="s">
        <v>182</v>
      </c>
      <c r="E347" s="64"/>
      <c r="F347" s="360" t="s">
        <v>81</v>
      </c>
      <c r="G347" s="64"/>
      <c r="H347" s="122">
        <v>66225.600000000006</v>
      </c>
      <c r="I347" s="341"/>
      <c r="J347" s="122">
        <f>$H347*K347/100</f>
        <v>13551.280948800002</v>
      </c>
      <c r="K347" s="147">
        <v>20.462300000000003</v>
      </c>
      <c r="L347" s="239"/>
      <c r="M347" s="122">
        <f t="shared" si="81"/>
        <v>6982.1574380321908</v>
      </c>
      <c r="N347" s="238"/>
      <c r="O347" s="122">
        <v>6569.1235107678112</v>
      </c>
      <c r="P347" s="122">
        <f t="shared" si="82"/>
        <v>9455.5624260703516</v>
      </c>
      <c r="Q347" s="122">
        <f>$H347*R347/100</f>
        <v>16024.685936838163</v>
      </c>
      <c r="R347" s="147">
        <v>24.197117031537896</v>
      </c>
      <c r="S347" s="124"/>
      <c r="T347" s="138"/>
    </row>
    <row r="348" spans="2:21" x14ac:dyDescent="0.2">
      <c r="B348" s="64">
        <f>MAX(B$344:B347)+1</f>
        <v>180</v>
      </c>
      <c r="C348" s="33"/>
      <c r="D348" s="26" t="s">
        <v>89</v>
      </c>
      <c r="E348" s="64"/>
      <c r="F348" s="16"/>
      <c r="G348" s="64"/>
      <c r="H348" s="146">
        <f>SUM(H346:H347)</f>
        <v>91731.768000000011</v>
      </c>
      <c r="I348" s="341"/>
      <c r="J348" s="146">
        <f>SUM(J346:J347)</f>
        <v>22426.611215424004</v>
      </c>
      <c r="K348" s="139">
        <f>J348/$H348*100</f>
        <v>24.44803115036876</v>
      </c>
      <c r="L348" s="239"/>
      <c r="M348" s="146">
        <f>SUM(M346:M347)</f>
        <v>11555.079619354725</v>
      </c>
      <c r="N348" s="238"/>
      <c r="O348" s="146">
        <f>SUM(O346:O347)</f>
        <v>10871.531596069279</v>
      </c>
      <c r="P348" s="146">
        <f>SUM(P346:P347)</f>
        <v>15648.426385214099</v>
      </c>
      <c r="Q348" s="146">
        <f>SUM(Q346:Q347)</f>
        <v>26519.957981283376</v>
      </c>
      <c r="R348" s="139">
        <f>Q348/$H348*100</f>
        <v>28.910331240190828</v>
      </c>
      <c r="S348" s="342">
        <f>Q348/O348</f>
        <v>2.4393948310716365</v>
      </c>
      <c r="T348" s="177">
        <f>R348/K348-1</f>
        <v>0.18252185881048999</v>
      </c>
    </row>
    <row r="349" spans="2:21" x14ac:dyDescent="0.2">
      <c r="B349" s="64"/>
      <c r="C349" s="33"/>
      <c r="D349" s="26"/>
      <c r="E349" s="64"/>
      <c r="F349" s="16"/>
      <c r="G349" s="64"/>
      <c r="H349" s="122"/>
      <c r="I349" s="341"/>
      <c r="J349" s="122"/>
      <c r="K349" s="147"/>
      <c r="L349" s="239"/>
      <c r="M349" s="122"/>
      <c r="N349" s="238"/>
      <c r="O349" s="122"/>
      <c r="P349" s="122"/>
      <c r="Q349" s="122"/>
      <c r="R349" s="147"/>
      <c r="S349" s="124"/>
      <c r="T349" s="138"/>
    </row>
    <row r="350" spans="2:21" x14ac:dyDescent="0.2">
      <c r="B350" s="64"/>
      <c r="C350" s="33"/>
      <c r="D350" s="26" t="s">
        <v>86</v>
      </c>
      <c r="E350" s="64"/>
      <c r="F350" s="16"/>
      <c r="G350" s="64"/>
      <c r="H350" s="122"/>
      <c r="I350" s="341"/>
      <c r="J350" s="122"/>
      <c r="K350" s="147"/>
      <c r="L350" s="239"/>
      <c r="M350" s="122"/>
      <c r="N350" s="238"/>
      <c r="O350" s="122"/>
      <c r="P350" s="122"/>
      <c r="Q350" s="122"/>
      <c r="R350" s="147"/>
      <c r="S350" s="124"/>
      <c r="T350" s="138"/>
    </row>
    <row r="351" spans="2:21" x14ac:dyDescent="0.2">
      <c r="B351" s="64">
        <f>MAX(B$344:B350)+1</f>
        <v>181</v>
      </c>
      <c r="C351" s="33"/>
      <c r="D351" s="359" t="s">
        <v>183</v>
      </c>
      <c r="E351" s="64"/>
      <c r="F351" s="16" t="s">
        <v>56</v>
      </c>
      <c r="G351" s="64"/>
      <c r="H351" s="122">
        <v>338478.94474000001</v>
      </c>
      <c r="I351" s="341"/>
      <c r="J351" s="122">
        <f>$H351*K351/100</f>
        <v>2626.5966111824005</v>
      </c>
      <c r="K351" s="147">
        <v>0.77600000000000002</v>
      </c>
      <c r="L351" s="239"/>
      <c r="M351" s="122">
        <f t="shared" ref="M351:M352" si="83">J351-O351</f>
        <v>2130.0097458437995</v>
      </c>
      <c r="N351" s="238"/>
      <c r="O351" s="122">
        <v>496.58686533860089</v>
      </c>
      <c r="P351" s="122">
        <f t="shared" ref="P351:P352" si="84">Q351-O351</f>
        <v>-9.4971982329381603</v>
      </c>
      <c r="Q351" s="122">
        <f>$H351*R351/100</f>
        <v>487.08966710566273</v>
      </c>
      <c r="R351" s="147">
        <v>0.14390545547222056</v>
      </c>
      <c r="S351" s="124"/>
      <c r="T351" s="138"/>
    </row>
    <row r="352" spans="2:21" x14ac:dyDescent="0.2">
      <c r="B352" s="64">
        <f>MAX(B$344:B351)+1</f>
        <v>182</v>
      </c>
      <c r="C352" s="33"/>
      <c r="D352" s="359" t="s">
        <v>184</v>
      </c>
      <c r="E352" s="64"/>
      <c r="F352" s="16" t="s">
        <v>56</v>
      </c>
      <c r="G352" s="64"/>
      <c r="H352" s="122">
        <v>590622.16051000007</v>
      </c>
      <c r="I352" s="341"/>
      <c r="J352" s="122">
        <f>$H352*K352/100</f>
        <v>3334.0620960789506</v>
      </c>
      <c r="K352" s="147">
        <v>0.5645</v>
      </c>
      <c r="L352" s="239"/>
      <c r="M352" s="122">
        <f t="shared" si="83"/>
        <v>2467.5526370859684</v>
      </c>
      <c r="N352" s="238"/>
      <c r="O352" s="122">
        <v>866.50945899298222</v>
      </c>
      <c r="P352" s="122">
        <f t="shared" si="84"/>
        <v>-16.571948791196974</v>
      </c>
      <c r="Q352" s="122">
        <f>$H352*R352/100</f>
        <v>849.93751020178524</v>
      </c>
      <c r="R352" s="147">
        <v>0.14390545547222056</v>
      </c>
      <c r="S352" s="124"/>
      <c r="T352" s="138"/>
    </row>
    <row r="353" spans="2:20" x14ac:dyDescent="0.2">
      <c r="B353" s="64">
        <f>MAX(B$344:B352)+1</f>
        <v>183</v>
      </c>
      <c r="C353" s="33"/>
      <c r="D353" s="26" t="s">
        <v>86</v>
      </c>
      <c r="E353" s="64"/>
      <c r="F353" s="16"/>
      <c r="G353" s="64"/>
      <c r="H353" s="146">
        <f>SUM(H351:H352)</f>
        <v>929101.10525000002</v>
      </c>
      <c r="I353" s="341"/>
      <c r="J353" s="146">
        <f>SUM(J351:J352)</f>
        <v>5960.6587072613511</v>
      </c>
      <c r="K353" s="139">
        <f>J353/$H353*100</f>
        <v>0.64155113728526603</v>
      </c>
      <c r="L353" s="239"/>
      <c r="M353" s="146">
        <f>SUM(M351:M352)</f>
        <v>4597.5623829297674</v>
      </c>
      <c r="N353" s="238"/>
      <c r="O353" s="146">
        <f>SUM(O351:O352)</f>
        <v>1363.0963243315832</v>
      </c>
      <c r="P353" s="146">
        <f>SUM(P351:P352)</f>
        <v>-26.069147024135134</v>
      </c>
      <c r="Q353" s="146">
        <f>SUM(Q351:Q352)</f>
        <v>1337.027177307448</v>
      </c>
      <c r="R353" s="139">
        <f>Q353/$H353*100</f>
        <v>0.14390545547222058</v>
      </c>
      <c r="S353" s="342">
        <f>Q353/O353</f>
        <v>0.98087505148477405</v>
      </c>
      <c r="T353" s="177">
        <f>R353/K353-1</f>
        <v>-0.77569137188165727</v>
      </c>
    </row>
    <row r="354" spans="2:20" x14ac:dyDescent="0.2">
      <c r="B354" s="64"/>
      <c r="C354" s="33"/>
      <c r="D354" s="26"/>
      <c r="E354" s="64"/>
      <c r="F354" s="16"/>
      <c r="G354" s="64"/>
      <c r="H354" s="122"/>
      <c r="I354" s="341"/>
      <c r="J354" s="122"/>
      <c r="K354" s="147"/>
      <c r="L354" s="239"/>
      <c r="M354" s="122"/>
      <c r="N354" s="238"/>
      <c r="O354" s="122"/>
      <c r="P354" s="122"/>
      <c r="Q354" s="122"/>
      <c r="R354" s="147"/>
      <c r="S354" s="124"/>
      <c r="T354" s="138"/>
    </row>
    <row r="355" spans="2:20" x14ac:dyDescent="0.2">
      <c r="B355" s="64">
        <f>MAX(B$344:B354)+1</f>
        <v>184</v>
      </c>
      <c r="C355" s="33"/>
      <c r="D355" s="356" t="s">
        <v>185</v>
      </c>
      <c r="E355" s="64"/>
      <c r="F355" s="16" t="s">
        <v>56</v>
      </c>
      <c r="G355" s="64"/>
      <c r="H355" s="122">
        <v>18115.468199999999</v>
      </c>
      <c r="I355" s="341"/>
      <c r="J355" s="122">
        <f>$H355*K355/100</f>
        <v>102.26181798899999</v>
      </c>
      <c r="K355" s="147">
        <v>0.5645</v>
      </c>
      <c r="L355" s="239"/>
      <c r="M355" s="122">
        <f t="shared" ref="M355:M356" si="85">J355-O355</f>
        <v>102.26181798899999</v>
      </c>
      <c r="N355" s="238"/>
      <c r="O355" s="122">
        <v>0</v>
      </c>
      <c r="P355" s="122">
        <f t="shared" ref="P355" si="86">Q355-O355</f>
        <v>26.069147024135273</v>
      </c>
      <c r="Q355" s="122">
        <f>$H355*R355/100</f>
        <v>26.069147024135273</v>
      </c>
      <c r="R355" s="147">
        <v>0.14390545547222056</v>
      </c>
      <c r="S355" s="124"/>
      <c r="T355" s="178">
        <f>R355/K355-1</f>
        <v>-0.74507448100580942</v>
      </c>
    </row>
    <row r="356" spans="2:20" x14ac:dyDescent="0.2">
      <c r="B356" s="64">
        <f>MAX(B$344:B355)+1</f>
        <v>185</v>
      </c>
      <c r="C356" s="33"/>
      <c r="D356" s="356" t="s">
        <v>186</v>
      </c>
      <c r="E356" s="64"/>
      <c r="F356" s="16" t="s">
        <v>55</v>
      </c>
      <c r="G356" s="64"/>
      <c r="H356" s="122">
        <v>456.00000000000375</v>
      </c>
      <c r="I356" s="341"/>
      <c r="J356" s="122">
        <f>$H356*K356/1000</f>
        <v>113.11992000000093</v>
      </c>
      <c r="K356" s="331">
        <v>248.07</v>
      </c>
      <c r="L356" s="239"/>
      <c r="M356" s="122">
        <f t="shared" si="85"/>
        <v>113.11992000000093</v>
      </c>
      <c r="N356" s="238"/>
      <c r="O356" s="122"/>
      <c r="P356" s="122"/>
      <c r="Q356" s="122"/>
      <c r="R356" s="331"/>
      <c r="S356" s="124"/>
      <c r="T356" s="138"/>
    </row>
    <row r="357" spans="2:20" x14ac:dyDescent="0.2">
      <c r="B357" s="64"/>
      <c r="C357" s="33"/>
      <c r="D357" s="26"/>
      <c r="E357" s="64"/>
      <c r="F357" s="16"/>
      <c r="G357" s="64"/>
      <c r="H357" s="122"/>
      <c r="I357" s="341"/>
      <c r="J357" s="122"/>
      <c r="K357" s="147"/>
      <c r="L357" s="239"/>
      <c r="M357" s="122"/>
      <c r="N357" s="238"/>
      <c r="O357" s="122"/>
      <c r="P357" s="122"/>
      <c r="Q357" s="122"/>
      <c r="R357" s="147"/>
      <c r="S357" s="124"/>
      <c r="T357" s="138"/>
    </row>
    <row r="358" spans="2:20" x14ac:dyDescent="0.2">
      <c r="B358" s="64">
        <f>MAX(B$344:B349)+1</f>
        <v>181</v>
      </c>
      <c r="C358" s="33"/>
      <c r="D358" s="26" t="s">
        <v>68</v>
      </c>
      <c r="E358" s="64"/>
      <c r="F358" s="16"/>
      <c r="G358" s="64"/>
      <c r="H358" s="146">
        <f>H353</f>
        <v>929101.10525000002</v>
      </c>
      <c r="I358" s="341"/>
      <c r="J358" s="146">
        <f>SUM(J344,J348,J353,J355:J356)</f>
        <v>29427.266220674363</v>
      </c>
      <c r="K358" s="139">
        <f>J358/$H358*100</f>
        <v>3.1672835232238961</v>
      </c>
      <c r="L358" s="239"/>
      <c r="M358" s="146">
        <f>SUM(M344,M348,M353,M355:M356)</f>
        <v>15221.946948580691</v>
      </c>
      <c r="N358" s="238"/>
      <c r="O358" s="146">
        <f>SUM(O344,O348,O353,O355:O356)</f>
        <v>14205.319272093668</v>
      </c>
      <c r="P358" s="146">
        <f>SUM(P344,P348,P353,P355:P356)</f>
        <v>14433.735033521298</v>
      </c>
      <c r="Q358" s="146">
        <f>SUM(Q344,Q348,Q353,Q355:Q356)</f>
        <v>28639.054305614965</v>
      </c>
      <c r="R358" s="139">
        <f>Q358/$H358*100</f>
        <v>3.0824475553614636</v>
      </c>
      <c r="S358" s="342">
        <f>Q358/O358</f>
        <v>2.0160795936404154</v>
      </c>
      <c r="T358" s="177">
        <f>R358/K358-1</f>
        <v>-2.6785087991137657E-2</v>
      </c>
    </row>
    <row r="359" spans="2:20" x14ac:dyDescent="0.2">
      <c r="H359" s="148"/>
      <c r="I359" s="148"/>
      <c r="J359" s="148"/>
      <c r="K359" s="148"/>
      <c r="L359" s="148"/>
      <c r="M359" s="148"/>
      <c r="N359" s="148"/>
      <c r="O359" s="148"/>
      <c r="P359" s="148"/>
      <c r="Q359" s="148"/>
      <c r="R359" s="148"/>
      <c r="S359" s="148"/>
      <c r="T359" s="180"/>
    </row>
    <row r="360" spans="2:20" x14ac:dyDescent="0.2">
      <c r="B360" s="64"/>
      <c r="C360" s="33"/>
      <c r="D360" s="26" t="s">
        <v>187</v>
      </c>
      <c r="E360" s="64"/>
      <c r="F360" s="16"/>
      <c r="G360" s="64"/>
      <c r="H360" s="148"/>
      <c r="I360" s="148"/>
      <c r="J360" s="148"/>
      <c r="K360" s="148"/>
      <c r="L360" s="148"/>
      <c r="M360" s="148"/>
      <c r="N360" s="148"/>
      <c r="O360" s="148"/>
      <c r="P360" s="148"/>
      <c r="Q360" s="148"/>
      <c r="R360" s="148"/>
      <c r="S360" s="148"/>
      <c r="T360" s="180"/>
    </row>
    <row r="361" spans="2:20" x14ac:dyDescent="0.2">
      <c r="B361" s="64">
        <f>MAX(B$344:B360)+1</f>
        <v>186</v>
      </c>
      <c r="C361" s="33"/>
      <c r="D361" s="27" t="s">
        <v>189</v>
      </c>
      <c r="E361" s="64"/>
      <c r="F361" s="360" t="s">
        <v>81</v>
      </c>
      <c r="G361" s="64"/>
      <c r="H361" s="122">
        <v>1764.0360000000001</v>
      </c>
      <c r="I361" s="341"/>
      <c r="J361" s="122">
        <f>$H361*K361/100</f>
        <v>738.86295052799994</v>
      </c>
      <c r="K361" s="147">
        <v>41.884799999999998</v>
      </c>
      <c r="L361" s="239"/>
      <c r="M361" s="122">
        <f t="shared" ref="M361:M362" si="87">J361-O361</f>
        <v>413.77552668321601</v>
      </c>
      <c r="N361" s="238"/>
      <c r="O361" s="122">
        <f>Q361</f>
        <v>325.08742384478393</v>
      </c>
      <c r="P361" s="122">
        <f t="shared" ref="P361:P362" si="88">Q361-O361</f>
        <v>0</v>
      </c>
      <c r="Q361" s="122">
        <f>$H361*R361/100</f>
        <v>325.08742384478393</v>
      </c>
      <c r="R361" s="147">
        <v>18.428616187242433</v>
      </c>
      <c r="S361" s="124"/>
      <c r="T361" s="178"/>
    </row>
    <row r="362" spans="2:20" x14ac:dyDescent="0.2">
      <c r="B362" s="64">
        <f>MAX(B$344:B361)+1</f>
        <v>187</v>
      </c>
      <c r="C362" s="33"/>
      <c r="D362" s="27" t="s">
        <v>196</v>
      </c>
      <c r="E362" s="64"/>
      <c r="F362" s="360" t="s">
        <v>81</v>
      </c>
      <c r="G362" s="64"/>
      <c r="H362" s="122">
        <v>6791.652</v>
      </c>
      <c r="I362" s="341"/>
      <c r="J362" s="122">
        <f>$H362*K362/100</f>
        <v>2945.4308059679997</v>
      </c>
      <c r="K362" s="147">
        <v>43.368399999999994</v>
      </c>
      <c r="L362" s="239"/>
      <c r="M362" s="122">
        <f t="shared" si="87"/>
        <v>1693.8233261148252</v>
      </c>
      <c r="N362" s="238"/>
      <c r="O362" s="122">
        <f>Q362</f>
        <v>1251.6074798531745</v>
      </c>
      <c r="P362" s="122">
        <f t="shared" si="88"/>
        <v>0</v>
      </c>
      <c r="Q362" s="122">
        <f>$H362*R362/100</f>
        <v>1251.6074798531745</v>
      </c>
      <c r="R362" s="147">
        <v>18.428616187242433</v>
      </c>
      <c r="S362" s="124"/>
      <c r="T362" s="178"/>
    </row>
    <row r="363" spans="2:20" x14ac:dyDescent="0.2">
      <c r="B363" s="64"/>
      <c r="C363" s="33"/>
      <c r="D363" s="26" t="s">
        <v>188</v>
      </c>
      <c r="E363" s="64"/>
      <c r="F363" s="16"/>
      <c r="G363" s="64"/>
      <c r="H363" s="148"/>
      <c r="I363" s="148"/>
      <c r="J363" s="148"/>
      <c r="K363" s="148"/>
      <c r="L363" s="148"/>
      <c r="M363" s="148"/>
      <c r="N363" s="148"/>
      <c r="O363" s="148"/>
      <c r="P363" s="148"/>
      <c r="Q363" s="148"/>
      <c r="R363" s="148"/>
      <c r="S363" s="148"/>
      <c r="T363" s="180"/>
    </row>
    <row r="364" spans="2:20" x14ac:dyDescent="0.2">
      <c r="B364" s="64">
        <f>MAX(B$344:B361)+1</f>
        <v>187</v>
      </c>
      <c r="C364" s="33"/>
      <c r="D364" s="27" t="s">
        <v>192</v>
      </c>
      <c r="E364" s="64"/>
      <c r="F364" s="16" t="s">
        <v>56</v>
      </c>
      <c r="G364" s="64"/>
      <c r="H364" s="122">
        <v>3189.8278335117261</v>
      </c>
      <c r="I364" s="341"/>
      <c r="J364" s="122">
        <f>$H364*K364/100</f>
        <v>80.169942939650213</v>
      </c>
      <c r="K364" s="147">
        <v>2.5133000000000001</v>
      </c>
      <c r="L364" s="239"/>
      <c r="M364" s="122">
        <f t="shared" ref="M364:M367" si="89">J364-O364</f>
        <v>42.947565131099545</v>
      </c>
      <c r="N364" s="238"/>
      <c r="O364" s="122">
        <f t="shared" ref="O364:O365" si="90">Q364</f>
        <v>37.222377808550668</v>
      </c>
      <c r="P364" s="122">
        <f t="shared" ref="P364:P367" si="91">Q364-O364</f>
        <v>0</v>
      </c>
      <c r="Q364" s="122">
        <f>$H364*R364/100</f>
        <v>37.222377808550668</v>
      </c>
      <c r="R364" s="147">
        <v>1.1669086781894442</v>
      </c>
      <c r="S364" s="124"/>
      <c r="T364" s="178"/>
    </row>
    <row r="365" spans="2:20" x14ac:dyDescent="0.2">
      <c r="B365" s="64">
        <f>MAX(B$344:B364)+1</f>
        <v>188</v>
      </c>
      <c r="C365" s="33"/>
      <c r="D365" s="27" t="s">
        <v>193</v>
      </c>
      <c r="E365" s="64"/>
      <c r="F365" s="16" t="s">
        <v>56</v>
      </c>
      <c r="G365" s="64"/>
      <c r="H365" s="122">
        <v>6167.8313313963072</v>
      </c>
      <c r="I365" s="341"/>
      <c r="J365" s="122">
        <f>$H365*K365/100</f>
        <v>109.56535577092401</v>
      </c>
      <c r="K365" s="147">
        <v>1.7764000000000002</v>
      </c>
      <c r="L365" s="239"/>
      <c r="M365" s="122">
        <f t="shared" si="89"/>
        <v>37.592396708772966</v>
      </c>
      <c r="N365" s="238"/>
      <c r="O365" s="122">
        <f t="shared" si="90"/>
        <v>71.972959062151048</v>
      </c>
      <c r="P365" s="122">
        <f t="shared" si="91"/>
        <v>0</v>
      </c>
      <c r="Q365" s="122">
        <f>$H365*R365/100</f>
        <v>71.972959062151048</v>
      </c>
      <c r="R365" s="147">
        <v>1.1669086781894442</v>
      </c>
      <c r="S365" s="124"/>
      <c r="T365" s="178"/>
    </row>
    <row r="366" spans="2:20" x14ac:dyDescent="0.2">
      <c r="B366" s="64">
        <f>MAX(B$344:B363)+1</f>
        <v>188</v>
      </c>
      <c r="C366" s="33"/>
      <c r="D366" s="27" t="s">
        <v>195</v>
      </c>
      <c r="E366" s="64"/>
      <c r="F366" s="16" t="s">
        <v>56</v>
      </c>
      <c r="G366" s="64"/>
      <c r="H366" s="122">
        <v>16137.939466488273</v>
      </c>
      <c r="I366" s="341"/>
      <c r="J366" s="122">
        <f>$H366*K366/100</f>
        <v>405.59483261124979</v>
      </c>
      <c r="K366" s="147">
        <v>2.5133000000000001</v>
      </c>
      <c r="L366" s="239"/>
      <c r="M366" s="122">
        <f t="shared" si="89"/>
        <v>-83.203275598667915</v>
      </c>
      <c r="N366" s="238"/>
      <c r="O366" s="122">
        <f t="shared" ref="O366:O367" si="92">Q366</f>
        <v>488.7981082099177</v>
      </c>
      <c r="P366" s="122">
        <f t="shared" si="91"/>
        <v>0</v>
      </c>
      <c r="Q366" s="122">
        <f>$H366*R366/100</f>
        <v>488.7981082099177</v>
      </c>
      <c r="R366" s="147">
        <v>3.0288755836824537</v>
      </c>
      <c r="S366" s="124"/>
      <c r="T366" s="178"/>
    </row>
    <row r="367" spans="2:20" x14ac:dyDescent="0.2">
      <c r="B367" s="64">
        <f>MAX(B$344:B366)+1</f>
        <v>189</v>
      </c>
      <c r="C367" s="33"/>
      <c r="D367" s="27" t="s">
        <v>194</v>
      </c>
      <c r="E367" s="64"/>
      <c r="F367" s="16" t="s">
        <v>56</v>
      </c>
      <c r="G367" s="64"/>
      <c r="H367" s="122">
        <v>56624.874308603685</v>
      </c>
      <c r="I367" s="341"/>
      <c r="J367" s="122">
        <f>$H367*K367/100</f>
        <v>1005.8842672180359</v>
      </c>
      <c r="K367" s="147">
        <v>1.7764000000000002</v>
      </c>
      <c r="L367" s="239"/>
      <c r="M367" s="122">
        <f t="shared" si="89"/>
        <v>345.12369489707442</v>
      </c>
      <c r="N367" s="238"/>
      <c r="O367" s="122">
        <f t="shared" si="92"/>
        <v>660.7605723209615</v>
      </c>
      <c r="P367" s="122">
        <f t="shared" si="91"/>
        <v>0</v>
      </c>
      <c r="Q367" s="122">
        <f>$H367*R367/100</f>
        <v>660.7605723209615</v>
      </c>
      <c r="R367" s="147">
        <v>1.1669086781894442</v>
      </c>
      <c r="S367" s="124"/>
      <c r="T367" s="178"/>
    </row>
    <row r="368" spans="2:20" x14ac:dyDescent="0.2">
      <c r="B368" s="64"/>
      <c r="C368" s="33"/>
      <c r="D368" s="26" t="s">
        <v>190</v>
      </c>
      <c r="E368" s="64"/>
      <c r="F368" s="16"/>
      <c r="G368" s="64"/>
      <c r="H368" s="148"/>
      <c r="I368" s="148"/>
      <c r="J368" s="148"/>
      <c r="K368" s="148"/>
      <c r="L368" s="148"/>
      <c r="M368" s="148"/>
      <c r="N368" s="148"/>
      <c r="O368" s="148"/>
      <c r="P368" s="148"/>
      <c r="Q368" s="148"/>
      <c r="R368" s="148"/>
      <c r="S368" s="148"/>
      <c r="T368" s="180"/>
    </row>
    <row r="369" spans="2:20" x14ac:dyDescent="0.2">
      <c r="B369" s="64">
        <f>MAX(B$344:B368)+1</f>
        <v>190</v>
      </c>
      <c r="C369" s="33"/>
      <c r="D369" s="27" t="s">
        <v>192</v>
      </c>
      <c r="E369" s="64"/>
      <c r="F369" s="16" t="s">
        <v>56</v>
      </c>
      <c r="G369" s="64"/>
      <c r="H369" s="122">
        <f>H381-H364</f>
        <v>2587.1831664882743</v>
      </c>
      <c r="I369" s="341"/>
      <c r="J369" s="122">
        <f>$H369*K369/100</f>
        <v>0</v>
      </c>
      <c r="K369" s="147">
        <v>0</v>
      </c>
      <c r="L369" s="239"/>
      <c r="M369" s="122">
        <f t="shared" ref="M369:M372" si="93">J369-O369</f>
        <v>-30.190064890408131</v>
      </c>
      <c r="N369" s="238"/>
      <c r="O369" s="122">
        <f t="shared" ref="O369:O370" si="94">Q369</f>
        <v>30.190064890408131</v>
      </c>
      <c r="P369" s="122">
        <f t="shared" ref="P369:P372" si="95">Q369-O369</f>
        <v>0</v>
      </c>
      <c r="Q369" s="122">
        <f>$H369*R369/100</f>
        <v>30.190064890408131</v>
      </c>
      <c r="R369" s="147">
        <v>1.1669086781894442</v>
      </c>
      <c r="S369" s="124"/>
      <c r="T369" s="178"/>
    </row>
    <row r="370" spans="2:20" x14ac:dyDescent="0.2">
      <c r="B370" s="64">
        <f>MAX(B$344:B369)+1</f>
        <v>191</v>
      </c>
      <c r="C370" s="33"/>
      <c r="D370" s="27" t="s">
        <v>193</v>
      </c>
      <c r="E370" s="64"/>
      <c r="F370" s="16" t="s">
        <v>56</v>
      </c>
      <c r="G370" s="64"/>
      <c r="H370" s="122">
        <f>H382-H365</f>
        <v>3686.2166286036945</v>
      </c>
      <c r="I370" s="341"/>
      <c r="J370" s="122">
        <f>$H370*K370/100</f>
        <v>0</v>
      </c>
      <c r="K370" s="147">
        <v>0</v>
      </c>
      <c r="L370" s="239"/>
      <c r="M370" s="122">
        <f t="shared" si="93"/>
        <v>-43.01478173603887</v>
      </c>
      <c r="N370" s="238"/>
      <c r="O370" s="122">
        <f t="shared" si="94"/>
        <v>43.01478173603887</v>
      </c>
      <c r="P370" s="122">
        <f t="shared" si="95"/>
        <v>0</v>
      </c>
      <c r="Q370" s="122">
        <f>$H370*R370/100</f>
        <v>43.01478173603887</v>
      </c>
      <c r="R370" s="147">
        <v>1.1669086781894442</v>
      </c>
      <c r="S370" s="124"/>
      <c r="T370" s="178"/>
    </row>
    <row r="371" spans="2:20" x14ac:dyDescent="0.2">
      <c r="B371" s="64">
        <f>MAX(B$344:B370)+1</f>
        <v>192</v>
      </c>
      <c r="C371" s="33"/>
      <c r="D371" s="27" t="s">
        <v>195</v>
      </c>
      <c r="E371" s="64"/>
      <c r="F371" s="16" t="s">
        <v>56</v>
      </c>
      <c r="G371" s="64"/>
      <c r="H371" s="122">
        <v>13089.046653511728</v>
      </c>
      <c r="I371" s="341"/>
      <c r="J371" s="122">
        <f>$H371*K371/100</f>
        <v>0</v>
      </c>
      <c r="K371" s="147">
        <v>0</v>
      </c>
      <c r="L371" s="239"/>
      <c r="M371" s="122">
        <f t="shared" si="93"/>
        <v>-396.45093822502201</v>
      </c>
      <c r="N371" s="238"/>
      <c r="O371" s="122">
        <f t="shared" ref="O371:O372" si="96">Q371</f>
        <v>396.45093822502201</v>
      </c>
      <c r="P371" s="122">
        <f t="shared" si="95"/>
        <v>0</v>
      </c>
      <c r="Q371" s="122">
        <f>$H371*R371/100</f>
        <v>396.45093822502201</v>
      </c>
      <c r="R371" s="147">
        <v>3.0288755836824537</v>
      </c>
      <c r="S371" s="124"/>
      <c r="T371" s="178"/>
    </row>
    <row r="372" spans="2:20" x14ac:dyDescent="0.2">
      <c r="B372" s="64">
        <f>MAX(B$344:B371)+1</f>
        <v>193</v>
      </c>
      <c r="C372" s="33"/>
      <c r="D372" s="27" t="s">
        <v>194</v>
      </c>
      <c r="E372" s="64"/>
      <c r="F372" s="16" t="s">
        <v>56</v>
      </c>
      <c r="G372" s="64"/>
      <c r="H372" s="122">
        <v>33841.968441396282</v>
      </c>
      <c r="I372" s="341"/>
      <c r="J372" s="122">
        <f>$H372*K372/100</f>
        <v>0</v>
      </c>
      <c r="K372" s="147">
        <v>0</v>
      </c>
      <c r="L372" s="239"/>
      <c r="M372" s="122">
        <f t="shared" si="93"/>
        <v>-394.90486661278624</v>
      </c>
      <c r="N372" s="238"/>
      <c r="O372" s="122">
        <f t="shared" si="96"/>
        <v>394.90486661278624</v>
      </c>
      <c r="P372" s="122">
        <f t="shared" si="95"/>
        <v>0</v>
      </c>
      <c r="Q372" s="122">
        <f>$H372*R372/100</f>
        <v>394.90486661278624</v>
      </c>
      <c r="R372" s="147">
        <v>1.1669086781894442</v>
      </c>
      <c r="S372" s="124"/>
      <c r="T372" s="178"/>
    </row>
    <row r="373" spans="2:20" x14ac:dyDescent="0.2">
      <c r="B373" s="64">
        <f>MAX(B$344:B372)+1</f>
        <v>194</v>
      </c>
      <c r="D373" s="26" t="s">
        <v>191</v>
      </c>
      <c r="E373" s="64"/>
      <c r="F373" s="16"/>
      <c r="G373" s="64"/>
      <c r="H373" s="146">
        <f>SUM(H364:H372)</f>
        <v>135324.88782999996</v>
      </c>
      <c r="I373" s="341"/>
      <c r="J373" s="146">
        <f>SUM(J361:J372)</f>
        <v>5285.50815503586</v>
      </c>
      <c r="K373" s="139">
        <f>J373/$H373*100</f>
        <v>3.9057916395066274</v>
      </c>
      <c r="L373" s="239"/>
      <c r="M373" s="146">
        <f>SUM(M361:M372)</f>
        <v>1585.498582472065</v>
      </c>
      <c r="N373" s="238"/>
      <c r="O373" s="146">
        <f>SUM(O361:O372)</f>
        <v>3700.0095725637939</v>
      </c>
      <c r="P373" s="146">
        <f>SUM(P361:P372)</f>
        <v>0</v>
      </c>
      <c r="Q373" s="146">
        <f>SUM(Q361:Q372)</f>
        <v>3700.0095725637939</v>
      </c>
      <c r="R373" s="139">
        <f>Q373/$H373*100</f>
        <v>2.734167847389521</v>
      </c>
      <c r="S373" s="342">
        <f>Q373/O373</f>
        <v>1</v>
      </c>
      <c r="T373" s="177">
        <f>R373/K373-1</f>
        <v>-0.29997088945203021</v>
      </c>
    </row>
    <row r="374" spans="2:20" x14ac:dyDescent="0.2">
      <c r="B374" s="64"/>
      <c r="C374" s="33"/>
      <c r="D374" s="26"/>
      <c r="E374" s="64"/>
      <c r="F374" s="192"/>
      <c r="G374" s="64"/>
      <c r="H374" s="122"/>
      <c r="I374" s="341"/>
      <c r="J374" s="122"/>
      <c r="K374" s="147"/>
      <c r="L374" s="239"/>
      <c r="M374" s="122"/>
      <c r="N374" s="238"/>
      <c r="O374" s="122"/>
      <c r="P374" s="122"/>
      <c r="Q374" s="122"/>
      <c r="R374" s="240"/>
      <c r="S374" s="124"/>
      <c r="T374" s="343"/>
    </row>
    <row r="375" spans="2:20" x14ac:dyDescent="0.2">
      <c r="B375" s="64"/>
      <c r="C375" s="33"/>
      <c r="D375" s="26" t="s">
        <v>197</v>
      </c>
      <c r="E375" s="64"/>
      <c r="F375" s="16"/>
      <c r="G375" s="64"/>
      <c r="H375" s="148"/>
      <c r="I375" s="148"/>
      <c r="J375" s="148"/>
      <c r="K375" s="148"/>
      <c r="L375" s="148"/>
      <c r="M375" s="148"/>
      <c r="N375" s="148"/>
      <c r="O375" s="148"/>
      <c r="P375" s="148"/>
      <c r="Q375" s="148"/>
      <c r="R375" s="148"/>
      <c r="S375" s="148"/>
      <c r="T375" s="180"/>
    </row>
    <row r="376" spans="2:20" x14ac:dyDescent="0.2">
      <c r="B376" s="64">
        <f>MAX(B$344:B375)+1</f>
        <v>195</v>
      </c>
      <c r="C376" s="33"/>
      <c r="D376" s="27" t="s">
        <v>198</v>
      </c>
      <c r="E376" s="64"/>
      <c r="F376" s="16" t="s">
        <v>200</v>
      </c>
      <c r="G376" s="64"/>
      <c r="H376" s="122">
        <v>141504</v>
      </c>
      <c r="I376" s="341"/>
      <c r="J376" s="122">
        <f>$H376*K376/1000</f>
        <v>2665.2278400000005</v>
      </c>
      <c r="K376" s="158">
        <v>18.835000000000001</v>
      </c>
      <c r="L376" s="239"/>
      <c r="M376" s="122">
        <f t="shared" ref="M376:M377" si="97">J376-O376</f>
        <v>-226.45242362185581</v>
      </c>
      <c r="N376" s="238"/>
      <c r="O376" s="122">
        <f>Q376</f>
        <v>2891.6802636218563</v>
      </c>
      <c r="P376" s="122">
        <f>Q376-O376</f>
        <v>0</v>
      </c>
      <c r="Q376" s="122">
        <f>$H376*R376/1000</f>
        <v>2891.6802636218563</v>
      </c>
      <c r="R376" s="158">
        <v>20.435325246083902</v>
      </c>
      <c r="S376" s="124"/>
      <c r="T376" s="178"/>
    </row>
    <row r="377" spans="2:20" x14ac:dyDescent="0.2">
      <c r="B377" s="64">
        <f>MAX(B$344:B376)+1</f>
        <v>196</v>
      </c>
      <c r="C377" s="33"/>
      <c r="D377" s="27" t="s">
        <v>199</v>
      </c>
      <c r="E377" s="64"/>
      <c r="F377" s="16" t="s">
        <v>104</v>
      </c>
      <c r="G377" s="64"/>
      <c r="H377" s="122">
        <v>522359</v>
      </c>
      <c r="I377" s="341"/>
      <c r="J377" s="122">
        <f>$H377*K377/1000</f>
        <v>125.36615999999999</v>
      </c>
      <c r="K377" s="158">
        <v>0.24</v>
      </c>
      <c r="L377" s="239"/>
      <c r="M377" s="122">
        <f t="shared" si="97"/>
        <v>69.096250619995914</v>
      </c>
      <c r="N377" s="238"/>
      <c r="O377" s="122">
        <f>Q377</f>
        <v>56.26990938000408</v>
      </c>
      <c r="P377" s="122">
        <f t="shared" ref="P377" si="98">Q377-O377</f>
        <v>0</v>
      </c>
      <c r="Q377" s="122">
        <f>$H377*R377/1000</f>
        <v>56.26990938000408</v>
      </c>
      <c r="R377" s="158">
        <v>0.10772267612887704</v>
      </c>
      <c r="S377" s="124"/>
      <c r="T377" s="178"/>
    </row>
    <row r="378" spans="2:20" x14ac:dyDescent="0.2">
      <c r="B378" s="64">
        <f>MAX(B$344:B377)+1</f>
        <v>197</v>
      </c>
      <c r="C378" s="33"/>
      <c r="D378" s="26" t="s">
        <v>197</v>
      </c>
      <c r="E378" s="64"/>
      <c r="F378" s="16"/>
      <c r="G378" s="64"/>
      <c r="H378" s="146">
        <f>H377</f>
        <v>522359</v>
      </c>
      <c r="I378" s="341"/>
      <c r="J378" s="146">
        <f>SUM(J376:J377)</f>
        <v>2790.5940000000005</v>
      </c>
      <c r="K378" s="149">
        <f>J378/$H378*1000</f>
        <v>5.3422914126108685</v>
      </c>
      <c r="L378" s="239"/>
      <c r="M378" s="146">
        <f>SUM(M376:M377)</f>
        <v>-157.3561730018599</v>
      </c>
      <c r="N378" s="238"/>
      <c r="O378" s="146">
        <f>SUM(O376:O377)</f>
        <v>2947.9501730018605</v>
      </c>
      <c r="P378" s="146">
        <f>SUM(P376:P377)</f>
        <v>0</v>
      </c>
      <c r="Q378" s="146">
        <f>SUM(Q376:Q377)</f>
        <v>2947.9501730018605</v>
      </c>
      <c r="R378" s="149">
        <f>Q378/$H378*1000</f>
        <v>5.6435328442734987</v>
      </c>
      <c r="S378" s="342">
        <f>Q378/O378</f>
        <v>1</v>
      </c>
      <c r="T378" s="177">
        <f>R378/K378-1</f>
        <v>5.638805680864345E-2</v>
      </c>
    </row>
    <row r="379" spans="2:20" x14ac:dyDescent="0.2">
      <c r="B379" s="64"/>
      <c r="C379" s="33"/>
      <c r="D379" s="26"/>
      <c r="E379" s="64"/>
      <c r="F379" s="192"/>
      <c r="G379" s="64"/>
      <c r="H379" s="122"/>
      <c r="I379" s="341"/>
      <c r="J379" s="122"/>
      <c r="K379" s="147"/>
      <c r="L379" s="239"/>
      <c r="M379" s="122"/>
      <c r="N379" s="238"/>
      <c r="O379" s="122"/>
      <c r="P379" s="122"/>
      <c r="Q379" s="122"/>
      <c r="R379" s="240"/>
      <c r="S379" s="124"/>
      <c r="T379" s="343"/>
    </row>
    <row r="380" spans="2:20" x14ac:dyDescent="0.2">
      <c r="B380" s="64"/>
      <c r="C380" s="33"/>
      <c r="D380" s="26" t="s">
        <v>167</v>
      </c>
      <c r="E380" s="64"/>
      <c r="F380" s="16"/>
      <c r="G380" s="64"/>
      <c r="H380" s="148"/>
      <c r="I380" s="148"/>
      <c r="J380" s="148"/>
      <c r="K380" s="148"/>
      <c r="L380" s="148"/>
      <c r="M380" s="148"/>
      <c r="N380" s="148"/>
      <c r="O380" s="148"/>
      <c r="P380" s="148"/>
      <c r="Q380" s="148"/>
      <c r="R380" s="148"/>
      <c r="S380" s="148"/>
      <c r="T380" s="180"/>
    </row>
    <row r="381" spans="2:20" x14ac:dyDescent="0.2">
      <c r="B381" s="64">
        <f>MAX(B$344:B380)+1</f>
        <v>198</v>
      </c>
      <c r="C381" s="33"/>
      <c r="D381" s="27" t="s">
        <v>189</v>
      </c>
      <c r="E381" s="64"/>
      <c r="F381" s="16" t="s">
        <v>56</v>
      </c>
      <c r="G381" s="64"/>
      <c r="H381" s="122">
        <v>5777.0110000000004</v>
      </c>
      <c r="I381" s="341"/>
      <c r="J381" s="122">
        <f>$H381*K381/100</f>
        <v>1022.883344671</v>
      </c>
      <c r="K381" s="147">
        <v>17.706099999999999</v>
      </c>
      <c r="L381" s="239"/>
      <c r="M381" s="122">
        <f t="shared" ref="M381:M382" si="99">J381-O381</f>
        <v>-184.70849870427901</v>
      </c>
      <c r="N381" s="238"/>
      <c r="O381" s="122">
        <f t="shared" ref="O381:O382" si="100">Q381</f>
        <v>1207.591843375279</v>
      </c>
      <c r="P381" s="122">
        <f t="shared" ref="P381:P382" si="101">Q381-O381</f>
        <v>0</v>
      </c>
      <c r="Q381" s="122">
        <f>$H381*R381/100</f>
        <v>1207.591843375279</v>
      </c>
      <c r="R381" s="147">
        <v>20.903402181080821</v>
      </c>
      <c r="S381" s="124"/>
      <c r="T381" s="178"/>
    </row>
    <row r="382" spans="2:20" x14ac:dyDescent="0.2">
      <c r="B382" s="64">
        <f>MAX(B$344:B381)+1</f>
        <v>199</v>
      </c>
      <c r="C382" s="33"/>
      <c r="D382" s="27" t="s">
        <v>196</v>
      </c>
      <c r="E382" s="64"/>
      <c r="F382" s="16" t="s">
        <v>56</v>
      </c>
      <c r="G382" s="64"/>
      <c r="H382" s="122">
        <v>9854.0479600000017</v>
      </c>
      <c r="I382" s="341"/>
      <c r="J382" s="122">
        <f>$H382*K382/100</f>
        <v>2135.0791233675268</v>
      </c>
      <c r="K382" s="147">
        <v>21.667025896711042</v>
      </c>
      <c r="L382" s="239"/>
      <c r="M382" s="122">
        <f t="shared" si="99"/>
        <v>75.247847172136517</v>
      </c>
      <c r="N382" s="238"/>
      <c r="O382" s="122">
        <f t="shared" si="100"/>
        <v>2059.8312761953903</v>
      </c>
      <c r="P382" s="122">
        <f t="shared" si="101"/>
        <v>0</v>
      </c>
      <c r="Q382" s="122">
        <f>$H382*R382/100</f>
        <v>2059.8312761953903</v>
      </c>
      <c r="R382" s="147">
        <v>20.903402181080821</v>
      </c>
      <c r="S382" s="124"/>
      <c r="T382" s="178"/>
    </row>
    <row r="383" spans="2:20" x14ac:dyDescent="0.2">
      <c r="B383" s="64">
        <f>MAX(B$344:B382)+1</f>
        <v>200</v>
      </c>
      <c r="C383" s="33"/>
      <c r="D383" s="26" t="s">
        <v>167</v>
      </c>
      <c r="E383" s="64"/>
      <c r="F383" s="16"/>
      <c r="G383" s="64"/>
      <c r="H383" s="146">
        <f>SUM(H381:H382)</f>
        <v>15631.058960000002</v>
      </c>
      <c r="I383" s="341"/>
      <c r="J383" s="146">
        <f>SUM(J381:J382)</f>
        <v>3157.9624680385268</v>
      </c>
      <c r="K383" s="139">
        <f>J383/$H383*100</f>
        <v>20.203125559949438</v>
      </c>
      <c r="L383" s="239"/>
      <c r="M383" s="146">
        <f>SUM(M381:M382)</f>
        <v>-109.46065153214249</v>
      </c>
      <c r="N383" s="238"/>
      <c r="O383" s="146">
        <f>SUM(O381:O382)</f>
        <v>3267.4231195706693</v>
      </c>
      <c r="P383" s="146">
        <f>SUM(P381:P382)</f>
        <v>0</v>
      </c>
      <c r="Q383" s="146">
        <f>SUM(Q381:Q382)</f>
        <v>3267.4231195706693</v>
      </c>
      <c r="R383" s="139">
        <f>Q383/$H383*100</f>
        <v>20.903402181080818</v>
      </c>
      <c r="S383" s="342">
        <f>Q383/O383</f>
        <v>1</v>
      </c>
      <c r="T383" s="177">
        <f>R383/K383-1</f>
        <v>3.4661796218284469E-2</v>
      </c>
    </row>
    <row r="384" spans="2:20" x14ac:dyDescent="0.2">
      <c r="B384" s="64"/>
      <c r="C384" s="33"/>
      <c r="D384" s="26"/>
      <c r="E384" s="64"/>
      <c r="F384" s="16"/>
      <c r="G384" s="64"/>
      <c r="H384" s="122"/>
      <c r="I384" s="341"/>
      <c r="J384" s="122"/>
      <c r="K384" s="147"/>
      <c r="L384" s="239"/>
      <c r="M384" s="122"/>
      <c r="N384" s="238"/>
      <c r="O384" s="122"/>
      <c r="P384" s="122"/>
      <c r="Q384" s="122"/>
      <c r="R384" s="147"/>
      <c r="S384" s="124"/>
      <c r="T384" s="178"/>
    </row>
    <row r="385" spans="2:21" ht="13.5" thickBot="1" x14ac:dyDescent="0.25">
      <c r="B385" s="64">
        <f>MAX(B$344:B384)+1</f>
        <v>201</v>
      </c>
      <c r="C385" s="33"/>
      <c r="D385" s="26" t="s">
        <v>201</v>
      </c>
      <c r="E385" s="64"/>
      <c r="F385" s="16"/>
      <c r="G385" s="64"/>
      <c r="H385" s="159">
        <f>H353</f>
        <v>929101.10525000002</v>
      </c>
      <c r="I385" s="341"/>
      <c r="J385" s="159">
        <f>SUM(J358,J373,J378,J383)</f>
        <v>40661.330843748743</v>
      </c>
      <c r="K385" s="140">
        <f>J385/$H385*100</f>
        <v>4.3764161525572289</v>
      </c>
      <c r="L385" s="239"/>
      <c r="M385" s="159">
        <f>SUM(M358,M373,M378,M383)</f>
        <v>16540.628706518753</v>
      </c>
      <c r="N385" s="238"/>
      <c r="O385" s="159">
        <f>SUM(O358,O373,O378,O383)</f>
        <v>24120.702137229993</v>
      </c>
      <c r="P385" s="159">
        <f>SUM(P358,P373,P378,P383)</f>
        <v>14433.735033521298</v>
      </c>
      <c r="Q385" s="159">
        <f>SUM(Q358,Q373,Q378,Q383)</f>
        <v>38554.437170751291</v>
      </c>
      <c r="R385" s="140">
        <f>Q385/$H385*100</f>
        <v>4.1496492634541822</v>
      </c>
      <c r="S385" s="345">
        <f>Q385/O385</f>
        <v>1.5983961391921098</v>
      </c>
      <c r="T385" s="179">
        <f>R385/K385-1</f>
        <v>-5.1815659479856002E-2</v>
      </c>
    </row>
    <row r="386" spans="2:21" ht="13.5" thickTop="1" x14ac:dyDescent="0.2">
      <c r="B386" s="60"/>
      <c r="C386" s="30"/>
      <c r="D386" s="29"/>
      <c r="E386" s="60"/>
      <c r="F386" s="192"/>
      <c r="G386" s="60"/>
      <c r="H386" s="346"/>
      <c r="I386" s="153"/>
      <c r="J386" s="346"/>
      <c r="K386" s="347"/>
      <c r="L386" s="346"/>
      <c r="M386" s="346"/>
      <c r="N386" s="348"/>
      <c r="O386" s="346"/>
      <c r="P386" s="346"/>
      <c r="Q386" s="346"/>
      <c r="R386" s="347"/>
      <c r="S386" s="172"/>
      <c r="T386" s="349"/>
    </row>
    <row r="387" spans="2:21" x14ac:dyDescent="0.2">
      <c r="B387" s="64"/>
      <c r="C387" s="33"/>
      <c r="D387" s="31" t="s">
        <v>19</v>
      </c>
      <c r="E387" s="64"/>
      <c r="F387" s="186"/>
      <c r="G387" s="64"/>
      <c r="H387" s="350"/>
      <c r="I387" s="341"/>
      <c r="J387" s="350"/>
      <c r="K387" s="341"/>
      <c r="L387" s="341"/>
      <c r="M387" s="144"/>
      <c r="N387" s="341"/>
      <c r="O387" s="145"/>
      <c r="P387" s="341"/>
      <c r="Q387" s="341"/>
      <c r="R387" s="341"/>
      <c r="S387" s="341"/>
      <c r="T387" s="351"/>
      <c r="U387" s="64"/>
    </row>
    <row r="388" spans="2:21" x14ac:dyDescent="0.2">
      <c r="B388" s="64">
        <f>MAX(B$344:B387)+1</f>
        <v>202</v>
      </c>
      <c r="C388" s="33"/>
      <c r="D388" s="27" t="s">
        <v>85</v>
      </c>
      <c r="E388" s="64"/>
      <c r="F388" s="16" t="s">
        <v>55</v>
      </c>
      <c r="G388" s="64"/>
      <c r="H388" s="122">
        <v>863.99999999999602</v>
      </c>
      <c r="I388" s="341"/>
      <c r="J388" s="122">
        <f>$H388*K388/1000</f>
        <v>318.43583999999851</v>
      </c>
      <c r="K388" s="331">
        <v>368.56</v>
      </c>
      <c r="L388" s="239"/>
      <c r="M388" s="122">
        <f t="shared" ref="M388:M391" si="102">J388-O388</f>
        <v>236.54457906886299</v>
      </c>
      <c r="N388" s="238"/>
      <c r="O388" s="122">
        <v>81.89126093113552</v>
      </c>
      <c r="P388" s="122">
        <f t="shared" ref="P388:P390" si="103">Q388-O388</f>
        <v>236.54457906886299</v>
      </c>
      <c r="Q388" s="122">
        <f>$H388*R388/1000</f>
        <v>318.43583999999851</v>
      </c>
      <c r="R388" s="331">
        <v>368.56</v>
      </c>
      <c r="S388" s="124">
        <f>Q388/O388</f>
        <v>3.8885204157227404</v>
      </c>
      <c r="T388" s="178">
        <f t="shared" ref="T388:T390" si="104">R388/K388-1</f>
        <v>0</v>
      </c>
    </row>
    <row r="389" spans="2:21" x14ac:dyDescent="0.2">
      <c r="B389" s="64">
        <f>MAX(B$344:B388)+1</f>
        <v>203</v>
      </c>
      <c r="C389" s="33"/>
      <c r="D389" s="27" t="s">
        <v>532</v>
      </c>
      <c r="E389" s="64"/>
      <c r="F389" s="16" t="s">
        <v>56</v>
      </c>
      <c r="G389" s="64"/>
      <c r="H389" s="122">
        <v>126830.75640999997</v>
      </c>
      <c r="I389" s="341"/>
      <c r="J389" s="122">
        <f>$H389*K389/100</f>
        <v>4097.0173760701518</v>
      </c>
      <c r="K389" s="147">
        <v>3.2303027215464297</v>
      </c>
      <c r="L389" s="239"/>
      <c r="M389" s="122">
        <f t="shared" si="102"/>
        <v>1238.4884138439875</v>
      </c>
      <c r="N389" s="238"/>
      <c r="O389" s="122">
        <v>2858.5289622261644</v>
      </c>
      <c r="P389" s="122">
        <f t="shared" si="103"/>
        <v>-481.49601061900921</v>
      </c>
      <c r="Q389" s="122">
        <f>$H389*R389/100</f>
        <v>2377.0329516071552</v>
      </c>
      <c r="R389" s="147">
        <v>1.8741770678423062</v>
      </c>
      <c r="S389" s="124"/>
      <c r="T389" s="178">
        <f t="shared" si="104"/>
        <v>-0.41981379783963746</v>
      </c>
    </row>
    <row r="390" spans="2:21" x14ac:dyDescent="0.2">
      <c r="B390" s="64">
        <f>MAX(B$344:B389)+1</f>
        <v>204</v>
      </c>
      <c r="C390" s="33"/>
      <c r="D390" s="27" t="s">
        <v>534</v>
      </c>
      <c r="E390" s="64"/>
      <c r="F390" s="16" t="s">
        <v>56</v>
      </c>
      <c r="G390" s="64"/>
      <c r="H390" s="122">
        <v>12203.927079999999</v>
      </c>
      <c r="I390" s="341"/>
      <c r="J390" s="122">
        <f>$H390*K390/100</f>
        <v>423.73782857884112</v>
      </c>
      <c r="K390" s="147">
        <v>3.4721432355431703</v>
      </c>
      <c r="L390" s="239"/>
      <c r="M390" s="122">
        <f t="shared" si="102"/>
        <v>423.73782857884112</v>
      </c>
      <c r="N390" s="238"/>
      <c r="O390" s="122">
        <v>0</v>
      </c>
      <c r="P390" s="122">
        <f t="shared" si="103"/>
        <v>244.95143155014534</v>
      </c>
      <c r="Q390" s="122">
        <f>$H390*R390/100</f>
        <v>244.95143155014534</v>
      </c>
      <c r="R390" s="147">
        <v>2.0071525333150824</v>
      </c>
      <c r="S390" s="124"/>
      <c r="T390" s="178">
        <f t="shared" si="104"/>
        <v>-0.42192692030428569</v>
      </c>
    </row>
    <row r="391" spans="2:21" x14ac:dyDescent="0.2">
      <c r="B391" s="64">
        <f>MAX(B$344:B390)+1</f>
        <v>205</v>
      </c>
      <c r="C391" s="33"/>
      <c r="D391" s="27" t="s">
        <v>186</v>
      </c>
      <c r="E391" s="64"/>
      <c r="F391" s="16" t="s">
        <v>55</v>
      </c>
      <c r="G391" s="64"/>
      <c r="H391" s="122">
        <v>167.99999999999986</v>
      </c>
      <c r="I391" s="341"/>
      <c r="J391" s="122">
        <f>$H391*K391/1000</f>
        <v>41.675759999999968</v>
      </c>
      <c r="K391" s="331">
        <v>248.07</v>
      </c>
      <c r="L391" s="239"/>
      <c r="M391" s="122">
        <f t="shared" si="102"/>
        <v>41.675759999999968</v>
      </c>
      <c r="N391" s="238"/>
      <c r="O391" s="122"/>
      <c r="P391" s="122"/>
      <c r="Q391" s="122"/>
      <c r="R391" s="331"/>
      <c r="S391" s="124"/>
      <c r="T391" s="178"/>
    </row>
    <row r="392" spans="2:21" x14ac:dyDescent="0.2">
      <c r="B392" s="64">
        <f>MAX(B$344:B391)+1</f>
        <v>206</v>
      </c>
      <c r="C392" s="33"/>
      <c r="D392" s="26" t="s">
        <v>68</v>
      </c>
      <c r="E392" s="64"/>
      <c r="F392" s="16"/>
      <c r="G392" s="64"/>
      <c r="H392" s="146">
        <f>H389</f>
        <v>126830.75640999997</v>
      </c>
      <c r="I392" s="341"/>
      <c r="J392" s="146">
        <f>SUM(J388:J391)</f>
        <v>4880.8668046489911</v>
      </c>
      <c r="K392" s="139">
        <f>J392/$H392*100</f>
        <v>3.8483305964610324</v>
      </c>
      <c r="L392" s="239"/>
      <c r="M392" s="146">
        <f>SUM(M388:M391)</f>
        <v>1940.4465814916916</v>
      </c>
      <c r="N392" s="238"/>
      <c r="O392" s="146">
        <f>SUM(O388:O391)</f>
        <v>2940.4202231572999</v>
      </c>
      <c r="P392" s="146">
        <f>SUM(P388:P391)</f>
        <v>-8.8107299234252423E-13</v>
      </c>
      <c r="Q392" s="146">
        <f>SUM(Q388:Q391)</f>
        <v>2940.420223157299</v>
      </c>
      <c r="R392" s="139">
        <f>Q392/$H392*100</f>
        <v>2.3183810507696867</v>
      </c>
      <c r="S392" s="342">
        <f>Q392/O392</f>
        <v>0.99999999999999967</v>
      </c>
      <c r="T392" s="177">
        <f>R392/K392-1</f>
        <v>-0.39756187971436352</v>
      </c>
    </row>
    <row r="393" spans="2:21" hidden="1" x14ac:dyDescent="0.2">
      <c r="H393" s="148"/>
      <c r="I393" s="148"/>
      <c r="J393" s="148"/>
      <c r="K393" s="148"/>
      <c r="L393" s="148"/>
      <c r="M393" s="148"/>
      <c r="N393" s="148"/>
      <c r="O393" s="148"/>
      <c r="P393" s="148"/>
      <c r="Q393" s="148"/>
      <c r="R393" s="148"/>
      <c r="S393" s="148"/>
      <c r="T393" s="180"/>
    </row>
    <row r="394" spans="2:21" hidden="1" x14ac:dyDescent="0.2">
      <c r="B394" s="64"/>
      <c r="C394" s="33"/>
      <c r="D394" s="26"/>
      <c r="E394" s="64"/>
      <c r="F394" s="192"/>
      <c r="G394" s="64"/>
      <c r="H394" s="122"/>
      <c r="I394" s="341"/>
      <c r="J394" s="122"/>
      <c r="K394" s="147"/>
      <c r="L394" s="239"/>
      <c r="M394" s="122"/>
      <c r="N394" s="238"/>
      <c r="O394" s="122"/>
      <c r="P394" s="122"/>
      <c r="Q394" s="122"/>
      <c r="R394" s="147"/>
      <c r="S394" s="124"/>
      <c r="T394" s="178"/>
    </row>
    <row r="395" spans="2:21" x14ac:dyDescent="0.2">
      <c r="H395" s="148"/>
      <c r="I395" s="148"/>
      <c r="J395" s="148"/>
      <c r="K395" s="148"/>
      <c r="L395" s="148"/>
      <c r="M395" s="148"/>
      <c r="N395" s="148"/>
      <c r="O395" s="148"/>
      <c r="P395" s="148"/>
      <c r="Q395" s="148"/>
      <c r="R395" s="148"/>
      <c r="S395" s="148"/>
      <c r="T395" s="180"/>
    </row>
    <row r="396" spans="2:21" x14ac:dyDescent="0.2">
      <c r="B396" s="64">
        <f>MAX(B$344:B395)+1</f>
        <v>207</v>
      </c>
      <c r="C396" s="33"/>
      <c r="D396" s="26" t="s">
        <v>1139</v>
      </c>
      <c r="E396" s="64"/>
      <c r="F396" s="16" t="s">
        <v>56</v>
      </c>
      <c r="G396" s="64"/>
      <c r="H396" s="122">
        <v>5702.7569299999996</v>
      </c>
      <c r="I396" s="341"/>
      <c r="J396" s="122">
        <f>$H396*K396/100</f>
        <v>1312.8420884658863</v>
      </c>
      <c r="K396" s="147">
        <v>23.021182641671636</v>
      </c>
      <c r="L396" s="239"/>
      <c r="M396" s="122">
        <f>J396-O396</f>
        <v>70.159885145191993</v>
      </c>
      <c r="N396" s="238"/>
      <c r="O396" s="122">
        <f>Q396</f>
        <v>1242.6822033206943</v>
      </c>
      <c r="P396" s="122">
        <f>Q396-O396</f>
        <v>0</v>
      </c>
      <c r="Q396" s="122">
        <f>$H396*R396/100</f>
        <v>1242.6822033206943</v>
      </c>
      <c r="R396" s="147">
        <v>21.79090251564859</v>
      </c>
      <c r="S396" s="124">
        <f>Q396/O396</f>
        <v>1</v>
      </c>
      <c r="T396" s="178">
        <f>R396/K396-1</f>
        <v>-5.3441221729246147E-2</v>
      </c>
    </row>
    <row r="397" spans="2:21" x14ac:dyDescent="0.2">
      <c r="B397" s="64"/>
      <c r="C397" s="33"/>
      <c r="D397" s="26"/>
      <c r="E397" s="64"/>
      <c r="F397" s="16"/>
      <c r="G397" s="64"/>
      <c r="H397" s="122"/>
      <c r="I397" s="341"/>
      <c r="J397" s="122"/>
      <c r="K397" s="147"/>
      <c r="L397" s="239"/>
      <c r="M397" s="122"/>
      <c r="N397" s="238"/>
      <c r="O397" s="122"/>
      <c r="P397" s="122"/>
      <c r="Q397" s="122"/>
      <c r="R397" s="147"/>
      <c r="S397" s="124"/>
      <c r="T397" s="178"/>
    </row>
    <row r="398" spans="2:21" ht="13.5" thickBot="1" x14ac:dyDescent="0.25">
      <c r="B398" s="64">
        <f>MAX(B$344:B397)+1</f>
        <v>208</v>
      </c>
      <c r="C398" s="33"/>
      <c r="D398" s="26" t="s">
        <v>202</v>
      </c>
      <c r="E398" s="64"/>
      <c r="F398" s="16"/>
      <c r="G398" s="64"/>
      <c r="H398" s="159">
        <f>H392</f>
        <v>126830.75640999997</v>
      </c>
      <c r="I398" s="341"/>
      <c r="J398" s="159">
        <f>SUM(J392,J394,J396)</f>
        <v>6193.7088931148774</v>
      </c>
      <c r="K398" s="140">
        <f>J398/$H398*100</f>
        <v>4.8834439440641342</v>
      </c>
      <c r="L398" s="239"/>
      <c r="M398" s="159">
        <f>SUM(M392,M394,M396)</f>
        <v>2010.6064666368836</v>
      </c>
      <c r="N398" s="238"/>
      <c r="O398" s="159">
        <f>SUM(O392,O394,O396)</f>
        <v>4183.1024264779944</v>
      </c>
      <c r="P398" s="159">
        <f>SUM(P392,P394,P396)</f>
        <v>-8.8107299234252423E-13</v>
      </c>
      <c r="Q398" s="159">
        <f>SUM(Q392,Q394,Q396)</f>
        <v>4183.1024264779935</v>
      </c>
      <c r="R398" s="140">
        <f>Q398/$H398*100</f>
        <v>3.2981766764486289</v>
      </c>
      <c r="S398" s="345">
        <f>Q398/O398</f>
        <v>0.99999999999999978</v>
      </c>
      <c r="T398" s="179">
        <f>R398/K398-1</f>
        <v>-0.32462075653441469</v>
      </c>
    </row>
    <row r="399" spans="2:21" ht="13.5" thickTop="1" x14ac:dyDescent="0.2">
      <c r="B399" s="60"/>
      <c r="C399" s="30"/>
      <c r="D399" s="29"/>
      <c r="E399" s="60"/>
      <c r="F399" s="192"/>
      <c r="G399" s="60"/>
      <c r="H399" s="346"/>
      <c r="I399" s="153"/>
      <c r="J399" s="346"/>
      <c r="K399" s="347"/>
      <c r="L399" s="346"/>
      <c r="M399" s="346"/>
      <c r="N399" s="348"/>
      <c r="O399" s="346"/>
      <c r="P399" s="346"/>
      <c r="Q399" s="346"/>
      <c r="R399" s="347"/>
      <c r="S399" s="172"/>
      <c r="T399" s="349"/>
    </row>
    <row r="400" spans="2:21" x14ac:dyDescent="0.2">
      <c r="B400" s="549" t="s">
        <v>506</v>
      </c>
      <c r="C400" s="549"/>
      <c r="D400" s="549"/>
      <c r="E400" s="549"/>
      <c r="F400" s="549"/>
      <c r="G400" s="549"/>
      <c r="H400" s="549"/>
      <c r="I400" s="549"/>
      <c r="J400" s="549"/>
      <c r="K400" s="549"/>
      <c r="L400" s="549"/>
      <c r="M400" s="549"/>
      <c r="N400" s="549"/>
      <c r="O400" s="549"/>
      <c r="P400" s="549"/>
      <c r="Q400" s="549"/>
      <c r="R400" s="549"/>
      <c r="S400" s="549"/>
      <c r="T400" s="549"/>
      <c r="U400" s="31"/>
    </row>
    <row r="401" spans="2:21" x14ac:dyDescent="0.2">
      <c r="B401" s="549" t="s">
        <v>1057</v>
      </c>
      <c r="C401" s="549"/>
      <c r="D401" s="549"/>
      <c r="E401" s="549"/>
      <c r="F401" s="549"/>
      <c r="G401" s="549"/>
      <c r="H401" s="549"/>
      <c r="I401" s="549"/>
      <c r="J401" s="549"/>
      <c r="K401" s="549"/>
      <c r="L401" s="549"/>
      <c r="M401" s="549"/>
      <c r="N401" s="549"/>
      <c r="O401" s="549"/>
      <c r="P401" s="549"/>
      <c r="Q401" s="549"/>
      <c r="R401" s="549"/>
      <c r="S401" s="549"/>
      <c r="T401" s="549"/>
      <c r="U401" s="31"/>
    </row>
    <row r="402" spans="2:21" x14ac:dyDescent="0.2">
      <c r="B402" s="168"/>
      <c r="C402" s="168"/>
      <c r="D402" s="168"/>
      <c r="E402" s="168"/>
      <c r="F402" s="170"/>
      <c r="G402" s="168"/>
      <c r="H402" s="170"/>
      <c r="I402" s="168"/>
      <c r="J402" s="170"/>
      <c r="K402" s="170"/>
      <c r="L402" s="170"/>
      <c r="M402" s="170"/>
      <c r="N402" s="168"/>
      <c r="O402" s="168"/>
      <c r="P402" s="168"/>
      <c r="Q402" s="168"/>
      <c r="R402" s="168"/>
      <c r="S402" s="169"/>
      <c r="T402" s="361"/>
    </row>
    <row r="403" spans="2:21" x14ac:dyDescent="0.2">
      <c r="B403" s="170"/>
      <c r="C403" s="170"/>
      <c r="D403" s="170"/>
      <c r="E403" s="170"/>
      <c r="F403" s="340"/>
      <c r="G403" s="170"/>
      <c r="H403" s="340"/>
      <c r="I403" s="170"/>
      <c r="J403" s="173" t="s">
        <v>57</v>
      </c>
      <c r="K403" s="173"/>
      <c r="L403" s="170"/>
      <c r="M403" s="170"/>
      <c r="N403" s="170"/>
      <c r="O403" s="173" t="s">
        <v>60</v>
      </c>
      <c r="P403" s="173"/>
      <c r="Q403" s="173"/>
      <c r="R403" s="173"/>
      <c r="S403" s="174"/>
      <c r="T403" s="362"/>
    </row>
    <row r="404" spans="2:21" s="45" customFormat="1" ht="39" customHeight="1" x14ac:dyDescent="0.2">
      <c r="B404" s="154" t="s">
        <v>0</v>
      </c>
      <c r="C404" s="154"/>
      <c r="D404" s="154"/>
      <c r="E404" s="154"/>
      <c r="F404" s="60" t="s">
        <v>47</v>
      </c>
      <c r="G404" s="154"/>
      <c r="H404" s="45" t="s">
        <v>746</v>
      </c>
      <c r="I404" s="154"/>
      <c r="J404" s="45" t="s">
        <v>61</v>
      </c>
      <c r="K404" s="45" t="s">
        <v>571</v>
      </c>
      <c r="L404" s="154"/>
      <c r="M404" s="45" t="s">
        <v>34</v>
      </c>
      <c r="N404" s="154"/>
      <c r="O404" s="154" t="s">
        <v>79</v>
      </c>
      <c r="P404" s="45" t="s">
        <v>34</v>
      </c>
      <c r="Q404" s="45" t="s">
        <v>61</v>
      </c>
      <c r="R404" s="45" t="s">
        <v>69</v>
      </c>
      <c r="S404" s="154" t="s">
        <v>745</v>
      </c>
      <c r="T404" s="154" t="s">
        <v>747</v>
      </c>
      <c r="U404" s="154"/>
    </row>
    <row r="405" spans="2:21" ht="14.25" x14ac:dyDescent="0.2">
      <c r="B405" s="520" t="s">
        <v>1</v>
      </c>
      <c r="C405" s="33"/>
      <c r="D405" s="185" t="s">
        <v>33</v>
      </c>
      <c r="E405" s="64"/>
      <c r="F405" s="520" t="s">
        <v>48</v>
      </c>
      <c r="G405" s="64"/>
      <c r="H405" s="520" t="s">
        <v>560</v>
      </c>
      <c r="I405" s="64"/>
      <c r="J405" s="520" t="s">
        <v>389</v>
      </c>
      <c r="K405" s="520" t="s">
        <v>35</v>
      </c>
      <c r="L405" s="64"/>
      <c r="M405" s="520" t="s">
        <v>389</v>
      </c>
      <c r="N405" s="64"/>
      <c r="O405" s="520" t="s">
        <v>389</v>
      </c>
      <c r="P405" s="520" t="s">
        <v>389</v>
      </c>
      <c r="Q405" s="520" t="s">
        <v>389</v>
      </c>
      <c r="R405" s="520" t="s">
        <v>35</v>
      </c>
      <c r="S405" s="520" t="s">
        <v>36</v>
      </c>
      <c r="T405" s="363" t="s">
        <v>2</v>
      </c>
      <c r="U405" s="64"/>
    </row>
    <row r="406" spans="2:21" x14ac:dyDescent="0.2">
      <c r="B406" s="64"/>
      <c r="C406" s="33"/>
      <c r="D406" s="33"/>
      <c r="E406" s="64"/>
      <c r="F406" s="64"/>
      <c r="G406" s="64"/>
      <c r="H406" s="64" t="s">
        <v>3</v>
      </c>
      <c r="I406" s="64"/>
      <c r="J406" s="64" t="s">
        <v>4</v>
      </c>
      <c r="K406" s="64" t="s">
        <v>58</v>
      </c>
      <c r="L406" s="64"/>
      <c r="M406" s="64" t="s">
        <v>59</v>
      </c>
      <c r="N406" s="64"/>
      <c r="O406" s="64" t="s">
        <v>63</v>
      </c>
      <c r="P406" s="64" t="s">
        <v>227</v>
      </c>
      <c r="Q406" s="175" t="s">
        <v>38</v>
      </c>
      <c r="R406" s="175" t="s">
        <v>70</v>
      </c>
      <c r="S406" s="175" t="s">
        <v>479</v>
      </c>
      <c r="T406" s="364" t="s">
        <v>71</v>
      </c>
      <c r="U406" s="64"/>
    </row>
    <row r="407" spans="2:21" x14ac:dyDescent="0.2">
      <c r="B407" s="60"/>
      <c r="C407" s="30"/>
      <c r="D407" s="29"/>
      <c r="E407" s="60"/>
      <c r="F407" s="192"/>
      <c r="G407" s="60"/>
      <c r="H407" s="346"/>
      <c r="I407" s="153"/>
      <c r="J407" s="346"/>
      <c r="K407" s="347"/>
      <c r="L407" s="346"/>
      <c r="M407" s="346"/>
      <c r="N407" s="348"/>
      <c r="O407" s="346"/>
      <c r="P407" s="346"/>
      <c r="Q407" s="346"/>
      <c r="R407" s="347"/>
      <c r="S407" s="172"/>
      <c r="T407" s="349"/>
    </row>
    <row r="408" spans="2:21" x14ac:dyDescent="0.2">
      <c r="B408" s="64"/>
      <c r="C408" s="33"/>
      <c r="D408" s="31" t="s">
        <v>7</v>
      </c>
      <c r="E408" s="64"/>
      <c r="F408" s="186"/>
      <c r="G408" s="64"/>
      <c r="H408" s="350"/>
      <c r="I408" s="341"/>
      <c r="J408" s="350"/>
      <c r="K408" s="341"/>
      <c r="L408" s="341"/>
      <c r="M408" s="144"/>
      <c r="N408" s="341"/>
      <c r="O408" s="145"/>
      <c r="P408" s="341"/>
      <c r="Q408" s="341"/>
      <c r="R408" s="341"/>
      <c r="S408" s="341"/>
      <c r="T408" s="351"/>
      <c r="U408" s="64"/>
    </row>
    <row r="409" spans="2:21" x14ac:dyDescent="0.2">
      <c r="B409" s="64">
        <f>MAX(B$344:B408)+1</f>
        <v>209</v>
      </c>
      <c r="C409" s="33"/>
      <c r="D409" s="26" t="s">
        <v>85</v>
      </c>
      <c r="E409" s="64"/>
      <c r="F409" s="16" t="s">
        <v>55</v>
      </c>
      <c r="G409" s="64"/>
      <c r="H409" s="122">
        <v>144.00000000000003</v>
      </c>
      <c r="I409" s="341"/>
      <c r="J409" s="122">
        <f>$H409*K409/1000</f>
        <v>233.40384000000003</v>
      </c>
      <c r="K409" s="331">
        <v>1620.86</v>
      </c>
      <c r="L409" s="239"/>
      <c r="M409" s="122">
        <f t="shared" ref="M409:M413" si="105">J409-O409</f>
        <v>-406.72952489244142</v>
      </c>
      <c r="N409" s="238"/>
      <c r="O409" s="122">
        <v>640.13336489244148</v>
      </c>
      <c r="P409" s="122">
        <f t="shared" ref="P409:P412" si="106">Q409-O409</f>
        <v>-424.13336489244148</v>
      </c>
      <c r="Q409" s="122">
        <f>$H409*R409/1000</f>
        <v>216.00000000000003</v>
      </c>
      <c r="R409" s="331">
        <v>1500</v>
      </c>
      <c r="S409" s="124">
        <f>Q409/O409</f>
        <v>0.337429685509821</v>
      </c>
      <c r="T409" s="178">
        <f t="shared" ref="T409:T412" si="107">R409/K409-1</f>
        <v>-7.4565354194686684E-2</v>
      </c>
    </row>
    <row r="410" spans="2:21" x14ac:dyDescent="0.2">
      <c r="B410" s="64">
        <f>MAX(B$344:B409)+1</f>
        <v>210</v>
      </c>
      <c r="C410" s="33"/>
      <c r="D410" s="26" t="s">
        <v>89</v>
      </c>
      <c r="E410" s="64"/>
      <c r="F410" s="360" t="s">
        <v>81</v>
      </c>
      <c r="G410" s="64"/>
      <c r="H410" s="122">
        <v>42050.04</v>
      </c>
      <c r="I410" s="341"/>
      <c r="J410" s="122">
        <f>$H410*K410/100</f>
        <v>8387.3009783999987</v>
      </c>
      <c r="K410" s="147">
        <v>19.945999999999998</v>
      </c>
      <c r="L410" s="239"/>
      <c r="M410" s="122">
        <f t="shared" si="105"/>
        <v>3400.7068322271843</v>
      </c>
      <c r="N410" s="238"/>
      <c r="O410" s="122">
        <v>4986.5941461728144</v>
      </c>
      <c r="P410" s="122">
        <f t="shared" si="106"/>
        <v>424.13336489244102</v>
      </c>
      <c r="Q410" s="122">
        <f>$H410*R410/100</f>
        <v>5410.7275110652554</v>
      </c>
      <c r="R410" s="147">
        <v>12.867354016940899</v>
      </c>
      <c r="S410" s="124">
        <f>Q410/O410</f>
        <v>1.0850547192050832</v>
      </c>
      <c r="T410" s="178">
        <f t="shared" si="107"/>
        <v>-0.35489050351243856</v>
      </c>
    </row>
    <row r="411" spans="2:21" x14ac:dyDescent="0.2">
      <c r="B411" s="64">
        <f>MAX(B$344:B410)+1</f>
        <v>211</v>
      </c>
      <c r="C411" s="33"/>
      <c r="D411" s="26" t="s">
        <v>86</v>
      </c>
      <c r="E411" s="64"/>
      <c r="F411" s="16" t="s">
        <v>56</v>
      </c>
      <c r="G411" s="64"/>
      <c r="H411" s="122">
        <v>1076377.9679700001</v>
      </c>
      <c r="I411" s="341"/>
      <c r="J411" s="122">
        <f>$H411*K411/100</f>
        <v>3090.2811460418707</v>
      </c>
      <c r="K411" s="147">
        <v>0.28710000000000002</v>
      </c>
      <c r="L411" s="239"/>
      <c r="M411" s="122">
        <f t="shared" si="105"/>
        <v>1774.4292070558345</v>
      </c>
      <c r="N411" s="238"/>
      <c r="O411" s="122">
        <v>1315.8519389860362</v>
      </c>
      <c r="P411" s="122">
        <f t="shared" si="106"/>
        <v>-33.477465201928908</v>
      </c>
      <c r="Q411" s="122">
        <f>$H411*R411/100</f>
        <v>1282.3744737841073</v>
      </c>
      <c r="R411" s="147">
        <v>0.1191379340662841</v>
      </c>
      <c r="S411" s="124"/>
      <c r="T411" s="178">
        <f t="shared" si="107"/>
        <v>-0.58502983606309966</v>
      </c>
    </row>
    <row r="412" spans="2:21" x14ac:dyDescent="0.2">
      <c r="B412" s="64">
        <f>MAX(B$344:B411)+1</f>
        <v>212</v>
      </c>
      <c r="C412" s="33"/>
      <c r="D412" s="356" t="s">
        <v>185</v>
      </c>
      <c r="E412" s="64"/>
      <c r="F412" s="16" t="s">
        <v>56</v>
      </c>
      <c r="G412" s="64"/>
      <c r="H412" s="122">
        <v>28099.753000000001</v>
      </c>
      <c r="I412" s="341"/>
      <c r="J412" s="122">
        <f>$H412*K412/100</f>
        <v>80.674390863000013</v>
      </c>
      <c r="K412" s="147">
        <v>0.28710000000000002</v>
      </c>
      <c r="L412" s="239"/>
      <c r="M412" s="122">
        <f t="shared" si="105"/>
        <v>80.674390863000013</v>
      </c>
      <c r="N412" s="238"/>
      <c r="O412" s="122">
        <v>0</v>
      </c>
      <c r="P412" s="122">
        <f t="shared" si="106"/>
        <v>33.477465201928688</v>
      </c>
      <c r="Q412" s="122">
        <f>$H412*R412/100</f>
        <v>33.477465201928688</v>
      </c>
      <c r="R412" s="147">
        <v>0.1191379340662841</v>
      </c>
      <c r="S412" s="124"/>
      <c r="T412" s="178">
        <f t="shared" si="107"/>
        <v>-0.58502983606309966</v>
      </c>
    </row>
    <row r="413" spans="2:21" x14ac:dyDescent="0.2">
      <c r="B413" s="64">
        <f>MAX(B$344:B412)+1</f>
        <v>213</v>
      </c>
      <c r="C413" s="33"/>
      <c r="D413" s="356" t="s">
        <v>186</v>
      </c>
      <c r="E413" s="64"/>
      <c r="F413" s="16" t="s">
        <v>55</v>
      </c>
      <c r="G413" s="64"/>
      <c r="H413" s="122">
        <v>143.99999999999989</v>
      </c>
      <c r="I413" s="341"/>
      <c r="J413" s="122">
        <f>$H413*K413/1000</f>
        <v>35.72207999999997</v>
      </c>
      <c r="K413" s="331">
        <v>248.07</v>
      </c>
      <c r="L413" s="239"/>
      <c r="M413" s="122">
        <f t="shared" si="105"/>
        <v>35.72207999999997</v>
      </c>
      <c r="N413" s="238"/>
      <c r="O413" s="122"/>
      <c r="P413" s="122"/>
      <c r="Q413" s="122"/>
      <c r="R413" s="331"/>
      <c r="S413" s="124"/>
      <c r="T413" s="178"/>
    </row>
    <row r="414" spans="2:21" x14ac:dyDescent="0.2">
      <c r="B414" s="64"/>
      <c r="C414" s="33"/>
      <c r="D414" s="26"/>
      <c r="E414" s="64"/>
      <c r="F414" s="16"/>
      <c r="G414" s="64"/>
      <c r="H414" s="122"/>
      <c r="I414" s="341"/>
      <c r="J414" s="122"/>
      <c r="K414" s="147"/>
      <c r="L414" s="239"/>
      <c r="M414" s="122"/>
      <c r="N414" s="238"/>
      <c r="O414" s="122"/>
      <c r="P414" s="122"/>
      <c r="Q414" s="122"/>
      <c r="R414" s="147"/>
      <c r="S414" s="124"/>
      <c r="T414" s="178"/>
    </row>
    <row r="415" spans="2:21" x14ac:dyDescent="0.2">
      <c r="B415" s="64">
        <f>MAX(B$344:B414)+1</f>
        <v>214</v>
      </c>
      <c r="C415" s="33"/>
      <c r="D415" s="26" t="s">
        <v>68</v>
      </c>
      <c r="E415" s="64"/>
      <c r="F415" s="16"/>
      <c r="G415" s="64"/>
      <c r="H415" s="146">
        <f>H411</f>
        <v>1076377.9679700001</v>
      </c>
      <c r="I415" s="341"/>
      <c r="J415" s="146">
        <f>SUM(J409:J413)</f>
        <v>11827.382435304869</v>
      </c>
      <c r="K415" s="139">
        <f>J415/$H415*100</f>
        <v>1.0988131295190642</v>
      </c>
      <c r="L415" s="239"/>
      <c r="M415" s="146">
        <f>SUM(M409:M413)</f>
        <v>4884.8029852535765</v>
      </c>
      <c r="N415" s="238"/>
      <c r="O415" s="146">
        <f>SUM(O409:O413)</f>
        <v>6942.5794500512911</v>
      </c>
      <c r="P415" s="146">
        <f>SUM(P409:P413)</f>
        <v>-6.7501559897209518E-13</v>
      </c>
      <c r="Q415" s="146">
        <f>SUM(Q409:Q413)</f>
        <v>6942.5794500512911</v>
      </c>
      <c r="R415" s="139">
        <f>Q415/$H415*100</f>
        <v>0.64499457036868568</v>
      </c>
      <c r="S415" s="342">
        <f>Q415/O415</f>
        <v>1</v>
      </c>
      <c r="T415" s="177">
        <f>R415/K415-1</f>
        <v>-0.41300795099618881</v>
      </c>
    </row>
    <row r="416" spans="2:21" x14ac:dyDescent="0.2">
      <c r="H416" s="148"/>
      <c r="I416" s="148"/>
      <c r="J416" s="148"/>
      <c r="K416" s="148"/>
      <c r="L416" s="148"/>
      <c r="M416" s="148"/>
      <c r="N416" s="148"/>
      <c r="O416" s="148"/>
      <c r="P416" s="148"/>
      <c r="Q416" s="148"/>
      <c r="R416" s="148"/>
      <c r="S416" s="148"/>
      <c r="T416" s="180"/>
    </row>
    <row r="417" spans="2:20" x14ac:dyDescent="0.2">
      <c r="B417" s="64"/>
      <c r="C417" s="33"/>
      <c r="D417" s="26" t="s">
        <v>187</v>
      </c>
      <c r="E417" s="64"/>
      <c r="F417" s="16"/>
      <c r="G417" s="64"/>
      <c r="H417" s="148"/>
      <c r="I417" s="148"/>
      <c r="J417" s="148"/>
      <c r="K417" s="148"/>
      <c r="L417" s="148"/>
      <c r="M417" s="148"/>
      <c r="N417" s="148"/>
      <c r="O417" s="148"/>
      <c r="P417" s="148"/>
      <c r="Q417" s="148"/>
      <c r="R417" s="148"/>
      <c r="S417" s="148"/>
      <c r="T417" s="180"/>
    </row>
    <row r="418" spans="2:20" x14ac:dyDescent="0.2">
      <c r="B418" s="64">
        <f>MAX(B$344:B417)+1</f>
        <v>215</v>
      </c>
      <c r="C418" s="33"/>
      <c r="D418" s="27" t="s">
        <v>189</v>
      </c>
      <c r="E418" s="64"/>
      <c r="F418" s="360" t="s">
        <v>81</v>
      </c>
      <c r="G418" s="64"/>
      <c r="H418" s="122">
        <v>0</v>
      </c>
      <c r="I418" s="341"/>
      <c r="J418" s="122">
        <f>$H418*K418/100</f>
        <v>0</v>
      </c>
      <c r="K418" s="147">
        <v>75.2744</v>
      </c>
      <c r="L418" s="239"/>
      <c r="M418" s="122">
        <f t="shared" ref="M418:M419" si="108">J418-O418</f>
        <v>0</v>
      </c>
      <c r="N418" s="238"/>
      <c r="O418" s="147">
        <v>0</v>
      </c>
      <c r="P418" s="122">
        <f t="shared" ref="P418:P419" si="109">Q418-O418</f>
        <v>0</v>
      </c>
      <c r="Q418" s="122">
        <f>$H418*R418/100</f>
        <v>0</v>
      </c>
      <c r="R418" s="147">
        <v>18.428616187242433</v>
      </c>
      <c r="S418" s="124"/>
      <c r="T418" s="178"/>
    </row>
    <row r="419" spans="2:20" x14ac:dyDescent="0.2">
      <c r="B419" s="64">
        <f>MAX(B$344:B418)+1</f>
        <v>216</v>
      </c>
      <c r="C419" s="33"/>
      <c r="D419" s="27" t="s">
        <v>196</v>
      </c>
      <c r="E419" s="64"/>
      <c r="F419" s="360" t="s">
        <v>81</v>
      </c>
      <c r="G419" s="64"/>
      <c r="H419" s="122">
        <v>0</v>
      </c>
      <c r="I419" s="341"/>
      <c r="J419" s="122">
        <f>$H419*K419/100</f>
        <v>0</v>
      </c>
      <c r="K419" s="147">
        <v>114.0459</v>
      </c>
      <c r="L419" s="239"/>
      <c r="M419" s="122">
        <f t="shared" si="108"/>
        <v>0</v>
      </c>
      <c r="N419" s="238"/>
      <c r="O419" s="147">
        <v>0</v>
      </c>
      <c r="P419" s="122">
        <f t="shared" si="109"/>
        <v>0</v>
      </c>
      <c r="Q419" s="122">
        <f>$H419*R419/100</f>
        <v>0</v>
      </c>
      <c r="R419" s="147">
        <v>18.428616187242433</v>
      </c>
      <c r="S419" s="124"/>
      <c r="T419" s="178"/>
    </row>
    <row r="420" spans="2:20" x14ac:dyDescent="0.2">
      <c r="B420" s="64"/>
      <c r="C420" s="33"/>
      <c r="D420" s="26" t="s">
        <v>188</v>
      </c>
      <c r="E420" s="64"/>
      <c r="F420" s="16"/>
      <c r="G420" s="64"/>
      <c r="H420" s="148"/>
      <c r="I420" s="148"/>
      <c r="J420" s="148"/>
      <c r="K420" s="148"/>
      <c r="L420" s="148"/>
      <c r="M420" s="148"/>
      <c r="N420" s="148"/>
      <c r="O420" s="148"/>
      <c r="P420" s="148"/>
      <c r="Q420" s="148"/>
      <c r="R420" s="148"/>
      <c r="S420" s="148"/>
      <c r="T420" s="180"/>
    </row>
    <row r="421" spans="2:20" x14ac:dyDescent="0.2">
      <c r="B421" s="64">
        <f>MAX(B$344:B420)+1</f>
        <v>217</v>
      </c>
      <c r="C421" s="33"/>
      <c r="D421" s="27" t="s">
        <v>192</v>
      </c>
      <c r="E421" s="64"/>
      <c r="F421" s="16" t="s">
        <v>56</v>
      </c>
      <c r="G421" s="64"/>
      <c r="H421" s="122">
        <v>0</v>
      </c>
      <c r="I421" s="341"/>
      <c r="J421" s="122">
        <f>$H421*K421/100</f>
        <v>0</v>
      </c>
      <c r="K421" s="147">
        <v>4.2342000000000004</v>
      </c>
      <c r="L421" s="239"/>
      <c r="M421" s="122">
        <f t="shared" ref="M421:M424" si="110">J421-O421</f>
        <v>0</v>
      </c>
      <c r="N421" s="238"/>
      <c r="O421" s="122">
        <f t="shared" ref="O421:O424" si="111">Q421</f>
        <v>0</v>
      </c>
      <c r="P421" s="122">
        <f t="shared" ref="P421:P424" si="112">Q421-O421</f>
        <v>0</v>
      </c>
      <c r="Q421" s="122">
        <f>$H421*R421/100</f>
        <v>0</v>
      </c>
      <c r="R421" s="147">
        <v>1.1669086781894442</v>
      </c>
      <c r="S421" s="124"/>
      <c r="T421" s="178"/>
    </row>
    <row r="422" spans="2:20" x14ac:dyDescent="0.2">
      <c r="B422" s="64">
        <f>MAX(B$344:B421)+1</f>
        <v>218</v>
      </c>
      <c r="C422" s="33"/>
      <c r="D422" s="27" t="s">
        <v>193</v>
      </c>
      <c r="E422" s="64"/>
      <c r="F422" s="16" t="s">
        <v>56</v>
      </c>
      <c r="G422" s="64"/>
      <c r="H422" s="122">
        <v>0</v>
      </c>
      <c r="I422" s="341"/>
      <c r="J422" s="122">
        <f>$H422*K422/100</f>
        <v>0</v>
      </c>
      <c r="K422" s="147">
        <v>6.54</v>
      </c>
      <c r="L422" s="239"/>
      <c r="M422" s="122">
        <f t="shared" si="110"/>
        <v>0</v>
      </c>
      <c r="N422" s="238"/>
      <c r="O422" s="122">
        <f t="shared" si="111"/>
        <v>0</v>
      </c>
      <c r="P422" s="122">
        <f t="shared" si="112"/>
        <v>0</v>
      </c>
      <c r="Q422" s="122">
        <f>$H422*R422/100</f>
        <v>0</v>
      </c>
      <c r="R422" s="147">
        <v>1.1669086781894442</v>
      </c>
      <c r="S422" s="124"/>
      <c r="T422" s="178"/>
    </row>
    <row r="423" spans="2:20" x14ac:dyDescent="0.2">
      <c r="B423" s="64">
        <f>MAX(B$344:B422)+1</f>
        <v>219</v>
      </c>
      <c r="C423" s="33"/>
      <c r="D423" s="27" t="s">
        <v>195</v>
      </c>
      <c r="E423" s="64"/>
      <c r="F423" s="16" t="s">
        <v>56</v>
      </c>
      <c r="G423" s="64"/>
      <c r="H423" s="122">
        <v>0</v>
      </c>
      <c r="I423" s="341"/>
      <c r="J423" s="122">
        <f>$H423*K423/100</f>
        <v>0</v>
      </c>
      <c r="K423" s="147">
        <v>4.2342000000000004</v>
      </c>
      <c r="L423" s="239"/>
      <c r="M423" s="122">
        <f t="shared" si="110"/>
        <v>0</v>
      </c>
      <c r="N423" s="238"/>
      <c r="O423" s="122">
        <f t="shared" si="111"/>
        <v>0</v>
      </c>
      <c r="P423" s="122">
        <f t="shared" si="112"/>
        <v>0</v>
      </c>
      <c r="Q423" s="122">
        <f>$H423*R423/100</f>
        <v>0</v>
      </c>
      <c r="R423" s="147">
        <v>3.0288755836824537</v>
      </c>
      <c r="S423" s="124"/>
      <c r="T423" s="178"/>
    </row>
    <row r="424" spans="2:20" x14ac:dyDescent="0.2">
      <c r="B424" s="64">
        <f>MAX(B$344:B423)+1</f>
        <v>220</v>
      </c>
      <c r="C424" s="33"/>
      <c r="D424" s="27" t="s">
        <v>194</v>
      </c>
      <c r="E424" s="64"/>
      <c r="F424" s="16" t="s">
        <v>56</v>
      </c>
      <c r="G424" s="64"/>
      <c r="H424" s="122">
        <v>0</v>
      </c>
      <c r="I424" s="341"/>
      <c r="J424" s="122">
        <f>$H424*K424/100</f>
        <v>0</v>
      </c>
      <c r="K424" s="147">
        <v>6.54</v>
      </c>
      <c r="L424" s="239"/>
      <c r="M424" s="122">
        <f t="shared" si="110"/>
        <v>0</v>
      </c>
      <c r="N424" s="238"/>
      <c r="O424" s="122">
        <f t="shared" si="111"/>
        <v>0</v>
      </c>
      <c r="P424" s="122">
        <f t="shared" si="112"/>
        <v>0</v>
      </c>
      <c r="Q424" s="122">
        <f>$H424*R424/100</f>
        <v>0</v>
      </c>
      <c r="R424" s="147">
        <v>1.1669086781894442</v>
      </c>
      <c r="S424" s="124"/>
      <c r="T424" s="178"/>
    </row>
    <row r="425" spans="2:20" x14ac:dyDescent="0.2">
      <c r="B425" s="64"/>
      <c r="C425" s="33"/>
      <c r="D425" s="26" t="s">
        <v>190</v>
      </c>
      <c r="E425" s="64"/>
      <c r="F425" s="16"/>
      <c r="G425" s="64"/>
      <c r="H425" s="148"/>
      <c r="I425" s="148"/>
      <c r="J425" s="148"/>
      <c r="K425" s="148"/>
      <c r="L425" s="148"/>
      <c r="M425" s="148"/>
      <c r="N425" s="148"/>
      <c r="O425" s="148"/>
      <c r="P425" s="148"/>
      <c r="Q425" s="148"/>
      <c r="R425" s="148"/>
      <c r="S425" s="148"/>
      <c r="T425" s="180"/>
    </row>
    <row r="426" spans="2:20" x14ac:dyDescent="0.2">
      <c r="B426" s="64">
        <f>MAX(B$344:B425)+1</f>
        <v>221</v>
      </c>
      <c r="C426" s="33"/>
      <c r="D426" s="27" t="s">
        <v>192</v>
      </c>
      <c r="E426" s="64"/>
      <c r="F426" s="16" t="s">
        <v>56</v>
      </c>
      <c r="G426" s="64"/>
      <c r="H426" s="122">
        <v>0</v>
      </c>
      <c r="I426" s="341"/>
      <c r="J426" s="122">
        <f>$H426*K426/100</f>
        <v>0</v>
      </c>
      <c r="K426" s="147">
        <v>0</v>
      </c>
      <c r="L426" s="239"/>
      <c r="M426" s="122">
        <f t="shared" ref="M426:M429" si="113">J426-O426</f>
        <v>0</v>
      </c>
      <c r="N426" s="238"/>
      <c r="O426" s="122">
        <f t="shared" ref="O426:O429" si="114">Q426</f>
        <v>0</v>
      </c>
      <c r="P426" s="122">
        <f t="shared" ref="P426:P429" si="115">Q426-O426</f>
        <v>0</v>
      </c>
      <c r="Q426" s="122">
        <f>$H426*R426/100</f>
        <v>0</v>
      </c>
      <c r="R426" s="147">
        <v>1.1669086781894442</v>
      </c>
      <c r="S426" s="124"/>
      <c r="T426" s="178"/>
    </row>
    <row r="427" spans="2:20" x14ac:dyDescent="0.2">
      <c r="B427" s="64">
        <f>MAX(B$344:B426)+1</f>
        <v>222</v>
      </c>
      <c r="C427" s="33"/>
      <c r="D427" s="27" t="s">
        <v>193</v>
      </c>
      <c r="E427" s="64"/>
      <c r="F427" s="16" t="s">
        <v>56</v>
      </c>
      <c r="G427" s="64"/>
      <c r="H427" s="122">
        <v>0</v>
      </c>
      <c r="I427" s="341"/>
      <c r="J427" s="122">
        <f>$H427*K427/100</f>
        <v>0</v>
      </c>
      <c r="K427" s="147">
        <v>0</v>
      </c>
      <c r="L427" s="239"/>
      <c r="M427" s="122">
        <f t="shared" si="113"/>
        <v>0</v>
      </c>
      <c r="N427" s="238"/>
      <c r="O427" s="122">
        <f t="shared" si="114"/>
        <v>0</v>
      </c>
      <c r="P427" s="122">
        <f t="shared" si="115"/>
        <v>0</v>
      </c>
      <c r="Q427" s="122">
        <f>$H427*R427/100</f>
        <v>0</v>
      </c>
      <c r="R427" s="147">
        <v>1.1669086781894442</v>
      </c>
      <c r="S427" s="124"/>
      <c r="T427" s="178"/>
    </row>
    <row r="428" spans="2:20" x14ac:dyDescent="0.2">
      <c r="B428" s="64">
        <f>MAX(B$344:B427)+1</f>
        <v>223</v>
      </c>
      <c r="C428" s="33"/>
      <c r="D428" s="27" t="s">
        <v>195</v>
      </c>
      <c r="E428" s="64"/>
      <c r="F428" s="16" t="s">
        <v>56</v>
      </c>
      <c r="G428" s="64"/>
      <c r="H428" s="122">
        <v>0</v>
      </c>
      <c r="I428" s="341"/>
      <c r="J428" s="122">
        <f>$H428*K428/100</f>
        <v>0</v>
      </c>
      <c r="K428" s="147">
        <v>0</v>
      </c>
      <c r="L428" s="239"/>
      <c r="M428" s="122">
        <f t="shared" si="113"/>
        <v>0</v>
      </c>
      <c r="N428" s="238"/>
      <c r="O428" s="122">
        <f t="shared" si="114"/>
        <v>0</v>
      </c>
      <c r="P428" s="122">
        <f t="shared" si="115"/>
        <v>0</v>
      </c>
      <c r="Q428" s="122">
        <f>$H428*R428/100</f>
        <v>0</v>
      </c>
      <c r="R428" s="147">
        <v>3.0288755836824537</v>
      </c>
      <c r="S428" s="124"/>
      <c r="T428" s="178"/>
    </row>
    <row r="429" spans="2:20" x14ac:dyDescent="0.2">
      <c r="B429" s="64">
        <f>MAX(B$344:B428)+1</f>
        <v>224</v>
      </c>
      <c r="C429" s="33"/>
      <c r="D429" s="27" t="s">
        <v>194</v>
      </c>
      <c r="E429" s="64"/>
      <c r="F429" s="16" t="s">
        <v>56</v>
      </c>
      <c r="G429" s="64"/>
      <c r="H429" s="122">
        <v>0</v>
      </c>
      <c r="I429" s="341"/>
      <c r="J429" s="122">
        <f>$H429*K429/100</f>
        <v>0</v>
      </c>
      <c r="K429" s="147">
        <v>0</v>
      </c>
      <c r="L429" s="239"/>
      <c r="M429" s="122">
        <f t="shared" si="113"/>
        <v>0</v>
      </c>
      <c r="N429" s="238"/>
      <c r="O429" s="122">
        <f t="shared" si="114"/>
        <v>0</v>
      </c>
      <c r="P429" s="122">
        <f t="shared" si="115"/>
        <v>0</v>
      </c>
      <c r="Q429" s="122">
        <f>$H429*R429/100</f>
        <v>0</v>
      </c>
      <c r="R429" s="147">
        <v>1.1669086781894442</v>
      </c>
      <c r="S429" s="124"/>
      <c r="T429" s="178"/>
    </row>
    <row r="430" spans="2:20" x14ac:dyDescent="0.2">
      <c r="B430" s="64">
        <f>MAX(B$344:B429)+1</f>
        <v>225</v>
      </c>
      <c r="D430" s="26" t="s">
        <v>191</v>
      </c>
      <c r="E430" s="64"/>
      <c r="F430" s="16"/>
      <c r="G430" s="64"/>
      <c r="H430" s="146">
        <f>SUM(H421:H429)</f>
        <v>0</v>
      </c>
      <c r="I430" s="341"/>
      <c r="J430" s="146">
        <f>SUM(J418:J429)</f>
        <v>0</v>
      </c>
      <c r="K430" s="139"/>
      <c r="L430" s="239"/>
      <c r="M430" s="146">
        <f>SUM(M418:M429)</f>
        <v>0</v>
      </c>
      <c r="N430" s="238"/>
      <c r="O430" s="146">
        <f>SUM(O418:O429)</f>
        <v>0</v>
      </c>
      <c r="P430" s="146">
        <f>SUM(P418:P429)</f>
        <v>0</v>
      </c>
      <c r="Q430" s="146">
        <f>SUM(Q418:Q429)</f>
        <v>0</v>
      </c>
      <c r="R430" s="139"/>
      <c r="S430" s="342"/>
      <c r="T430" s="177"/>
    </row>
    <row r="431" spans="2:20" x14ac:dyDescent="0.2">
      <c r="B431" s="64"/>
      <c r="C431" s="33"/>
      <c r="D431" s="26"/>
      <c r="E431" s="64"/>
      <c r="F431" s="192"/>
      <c r="G431" s="64"/>
      <c r="H431" s="122"/>
      <c r="I431" s="341"/>
      <c r="J431" s="122"/>
      <c r="K431" s="147"/>
      <c r="L431" s="239"/>
      <c r="M431" s="122"/>
      <c r="N431" s="238"/>
      <c r="O431" s="122"/>
      <c r="P431" s="122"/>
      <c r="Q431" s="122"/>
      <c r="R431" s="240"/>
      <c r="S431" s="124"/>
      <c r="T431" s="343"/>
    </row>
    <row r="432" spans="2:20" x14ac:dyDescent="0.2">
      <c r="B432" s="64"/>
      <c r="C432" s="33"/>
      <c r="D432" s="26" t="s">
        <v>197</v>
      </c>
      <c r="E432" s="64"/>
      <c r="F432" s="16"/>
      <c r="G432" s="64"/>
      <c r="H432" s="148"/>
      <c r="I432" s="148"/>
      <c r="J432" s="148"/>
      <c r="K432" s="148"/>
      <c r="L432" s="148"/>
      <c r="M432" s="148"/>
      <c r="N432" s="148"/>
      <c r="O432" s="148"/>
      <c r="P432" s="148"/>
      <c r="Q432" s="148"/>
      <c r="R432" s="148"/>
      <c r="S432" s="148"/>
      <c r="T432" s="180"/>
    </row>
    <row r="433" spans="2:21" x14ac:dyDescent="0.2">
      <c r="B433" s="64">
        <f>MAX(B$344:B432)+1</f>
        <v>226</v>
      </c>
      <c r="C433" s="33"/>
      <c r="D433" s="27" t="s">
        <v>198</v>
      </c>
      <c r="E433" s="64"/>
      <c r="F433" s="16" t="s">
        <v>200</v>
      </c>
      <c r="G433" s="64"/>
      <c r="H433" s="122">
        <v>0</v>
      </c>
      <c r="I433" s="341"/>
      <c r="J433" s="122">
        <f>$H433*K433/1000</f>
        <v>0</v>
      </c>
      <c r="K433" s="158">
        <v>18.835000000000001</v>
      </c>
      <c r="L433" s="239"/>
      <c r="M433" s="122">
        <f t="shared" ref="M433:M434" si="116">J433-O433</f>
        <v>0</v>
      </c>
      <c r="N433" s="238"/>
      <c r="O433" s="122">
        <f t="shared" ref="O433:O434" si="117">Q433</f>
        <v>0</v>
      </c>
      <c r="P433" s="122">
        <f t="shared" ref="P433:P434" si="118">Q433-O433</f>
        <v>0</v>
      </c>
      <c r="Q433" s="122">
        <f>$H433*R433/1000</f>
        <v>0</v>
      </c>
      <c r="R433" s="158">
        <v>20.435325246083902</v>
      </c>
      <c r="S433" s="124"/>
      <c r="T433" s="178"/>
    </row>
    <row r="434" spans="2:21" x14ac:dyDescent="0.2">
      <c r="B434" s="64">
        <f>MAX(B$344:B433)+1</f>
        <v>227</v>
      </c>
      <c r="C434" s="33"/>
      <c r="D434" s="27" t="s">
        <v>199</v>
      </c>
      <c r="E434" s="64"/>
      <c r="F434" s="16" t="s">
        <v>104</v>
      </c>
      <c r="G434" s="64"/>
      <c r="H434" s="122">
        <v>0</v>
      </c>
      <c r="I434" s="341"/>
      <c r="J434" s="122">
        <f>$H434*K434/1000</f>
        <v>0</v>
      </c>
      <c r="K434" s="158">
        <v>0.24</v>
      </c>
      <c r="L434" s="239"/>
      <c r="M434" s="122">
        <f t="shared" si="116"/>
        <v>0</v>
      </c>
      <c r="N434" s="238"/>
      <c r="O434" s="122">
        <f t="shared" si="117"/>
        <v>0</v>
      </c>
      <c r="P434" s="122">
        <f t="shared" si="118"/>
        <v>0</v>
      </c>
      <c r="Q434" s="122">
        <f>$H434*R434/1000</f>
        <v>0</v>
      </c>
      <c r="R434" s="158">
        <v>0.10772267612887704</v>
      </c>
      <c r="S434" s="124"/>
      <c r="T434" s="178"/>
    </row>
    <row r="435" spans="2:21" x14ac:dyDescent="0.2">
      <c r="B435" s="64">
        <f>MAX(B$344:B434)+1</f>
        <v>228</v>
      </c>
      <c r="C435" s="33"/>
      <c r="D435" s="26" t="s">
        <v>197</v>
      </c>
      <c r="E435" s="64"/>
      <c r="F435" s="16"/>
      <c r="G435" s="64"/>
      <c r="H435" s="146">
        <f>H434</f>
        <v>0</v>
      </c>
      <c r="I435" s="341"/>
      <c r="J435" s="146">
        <f>SUM(J433:J434)</f>
        <v>0</v>
      </c>
      <c r="K435" s="149"/>
      <c r="L435" s="239"/>
      <c r="M435" s="146">
        <f>SUM(M433:M434)</f>
        <v>0</v>
      </c>
      <c r="N435" s="238"/>
      <c r="O435" s="146">
        <f>SUM(O433:O434)</f>
        <v>0</v>
      </c>
      <c r="P435" s="146">
        <f>SUM(P433:P434)</f>
        <v>0</v>
      </c>
      <c r="Q435" s="146">
        <f>SUM(Q433:Q434)</f>
        <v>0</v>
      </c>
      <c r="R435" s="149"/>
      <c r="S435" s="342"/>
      <c r="T435" s="177"/>
    </row>
    <row r="436" spans="2:21" x14ac:dyDescent="0.2">
      <c r="B436" s="64"/>
      <c r="C436" s="33"/>
      <c r="D436" s="26"/>
      <c r="E436" s="64"/>
      <c r="F436" s="16"/>
      <c r="G436" s="64"/>
      <c r="H436" s="122"/>
      <c r="I436" s="341"/>
      <c r="J436" s="122"/>
      <c r="K436" s="147"/>
      <c r="L436" s="239"/>
      <c r="M436" s="122"/>
      <c r="N436" s="238"/>
      <c r="O436" s="122"/>
      <c r="P436" s="122"/>
      <c r="Q436" s="122"/>
      <c r="R436" s="147"/>
      <c r="S436" s="124"/>
      <c r="T436" s="178"/>
    </row>
    <row r="437" spans="2:21" ht="13.5" thickBot="1" x14ac:dyDescent="0.25">
      <c r="B437" s="64">
        <f>MAX(B$344:B436)+1</f>
        <v>229</v>
      </c>
      <c r="C437" s="33"/>
      <c r="D437" s="26" t="s">
        <v>82</v>
      </c>
      <c r="E437" s="64"/>
      <c r="F437" s="16"/>
      <c r="G437" s="64"/>
      <c r="H437" s="159">
        <f>H415</f>
        <v>1076377.9679700001</v>
      </c>
      <c r="I437" s="341"/>
      <c r="J437" s="159">
        <f>SUM(J415,J430,J435)</f>
        <v>11827.382435304869</v>
      </c>
      <c r="K437" s="140">
        <f>J437/$H437*100</f>
        <v>1.0988131295190642</v>
      </c>
      <c r="L437" s="239"/>
      <c r="M437" s="159">
        <f>SUM(M415,M430,M435)</f>
        <v>4884.8029852535765</v>
      </c>
      <c r="N437" s="238"/>
      <c r="O437" s="159">
        <f>SUM(O415,O430,O435)</f>
        <v>6942.5794500512911</v>
      </c>
      <c r="P437" s="159">
        <f>SUM(P415,P430,P435)</f>
        <v>-6.7501559897209518E-13</v>
      </c>
      <c r="Q437" s="159">
        <f>SUM(Q415,Q430,Q435)</f>
        <v>6942.5794500512911</v>
      </c>
      <c r="R437" s="140">
        <f>Q437/$H437*100</f>
        <v>0.64499457036868568</v>
      </c>
      <c r="S437" s="345">
        <f>Q437/O437</f>
        <v>1</v>
      </c>
      <c r="T437" s="179">
        <f>R437/K437-1</f>
        <v>-0.41300795099618881</v>
      </c>
    </row>
    <row r="438" spans="2:21" ht="13.5" thickTop="1" x14ac:dyDescent="0.2">
      <c r="B438" s="64"/>
      <c r="C438" s="33"/>
      <c r="D438" s="26"/>
      <c r="E438" s="64"/>
      <c r="F438" s="16"/>
      <c r="G438" s="64"/>
      <c r="H438" s="346"/>
      <c r="I438" s="341"/>
      <c r="J438" s="346"/>
      <c r="K438" s="147"/>
      <c r="L438" s="239"/>
      <c r="M438" s="346"/>
      <c r="N438" s="238"/>
      <c r="O438" s="346"/>
      <c r="P438" s="346"/>
      <c r="Q438" s="346"/>
      <c r="R438" s="147"/>
      <c r="S438" s="172"/>
      <c r="T438" s="178"/>
    </row>
    <row r="439" spans="2:21" x14ac:dyDescent="0.2">
      <c r="B439" s="60"/>
      <c r="C439" s="30"/>
      <c r="D439" s="358" t="s">
        <v>474</v>
      </c>
      <c r="E439" s="60"/>
      <c r="F439" s="192"/>
      <c r="G439" s="60"/>
      <c r="H439" s="346"/>
      <c r="I439" s="153"/>
      <c r="J439" s="346"/>
      <c r="K439" s="347"/>
      <c r="L439" s="346"/>
      <c r="M439" s="346"/>
      <c r="N439" s="348"/>
      <c r="O439" s="346"/>
      <c r="P439" s="346"/>
      <c r="Q439" s="346"/>
      <c r="R439" s="347"/>
      <c r="S439" s="172"/>
      <c r="T439" s="349"/>
    </row>
    <row r="440" spans="2:21" x14ac:dyDescent="0.2">
      <c r="B440" s="64"/>
      <c r="C440" s="33"/>
      <c r="D440" s="31" t="s">
        <v>20</v>
      </c>
      <c r="E440" s="64"/>
      <c r="F440" s="186"/>
      <c r="G440" s="64"/>
      <c r="H440" s="350"/>
      <c r="I440" s="341"/>
      <c r="J440" s="350"/>
      <c r="K440" s="341"/>
      <c r="L440" s="341"/>
      <c r="M440" s="144"/>
      <c r="N440" s="341"/>
      <c r="O440" s="145"/>
      <c r="P440" s="341"/>
      <c r="Q440" s="341"/>
      <c r="R440" s="341"/>
      <c r="S440" s="341"/>
      <c r="T440" s="351"/>
      <c r="U440" s="64"/>
    </row>
    <row r="441" spans="2:21" x14ac:dyDescent="0.2">
      <c r="B441" s="64">
        <f>MAX(B$66:B440)+1</f>
        <v>230</v>
      </c>
      <c r="C441" s="33"/>
      <c r="D441" s="26" t="s">
        <v>85</v>
      </c>
      <c r="E441" s="64"/>
      <c r="F441" s="16" t="s">
        <v>55</v>
      </c>
      <c r="G441" s="64"/>
      <c r="H441" s="122">
        <v>14434642</v>
      </c>
      <c r="I441" s="341"/>
      <c r="J441" s="122">
        <f>$H441*K441/1000</f>
        <v>331708.07316000003</v>
      </c>
      <c r="K441" s="331">
        <v>22.98</v>
      </c>
      <c r="L441" s="239"/>
      <c r="M441" s="122">
        <f>J441-O441</f>
        <v>-95457.465543359984</v>
      </c>
      <c r="N441" s="238"/>
      <c r="O441" s="122">
        <v>427165.53870336001</v>
      </c>
      <c r="P441" s="122">
        <f>Q441-O441</f>
        <v>-95168.772703360009</v>
      </c>
      <c r="Q441" s="122">
        <f>$H441*R441/1000</f>
        <v>331996.766</v>
      </c>
      <c r="R441" s="331">
        <v>23</v>
      </c>
      <c r="S441" s="124">
        <f>Q441/O441</f>
        <v>0.77720868356506445</v>
      </c>
      <c r="T441" s="178">
        <f t="shared" ref="T441" si="119">R441/K441-1</f>
        <v>8.7032201914705176E-4</v>
      </c>
    </row>
    <row r="442" spans="2:21" x14ac:dyDescent="0.2">
      <c r="B442" s="64"/>
      <c r="C442" s="33"/>
      <c r="D442" s="26" t="s">
        <v>86</v>
      </c>
      <c r="E442" s="64"/>
      <c r="F442" s="16"/>
      <c r="G442" s="64"/>
      <c r="H442" s="122"/>
      <c r="I442" s="341"/>
      <c r="J442" s="122"/>
      <c r="K442" s="147"/>
      <c r="L442" s="239"/>
      <c r="M442" s="122"/>
      <c r="N442" s="238"/>
      <c r="O442" s="122"/>
      <c r="P442" s="122"/>
      <c r="Q442" s="122"/>
      <c r="R442" s="147"/>
      <c r="S442" s="124"/>
      <c r="T442" s="178"/>
    </row>
    <row r="443" spans="2:21" x14ac:dyDescent="0.2">
      <c r="B443" s="64">
        <f>MAX(B$441:B442)+1</f>
        <v>231</v>
      </c>
      <c r="C443" s="33"/>
      <c r="D443" s="359" t="s">
        <v>91</v>
      </c>
      <c r="E443" s="64"/>
      <c r="F443" s="16" t="s">
        <v>56</v>
      </c>
      <c r="G443" s="64"/>
      <c r="H443" s="122">
        <v>1046728.4725490094</v>
      </c>
      <c r="I443" s="341"/>
      <c r="J443" s="122">
        <f>$H443*K443/100</f>
        <v>77844.149774997277</v>
      </c>
      <c r="K443" s="147">
        <v>7.4368999999999996</v>
      </c>
      <c r="L443" s="239"/>
      <c r="M443" s="122">
        <f t="shared" ref="M443:M445" si="120">J443-O443</f>
        <v>-16257.598288009074</v>
      </c>
      <c r="N443" s="238"/>
      <c r="O443" s="122">
        <v>94101.748063006351</v>
      </c>
      <c r="P443" s="122">
        <f t="shared" ref="P443:P445" si="121">Q443-O443</f>
        <v>32258.963765357636</v>
      </c>
      <c r="Q443" s="122">
        <f>$H443*R443/100</f>
        <v>126360.71182836399</v>
      </c>
      <c r="R443" s="147">
        <v>12.07196662193094</v>
      </c>
      <c r="S443" s="124"/>
      <c r="T443" s="178"/>
    </row>
    <row r="444" spans="2:21" x14ac:dyDescent="0.2">
      <c r="B444" s="64">
        <f>MAX(B$441:B443)+1</f>
        <v>232</v>
      </c>
      <c r="C444" s="33"/>
      <c r="D444" s="359" t="s">
        <v>92</v>
      </c>
      <c r="E444" s="64"/>
      <c r="F444" s="16" t="s">
        <v>56</v>
      </c>
      <c r="G444" s="64"/>
      <c r="H444" s="122">
        <v>936218.47187615535</v>
      </c>
      <c r="I444" s="341"/>
      <c r="J444" s="122">
        <f>$H444*K444/100</f>
        <v>66684.969314794798</v>
      </c>
      <c r="K444" s="147">
        <v>7.1227999999999998</v>
      </c>
      <c r="L444" s="239"/>
      <c r="M444" s="122">
        <f t="shared" si="120"/>
        <v>-13580.299982902376</v>
      </c>
      <c r="N444" s="238"/>
      <c r="O444" s="122">
        <v>80265.269297697174</v>
      </c>
      <c r="P444" s="122">
        <f t="shared" si="121"/>
        <v>27435.984099309178</v>
      </c>
      <c r="Q444" s="122">
        <f>$H444*R444/100</f>
        <v>107701.25339700635</v>
      </c>
      <c r="R444" s="147">
        <v>11.503859049178562</v>
      </c>
      <c r="S444" s="124"/>
      <c r="T444" s="178"/>
    </row>
    <row r="445" spans="2:21" x14ac:dyDescent="0.2">
      <c r="B445" s="64">
        <f>MAX(B$441:B444)+1</f>
        <v>233</v>
      </c>
      <c r="C445" s="33"/>
      <c r="D445" s="359" t="s">
        <v>93</v>
      </c>
      <c r="E445" s="64"/>
      <c r="F445" s="16" t="s">
        <v>56</v>
      </c>
      <c r="G445" s="64"/>
      <c r="H445" s="122">
        <v>1272185.1806675675</v>
      </c>
      <c r="I445" s="341"/>
      <c r="J445" s="122">
        <f>$H445*K445/100</f>
        <v>80291.423307472185</v>
      </c>
      <c r="K445" s="147">
        <v>6.3113000000000001</v>
      </c>
      <c r="L445" s="239"/>
      <c r="M445" s="122">
        <f t="shared" si="120"/>
        <v>-15080.308601002471</v>
      </c>
      <c r="N445" s="238"/>
      <c r="O445" s="122">
        <v>95371.731908474656</v>
      </c>
      <c r="P445" s="122">
        <f t="shared" si="121"/>
        <v>32306.199811626211</v>
      </c>
      <c r="Q445" s="122">
        <f>$H445*R445/100</f>
        <v>127677.93172010087</v>
      </c>
      <c r="R445" s="147">
        <v>10.036112168285362</v>
      </c>
      <c r="S445" s="124"/>
      <c r="T445" s="178"/>
    </row>
    <row r="446" spans="2:21" x14ac:dyDescent="0.2">
      <c r="B446" s="64">
        <f>MAX(B$441:B445)+1</f>
        <v>234</v>
      </c>
      <c r="C446" s="33"/>
      <c r="D446" s="26" t="s">
        <v>86</v>
      </c>
      <c r="E446" s="64"/>
      <c r="F446" s="16"/>
      <c r="G446" s="64"/>
      <c r="H446" s="146">
        <f>SUM(H443:H445)</f>
        <v>3255132.1250927323</v>
      </c>
      <c r="I446" s="341"/>
      <c r="J446" s="146">
        <f>SUM(J443:J445)</f>
        <v>224820.54239726427</v>
      </c>
      <c r="K446" s="139">
        <f>J446/$H446*100</f>
        <v>6.9066487551825446</v>
      </c>
      <c r="L446" s="239"/>
      <c r="M446" s="146">
        <f>SUM(M443:M445)</f>
        <v>-44918.206871913921</v>
      </c>
      <c r="N446" s="238"/>
      <c r="O446" s="146">
        <f>SUM(O443:O445)</f>
        <v>269738.7492691782</v>
      </c>
      <c r="P446" s="146">
        <f>SUM(P443:P445)</f>
        <v>92001.147676293025</v>
      </c>
      <c r="Q446" s="146">
        <f>SUM(Q443:Q445)</f>
        <v>361739.89694547118</v>
      </c>
      <c r="R446" s="139">
        <f>Q446/$H446*100</f>
        <v>11.112909800402218</v>
      </c>
      <c r="S446" s="342">
        <f>Q446/O446</f>
        <v>1.3410750139739211</v>
      </c>
      <c r="T446" s="177">
        <f>R446/K446-1</f>
        <v>0.60901620949862534</v>
      </c>
    </row>
    <row r="447" spans="2:21" x14ac:dyDescent="0.2">
      <c r="B447" s="64"/>
      <c r="C447" s="33"/>
      <c r="D447" s="26"/>
      <c r="E447" s="64"/>
      <c r="F447" s="16"/>
      <c r="G447" s="64"/>
      <c r="H447" s="122"/>
      <c r="I447" s="341"/>
      <c r="J447" s="122"/>
      <c r="K447" s="147"/>
      <c r="L447" s="239"/>
      <c r="M447" s="122"/>
      <c r="N447" s="238"/>
      <c r="O447" s="122"/>
      <c r="P447" s="122"/>
      <c r="Q447" s="122"/>
      <c r="R447" s="147"/>
      <c r="S447" s="124"/>
      <c r="T447" s="178"/>
    </row>
    <row r="448" spans="2:21" x14ac:dyDescent="0.2">
      <c r="B448" s="64">
        <f>MAX(B$441:B447)+1</f>
        <v>235</v>
      </c>
      <c r="C448" s="33"/>
      <c r="D448" s="26" t="s">
        <v>68</v>
      </c>
      <c r="E448" s="64"/>
      <c r="F448" s="16"/>
      <c r="G448" s="64"/>
      <c r="H448" s="146">
        <f>H446</f>
        <v>3255132.1250927323</v>
      </c>
      <c r="I448" s="341"/>
      <c r="J448" s="146">
        <f>J441+J446</f>
        <v>556528.6155572643</v>
      </c>
      <c r="K448" s="139">
        <f>J448/$H448*100</f>
        <v>17.096959329766374</v>
      </c>
      <c r="L448" s="239"/>
      <c r="M448" s="146">
        <f>M441+M446</f>
        <v>-140375.6724152739</v>
      </c>
      <c r="N448" s="238"/>
      <c r="O448" s="146">
        <f>O441+O446</f>
        <v>696904.28797253827</v>
      </c>
      <c r="P448" s="146">
        <f>P441+P446</f>
        <v>-3167.6250270669843</v>
      </c>
      <c r="Q448" s="146">
        <f>Q441+Q446</f>
        <v>693736.66294547124</v>
      </c>
      <c r="R448" s="139">
        <f>Q448/$H448*100</f>
        <v>21.312089226661055</v>
      </c>
      <c r="S448" s="342">
        <f>Q448/O448</f>
        <v>0.99545472013627234</v>
      </c>
      <c r="T448" s="177">
        <f>R448/K448-1</f>
        <v>0.24654266384993972</v>
      </c>
    </row>
    <row r="449" spans="2:21" x14ac:dyDescent="0.2">
      <c r="E449" s="64"/>
      <c r="F449" s="16"/>
      <c r="G449" s="64"/>
      <c r="H449" s="122"/>
      <c r="I449" s="341"/>
      <c r="J449" s="122"/>
      <c r="K449" s="147"/>
      <c r="L449" s="239"/>
      <c r="M449" s="122"/>
      <c r="N449" s="238"/>
      <c r="O449" s="122"/>
      <c r="P449" s="122"/>
      <c r="Q449" s="122"/>
      <c r="R449" s="147"/>
      <c r="S449" s="124"/>
      <c r="T449" s="178"/>
    </row>
    <row r="450" spans="2:21" x14ac:dyDescent="0.2">
      <c r="B450" s="64"/>
      <c r="C450" s="33"/>
      <c r="D450" s="26" t="s">
        <v>87</v>
      </c>
      <c r="E450" s="64"/>
      <c r="F450" s="192"/>
      <c r="G450" s="64"/>
      <c r="H450" s="122"/>
      <c r="I450" s="341"/>
      <c r="J450" s="122"/>
      <c r="K450" s="147"/>
      <c r="L450" s="239"/>
      <c r="M450" s="122"/>
      <c r="N450" s="238"/>
      <c r="O450" s="122"/>
      <c r="P450" s="122"/>
      <c r="Q450" s="122"/>
      <c r="R450" s="240"/>
      <c r="S450" s="124"/>
      <c r="T450" s="343"/>
    </row>
    <row r="451" spans="2:21" x14ac:dyDescent="0.2">
      <c r="B451" s="64">
        <f>MAX(B$441:B450)+1</f>
        <v>236</v>
      </c>
      <c r="C451" s="33"/>
      <c r="D451" s="27" t="s">
        <v>64</v>
      </c>
      <c r="E451" s="64"/>
      <c r="F451" s="192" t="s">
        <v>56</v>
      </c>
      <c r="G451" s="64"/>
      <c r="H451" s="122">
        <v>3073284.4249153822</v>
      </c>
      <c r="I451" s="341"/>
      <c r="J451" s="122">
        <f>$H451*K451/100</f>
        <v>0</v>
      </c>
      <c r="K451" s="147">
        <v>0</v>
      </c>
      <c r="L451" s="239"/>
      <c r="M451" s="122">
        <f t="shared" ref="M451:M452" si="122">J451-O451</f>
        <v>-55531.802558548537</v>
      </c>
      <c r="N451" s="238"/>
      <c r="O451" s="122">
        <f>Q451</f>
        <v>55531.802558548537</v>
      </c>
      <c r="P451" s="122">
        <f t="shared" ref="P451:P452" si="123">Q451-O451</f>
        <v>0</v>
      </c>
      <c r="Q451" s="122">
        <f>$H451*R451/100</f>
        <v>55531.802558548537</v>
      </c>
      <c r="R451" s="147">
        <v>1.80692037835312</v>
      </c>
      <c r="S451" s="344"/>
      <c r="T451" s="178"/>
    </row>
    <row r="452" spans="2:21" x14ac:dyDescent="0.2">
      <c r="B452" s="64">
        <f>MAX(B$441:B451)+1</f>
        <v>237</v>
      </c>
      <c r="C452" s="33"/>
      <c r="D452" s="27" t="s">
        <v>65</v>
      </c>
      <c r="E452" s="64"/>
      <c r="F452" s="192" t="s">
        <v>56</v>
      </c>
      <c r="G452" s="64"/>
      <c r="H452" s="122">
        <f>H446-H451</f>
        <v>181847.70017735008</v>
      </c>
      <c r="I452" s="341"/>
      <c r="J452" s="122">
        <f>$H452*K452/100</f>
        <v>0</v>
      </c>
      <c r="K452" s="147">
        <v>0</v>
      </c>
      <c r="L452" s="239"/>
      <c r="M452" s="122">
        <f t="shared" si="122"/>
        <v>-3285.8431520710214</v>
      </c>
      <c r="N452" s="239"/>
      <c r="O452" s="122">
        <f>Q452</f>
        <v>3285.8431520710214</v>
      </c>
      <c r="P452" s="122">
        <f t="shared" si="123"/>
        <v>0</v>
      </c>
      <c r="Q452" s="122">
        <f>$H452*R452/100</f>
        <v>3285.8431520710214</v>
      </c>
      <c r="R452" s="147">
        <v>1.80692037835312</v>
      </c>
      <c r="S452" s="344"/>
      <c r="T452" s="178"/>
      <c r="U452" s="64"/>
    </row>
    <row r="453" spans="2:21" x14ac:dyDescent="0.2">
      <c r="B453" s="64">
        <f>MAX(B$441:B452)+1</f>
        <v>238</v>
      </c>
      <c r="C453" s="33"/>
      <c r="D453" s="26" t="s">
        <v>87</v>
      </c>
      <c r="E453" s="64"/>
      <c r="F453" s="16"/>
      <c r="G453" s="64"/>
      <c r="H453" s="146">
        <f>SUM(H451:H452)</f>
        <v>3255132.1250927323</v>
      </c>
      <c r="I453" s="341"/>
      <c r="J453" s="146">
        <f>SUM(J451:J452)</f>
        <v>0</v>
      </c>
      <c r="K453" s="139">
        <f>J453/$H453*100</f>
        <v>0</v>
      </c>
      <c r="L453" s="239"/>
      <c r="M453" s="146">
        <f>SUM(M451:M452)</f>
        <v>-58817.645710619559</v>
      </c>
      <c r="N453" s="238"/>
      <c r="O453" s="146">
        <f>SUM(O451:O452)</f>
        <v>58817.645710619559</v>
      </c>
      <c r="P453" s="146">
        <f>SUM(P451:P452)</f>
        <v>0</v>
      </c>
      <c r="Q453" s="146">
        <f>SUM(Q451:Q452)</f>
        <v>58817.645710619559</v>
      </c>
      <c r="R453" s="139">
        <f>Q453/$H453*100</f>
        <v>1.80692037835312</v>
      </c>
      <c r="S453" s="342">
        <f>Q453/O453</f>
        <v>1</v>
      </c>
      <c r="T453" s="177"/>
    </row>
    <row r="454" spans="2:21" x14ac:dyDescent="0.2">
      <c r="H454" s="148"/>
      <c r="I454" s="148"/>
      <c r="J454" s="148"/>
      <c r="K454" s="148"/>
      <c r="L454" s="148"/>
      <c r="M454" s="148"/>
      <c r="N454" s="148"/>
      <c r="O454" s="148"/>
      <c r="P454" s="148"/>
      <c r="Q454" s="148"/>
      <c r="R454" s="148"/>
      <c r="S454" s="148"/>
      <c r="T454" s="180"/>
    </row>
    <row r="455" spans="2:21" x14ac:dyDescent="0.2">
      <c r="B455" s="64">
        <f>MAX(B$441:B454)+1</f>
        <v>239</v>
      </c>
      <c r="C455" s="33"/>
      <c r="D455" s="26" t="s">
        <v>88</v>
      </c>
      <c r="E455" s="64"/>
      <c r="F455" s="16" t="s">
        <v>56</v>
      </c>
      <c r="G455" s="64"/>
      <c r="H455" s="122">
        <f>H451</f>
        <v>3073284.4249153822</v>
      </c>
      <c r="I455" s="341"/>
      <c r="J455" s="122">
        <f>$H455*K455/100</f>
        <v>685054.756259099</v>
      </c>
      <c r="K455" s="147">
        <v>22.290639639640929</v>
      </c>
      <c r="L455" s="239"/>
      <c r="M455" s="122">
        <f>J455-O455</f>
        <v>42633.752750519896</v>
      </c>
      <c r="N455" s="238"/>
      <c r="O455" s="122">
        <f>Q455</f>
        <v>642421.0035085791</v>
      </c>
      <c r="P455" s="122">
        <f>Q455-O455</f>
        <v>0</v>
      </c>
      <c r="Q455" s="122">
        <f>$H455*R455/100</f>
        <v>642421.0035085791</v>
      </c>
      <c r="R455" s="147">
        <v>20.903402181080821</v>
      </c>
      <c r="S455" s="124">
        <f>Q455/O455</f>
        <v>1</v>
      </c>
      <c r="T455" s="178">
        <f>R455/K455-1</f>
        <v>-6.2234080357796984E-2</v>
      </c>
    </row>
    <row r="456" spans="2:21" x14ac:dyDescent="0.2">
      <c r="B456" s="64"/>
      <c r="C456" s="33"/>
      <c r="D456" s="26"/>
      <c r="E456" s="64"/>
      <c r="F456" s="16"/>
      <c r="G456" s="64"/>
      <c r="H456" s="122"/>
      <c r="I456" s="341"/>
      <c r="J456" s="122"/>
      <c r="K456" s="147"/>
      <c r="L456" s="239"/>
      <c r="M456" s="122"/>
      <c r="N456" s="238"/>
      <c r="O456" s="122"/>
      <c r="P456" s="122"/>
      <c r="Q456" s="122"/>
      <c r="R456" s="147"/>
      <c r="S456" s="124"/>
      <c r="T456" s="178"/>
    </row>
    <row r="457" spans="2:21" ht="13.5" thickBot="1" x14ac:dyDescent="0.25">
      <c r="B457" s="64">
        <f>MAX(B$441:B456)+1</f>
        <v>240</v>
      </c>
      <c r="C457" s="33"/>
      <c r="D457" s="26" t="s">
        <v>90</v>
      </c>
      <c r="E457" s="64"/>
      <c r="F457" s="16"/>
      <c r="G457" s="64"/>
      <c r="H457" s="159">
        <f>H446</f>
        <v>3255132.1250927323</v>
      </c>
      <c r="I457" s="341"/>
      <c r="J457" s="159">
        <f>J448+J453+J455</f>
        <v>1241583.3718163632</v>
      </c>
      <c r="K457" s="140">
        <f>J457/$H457*100</f>
        <v>38.142334138925094</v>
      </c>
      <c r="L457" s="239"/>
      <c r="M457" s="159">
        <f>M448+M453+M455</f>
        <v>-156559.56537537358</v>
      </c>
      <c r="N457" s="238"/>
      <c r="O457" s="159">
        <f>O448+O453+O455</f>
        <v>1398142.9371917369</v>
      </c>
      <c r="P457" s="159">
        <f>P448+P453+P455</f>
        <v>-3167.6250270669843</v>
      </c>
      <c r="Q457" s="159">
        <f>Q448+Q453+Q455</f>
        <v>1394975.3121646699</v>
      </c>
      <c r="R457" s="140">
        <f>Q457/$H457*100</f>
        <v>42.854644867139754</v>
      </c>
      <c r="S457" s="345">
        <f>Q457/O457</f>
        <v>0.99773440544396019</v>
      </c>
      <c r="T457" s="179">
        <f>R457/K457-1</f>
        <v>0.12354542097636445</v>
      </c>
    </row>
    <row r="458" spans="2:21" ht="13.5" thickTop="1" x14ac:dyDescent="0.2">
      <c r="B458" s="60"/>
      <c r="C458" s="30"/>
      <c r="D458" s="29"/>
      <c r="E458" s="60"/>
      <c r="F458" s="192"/>
      <c r="G458" s="60"/>
      <c r="H458" s="346"/>
      <c r="I458" s="153"/>
      <c r="J458" s="346"/>
      <c r="K458" s="347"/>
      <c r="L458" s="346"/>
      <c r="M458" s="346"/>
      <c r="N458" s="348"/>
      <c r="O458" s="346"/>
      <c r="P458" s="346"/>
      <c r="Q458" s="346"/>
      <c r="R458" s="347"/>
      <c r="S458" s="172"/>
      <c r="T458" s="365"/>
    </row>
    <row r="459" spans="2:21" x14ac:dyDescent="0.2">
      <c r="B459" s="549" t="s">
        <v>506</v>
      </c>
      <c r="C459" s="549"/>
      <c r="D459" s="549"/>
      <c r="E459" s="549"/>
      <c r="F459" s="549"/>
      <c r="G459" s="549"/>
      <c r="H459" s="549"/>
      <c r="I459" s="549"/>
      <c r="J459" s="549"/>
      <c r="K459" s="549"/>
      <c r="L459" s="549"/>
      <c r="M459" s="549"/>
      <c r="N459" s="549"/>
      <c r="O459" s="549"/>
      <c r="P459" s="549"/>
      <c r="Q459" s="549"/>
      <c r="R459" s="549"/>
      <c r="S459" s="549"/>
      <c r="T459" s="549"/>
      <c r="U459" s="31"/>
    </row>
    <row r="460" spans="2:21" x14ac:dyDescent="0.2">
      <c r="B460" s="549" t="s">
        <v>1057</v>
      </c>
      <c r="C460" s="549"/>
      <c r="D460" s="549"/>
      <c r="E460" s="549"/>
      <c r="F460" s="549"/>
      <c r="G460" s="549"/>
      <c r="H460" s="549"/>
      <c r="I460" s="549"/>
      <c r="J460" s="549"/>
      <c r="K460" s="549"/>
      <c r="L460" s="549"/>
      <c r="M460" s="549"/>
      <c r="N460" s="549"/>
      <c r="O460" s="549"/>
      <c r="P460" s="549"/>
      <c r="Q460" s="549"/>
      <c r="R460" s="549"/>
      <c r="S460" s="549"/>
      <c r="T460" s="549"/>
      <c r="U460" s="31"/>
    </row>
    <row r="461" spans="2:21" x14ac:dyDescent="0.2">
      <c r="B461" s="168"/>
      <c r="C461" s="168"/>
      <c r="D461" s="168"/>
      <c r="E461" s="168"/>
      <c r="F461" s="170"/>
      <c r="G461" s="168"/>
      <c r="H461" s="170"/>
      <c r="I461" s="168"/>
      <c r="J461" s="170"/>
      <c r="K461" s="170"/>
      <c r="L461" s="170"/>
      <c r="M461" s="170"/>
      <c r="N461" s="168"/>
      <c r="O461" s="168"/>
      <c r="P461" s="168"/>
      <c r="Q461" s="168"/>
      <c r="R461" s="168"/>
      <c r="S461" s="169"/>
      <c r="T461" s="169"/>
    </row>
    <row r="462" spans="2:21" x14ac:dyDescent="0.2">
      <c r="B462" s="170"/>
      <c r="C462" s="170"/>
      <c r="D462" s="170"/>
      <c r="E462" s="170"/>
      <c r="F462" s="340"/>
      <c r="G462" s="170"/>
      <c r="H462" s="340"/>
      <c r="I462" s="170"/>
      <c r="J462" s="173" t="s">
        <v>57</v>
      </c>
      <c r="K462" s="173"/>
      <c r="L462" s="170"/>
      <c r="M462" s="170"/>
      <c r="N462" s="170"/>
      <c r="O462" s="173" t="s">
        <v>60</v>
      </c>
      <c r="P462" s="173"/>
      <c r="Q462" s="173"/>
      <c r="R462" s="173"/>
      <c r="S462" s="174"/>
      <c r="T462" s="174"/>
    </row>
    <row r="463" spans="2:21" s="45" customFormat="1" ht="39" customHeight="1" x14ac:dyDescent="0.2">
      <c r="B463" s="154" t="s">
        <v>0</v>
      </c>
      <c r="C463" s="154"/>
      <c r="D463" s="154"/>
      <c r="E463" s="154"/>
      <c r="F463" s="60" t="s">
        <v>47</v>
      </c>
      <c r="G463" s="154"/>
      <c r="H463" s="45" t="s">
        <v>746</v>
      </c>
      <c r="I463" s="154"/>
      <c r="J463" s="45" t="s">
        <v>61</v>
      </c>
      <c r="K463" s="45" t="s">
        <v>571</v>
      </c>
      <c r="L463" s="154"/>
      <c r="M463" s="45" t="s">
        <v>34</v>
      </c>
      <c r="N463" s="154"/>
      <c r="O463" s="154" t="s">
        <v>79</v>
      </c>
      <c r="P463" s="45" t="s">
        <v>34</v>
      </c>
      <c r="Q463" s="45" t="s">
        <v>61</v>
      </c>
      <c r="R463" s="45" t="s">
        <v>69</v>
      </c>
      <c r="S463" s="154" t="s">
        <v>745</v>
      </c>
      <c r="T463" s="154" t="s">
        <v>747</v>
      </c>
      <c r="U463" s="154"/>
    </row>
    <row r="464" spans="2:21" ht="14.25" x14ac:dyDescent="0.2">
      <c r="B464" s="520" t="s">
        <v>1</v>
      </c>
      <c r="C464" s="33"/>
      <c r="D464" s="185" t="s">
        <v>33</v>
      </c>
      <c r="E464" s="64"/>
      <c r="F464" s="520" t="s">
        <v>48</v>
      </c>
      <c r="G464" s="64"/>
      <c r="H464" s="520" t="s">
        <v>560</v>
      </c>
      <c r="I464" s="64"/>
      <c r="J464" s="520" t="s">
        <v>389</v>
      </c>
      <c r="K464" s="520" t="s">
        <v>35</v>
      </c>
      <c r="L464" s="64"/>
      <c r="M464" s="520" t="s">
        <v>389</v>
      </c>
      <c r="N464" s="64"/>
      <c r="O464" s="520" t="s">
        <v>389</v>
      </c>
      <c r="P464" s="520" t="s">
        <v>389</v>
      </c>
      <c r="Q464" s="520" t="s">
        <v>389</v>
      </c>
      <c r="R464" s="520" t="s">
        <v>35</v>
      </c>
      <c r="S464" s="520" t="s">
        <v>36</v>
      </c>
      <c r="T464" s="520" t="s">
        <v>2</v>
      </c>
      <c r="U464" s="64"/>
    </row>
    <row r="465" spans="2:21" x14ac:dyDescent="0.2">
      <c r="B465" s="64"/>
      <c r="C465" s="33"/>
      <c r="D465" s="33"/>
      <c r="E465" s="64"/>
      <c r="F465" s="64"/>
      <c r="G465" s="64"/>
      <c r="H465" s="64" t="s">
        <v>3</v>
      </c>
      <c r="I465" s="64"/>
      <c r="J465" s="64" t="s">
        <v>4</v>
      </c>
      <c r="K465" s="64" t="s">
        <v>58</v>
      </c>
      <c r="L465" s="64"/>
      <c r="M465" s="64" t="s">
        <v>59</v>
      </c>
      <c r="N465" s="64"/>
      <c r="O465" s="64" t="s">
        <v>63</v>
      </c>
      <c r="P465" s="64" t="s">
        <v>227</v>
      </c>
      <c r="Q465" s="175" t="s">
        <v>38</v>
      </c>
      <c r="R465" s="175" t="s">
        <v>70</v>
      </c>
      <c r="S465" s="175" t="s">
        <v>479</v>
      </c>
      <c r="T465" s="175" t="s">
        <v>71</v>
      </c>
      <c r="U465" s="64"/>
    </row>
    <row r="466" spans="2:21" x14ac:dyDescent="0.2">
      <c r="B466" s="60"/>
      <c r="C466" s="30"/>
      <c r="D466" s="30"/>
      <c r="E466" s="60"/>
      <c r="F466" s="191"/>
      <c r="G466" s="60"/>
      <c r="H466" s="347"/>
      <c r="I466" s="153"/>
      <c r="J466" s="347"/>
      <c r="K466" s="347"/>
      <c r="L466" s="346"/>
      <c r="M466" s="347"/>
      <c r="N466" s="346"/>
      <c r="O466" s="347"/>
      <c r="P466" s="346"/>
      <c r="Q466" s="347"/>
      <c r="R466" s="347"/>
      <c r="S466" s="172"/>
      <c r="T466" s="347"/>
      <c r="U466" s="64"/>
    </row>
    <row r="467" spans="2:21" x14ac:dyDescent="0.2">
      <c r="B467" s="64"/>
      <c r="C467" s="33"/>
      <c r="D467" s="31" t="s">
        <v>21</v>
      </c>
      <c r="E467" s="64"/>
      <c r="F467" s="186"/>
      <c r="G467" s="64"/>
      <c r="H467" s="350"/>
      <c r="I467" s="341"/>
      <c r="J467" s="350"/>
      <c r="K467" s="341"/>
      <c r="L467" s="341"/>
      <c r="M467" s="144"/>
      <c r="N467" s="341"/>
      <c r="O467" s="145"/>
      <c r="P467" s="341"/>
      <c r="Q467" s="341"/>
      <c r="R467" s="341"/>
      <c r="S467" s="341"/>
      <c r="T467" s="341"/>
      <c r="U467" s="64"/>
    </row>
    <row r="468" spans="2:21" x14ac:dyDescent="0.2">
      <c r="B468" s="64">
        <f>MAX(B$441:B467)+1</f>
        <v>241</v>
      </c>
      <c r="C468" s="33"/>
      <c r="D468" s="26" t="s">
        <v>85</v>
      </c>
      <c r="E468" s="64"/>
      <c r="F468" s="16" t="s">
        <v>55</v>
      </c>
      <c r="G468" s="64"/>
      <c r="H468" s="122">
        <v>96828</v>
      </c>
      <c r="I468" s="341"/>
      <c r="J468" s="122">
        <f>$H468*K468/1000</f>
        <v>7415.08824</v>
      </c>
      <c r="K468" s="331">
        <v>76.58</v>
      </c>
      <c r="L468" s="239"/>
      <c r="M468" s="122">
        <f>J468-O468</f>
        <v>-14253.124096182197</v>
      </c>
      <c r="N468" s="238"/>
      <c r="O468" s="122">
        <v>21668.212336182198</v>
      </c>
      <c r="P468" s="122">
        <f>Q468-O468</f>
        <v>-13921.972336182198</v>
      </c>
      <c r="Q468" s="122">
        <f>$H468*R468/1000</f>
        <v>7746.24</v>
      </c>
      <c r="R468" s="331">
        <v>80</v>
      </c>
      <c r="S468" s="124">
        <f>Q468/O468</f>
        <v>0.35749326616414534</v>
      </c>
      <c r="T468" s="178">
        <f t="shared" ref="T468" si="124">R468/K468-1</f>
        <v>4.4659179942543759E-2</v>
      </c>
    </row>
    <row r="469" spans="2:21" x14ac:dyDescent="0.2">
      <c r="B469" s="64"/>
      <c r="C469" s="33"/>
      <c r="D469" s="26" t="s">
        <v>86</v>
      </c>
      <c r="E469" s="64"/>
      <c r="F469" s="16"/>
      <c r="G469" s="64"/>
      <c r="H469" s="122"/>
      <c r="I469" s="341"/>
      <c r="J469" s="122"/>
      <c r="K469" s="147"/>
      <c r="L469" s="239"/>
      <c r="M469" s="122"/>
      <c r="N469" s="238"/>
      <c r="O469" s="122"/>
      <c r="P469" s="122"/>
      <c r="Q469" s="122"/>
      <c r="R469" s="147"/>
      <c r="S469" s="124"/>
      <c r="T469" s="138"/>
    </row>
    <row r="470" spans="2:21" x14ac:dyDescent="0.2">
      <c r="B470" s="64">
        <f>MAX(B$441:B469)+1</f>
        <v>242</v>
      </c>
      <c r="C470" s="33"/>
      <c r="D470" s="359" t="s">
        <v>121</v>
      </c>
      <c r="E470" s="64"/>
      <c r="F470" s="16" t="s">
        <v>56</v>
      </c>
      <c r="G470" s="64"/>
      <c r="H470" s="122">
        <v>88010.242093017703</v>
      </c>
      <c r="I470" s="341"/>
      <c r="J470" s="122">
        <f>$H470*K470/100</f>
        <v>6241.2463180263503</v>
      </c>
      <c r="K470" s="147">
        <v>7.0914999999999999</v>
      </c>
      <c r="L470" s="239"/>
      <c r="M470" s="122">
        <f t="shared" ref="M470:M473" si="125">J470-O470</f>
        <v>-569.10131207323957</v>
      </c>
      <c r="N470" s="238"/>
      <c r="O470" s="122">
        <v>6810.3476300995899</v>
      </c>
      <c r="P470" s="122">
        <f t="shared" ref="P470:P473" si="126">Q470-O470</f>
        <v>923.16948506649715</v>
      </c>
      <c r="Q470" s="122">
        <f>$H470*R470/100</f>
        <v>7733.517115166087</v>
      </c>
      <c r="R470" s="147">
        <v>8.7870649270485597</v>
      </c>
      <c r="S470" s="124"/>
      <c r="T470" s="138"/>
    </row>
    <row r="471" spans="2:21" x14ac:dyDescent="0.2">
      <c r="B471" s="64">
        <f>MAX(B$441:B470)+1</f>
        <v>243</v>
      </c>
      <c r="C471" s="33"/>
      <c r="D471" s="359" t="s">
        <v>122</v>
      </c>
      <c r="E471" s="64"/>
      <c r="F471" s="16" t="s">
        <v>56</v>
      </c>
      <c r="G471" s="64"/>
      <c r="H471" s="122">
        <v>384165.61847793142</v>
      </c>
      <c r="I471" s="341"/>
      <c r="J471" s="122">
        <f>$H471*K471/100</f>
        <v>26822.059316510698</v>
      </c>
      <c r="K471" s="147">
        <v>6.9819000000000004</v>
      </c>
      <c r="L471" s="239"/>
      <c r="M471" s="122">
        <f t="shared" si="125"/>
        <v>-2407.2977880271137</v>
      </c>
      <c r="N471" s="238"/>
      <c r="O471" s="122">
        <v>29229.357104537812</v>
      </c>
      <c r="P471" s="122">
        <f t="shared" si="126"/>
        <v>3957.7379799381015</v>
      </c>
      <c r="Q471" s="122">
        <f>$H471*R471/100</f>
        <v>33187.095084475914</v>
      </c>
      <c r="R471" s="147">
        <v>8.6387468029969892</v>
      </c>
      <c r="S471" s="124"/>
      <c r="T471" s="138"/>
    </row>
    <row r="472" spans="2:21" x14ac:dyDescent="0.2">
      <c r="B472" s="64">
        <f>MAX(B$441:B471)+1</f>
        <v>244</v>
      </c>
      <c r="C472" s="33"/>
      <c r="D472" s="359" t="s">
        <v>123</v>
      </c>
      <c r="E472" s="64"/>
      <c r="F472" s="16" t="s">
        <v>56</v>
      </c>
      <c r="G472" s="64"/>
      <c r="H472" s="122">
        <v>366712.75773243775</v>
      </c>
      <c r="I472" s="341"/>
      <c r="J472" s="122">
        <f>$H472*K472/100</f>
        <v>24233.112456474952</v>
      </c>
      <c r="K472" s="147">
        <v>6.6082000000000001</v>
      </c>
      <c r="L472" s="239"/>
      <c r="M472" s="122">
        <f t="shared" si="125"/>
        <v>-2047.8516849117987</v>
      </c>
      <c r="N472" s="238"/>
      <c r="O472" s="122">
        <v>26280.96414138675</v>
      </c>
      <c r="P472" s="122">
        <f t="shared" si="126"/>
        <v>3543.8970903985792</v>
      </c>
      <c r="Q472" s="122">
        <f>$H472*R472/100</f>
        <v>29824.861231785329</v>
      </c>
      <c r="R472" s="147">
        <v>8.1330307176131154</v>
      </c>
      <c r="S472" s="124"/>
      <c r="T472" s="138"/>
    </row>
    <row r="473" spans="2:21" x14ac:dyDescent="0.2">
      <c r="B473" s="64">
        <f>MAX(B$441:B472)+1</f>
        <v>245</v>
      </c>
      <c r="C473" s="33"/>
      <c r="D473" s="359" t="s">
        <v>124</v>
      </c>
      <c r="E473" s="64"/>
      <c r="F473" s="16" t="s">
        <v>56</v>
      </c>
      <c r="G473" s="64"/>
      <c r="H473" s="122">
        <v>480487.78100537433</v>
      </c>
      <c r="I473" s="341"/>
      <c r="J473" s="122">
        <f>$H473*K473/100</f>
        <v>29878.171686257192</v>
      </c>
      <c r="K473" s="147">
        <v>6.2183000000000002</v>
      </c>
      <c r="L473" s="239"/>
      <c r="M473" s="122">
        <f t="shared" si="125"/>
        <v>-2341.3358771105195</v>
      </c>
      <c r="N473" s="238"/>
      <c r="O473" s="122">
        <v>32219.507563367712</v>
      </c>
      <c r="P473" s="122">
        <f t="shared" si="126"/>
        <v>4323.4702423254857</v>
      </c>
      <c r="Q473" s="122">
        <f>$H473*R473/100</f>
        <v>36542.977805693197</v>
      </c>
      <c r="R473" s="147">
        <v>7.6053916978347598</v>
      </c>
      <c r="S473" s="124"/>
      <c r="T473" s="138"/>
    </row>
    <row r="474" spans="2:21" x14ac:dyDescent="0.2">
      <c r="B474" s="64">
        <f>MAX(B$441:B473)+1</f>
        <v>246</v>
      </c>
      <c r="C474" s="33"/>
      <c r="D474" s="26" t="s">
        <v>86</v>
      </c>
      <c r="E474" s="64"/>
      <c r="F474" s="16"/>
      <c r="G474" s="64"/>
      <c r="H474" s="146">
        <f>SUM(H470:H473)</f>
        <v>1319376.3993087613</v>
      </c>
      <c r="I474" s="341"/>
      <c r="J474" s="146">
        <f>SUM(J470:J473)</f>
        <v>87174.589777269197</v>
      </c>
      <c r="K474" s="139">
        <f>J474/$H474*100</f>
        <v>6.6072570210397208</v>
      </c>
      <c r="L474" s="239"/>
      <c r="M474" s="146">
        <f>SUM(M470:M473)</f>
        <v>-7365.5866621226714</v>
      </c>
      <c r="N474" s="238"/>
      <c r="O474" s="146">
        <f>SUM(O470:O473)</f>
        <v>94540.176439391857</v>
      </c>
      <c r="P474" s="146">
        <f>SUM(P470:P473)</f>
        <v>12748.274797728664</v>
      </c>
      <c r="Q474" s="146">
        <f>SUM(Q470:Q473)</f>
        <v>107288.45123712052</v>
      </c>
      <c r="R474" s="139">
        <f>Q474/$H474*100</f>
        <v>8.1317546147809185</v>
      </c>
      <c r="S474" s="342">
        <f>Q474/O474</f>
        <v>1.1348450497752283</v>
      </c>
      <c r="T474" s="177">
        <f>R474/K474-1</f>
        <v>0.23073078417968107</v>
      </c>
    </row>
    <row r="475" spans="2:21" x14ac:dyDescent="0.2">
      <c r="B475" s="64"/>
      <c r="C475" s="33"/>
      <c r="D475" s="26"/>
      <c r="E475" s="64"/>
      <c r="F475" s="16"/>
      <c r="G475" s="64"/>
      <c r="H475" s="122"/>
      <c r="I475" s="341"/>
      <c r="J475" s="122"/>
      <c r="K475" s="147"/>
      <c r="L475" s="239"/>
      <c r="M475" s="122"/>
      <c r="N475" s="238"/>
      <c r="O475" s="122"/>
      <c r="P475" s="122"/>
      <c r="Q475" s="122"/>
      <c r="R475" s="147"/>
      <c r="S475" s="124"/>
      <c r="T475" s="133"/>
    </row>
    <row r="476" spans="2:21" x14ac:dyDescent="0.2">
      <c r="B476" s="64">
        <f>MAX(B$441:B475)+1</f>
        <v>247</v>
      </c>
      <c r="C476" s="33"/>
      <c r="D476" s="26" t="s">
        <v>68</v>
      </c>
      <c r="E476" s="64"/>
      <c r="F476" s="16"/>
      <c r="G476" s="64"/>
      <c r="H476" s="146">
        <f>H474</f>
        <v>1319376.3993087613</v>
      </c>
      <c r="I476" s="341"/>
      <c r="J476" s="146">
        <f>J468+J474</f>
        <v>94589.678017269194</v>
      </c>
      <c r="K476" s="139">
        <f>J476/$H476*100</f>
        <v>7.1692716397554159</v>
      </c>
      <c r="L476" s="239"/>
      <c r="M476" s="146">
        <f>M468+M474</f>
        <v>-21618.710758304867</v>
      </c>
      <c r="N476" s="238"/>
      <c r="O476" s="146">
        <f>O468+O474</f>
        <v>116208.38877557406</v>
      </c>
      <c r="P476" s="146">
        <f>P468+P474</f>
        <v>-1173.6975384535344</v>
      </c>
      <c r="Q476" s="146">
        <f>Q468+Q474</f>
        <v>115034.69123712053</v>
      </c>
      <c r="R476" s="139">
        <f>Q476/$H476*100</f>
        <v>8.7188683454841787</v>
      </c>
      <c r="S476" s="342">
        <f>Q476/O476</f>
        <v>0.98990006185594548</v>
      </c>
      <c r="T476" s="177">
        <f>R476/K476-1</f>
        <v>0.21614423104515379</v>
      </c>
    </row>
    <row r="477" spans="2:21" x14ac:dyDescent="0.2">
      <c r="E477" s="64"/>
      <c r="F477" s="16"/>
      <c r="G477" s="64"/>
      <c r="H477" s="122"/>
      <c r="I477" s="341"/>
      <c r="J477" s="122"/>
      <c r="K477" s="147"/>
      <c r="L477" s="239"/>
      <c r="M477" s="122"/>
      <c r="N477" s="238"/>
      <c r="O477" s="122"/>
      <c r="P477" s="122"/>
      <c r="Q477" s="122"/>
      <c r="R477" s="147"/>
      <c r="S477" s="124"/>
      <c r="T477" s="178"/>
    </row>
    <row r="478" spans="2:21" x14ac:dyDescent="0.2">
      <c r="B478" s="64"/>
      <c r="C478" s="33"/>
      <c r="D478" s="26" t="s">
        <v>87</v>
      </c>
      <c r="E478" s="64"/>
      <c r="F478" s="192"/>
      <c r="G478" s="64"/>
      <c r="H478" s="122"/>
      <c r="I478" s="341"/>
      <c r="J478" s="122"/>
      <c r="K478" s="147"/>
      <c r="L478" s="239"/>
      <c r="M478" s="122"/>
      <c r="N478" s="238"/>
      <c r="O478" s="122"/>
      <c r="P478" s="122"/>
      <c r="Q478" s="122"/>
      <c r="R478" s="240"/>
      <c r="S478" s="124"/>
      <c r="T478" s="343"/>
    </row>
    <row r="479" spans="2:21" x14ac:dyDescent="0.2">
      <c r="B479" s="64">
        <f>MAX(B$441:B478)+1</f>
        <v>248</v>
      </c>
      <c r="C479" s="33"/>
      <c r="D479" s="27" t="s">
        <v>64</v>
      </c>
      <c r="E479" s="64"/>
      <c r="F479" s="192" t="s">
        <v>56</v>
      </c>
      <c r="G479" s="64"/>
      <c r="H479" s="122">
        <v>688379.27993858908</v>
      </c>
      <c r="I479" s="341"/>
      <c r="J479" s="122">
        <f>$H479*K479/100</f>
        <v>0</v>
      </c>
      <c r="K479" s="147">
        <v>0</v>
      </c>
      <c r="L479" s="239"/>
      <c r="M479" s="122">
        <f t="shared" ref="M479:M480" si="127">J479-O479</f>
        <v>-11677.222958647366</v>
      </c>
      <c r="N479" s="238"/>
      <c r="O479" s="122">
        <f>Q479</f>
        <v>11677.222958647366</v>
      </c>
      <c r="P479" s="122">
        <f t="shared" ref="P479:P480" si="128">Q479-O479</f>
        <v>0</v>
      </c>
      <c r="Q479" s="122">
        <f>$H479*R479/100</f>
        <v>11677.222958647366</v>
      </c>
      <c r="R479" s="147">
        <v>1.6963356246993813</v>
      </c>
      <c r="S479" s="344"/>
      <c r="T479" s="178"/>
    </row>
    <row r="480" spans="2:21" x14ac:dyDescent="0.2">
      <c r="B480" s="64">
        <f>MAX(B$441:B479)+1</f>
        <v>249</v>
      </c>
      <c r="C480" s="33"/>
      <c r="D480" s="27" t="s">
        <v>65</v>
      </c>
      <c r="E480" s="64"/>
      <c r="F480" s="192" t="s">
        <v>56</v>
      </c>
      <c r="G480" s="64"/>
      <c r="H480" s="122">
        <f>H474-H479</f>
        <v>630997.11937017227</v>
      </c>
      <c r="I480" s="341"/>
      <c r="J480" s="122">
        <f>$H480*K480/100</f>
        <v>0</v>
      </c>
      <c r="K480" s="147">
        <v>0</v>
      </c>
      <c r="L480" s="239"/>
      <c r="M480" s="122">
        <f t="shared" si="127"/>
        <v>-10703.828926703112</v>
      </c>
      <c r="N480" s="239"/>
      <c r="O480" s="122">
        <f>Q480</f>
        <v>10703.828926703112</v>
      </c>
      <c r="P480" s="122">
        <f t="shared" si="128"/>
        <v>0</v>
      </c>
      <c r="Q480" s="122">
        <f>$H480*R480/100</f>
        <v>10703.828926703112</v>
      </c>
      <c r="R480" s="147">
        <v>1.6963356246993813</v>
      </c>
      <c r="S480" s="344"/>
      <c r="T480" s="178"/>
      <c r="U480" s="64"/>
    </row>
    <row r="481" spans="2:21" x14ac:dyDescent="0.2">
      <c r="B481" s="64">
        <f>MAX(B$441:B480)+1</f>
        <v>250</v>
      </c>
      <c r="C481" s="33"/>
      <c r="D481" s="26" t="s">
        <v>87</v>
      </c>
      <c r="E481" s="64"/>
      <c r="F481" s="16"/>
      <c r="G481" s="64"/>
      <c r="H481" s="146">
        <f>SUM(H479:H480)</f>
        <v>1319376.3993087613</v>
      </c>
      <c r="I481" s="341"/>
      <c r="J481" s="146">
        <f>SUM(J479:J480)</f>
        <v>0</v>
      </c>
      <c r="K481" s="139">
        <f>J481/$H481*100</f>
        <v>0</v>
      </c>
      <c r="L481" s="239"/>
      <c r="M481" s="146">
        <f>SUM(M479:M480)</f>
        <v>-22381.051885350476</v>
      </c>
      <c r="N481" s="238"/>
      <c r="O481" s="146">
        <f>SUM(O479:O480)</f>
        <v>22381.051885350476</v>
      </c>
      <c r="P481" s="146">
        <f>SUM(P479:P480)</f>
        <v>0</v>
      </c>
      <c r="Q481" s="146">
        <f>SUM(Q479:Q480)</f>
        <v>22381.051885350476</v>
      </c>
      <c r="R481" s="139">
        <f>Q481/$H481*100</f>
        <v>1.696335624699381</v>
      </c>
      <c r="S481" s="342">
        <f>Q481/O481</f>
        <v>1</v>
      </c>
      <c r="T481" s="177"/>
    </row>
    <row r="482" spans="2:21" x14ac:dyDescent="0.2">
      <c r="H482" s="148"/>
      <c r="I482" s="148"/>
      <c r="J482" s="148"/>
      <c r="K482" s="148"/>
      <c r="L482" s="148"/>
      <c r="M482" s="148"/>
      <c r="N482" s="148"/>
      <c r="O482" s="148"/>
      <c r="P482" s="148"/>
      <c r="Q482" s="148"/>
      <c r="R482" s="148"/>
      <c r="S482" s="148"/>
      <c r="T482" s="180"/>
    </row>
    <row r="483" spans="2:21" x14ac:dyDescent="0.2">
      <c r="B483" s="64">
        <f>MAX(B$441:B482)+1</f>
        <v>251</v>
      </c>
      <c r="C483" s="33"/>
      <c r="D483" s="26" t="s">
        <v>88</v>
      </c>
      <c r="E483" s="64"/>
      <c r="F483" s="16" t="s">
        <v>56</v>
      </c>
      <c r="G483" s="64"/>
      <c r="H483" s="122">
        <f>H479</f>
        <v>688379.27993858908</v>
      </c>
      <c r="I483" s="341"/>
      <c r="J483" s="122">
        <f>$H483*K483/100</f>
        <v>153444.14464506594</v>
      </c>
      <c r="K483" s="147">
        <v>22.290639639640929</v>
      </c>
      <c r="L483" s="239"/>
      <c r="M483" s="122">
        <f>J483-O483</f>
        <v>9549.4552282744553</v>
      </c>
      <c r="N483" s="238"/>
      <c r="O483" s="122">
        <f>Q483</f>
        <v>143894.68941679149</v>
      </c>
      <c r="P483" s="122">
        <f>Q483-O483</f>
        <v>0</v>
      </c>
      <c r="Q483" s="122">
        <f>$H483*R483/100</f>
        <v>143894.68941679149</v>
      </c>
      <c r="R483" s="147">
        <v>20.903402181080821</v>
      </c>
      <c r="S483" s="124">
        <f>Q483/O483</f>
        <v>1</v>
      </c>
      <c r="T483" s="178">
        <f>R483/K483-1</f>
        <v>-6.2234080357796984E-2</v>
      </c>
    </row>
    <row r="484" spans="2:21" x14ac:dyDescent="0.2">
      <c r="B484" s="64"/>
      <c r="C484" s="33"/>
      <c r="D484" s="26"/>
      <c r="E484" s="64"/>
      <c r="F484" s="16"/>
      <c r="G484" s="64"/>
      <c r="H484" s="122"/>
      <c r="I484" s="341"/>
      <c r="J484" s="122"/>
      <c r="K484" s="147"/>
      <c r="L484" s="239"/>
      <c r="M484" s="122"/>
      <c r="N484" s="238"/>
      <c r="O484" s="122"/>
      <c r="P484" s="122"/>
      <c r="Q484" s="122"/>
      <c r="R484" s="147"/>
      <c r="S484" s="124"/>
      <c r="T484" s="178"/>
    </row>
    <row r="485" spans="2:21" ht="13.5" thickBot="1" x14ac:dyDescent="0.25">
      <c r="B485" s="64">
        <f>MAX(B$441:B484)+1</f>
        <v>252</v>
      </c>
      <c r="C485" s="33"/>
      <c r="D485" s="26" t="s">
        <v>126</v>
      </c>
      <c r="E485" s="64"/>
      <c r="F485" s="16"/>
      <c r="G485" s="64"/>
      <c r="H485" s="159">
        <f>H474</f>
        <v>1319376.3993087613</v>
      </c>
      <c r="I485" s="341"/>
      <c r="J485" s="159">
        <f>J476+J481+J483</f>
        <v>248033.82266233512</v>
      </c>
      <c r="K485" s="140">
        <f>J485/$H485*100</f>
        <v>18.799322376259216</v>
      </c>
      <c r="L485" s="239"/>
      <c r="M485" s="159">
        <f>M476+M481+M483</f>
        <v>-34450.307415380885</v>
      </c>
      <c r="N485" s="238"/>
      <c r="O485" s="159">
        <f>O476+O481+O483</f>
        <v>282484.13007771602</v>
      </c>
      <c r="P485" s="159">
        <f>P476+P481+P483</f>
        <v>-1173.6975384535344</v>
      </c>
      <c r="Q485" s="159">
        <f>Q476+Q481+Q483</f>
        <v>281310.43253926246</v>
      </c>
      <c r="R485" s="140">
        <f>Q485/$H485*100</f>
        <v>21.321469194586527</v>
      </c>
      <c r="S485" s="345">
        <f>Q485/O485</f>
        <v>0.99584508503847402</v>
      </c>
      <c r="T485" s="179">
        <f>R485/K485-1</f>
        <v>0.13416158135106038</v>
      </c>
    </row>
    <row r="486" spans="2:21" ht="13.5" thickTop="1" x14ac:dyDescent="0.2">
      <c r="H486" s="148"/>
      <c r="I486" s="148"/>
      <c r="J486" s="148"/>
      <c r="K486" s="148"/>
      <c r="L486" s="148"/>
      <c r="M486" s="148"/>
      <c r="N486" s="148"/>
      <c r="O486" s="148"/>
      <c r="P486" s="148"/>
      <c r="Q486" s="148"/>
      <c r="R486" s="148"/>
      <c r="S486" s="148"/>
      <c r="T486" s="180"/>
    </row>
    <row r="487" spans="2:21" x14ac:dyDescent="0.2">
      <c r="B487" s="64"/>
      <c r="C487" s="33"/>
      <c r="D487" s="31" t="s">
        <v>22</v>
      </c>
      <c r="E487" s="64"/>
      <c r="F487" s="186"/>
      <c r="G487" s="64"/>
      <c r="H487" s="350"/>
      <c r="I487" s="341"/>
      <c r="J487" s="350"/>
      <c r="K487" s="341"/>
      <c r="L487" s="341"/>
      <c r="M487" s="144"/>
      <c r="N487" s="341"/>
      <c r="O487" s="145"/>
      <c r="P487" s="341"/>
      <c r="Q487" s="341"/>
      <c r="R487" s="341"/>
      <c r="S487" s="341"/>
      <c r="T487" s="351"/>
      <c r="U487" s="64"/>
    </row>
    <row r="488" spans="2:21" x14ac:dyDescent="0.2">
      <c r="B488" s="64"/>
      <c r="C488" s="33"/>
      <c r="D488" s="26" t="s">
        <v>89</v>
      </c>
      <c r="E488" s="64"/>
      <c r="F488" s="16"/>
      <c r="G488" s="64"/>
      <c r="H488" s="122"/>
      <c r="I488" s="341"/>
      <c r="J488" s="122"/>
      <c r="K488" s="147"/>
      <c r="L488" s="239"/>
      <c r="M488" s="122"/>
      <c r="N488" s="238"/>
      <c r="O488" s="122"/>
      <c r="P488" s="122"/>
      <c r="Q488" s="122"/>
      <c r="R488" s="147"/>
      <c r="S488" s="124"/>
      <c r="T488" s="178"/>
    </row>
    <row r="489" spans="2:21" x14ac:dyDescent="0.2">
      <c r="B489" s="64">
        <f>MAX(B$66:B488)+1</f>
        <v>253</v>
      </c>
      <c r="C489" s="33"/>
      <c r="D489" s="359" t="s">
        <v>127</v>
      </c>
      <c r="E489" s="64"/>
      <c r="F489" s="360" t="s">
        <v>81</v>
      </c>
      <c r="G489" s="64"/>
      <c r="H489" s="122">
        <v>20879.34</v>
      </c>
      <c r="I489" s="341"/>
      <c r="J489" s="122">
        <f>$H489*K489/100</f>
        <v>14489.134475639999</v>
      </c>
      <c r="K489" s="147">
        <v>69.394599999999997</v>
      </c>
      <c r="L489" s="239"/>
      <c r="M489" s="122">
        <f t="shared" ref="M489:M491" si="129">J489-O489</f>
        <v>-7233.218558144119</v>
      </c>
      <c r="N489" s="238"/>
      <c r="O489" s="122">
        <v>21722.353033784118</v>
      </c>
      <c r="P489" s="122">
        <f t="shared" ref="P489:P491" si="130">Q489-O489</f>
        <v>-8688.9412135136463</v>
      </c>
      <c r="Q489" s="122">
        <f>$H489*R489/100</f>
        <v>13033.411820270472</v>
      </c>
      <c r="R489" s="147">
        <v>62.422527820661344</v>
      </c>
      <c r="S489" s="124"/>
      <c r="T489" s="178"/>
    </row>
    <row r="490" spans="2:21" x14ac:dyDescent="0.2">
      <c r="B490" s="64">
        <f>MAX(B$488:B489)+1</f>
        <v>254</v>
      </c>
      <c r="C490" s="33"/>
      <c r="D490" s="359" t="s">
        <v>128</v>
      </c>
      <c r="E490" s="64"/>
      <c r="F490" s="360" t="s">
        <v>81</v>
      </c>
      <c r="G490" s="64"/>
      <c r="H490" s="122">
        <v>20175.232</v>
      </c>
      <c r="I490" s="341"/>
      <c r="J490" s="122">
        <f>$H490*K490/100</f>
        <v>6669.4676688639993</v>
      </c>
      <c r="K490" s="147">
        <v>33.057699999999997</v>
      </c>
      <c r="L490" s="239"/>
      <c r="M490" s="122">
        <f t="shared" si="129"/>
        <v>-3329.5099439152928</v>
      </c>
      <c r="N490" s="238"/>
      <c r="O490" s="122">
        <v>9998.977612779292</v>
      </c>
      <c r="P490" s="122">
        <f t="shared" si="130"/>
        <v>-3999.591045111717</v>
      </c>
      <c r="Q490" s="122">
        <f>$H490*R490/100</f>
        <v>5999.386567667575</v>
      </c>
      <c r="R490" s="147">
        <v>29.736394444770575</v>
      </c>
      <c r="S490" s="124"/>
      <c r="T490" s="178"/>
    </row>
    <row r="491" spans="2:21" x14ac:dyDescent="0.2">
      <c r="B491" s="64">
        <f>MAX(B$488:B490)+1</f>
        <v>255</v>
      </c>
      <c r="C491" s="33"/>
      <c r="D491" s="359" t="s">
        <v>129</v>
      </c>
      <c r="E491" s="64"/>
      <c r="F491" s="360" t="s">
        <v>81</v>
      </c>
      <c r="G491" s="64"/>
      <c r="H491" s="122">
        <v>5781.4719999999998</v>
      </c>
      <c r="I491" s="341"/>
      <c r="J491" s="122">
        <f>$H491*K491/100</f>
        <v>1638.2379059199998</v>
      </c>
      <c r="K491" s="147">
        <v>28.335999999999999</v>
      </c>
      <c r="L491" s="239"/>
      <c r="M491" s="122">
        <f t="shared" si="129"/>
        <v>-817.83579575979365</v>
      </c>
      <c r="N491" s="238"/>
      <c r="O491" s="122">
        <v>2456.0737016797934</v>
      </c>
      <c r="P491" s="122">
        <f t="shared" si="130"/>
        <v>-982.42948067191719</v>
      </c>
      <c r="Q491" s="122">
        <f>$H491*R491/100</f>
        <v>1473.6442210078762</v>
      </c>
      <c r="R491" s="147">
        <v>25.489083420413976</v>
      </c>
      <c r="S491" s="124"/>
      <c r="T491" s="178"/>
    </row>
    <row r="492" spans="2:21" x14ac:dyDescent="0.2">
      <c r="B492" s="64">
        <f>MAX(B$488:B491)+1</f>
        <v>256</v>
      </c>
      <c r="C492" s="33"/>
      <c r="D492" s="26" t="s">
        <v>89</v>
      </c>
      <c r="E492" s="64"/>
      <c r="F492" s="16"/>
      <c r="G492" s="64"/>
      <c r="H492" s="146">
        <f>SUM(H489:H491)</f>
        <v>46836.044000000002</v>
      </c>
      <c r="I492" s="341"/>
      <c r="J492" s="146">
        <f>SUM(J489:J491)</f>
        <v>22796.840050423998</v>
      </c>
      <c r="K492" s="139">
        <f>J492/$H492*100</f>
        <v>48.673709612246498</v>
      </c>
      <c r="L492" s="239"/>
      <c r="M492" s="146">
        <f>SUM(M489:M491)</f>
        <v>-11380.564297819205</v>
      </c>
      <c r="N492" s="238"/>
      <c r="O492" s="146">
        <f>SUM(O489:O491)</f>
        <v>34177.404348243203</v>
      </c>
      <c r="P492" s="146">
        <f>SUM(P489:P491)</f>
        <v>-13670.961739297281</v>
      </c>
      <c r="Q492" s="146">
        <f>SUM(Q489:Q491)</f>
        <v>20506.442608945923</v>
      </c>
      <c r="R492" s="139">
        <f>Q492/$H492*100</f>
        <v>43.783464309978704</v>
      </c>
      <c r="S492" s="342">
        <f>Q492/O492</f>
        <v>0.60000000000000009</v>
      </c>
      <c r="T492" s="177">
        <f>R492/K492-1</f>
        <v>-0.10046995269572356</v>
      </c>
    </row>
    <row r="493" spans="2:21" x14ac:dyDescent="0.2">
      <c r="B493" s="64"/>
      <c r="C493" s="33"/>
      <c r="D493" s="26"/>
      <c r="E493" s="64"/>
      <c r="F493" s="16"/>
      <c r="G493" s="64"/>
      <c r="H493" s="122"/>
      <c r="I493" s="341"/>
      <c r="J493" s="122"/>
      <c r="K493" s="147"/>
      <c r="L493" s="239"/>
      <c r="M493" s="122"/>
      <c r="N493" s="238"/>
      <c r="O493" s="122"/>
      <c r="P493" s="122"/>
      <c r="Q493" s="122"/>
      <c r="R493" s="147"/>
      <c r="S493" s="124"/>
      <c r="T493" s="178"/>
    </row>
    <row r="494" spans="2:21" x14ac:dyDescent="0.2">
      <c r="B494" s="64"/>
      <c r="C494" s="33"/>
      <c r="D494" s="26" t="s">
        <v>86</v>
      </c>
      <c r="E494" s="64"/>
      <c r="F494" s="16"/>
      <c r="G494" s="64"/>
      <c r="H494" s="122"/>
      <c r="I494" s="341"/>
      <c r="J494" s="122"/>
      <c r="K494" s="147"/>
      <c r="L494" s="239"/>
      <c r="M494" s="122"/>
      <c r="N494" s="238"/>
      <c r="O494" s="122"/>
      <c r="P494" s="122"/>
      <c r="Q494" s="122"/>
      <c r="R494" s="147"/>
      <c r="S494" s="124"/>
      <c r="T494" s="178"/>
    </row>
    <row r="495" spans="2:21" x14ac:dyDescent="0.2">
      <c r="B495" s="64">
        <f>MAX(B$488:B494)+1</f>
        <v>257</v>
      </c>
      <c r="C495" s="33"/>
      <c r="D495" s="359" t="s">
        <v>130</v>
      </c>
      <c r="E495" s="64"/>
      <c r="F495" s="16" t="s">
        <v>56</v>
      </c>
      <c r="G495" s="64"/>
      <c r="H495" s="122">
        <v>592384.97535999969</v>
      </c>
      <c r="I495" s="341"/>
      <c r="J495" s="122">
        <f>$H495*K495/100</f>
        <v>12048.518013847035</v>
      </c>
      <c r="K495" s="147">
        <v>2.0339</v>
      </c>
      <c r="L495" s="239"/>
      <c r="M495" s="122">
        <f>J495-O495</f>
        <v>9626.9596324694794</v>
      </c>
      <c r="N495" s="238"/>
      <c r="O495" s="122">
        <v>2421.5583813775556</v>
      </c>
      <c r="P495" s="122">
        <f t="shared" ref="P495:P496" si="131">Q495-O495</f>
        <v>5282.1168257147101</v>
      </c>
      <c r="Q495" s="122">
        <f>$H495*R495/100</f>
        <v>7703.6752070922657</v>
      </c>
      <c r="R495" s="147">
        <v>1.3004508094437486</v>
      </c>
      <c r="S495" s="124"/>
      <c r="T495" s="178">
        <f t="shared" ref="T495:T497" si="132">R495/K495-1</f>
        <v>-0.36061221817997513</v>
      </c>
    </row>
    <row r="496" spans="2:21" x14ac:dyDescent="0.2">
      <c r="B496" s="64">
        <f>MAX(B$488:B495)+1</f>
        <v>258</v>
      </c>
      <c r="C496" s="33"/>
      <c r="D496" s="359" t="s">
        <v>131</v>
      </c>
      <c r="E496" s="64"/>
      <c r="F496" s="16" t="s">
        <v>56</v>
      </c>
      <c r="G496" s="64"/>
      <c r="H496" s="122">
        <v>0</v>
      </c>
      <c r="I496" s="341"/>
      <c r="J496" s="122">
        <f>$H496*K496/100</f>
        <v>0</v>
      </c>
      <c r="K496" s="147">
        <v>0.87250000000000005</v>
      </c>
      <c r="L496" s="239"/>
      <c r="M496" s="122">
        <f>J496-O496</f>
        <v>0</v>
      </c>
      <c r="N496" s="238"/>
      <c r="O496" s="122">
        <v>0</v>
      </c>
      <c r="P496" s="122">
        <f t="shared" si="131"/>
        <v>0</v>
      </c>
      <c r="Q496" s="122">
        <f>$H496*R496/100</f>
        <v>0</v>
      </c>
      <c r="R496" s="147">
        <v>0.1390508094437487</v>
      </c>
      <c r="S496" s="124"/>
      <c r="T496" s="178">
        <f t="shared" si="132"/>
        <v>-0.84062944476361179</v>
      </c>
    </row>
    <row r="497" spans="2:20" x14ac:dyDescent="0.2">
      <c r="B497" s="64">
        <f>MAX(B$488:B496)+1</f>
        <v>259</v>
      </c>
      <c r="C497" s="33"/>
      <c r="D497" s="26" t="s">
        <v>86</v>
      </c>
      <c r="E497" s="64"/>
      <c r="F497" s="16"/>
      <c r="G497" s="64"/>
      <c r="H497" s="146">
        <f>SUM(H495:H496)</f>
        <v>592384.97535999969</v>
      </c>
      <c r="I497" s="341"/>
      <c r="J497" s="146">
        <f>SUM(J495:J496)</f>
        <v>12048.518013847035</v>
      </c>
      <c r="K497" s="139">
        <f>J497/$H497*100</f>
        <v>2.0339000000000005</v>
      </c>
      <c r="L497" s="239"/>
      <c r="M497" s="146">
        <f>SUM(M495:M496)</f>
        <v>9626.9596324694794</v>
      </c>
      <c r="N497" s="238"/>
      <c r="O497" s="146">
        <f>SUM(O495:O496)</f>
        <v>2421.5583813775556</v>
      </c>
      <c r="P497" s="146">
        <f>SUM(P495:P496)</f>
        <v>5282.1168257147101</v>
      </c>
      <c r="Q497" s="146">
        <f>SUM(Q495:Q496)</f>
        <v>7703.6752070922657</v>
      </c>
      <c r="R497" s="139">
        <f>Q497/$H497*100</f>
        <v>1.3004508094437484</v>
      </c>
      <c r="S497" s="124"/>
      <c r="T497" s="178">
        <f t="shared" si="132"/>
        <v>-0.36061221817997535</v>
      </c>
    </row>
    <row r="498" spans="2:20" x14ac:dyDescent="0.2">
      <c r="B498" s="64"/>
      <c r="C498" s="33"/>
      <c r="D498" s="26"/>
      <c r="E498" s="64"/>
      <c r="F498" s="16"/>
      <c r="G498" s="64"/>
      <c r="H498" s="122"/>
      <c r="I498" s="341"/>
      <c r="J498" s="122"/>
      <c r="K498" s="147"/>
      <c r="L498" s="239"/>
      <c r="M498" s="122"/>
      <c r="N498" s="238"/>
      <c r="O498" s="122"/>
      <c r="P498" s="122"/>
      <c r="Q498" s="122"/>
      <c r="R498" s="147"/>
      <c r="S498" s="124"/>
      <c r="T498" s="178"/>
    </row>
    <row r="499" spans="2:20" x14ac:dyDescent="0.2">
      <c r="B499" s="64">
        <f>MAX(B$488:B498)+1</f>
        <v>260</v>
      </c>
      <c r="C499" s="33"/>
      <c r="D499" s="359" t="s">
        <v>132</v>
      </c>
      <c r="E499" s="64"/>
      <c r="F499" s="16" t="s">
        <v>56</v>
      </c>
      <c r="G499" s="64"/>
      <c r="H499" s="122">
        <v>57602.159589999996</v>
      </c>
      <c r="I499" s="341"/>
      <c r="J499" s="122">
        <f>$H499*K499/100</f>
        <v>1291.6708266461599</v>
      </c>
      <c r="K499" s="147">
        <v>2.2423999999999999</v>
      </c>
      <c r="L499" s="239"/>
      <c r="M499" s="122">
        <f t="shared" ref="M499:M500" si="133">J499-O499</f>
        <v>1291.6708266461599</v>
      </c>
      <c r="N499" s="238"/>
      <c r="O499" s="122">
        <v>0</v>
      </c>
      <c r="P499" s="122">
        <f t="shared" ref="P499:P500" si="134">Q499-O499</f>
        <v>816.95967187448582</v>
      </c>
      <c r="Q499" s="122">
        <f>$H499*R499/100</f>
        <v>816.95967187448582</v>
      </c>
      <c r="R499" s="147">
        <v>1.4182795882818147</v>
      </c>
      <c r="S499" s="124"/>
      <c r="T499" s="178">
        <f t="shared" ref="T499:T500" si="135">R499/K499-1</f>
        <v>-0.36751712973518791</v>
      </c>
    </row>
    <row r="500" spans="2:20" x14ac:dyDescent="0.2">
      <c r="B500" s="64">
        <f>MAX(B$488:B499)+1</f>
        <v>261</v>
      </c>
      <c r="C500" s="33"/>
      <c r="D500" s="359" t="s">
        <v>133</v>
      </c>
      <c r="E500" s="64"/>
      <c r="F500" s="16" t="s">
        <v>56</v>
      </c>
      <c r="G500" s="64"/>
      <c r="H500" s="122">
        <v>1276.4049299999999</v>
      </c>
      <c r="I500" s="341"/>
      <c r="J500" s="122">
        <f>$H500*K500/100</f>
        <v>94.924958239169996</v>
      </c>
      <c r="K500" s="147">
        <v>7.4368999999999996</v>
      </c>
      <c r="L500" s="239"/>
      <c r="M500" s="122">
        <f t="shared" si="133"/>
        <v>94.924958239169996</v>
      </c>
      <c r="N500" s="238"/>
      <c r="O500" s="122">
        <v>0</v>
      </c>
      <c r="P500" s="122">
        <f t="shared" si="134"/>
        <v>154.08717711028098</v>
      </c>
      <c r="Q500" s="122">
        <f>$H500*R500/100</f>
        <v>154.08717711028098</v>
      </c>
      <c r="R500" s="147">
        <v>12.07196662193094</v>
      </c>
      <c r="S500" s="124"/>
      <c r="T500" s="178">
        <f t="shared" si="135"/>
        <v>0.62325251407588378</v>
      </c>
    </row>
    <row r="501" spans="2:20" x14ac:dyDescent="0.2">
      <c r="B501" s="64"/>
      <c r="C501" s="33"/>
      <c r="D501" s="26"/>
      <c r="E501" s="64"/>
      <c r="F501" s="16"/>
      <c r="G501" s="64"/>
      <c r="H501" s="122"/>
      <c r="I501" s="341"/>
      <c r="J501" s="122"/>
      <c r="K501" s="147"/>
      <c r="L501" s="239"/>
      <c r="M501" s="122"/>
      <c r="N501" s="238"/>
      <c r="O501" s="122"/>
      <c r="P501" s="122"/>
      <c r="Q501" s="122"/>
      <c r="R501" s="147"/>
      <c r="S501" s="124"/>
      <c r="T501" s="178"/>
    </row>
    <row r="502" spans="2:20" x14ac:dyDescent="0.2">
      <c r="B502" s="64">
        <f>MAX(B$488:B501)+1</f>
        <v>262</v>
      </c>
      <c r="C502" s="33"/>
      <c r="D502" s="26" t="s">
        <v>134</v>
      </c>
      <c r="E502" s="64"/>
      <c r="F502" s="16"/>
      <c r="G502" s="64"/>
      <c r="H502" s="146">
        <f>H497</f>
        <v>592384.97535999969</v>
      </c>
      <c r="I502" s="341"/>
      <c r="J502" s="146">
        <f>SUM(J492,J497,J499:J500)</f>
        <v>36231.953849156358</v>
      </c>
      <c r="K502" s="139">
        <f>J502/$H502*100</f>
        <v>6.1162850774764754</v>
      </c>
      <c r="L502" s="239"/>
      <c r="M502" s="146">
        <f>SUM(M492,M497,M499:M500)</f>
        <v>-367.00888046439525</v>
      </c>
      <c r="N502" s="238"/>
      <c r="O502" s="146">
        <f>SUM(O492,O497,O499:O500)</f>
        <v>36598.962729620762</v>
      </c>
      <c r="P502" s="146">
        <f>SUM(P492,P497,P499:P500)</f>
        <v>-7417.798064597805</v>
      </c>
      <c r="Q502" s="146">
        <f>SUM(Q492,Q497,Q499:Q500)</f>
        <v>29181.164665022956</v>
      </c>
      <c r="R502" s="139">
        <f>Q502/$H502*100</f>
        <v>4.9260473980267987</v>
      </c>
      <c r="S502" s="342">
        <f>Q502/O502</f>
        <v>0.79732217769673741</v>
      </c>
      <c r="T502" s="177">
        <f>R502/K502-1</f>
        <v>-0.19460140663370751</v>
      </c>
    </row>
    <row r="503" spans="2:20" x14ac:dyDescent="0.2">
      <c r="E503" s="64"/>
      <c r="F503" s="16"/>
      <c r="G503" s="64"/>
      <c r="H503" s="122"/>
      <c r="I503" s="341"/>
      <c r="J503" s="122"/>
      <c r="K503" s="147"/>
      <c r="L503" s="239"/>
      <c r="M503" s="122"/>
      <c r="N503" s="238"/>
      <c r="O503" s="122"/>
      <c r="P503" s="122"/>
      <c r="Q503" s="122"/>
      <c r="R503" s="147"/>
      <c r="S503" s="124"/>
      <c r="T503" s="178"/>
    </row>
    <row r="504" spans="2:20" x14ac:dyDescent="0.2">
      <c r="D504" s="26" t="s">
        <v>135</v>
      </c>
      <c r="E504" s="64"/>
      <c r="F504" s="16"/>
      <c r="G504" s="64"/>
      <c r="H504" s="122"/>
      <c r="I504" s="341"/>
      <c r="J504" s="122"/>
      <c r="K504" s="147"/>
      <c r="L504" s="239"/>
      <c r="M504" s="122"/>
      <c r="N504" s="238"/>
      <c r="O504" s="122"/>
      <c r="P504" s="122"/>
      <c r="Q504" s="122"/>
      <c r="R504" s="147"/>
      <c r="S504" s="124"/>
      <c r="T504" s="178"/>
    </row>
    <row r="505" spans="2:20" x14ac:dyDescent="0.2">
      <c r="B505" s="64">
        <f>MAX(B$488:B504)+1</f>
        <v>263</v>
      </c>
      <c r="D505" s="27" t="s">
        <v>85</v>
      </c>
      <c r="E505" s="64"/>
      <c r="F505" s="16" t="s">
        <v>55</v>
      </c>
      <c r="G505" s="64"/>
      <c r="H505" s="122">
        <v>36.000000000000014</v>
      </c>
      <c r="I505" s="341"/>
      <c r="J505" s="122">
        <f>$H505*K505/1000</f>
        <v>27.211680000000012</v>
      </c>
      <c r="K505" s="331">
        <v>755.88</v>
      </c>
      <c r="L505" s="239"/>
      <c r="M505" s="122">
        <f t="shared" ref="M505:M507" si="136">J505-O505</f>
        <v>27.211680000000012</v>
      </c>
      <c r="N505" s="238"/>
      <c r="O505" s="122">
        <v>0</v>
      </c>
      <c r="P505" s="122">
        <f t="shared" ref="P505:P507" si="137">Q505-O505</f>
        <v>18.000000000000007</v>
      </c>
      <c r="Q505" s="122">
        <f>$H505*R505/1000</f>
        <v>18.000000000000007</v>
      </c>
      <c r="R505" s="331">
        <v>500</v>
      </c>
      <c r="S505" s="124"/>
      <c r="T505" s="178">
        <f t="shared" ref="T505:T507" si="138">R505/K505-1</f>
        <v>-0.33851934169444886</v>
      </c>
    </row>
    <row r="506" spans="2:20" x14ac:dyDescent="0.2">
      <c r="B506" s="64">
        <f>MAX(B$488:B505)+1</f>
        <v>264</v>
      </c>
      <c r="D506" s="27" t="s">
        <v>86</v>
      </c>
      <c r="E506" s="64"/>
      <c r="F506" s="16" t="s">
        <v>56</v>
      </c>
      <c r="G506" s="64"/>
      <c r="H506" s="122">
        <v>238.00964000000002</v>
      </c>
      <c r="I506" s="341"/>
      <c r="J506" s="122">
        <f>$H506*K506/100</f>
        <v>8.5412139410400005</v>
      </c>
      <c r="K506" s="147">
        <v>3.5886</v>
      </c>
      <c r="L506" s="239"/>
      <c r="M506" s="122">
        <f t="shared" si="136"/>
        <v>0.58119882896899622</v>
      </c>
      <c r="N506" s="238"/>
      <c r="O506" s="122">
        <v>7.9600151120710043</v>
      </c>
      <c r="P506" s="122">
        <f t="shared" si="137"/>
        <v>-3.0665162924604203</v>
      </c>
      <c r="Q506" s="122">
        <f>$H506*R506/100</f>
        <v>4.893498819610584</v>
      </c>
      <c r="R506" s="147">
        <v>2.0560086640232655</v>
      </c>
      <c r="S506" s="124"/>
      <c r="T506" s="178">
        <f t="shared" si="138"/>
        <v>-0.42707221088355751</v>
      </c>
    </row>
    <row r="507" spans="2:20" x14ac:dyDescent="0.2">
      <c r="B507" s="64">
        <f>MAX(B$488:B506)+1</f>
        <v>265</v>
      </c>
      <c r="D507" s="27" t="s">
        <v>136</v>
      </c>
      <c r="E507" s="64"/>
      <c r="F507" s="16" t="s">
        <v>56</v>
      </c>
      <c r="G507" s="64"/>
      <c r="H507" s="122">
        <v>2278.64</v>
      </c>
      <c r="I507" s="341"/>
      <c r="J507" s="122">
        <f>$H507*K507/100</f>
        <v>86.522239439999993</v>
      </c>
      <c r="K507" s="147">
        <v>3.7970999999999999</v>
      </c>
      <c r="L507" s="239"/>
      <c r="M507" s="122">
        <f t="shared" si="136"/>
        <v>18.857636471096356</v>
      </c>
      <c r="N507" s="238"/>
      <c r="O507" s="122">
        <v>67.664602968903637</v>
      </c>
      <c r="P507" s="122">
        <f t="shared" si="137"/>
        <v>-14.933483707545832</v>
      </c>
      <c r="Q507" s="122">
        <f>$H507*R507/100</f>
        <v>52.731119261357804</v>
      </c>
      <c r="R507" s="147">
        <v>2.314148758090695</v>
      </c>
      <c r="S507" s="124"/>
      <c r="T507" s="178">
        <f t="shared" si="138"/>
        <v>-0.3905483768953425</v>
      </c>
    </row>
    <row r="508" spans="2:20" x14ac:dyDescent="0.2">
      <c r="B508" s="64"/>
      <c r="C508" s="33"/>
      <c r="D508" s="26"/>
      <c r="E508" s="64"/>
      <c r="F508" s="16"/>
      <c r="G508" s="64"/>
      <c r="H508" s="122"/>
      <c r="I508" s="341"/>
      <c r="J508" s="122"/>
      <c r="K508" s="147"/>
      <c r="L508" s="239"/>
      <c r="M508" s="122"/>
      <c r="N508" s="238"/>
      <c r="O508" s="122"/>
      <c r="P508" s="122"/>
      <c r="Q508" s="122"/>
      <c r="R508" s="147"/>
      <c r="S508" s="124"/>
      <c r="T508" s="178"/>
    </row>
    <row r="509" spans="2:20" x14ac:dyDescent="0.2">
      <c r="B509" s="64">
        <f>MAX(B$488:B508)+1</f>
        <v>266</v>
      </c>
      <c r="C509" s="33"/>
      <c r="D509" s="26" t="s">
        <v>137</v>
      </c>
      <c r="E509" s="64"/>
      <c r="F509" s="16"/>
      <c r="G509" s="64"/>
      <c r="H509" s="146">
        <f>H506</f>
        <v>238.00964000000002</v>
      </c>
      <c r="I509" s="341"/>
      <c r="J509" s="146">
        <f>SUM(J505:J507)</f>
        <v>122.27513338104001</v>
      </c>
      <c r="K509" s="139">
        <f>J509/$H509*100</f>
        <v>51.374025598727847</v>
      </c>
      <c r="L509" s="239"/>
      <c r="M509" s="146">
        <f>SUM(M505:M507)</f>
        <v>46.650515300065365</v>
      </c>
      <c r="N509" s="238"/>
      <c r="O509" s="146">
        <f>SUM(O505:O507)</f>
        <v>75.624618080974642</v>
      </c>
      <c r="P509" s="146">
        <f>SUM(P505:P507)</f>
        <v>-6.2456706473312806E-12</v>
      </c>
      <c r="Q509" s="146">
        <f>SUM(Q505:Q507)</f>
        <v>75.624618080968389</v>
      </c>
      <c r="R509" s="139">
        <f>Q509/$H509*100</f>
        <v>31.773762642962016</v>
      </c>
      <c r="S509" s="342">
        <f>Q509/O509</f>
        <v>0.99999999999991729</v>
      </c>
      <c r="T509" s="177">
        <f>R509/K509-1</f>
        <v>-0.38152087027128323</v>
      </c>
    </row>
    <row r="510" spans="2:20" x14ac:dyDescent="0.2">
      <c r="E510" s="64"/>
      <c r="F510" s="16"/>
      <c r="G510" s="64"/>
      <c r="H510" s="122"/>
      <c r="I510" s="341"/>
      <c r="J510" s="122"/>
      <c r="K510" s="147"/>
      <c r="L510" s="239"/>
      <c r="M510" s="122"/>
      <c r="N510" s="238"/>
      <c r="O510" s="122"/>
      <c r="P510" s="122"/>
      <c r="Q510" s="122"/>
      <c r="R510" s="147"/>
      <c r="S510" s="124"/>
      <c r="T510" s="178"/>
    </row>
    <row r="511" spans="2:20" x14ac:dyDescent="0.2">
      <c r="B511" s="64"/>
      <c r="C511" s="33"/>
      <c r="D511" s="26" t="s">
        <v>87</v>
      </c>
      <c r="E511" s="64"/>
      <c r="F511" s="192"/>
      <c r="G511" s="64"/>
      <c r="H511" s="122"/>
      <c r="I511" s="341"/>
      <c r="J511" s="122"/>
      <c r="K511" s="147"/>
      <c r="L511" s="239"/>
      <c r="M511" s="122"/>
      <c r="N511" s="238"/>
      <c r="O511" s="122"/>
      <c r="P511" s="122"/>
      <c r="Q511" s="122"/>
      <c r="R511" s="240"/>
      <c r="S511" s="124"/>
      <c r="T511" s="343"/>
    </row>
    <row r="512" spans="2:20" x14ac:dyDescent="0.2">
      <c r="B512" s="64">
        <f>MAX(B$488:B511)+1</f>
        <v>267</v>
      </c>
      <c r="C512" s="33"/>
      <c r="D512" s="27" t="s">
        <v>64</v>
      </c>
      <c r="E512" s="64"/>
      <c r="F512" s="192" t="s">
        <v>56</v>
      </c>
      <c r="G512" s="64"/>
      <c r="H512" s="122">
        <v>59361.556339999981</v>
      </c>
      <c r="I512" s="341"/>
      <c r="J512" s="122">
        <f>$H512*K512/100</f>
        <v>0</v>
      </c>
      <c r="K512" s="147">
        <v>0</v>
      </c>
      <c r="L512" s="239"/>
      <c r="M512" s="122">
        <f t="shared" ref="M512:M513" si="139">J512-O512</f>
        <v>-860.80811760413303</v>
      </c>
      <c r="N512" s="238"/>
      <c r="O512" s="122">
        <f>Q512</f>
        <v>860.80811760413303</v>
      </c>
      <c r="P512" s="122">
        <f t="shared" ref="P512:P513" si="140">Q512-O512</f>
        <v>0</v>
      </c>
      <c r="Q512" s="122">
        <f>$H512*R512/100</f>
        <v>860.80811760413303</v>
      </c>
      <c r="R512" s="147">
        <v>1.4501104261380173</v>
      </c>
      <c r="S512" s="344"/>
      <c r="T512" s="178"/>
    </row>
    <row r="513" spans="2:21" x14ac:dyDescent="0.2">
      <c r="B513" s="64">
        <f>MAX(B$488:B512)+1</f>
        <v>268</v>
      </c>
      <c r="C513" s="33"/>
      <c r="D513" s="27" t="s">
        <v>65</v>
      </c>
      <c r="E513" s="64"/>
      <c r="F513" s="192" t="s">
        <v>56</v>
      </c>
      <c r="G513" s="64"/>
      <c r="H513" s="122">
        <f>H497+H506+H500-H512</f>
        <v>534537.83358999959</v>
      </c>
      <c r="I513" s="341"/>
      <c r="J513" s="122">
        <f>$H513*K513/100</f>
        <v>0</v>
      </c>
      <c r="K513" s="147">
        <v>0</v>
      </c>
      <c r="L513" s="239"/>
      <c r="M513" s="122">
        <f t="shared" si="139"/>
        <v>-7751.3888565408697</v>
      </c>
      <c r="N513" s="239"/>
      <c r="O513" s="122">
        <f>Q513</f>
        <v>7751.3888565408697</v>
      </c>
      <c r="P513" s="122">
        <f t="shared" si="140"/>
        <v>0</v>
      </c>
      <c r="Q513" s="122">
        <f>$H513*R513/100</f>
        <v>7751.3888565408697</v>
      </c>
      <c r="R513" s="147">
        <v>1.4501104261380173</v>
      </c>
      <c r="S513" s="344"/>
      <c r="T513" s="178"/>
      <c r="U513" s="64"/>
    </row>
    <row r="514" spans="2:21" x14ac:dyDescent="0.2">
      <c r="B514" s="64">
        <f>MAX(B$488:B513)+1</f>
        <v>269</v>
      </c>
      <c r="C514" s="33"/>
      <c r="D514" s="26" t="s">
        <v>87</v>
      </c>
      <c r="E514" s="64"/>
      <c r="F514" s="16"/>
      <c r="G514" s="64"/>
      <c r="H514" s="146">
        <f>SUM(H512:H513)</f>
        <v>593899.3899299996</v>
      </c>
      <c r="I514" s="341"/>
      <c r="J514" s="146">
        <f>SUM(J512:J513)</f>
        <v>0</v>
      </c>
      <c r="K514" s="139">
        <f>J514/$H514*100</f>
        <v>0</v>
      </c>
      <c r="L514" s="239"/>
      <c r="M514" s="146">
        <f>SUM(M512:M513)</f>
        <v>-8612.196974145003</v>
      </c>
      <c r="N514" s="238"/>
      <c r="O514" s="146">
        <f>SUM(O512:O513)</f>
        <v>8612.196974145003</v>
      </c>
      <c r="P514" s="146">
        <f>SUM(P512:P513)</f>
        <v>0</v>
      </c>
      <c r="Q514" s="146">
        <f>SUM(Q512:Q513)</f>
        <v>8612.196974145003</v>
      </c>
      <c r="R514" s="139">
        <f>Q514/$H514*100</f>
        <v>1.4501104261380173</v>
      </c>
      <c r="S514" s="342">
        <f>Q514/O514</f>
        <v>1</v>
      </c>
      <c r="T514" s="177"/>
    </row>
    <row r="515" spans="2:21" x14ac:dyDescent="0.2">
      <c r="H515" s="148"/>
      <c r="I515" s="148"/>
      <c r="J515" s="148"/>
      <c r="K515" s="148"/>
      <c r="L515" s="148"/>
      <c r="M515" s="148"/>
      <c r="N515" s="148"/>
      <c r="O515" s="148"/>
      <c r="P515" s="148"/>
      <c r="Q515" s="148"/>
      <c r="R515" s="148"/>
      <c r="S515" s="148"/>
      <c r="T515" s="180"/>
    </row>
    <row r="516" spans="2:21" x14ac:dyDescent="0.2">
      <c r="B516" s="64">
        <f>MAX(B$488:B515)+1</f>
        <v>270</v>
      </c>
      <c r="C516" s="33"/>
      <c r="D516" s="26" t="s">
        <v>138</v>
      </c>
      <c r="E516" s="64"/>
      <c r="F516" s="16" t="s">
        <v>56</v>
      </c>
      <c r="G516" s="64"/>
      <c r="H516" s="122">
        <v>16020.952840000002</v>
      </c>
      <c r="I516" s="341"/>
      <c r="J516" s="122">
        <f>$H516*K516/100</f>
        <v>33.403686671400003</v>
      </c>
      <c r="K516" s="147">
        <v>0.20849999999999999</v>
      </c>
      <c r="L516" s="239"/>
      <c r="M516" s="122">
        <f t="shared" ref="M516:M517" si="141">J516-O516</f>
        <v>14.52639358180555</v>
      </c>
      <c r="N516" s="238"/>
      <c r="O516" s="122">
        <f t="shared" ref="O516:O517" si="142">Q516</f>
        <v>18.877293089594453</v>
      </c>
      <c r="P516" s="122">
        <f t="shared" ref="P516:P517" si="143">Q516-O516</f>
        <v>0</v>
      </c>
      <c r="Q516" s="122">
        <f>$H516*R516/100</f>
        <v>18.877293089594453</v>
      </c>
      <c r="R516" s="147">
        <v>0.11782877883806597</v>
      </c>
      <c r="S516" s="124">
        <f>Q516/O516</f>
        <v>1</v>
      </c>
      <c r="T516" s="178">
        <f>R516/K516-1</f>
        <v>-0.43487396240735743</v>
      </c>
    </row>
    <row r="517" spans="2:21" x14ac:dyDescent="0.2">
      <c r="B517" s="64">
        <f>MAX(B$488:B516)+1</f>
        <v>271</v>
      </c>
      <c r="C517" s="33"/>
      <c r="D517" s="26" t="s">
        <v>88</v>
      </c>
      <c r="E517" s="64"/>
      <c r="F517" s="16" t="s">
        <v>56</v>
      </c>
      <c r="G517" s="64"/>
      <c r="H517" s="122">
        <f>H512</f>
        <v>59361.556339999981</v>
      </c>
      <c r="I517" s="341"/>
      <c r="J517" s="122">
        <f>$H517*K517/100</f>
        <v>13232.070608231819</v>
      </c>
      <c r="K517" s="147">
        <v>22.290639639640929</v>
      </c>
      <c r="L517" s="239"/>
      <c r="M517" s="122">
        <f t="shared" si="141"/>
        <v>823.48574553274375</v>
      </c>
      <c r="N517" s="238"/>
      <c r="O517" s="122">
        <f t="shared" si="142"/>
        <v>12408.584862699076</v>
      </c>
      <c r="P517" s="122">
        <f t="shared" si="143"/>
        <v>0</v>
      </c>
      <c r="Q517" s="122">
        <f>$H517*R517/100</f>
        <v>12408.584862699076</v>
      </c>
      <c r="R517" s="147">
        <v>20.903402181080821</v>
      </c>
      <c r="S517" s="124">
        <f>Q517/O517</f>
        <v>1</v>
      </c>
      <c r="T517" s="178">
        <f>R517/K517-1</f>
        <v>-6.2234080357796984E-2</v>
      </c>
    </row>
    <row r="518" spans="2:21" x14ac:dyDescent="0.2">
      <c r="B518" s="64"/>
      <c r="C518" s="33"/>
      <c r="D518" s="26"/>
      <c r="E518" s="64"/>
      <c r="F518" s="16"/>
      <c r="G518" s="64"/>
      <c r="H518" s="122"/>
      <c r="I518" s="341"/>
      <c r="J518" s="122"/>
      <c r="K518" s="147"/>
      <c r="L518" s="239"/>
      <c r="M518" s="122"/>
      <c r="N518" s="238"/>
      <c r="O518" s="122"/>
      <c r="P518" s="122"/>
      <c r="Q518" s="122"/>
      <c r="R518" s="147"/>
      <c r="S518" s="124"/>
      <c r="T518" s="178"/>
    </row>
    <row r="519" spans="2:21" ht="13.5" thickBot="1" x14ac:dyDescent="0.25">
      <c r="B519" s="64">
        <f>MAX(B$488:B518)+1</f>
        <v>272</v>
      </c>
      <c r="C519" s="33"/>
      <c r="D519" s="26" t="s">
        <v>125</v>
      </c>
      <c r="E519" s="64"/>
      <c r="F519" s="16"/>
      <c r="G519" s="64"/>
      <c r="H519" s="159">
        <f>H497+H509</f>
        <v>592622.98499999964</v>
      </c>
      <c r="I519" s="341"/>
      <c r="J519" s="159">
        <f>SUM(J502,J509,J514,J516:J517)</f>
        <v>49619.703277440618</v>
      </c>
      <c r="K519" s="140">
        <f>J519/$H519*100</f>
        <v>8.372895505806385</v>
      </c>
      <c r="L519" s="239"/>
      <c r="M519" s="159">
        <f>SUM(M502,M509,M514,M516:M517)</f>
        <v>-8094.5432001947829</v>
      </c>
      <c r="N519" s="238"/>
      <c r="O519" s="159">
        <f>SUM(O502,O509,O514,O516:O517)</f>
        <v>57714.24647763541</v>
      </c>
      <c r="P519" s="159">
        <f>SUM(P502,P509,P514,P516:P517)</f>
        <v>-7417.7980645978114</v>
      </c>
      <c r="Q519" s="159">
        <f>SUM(Q502,Q509,Q514,Q516:Q517)</f>
        <v>50296.4484130376</v>
      </c>
      <c r="R519" s="140">
        <f>Q519/$H519*100</f>
        <v>8.4870903907039033</v>
      </c>
      <c r="S519" s="345">
        <f>Q519/O519</f>
        <v>0.87147370853274075</v>
      </c>
      <c r="T519" s="179">
        <f>R519/K519-1</f>
        <v>1.3638637293195366E-2</v>
      </c>
    </row>
    <row r="520" spans="2:21" ht="13.5" thickTop="1" x14ac:dyDescent="0.2">
      <c r="B520" s="60"/>
      <c r="C520" s="30"/>
      <c r="D520" s="29"/>
      <c r="E520" s="60"/>
      <c r="F520" s="192"/>
      <c r="G520" s="60"/>
      <c r="H520" s="346"/>
      <c r="I520" s="153"/>
      <c r="J520" s="346"/>
      <c r="K520" s="347"/>
      <c r="L520" s="346"/>
      <c r="M520" s="346"/>
      <c r="N520" s="348"/>
      <c r="O520" s="346"/>
      <c r="P520" s="346"/>
      <c r="Q520" s="346"/>
      <c r="R520" s="347"/>
      <c r="S520" s="172"/>
      <c r="T520" s="365"/>
    </row>
    <row r="521" spans="2:21" x14ac:dyDescent="0.2">
      <c r="B521" s="549" t="s">
        <v>506</v>
      </c>
      <c r="C521" s="549"/>
      <c r="D521" s="549"/>
      <c r="E521" s="549"/>
      <c r="F521" s="549"/>
      <c r="G521" s="549"/>
      <c r="H521" s="549"/>
      <c r="I521" s="549"/>
      <c r="J521" s="549"/>
      <c r="K521" s="549"/>
      <c r="L521" s="549"/>
      <c r="M521" s="549"/>
      <c r="N521" s="549"/>
      <c r="O521" s="549"/>
      <c r="P521" s="549"/>
      <c r="Q521" s="549"/>
      <c r="R521" s="549"/>
      <c r="S521" s="549"/>
      <c r="T521" s="549"/>
      <c r="U521" s="31"/>
    </row>
    <row r="522" spans="2:21" x14ac:dyDescent="0.2">
      <c r="B522" s="549" t="s">
        <v>1057</v>
      </c>
      <c r="C522" s="549"/>
      <c r="D522" s="549"/>
      <c r="E522" s="549"/>
      <c r="F522" s="549"/>
      <c r="G522" s="549"/>
      <c r="H522" s="549"/>
      <c r="I522" s="549"/>
      <c r="J522" s="549"/>
      <c r="K522" s="549"/>
      <c r="L522" s="549"/>
      <c r="M522" s="549"/>
      <c r="N522" s="549"/>
      <c r="O522" s="549"/>
      <c r="P522" s="549"/>
      <c r="Q522" s="549"/>
      <c r="R522" s="549"/>
      <c r="S522" s="549"/>
      <c r="T522" s="549"/>
      <c r="U522" s="31"/>
    </row>
    <row r="523" spans="2:21" x14ac:dyDescent="0.2">
      <c r="B523" s="168"/>
      <c r="C523" s="168"/>
      <c r="D523" s="168"/>
      <c r="E523" s="168"/>
      <c r="F523" s="170"/>
      <c r="G523" s="168"/>
      <c r="H523" s="170"/>
      <c r="I523" s="168"/>
      <c r="J523" s="170"/>
      <c r="K523" s="170"/>
      <c r="L523" s="170"/>
      <c r="M523" s="170"/>
      <c r="N523" s="168"/>
      <c r="O523" s="168"/>
      <c r="P523" s="168"/>
      <c r="Q523" s="168"/>
      <c r="R523" s="168"/>
      <c r="S523" s="169"/>
      <c r="T523" s="169"/>
    </row>
    <row r="524" spans="2:21" x14ac:dyDescent="0.2">
      <c r="B524" s="170"/>
      <c r="C524" s="170"/>
      <c r="D524" s="170"/>
      <c r="E524" s="170"/>
      <c r="F524" s="340"/>
      <c r="G524" s="170"/>
      <c r="H524" s="340"/>
      <c r="I524" s="170"/>
      <c r="J524" s="173" t="s">
        <v>57</v>
      </c>
      <c r="K524" s="173"/>
      <c r="L524" s="170"/>
      <c r="M524" s="170"/>
      <c r="N524" s="170"/>
      <c r="O524" s="173" t="s">
        <v>60</v>
      </c>
      <c r="P524" s="173"/>
      <c r="Q524" s="173"/>
      <c r="R524" s="173"/>
      <c r="S524" s="174"/>
      <c r="T524" s="174"/>
    </row>
    <row r="525" spans="2:21" s="45" customFormat="1" ht="39" customHeight="1" x14ac:dyDescent="0.2">
      <c r="B525" s="154" t="s">
        <v>0</v>
      </c>
      <c r="C525" s="154"/>
      <c r="D525" s="154"/>
      <c r="E525" s="154"/>
      <c r="F525" s="60" t="s">
        <v>47</v>
      </c>
      <c r="G525" s="154"/>
      <c r="H525" s="45" t="s">
        <v>746</v>
      </c>
      <c r="I525" s="154"/>
      <c r="J525" s="45" t="s">
        <v>61</v>
      </c>
      <c r="K525" s="45" t="s">
        <v>571</v>
      </c>
      <c r="L525" s="154"/>
      <c r="M525" s="45" t="s">
        <v>34</v>
      </c>
      <c r="N525" s="154"/>
      <c r="O525" s="154" t="s">
        <v>79</v>
      </c>
      <c r="P525" s="45" t="s">
        <v>34</v>
      </c>
      <c r="Q525" s="45" t="s">
        <v>61</v>
      </c>
      <c r="R525" s="45" t="s">
        <v>69</v>
      </c>
      <c r="S525" s="154" t="s">
        <v>745</v>
      </c>
      <c r="T525" s="154" t="s">
        <v>747</v>
      </c>
      <c r="U525" s="154"/>
    </row>
    <row r="526" spans="2:21" ht="14.25" x14ac:dyDescent="0.2">
      <c r="B526" s="520" t="s">
        <v>1</v>
      </c>
      <c r="C526" s="33"/>
      <c r="D526" s="185" t="s">
        <v>33</v>
      </c>
      <c r="E526" s="64"/>
      <c r="F526" s="520" t="s">
        <v>48</v>
      </c>
      <c r="G526" s="64"/>
      <c r="H526" s="520" t="s">
        <v>560</v>
      </c>
      <c r="I526" s="64"/>
      <c r="J526" s="520" t="s">
        <v>389</v>
      </c>
      <c r="K526" s="520" t="s">
        <v>35</v>
      </c>
      <c r="L526" s="64"/>
      <c r="M526" s="520" t="s">
        <v>389</v>
      </c>
      <c r="N526" s="64"/>
      <c r="O526" s="520" t="s">
        <v>389</v>
      </c>
      <c r="P526" s="520" t="s">
        <v>389</v>
      </c>
      <c r="Q526" s="520" t="s">
        <v>389</v>
      </c>
      <c r="R526" s="520" t="s">
        <v>35</v>
      </c>
      <c r="S526" s="520" t="s">
        <v>36</v>
      </c>
      <c r="T526" s="520" t="s">
        <v>2</v>
      </c>
      <c r="U526" s="64"/>
    </row>
    <row r="527" spans="2:21" x14ac:dyDescent="0.2">
      <c r="B527" s="64"/>
      <c r="C527" s="33"/>
      <c r="D527" s="33"/>
      <c r="E527" s="64"/>
      <c r="F527" s="64"/>
      <c r="G527" s="64"/>
      <c r="H527" s="64" t="s">
        <v>3</v>
      </c>
      <c r="I527" s="64"/>
      <c r="J527" s="64" t="s">
        <v>4</v>
      </c>
      <c r="K527" s="64" t="s">
        <v>58</v>
      </c>
      <c r="L527" s="64"/>
      <c r="M527" s="64" t="s">
        <v>59</v>
      </c>
      <c r="N527" s="64"/>
      <c r="O527" s="64" t="s">
        <v>63</v>
      </c>
      <c r="P527" s="64" t="s">
        <v>227</v>
      </c>
      <c r="Q527" s="175" t="s">
        <v>38</v>
      </c>
      <c r="R527" s="175" t="s">
        <v>70</v>
      </c>
      <c r="S527" s="175" t="s">
        <v>479</v>
      </c>
      <c r="T527" s="175" t="s">
        <v>71</v>
      </c>
      <c r="U527" s="64"/>
    </row>
    <row r="528" spans="2:21" x14ac:dyDescent="0.2">
      <c r="B528" s="60"/>
      <c r="C528" s="30"/>
      <c r="D528" s="29"/>
      <c r="E528" s="60"/>
      <c r="F528" s="192"/>
      <c r="G528" s="60"/>
      <c r="H528" s="346"/>
      <c r="I528" s="153"/>
      <c r="J528" s="346"/>
      <c r="K528" s="347"/>
      <c r="L528" s="346"/>
      <c r="M528" s="346"/>
      <c r="N528" s="348"/>
      <c r="O528" s="346"/>
      <c r="P528" s="346"/>
      <c r="Q528" s="346"/>
      <c r="R528" s="347"/>
      <c r="S528" s="172"/>
      <c r="T528" s="347"/>
    </row>
    <row r="529" spans="2:21" x14ac:dyDescent="0.2">
      <c r="B529" s="64"/>
      <c r="C529" s="33"/>
      <c r="D529" s="31" t="s">
        <v>23</v>
      </c>
      <c r="E529" s="64"/>
      <c r="F529" s="186"/>
      <c r="G529" s="64"/>
      <c r="H529" s="350"/>
      <c r="I529" s="341"/>
      <c r="J529" s="350"/>
      <c r="K529" s="341"/>
      <c r="L529" s="341"/>
      <c r="M529" s="144"/>
      <c r="N529" s="341"/>
      <c r="O529" s="145"/>
      <c r="P529" s="341"/>
      <c r="Q529" s="341"/>
      <c r="R529" s="341"/>
      <c r="S529" s="341"/>
      <c r="T529" s="341"/>
      <c r="U529" s="64"/>
    </row>
    <row r="530" spans="2:21" x14ac:dyDescent="0.2">
      <c r="B530" s="64">
        <f>MAX(B$488:B529)+1</f>
        <v>273</v>
      </c>
      <c r="D530" s="26" t="s">
        <v>85</v>
      </c>
      <c r="E530" s="64"/>
      <c r="F530" s="16" t="s">
        <v>55</v>
      </c>
      <c r="G530" s="64"/>
      <c r="H530" s="122">
        <v>456.0000000000021</v>
      </c>
      <c r="I530" s="341"/>
      <c r="J530" s="122">
        <f>$H530*K530/1000</f>
        <v>344.68128000000161</v>
      </c>
      <c r="K530" s="331">
        <v>755.88</v>
      </c>
      <c r="L530" s="239"/>
      <c r="M530" s="122">
        <f t="shared" ref="M530:M534" si="144">J530-O530</f>
        <v>-633.27848422825286</v>
      </c>
      <c r="N530" s="238"/>
      <c r="O530" s="122">
        <v>977.95976422825447</v>
      </c>
      <c r="P530" s="122">
        <f t="shared" ref="P530:P534" si="145">Q530-O530</f>
        <v>-749.95976422825345</v>
      </c>
      <c r="Q530" s="122">
        <f>$H530*R530/1000</f>
        <v>228.00000000000105</v>
      </c>
      <c r="R530" s="331">
        <v>500</v>
      </c>
      <c r="S530" s="124">
        <f t="shared" ref="S530" si="146">Q530/O530</f>
        <v>0.23313842587371125</v>
      </c>
      <c r="T530" s="178">
        <f t="shared" ref="T530:T534" si="147">R530/K530-1</f>
        <v>-0.33851934169444886</v>
      </c>
    </row>
    <row r="531" spans="2:21" x14ac:dyDescent="0.2">
      <c r="B531" s="64">
        <f>MAX(B$488:B530)+1</f>
        <v>274</v>
      </c>
      <c r="C531" s="33"/>
      <c r="D531" s="26" t="s">
        <v>86</v>
      </c>
      <c r="E531" s="64"/>
      <c r="F531" s="16" t="s">
        <v>56</v>
      </c>
      <c r="G531" s="64"/>
      <c r="H531" s="122">
        <v>55087.023449999993</v>
      </c>
      <c r="I531" s="341"/>
      <c r="J531" s="122">
        <f>$H531*K531/100</f>
        <v>1899.2256419470398</v>
      </c>
      <c r="K531" s="147">
        <v>3.4476824540554114</v>
      </c>
      <c r="L531" s="239"/>
      <c r="M531" s="122">
        <f t="shared" si="144"/>
        <v>1249.4876774507229</v>
      </c>
      <c r="N531" s="238"/>
      <c r="O531" s="122">
        <v>649.73796449631675</v>
      </c>
      <c r="P531" s="122">
        <f t="shared" si="145"/>
        <v>482.85601038821108</v>
      </c>
      <c r="Q531" s="122">
        <f>$H531*R531/100</f>
        <v>1132.5939748845278</v>
      </c>
      <c r="R531" s="147">
        <v>2.0560086640232655</v>
      </c>
      <c r="S531" s="124"/>
      <c r="T531" s="178">
        <f t="shared" si="147"/>
        <v>-0.40365486339821099</v>
      </c>
    </row>
    <row r="532" spans="2:21" x14ac:dyDescent="0.2">
      <c r="B532" s="64">
        <f>MAX(B$488:B531)+1</f>
        <v>275</v>
      </c>
      <c r="C532" s="33"/>
      <c r="D532" s="356" t="s">
        <v>136</v>
      </c>
      <c r="E532" s="64"/>
      <c r="F532" s="16" t="s">
        <v>56</v>
      </c>
      <c r="G532" s="64"/>
      <c r="H532" s="122">
        <v>4252.9598999999998</v>
      </c>
      <c r="I532" s="341"/>
      <c r="J532" s="122">
        <f>$H532*K532/100</f>
        <v>161.4891403629</v>
      </c>
      <c r="K532" s="147">
        <v>3.7970999999999999</v>
      </c>
      <c r="L532" s="239"/>
      <c r="M532" s="122">
        <f t="shared" si="144"/>
        <v>229.15374333180364</v>
      </c>
      <c r="N532" s="238"/>
      <c r="O532" s="122">
        <v>-67.664602968903637</v>
      </c>
      <c r="P532" s="122">
        <f t="shared" si="145"/>
        <v>166.08442167684888</v>
      </c>
      <c r="Q532" s="122">
        <f>$H532*R532/100</f>
        <v>98.419818707945254</v>
      </c>
      <c r="R532" s="147">
        <v>2.314148758090695</v>
      </c>
      <c r="S532" s="124"/>
      <c r="T532" s="178">
        <f t="shared" si="147"/>
        <v>-0.3905483768953425</v>
      </c>
    </row>
    <row r="533" spans="2:21" x14ac:dyDescent="0.2">
      <c r="B533" s="64">
        <f>MAX(B$488:B532)+1</f>
        <v>276</v>
      </c>
      <c r="C533" s="33"/>
      <c r="D533" s="356" t="s">
        <v>139</v>
      </c>
      <c r="E533" s="64"/>
      <c r="F533" s="16" t="s">
        <v>56</v>
      </c>
      <c r="G533" s="64"/>
      <c r="H533" s="122">
        <v>12766.517779999998</v>
      </c>
      <c r="I533" s="341"/>
      <c r="J533" s="122">
        <f>$H533*K533/100</f>
        <v>-6.7662544233999986</v>
      </c>
      <c r="K533" s="147">
        <v>-5.2999999999999999E-2</v>
      </c>
      <c r="L533" s="239"/>
      <c r="M533" s="122">
        <f t="shared" si="144"/>
        <v>-6.7662544233999986</v>
      </c>
      <c r="N533" s="238"/>
      <c r="O533" s="122">
        <v>0</v>
      </c>
      <c r="P533" s="122">
        <f t="shared" si="145"/>
        <v>-6.7662544233999986</v>
      </c>
      <c r="Q533" s="122">
        <f>$H533*R533/100</f>
        <v>-6.7662544233999986</v>
      </c>
      <c r="R533" s="147">
        <v>-5.2999999999999999E-2</v>
      </c>
      <c r="S533" s="124"/>
      <c r="T533" s="178">
        <f t="shared" si="147"/>
        <v>0</v>
      </c>
    </row>
    <row r="534" spans="2:21" x14ac:dyDescent="0.2">
      <c r="B534" s="64">
        <f>MAX(B$488:B533)+1</f>
        <v>277</v>
      </c>
      <c r="C534" s="33"/>
      <c r="D534" s="356" t="s">
        <v>140</v>
      </c>
      <c r="E534" s="64"/>
      <c r="F534" s="16" t="s">
        <v>56</v>
      </c>
      <c r="G534" s="64"/>
      <c r="H534" s="122">
        <v>12450.358</v>
      </c>
      <c r="I534" s="341"/>
      <c r="J534" s="122">
        <f>$H534*K534/100</f>
        <v>-0.26394758960000003</v>
      </c>
      <c r="K534" s="147">
        <v>-2.1199999999999999E-3</v>
      </c>
      <c r="L534" s="239"/>
      <c r="M534" s="122">
        <f t="shared" si="144"/>
        <v>-0.26394758960000003</v>
      </c>
      <c r="N534" s="238"/>
      <c r="O534" s="122">
        <v>0</v>
      </c>
      <c r="P534" s="122">
        <f t="shared" si="145"/>
        <v>-0.26394758960000003</v>
      </c>
      <c r="Q534" s="122">
        <f>$H534*R534/100</f>
        <v>-0.26394758960000003</v>
      </c>
      <c r="R534" s="147">
        <v>-2.1199999999999999E-3</v>
      </c>
      <c r="S534" s="124"/>
      <c r="T534" s="178">
        <f t="shared" si="147"/>
        <v>0</v>
      </c>
    </row>
    <row r="535" spans="2:21" x14ac:dyDescent="0.2">
      <c r="B535" s="64"/>
      <c r="C535" s="33"/>
      <c r="D535" s="26"/>
      <c r="E535" s="64"/>
      <c r="F535" s="16"/>
      <c r="G535" s="64"/>
      <c r="H535" s="122"/>
      <c r="I535" s="341"/>
      <c r="J535" s="122"/>
      <c r="K535" s="147"/>
      <c r="L535" s="239"/>
      <c r="M535" s="122"/>
      <c r="N535" s="238"/>
      <c r="O535" s="122"/>
      <c r="P535" s="122"/>
      <c r="Q535" s="122"/>
      <c r="R535" s="147"/>
      <c r="S535" s="124"/>
      <c r="T535" s="138"/>
    </row>
    <row r="536" spans="2:21" x14ac:dyDescent="0.2">
      <c r="B536" s="64">
        <f>MAX(B$488:B535)+1</f>
        <v>278</v>
      </c>
      <c r="C536" s="33"/>
      <c r="D536" s="26" t="s">
        <v>137</v>
      </c>
      <c r="E536" s="64"/>
      <c r="F536" s="16"/>
      <c r="G536" s="64"/>
      <c r="H536" s="146">
        <f>H531</f>
        <v>55087.023449999993</v>
      </c>
      <c r="I536" s="341"/>
      <c r="J536" s="146">
        <f>SUM(J530:J534)</f>
        <v>2398.3658602969413</v>
      </c>
      <c r="K536" s="139">
        <f>J536/$H536*100</f>
        <v>4.3537764614815861</v>
      </c>
      <c r="L536" s="239"/>
      <c r="M536" s="146">
        <f>SUM(M530:M534)</f>
        <v>838.33273454127368</v>
      </c>
      <c r="N536" s="238"/>
      <c r="O536" s="146">
        <f>SUM(O530:O534)</f>
        <v>1560.0331257556677</v>
      </c>
      <c r="P536" s="146">
        <f>SUM(P530:P534)</f>
        <v>-108.04953417619349</v>
      </c>
      <c r="Q536" s="146">
        <f>SUM(Q530:Q534)</f>
        <v>1451.9835915794743</v>
      </c>
      <c r="R536" s="139">
        <f>Q536/$H536*100</f>
        <v>2.6357996868307367</v>
      </c>
      <c r="S536" s="342">
        <f>Q536/O536</f>
        <v>0.93073894881311892</v>
      </c>
      <c r="T536" s="177">
        <f>R536/K536-1</f>
        <v>-0.3945946214395728</v>
      </c>
    </row>
    <row r="537" spans="2:21" x14ac:dyDescent="0.2">
      <c r="E537" s="64"/>
      <c r="F537" s="16"/>
      <c r="G537" s="64"/>
      <c r="H537" s="122"/>
      <c r="I537" s="341"/>
      <c r="J537" s="122"/>
      <c r="K537" s="147"/>
      <c r="L537" s="239"/>
      <c r="M537" s="122"/>
      <c r="N537" s="238"/>
      <c r="O537" s="122"/>
      <c r="P537" s="122"/>
      <c r="Q537" s="122"/>
      <c r="R537" s="147"/>
      <c r="S537" s="124"/>
      <c r="T537" s="178"/>
    </row>
    <row r="538" spans="2:21" x14ac:dyDescent="0.2">
      <c r="D538" s="26" t="s">
        <v>141</v>
      </c>
      <c r="E538" s="64"/>
      <c r="F538" s="16"/>
      <c r="G538" s="64"/>
      <c r="H538" s="122"/>
      <c r="I538" s="341"/>
      <c r="J538" s="122"/>
      <c r="K538" s="147"/>
      <c r="L538" s="239"/>
      <c r="M538" s="122"/>
      <c r="N538" s="238"/>
      <c r="O538" s="122"/>
      <c r="P538" s="122"/>
      <c r="Q538" s="122"/>
      <c r="R538" s="147"/>
      <c r="S538" s="124"/>
      <c r="T538" s="178"/>
    </row>
    <row r="539" spans="2:21" x14ac:dyDescent="0.2">
      <c r="B539" s="64">
        <f>MAX(B$488:B538)+1</f>
        <v>279</v>
      </c>
      <c r="C539" s="33"/>
      <c r="D539" s="27" t="s">
        <v>89</v>
      </c>
      <c r="E539" s="64"/>
      <c r="F539" s="360" t="s">
        <v>81</v>
      </c>
      <c r="G539" s="64"/>
      <c r="H539" s="122">
        <v>431.904</v>
      </c>
      <c r="I539" s="341"/>
      <c r="J539" s="122">
        <f>$H539*K539/100</f>
        <v>178.012256928</v>
      </c>
      <c r="K539" s="147">
        <v>41.215699999999998</v>
      </c>
      <c r="L539" s="239"/>
      <c r="M539" s="122">
        <f t="shared" ref="M539:M541" si="148">J539-O539</f>
        <v>-69.039049997936019</v>
      </c>
      <c r="N539" s="238"/>
      <c r="O539" s="122">
        <v>247.05130692593602</v>
      </c>
      <c r="P539" s="122">
        <f t="shared" ref="P539:P541" si="149">Q539-O539</f>
        <v>-76.241739531415391</v>
      </c>
      <c r="Q539" s="122">
        <f>$H539*R539/100</f>
        <v>170.80956739452063</v>
      </c>
      <c r="R539" s="147">
        <v>39.548040165064606</v>
      </c>
      <c r="S539" s="124">
        <f t="shared" ref="S539" si="150">Q539/O539</f>
        <v>0.69139309368530466</v>
      </c>
      <c r="T539" s="178">
        <f t="shared" ref="T539:T541" si="151">R539/K539-1</f>
        <v>-4.046176177853078E-2</v>
      </c>
    </row>
    <row r="540" spans="2:21" x14ac:dyDescent="0.2">
      <c r="B540" s="64">
        <f>MAX(B$488:B539)+1</f>
        <v>280</v>
      </c>
      <c r="D540" s="27" t="s">
        <v>86</v>
      </c>
      <c r="E540" s="64"/>
      <c r="F540" s="16" t="s">
        <v>56</v>
      </c>
      <c r="G540" s="64"/>
      <c r="H540" s="122">
        <v>4405.8775999999998</v>
      </c>
      <c r="I540" s="341"/>
      <c r="J540" s="122">
        <f>$H540*K540/100</f>
        <v>156.39750628080478</v>
      </c>
      <c r="K540" s="147">
        <v>3.5497469625757372</v>
      </c>
      <c r="L540" s="239"/>
      <c r="M540" s="122">
        <f t="shared" si="148"/>
        <v>136.68630404346581</v>
      </c>
      <c r="N540" s="238"/>
      <c r="O540" s="122">
        <v>19.711202237338959</v>
      </c>
      <c r="P540" s="122">
        <f t="shared" si="149"/>
        <v>145.57818548026711</v>
      </c>
      <c r="Q540" s="122">
        <f>$H540*R540/100</f>
        <v>165.28938771760608</v>
      </c>
      <c r="R540" s="147">
        <v>3.7515655840644797</v>
      </c>
      <c r="S540" s="124"/>
      <c r="T540" s="178">
        <f t="shared" si="151"/>
        <v>5.6854368386388021E-2</v>
      </c>
    </row>
    <row r="541" spans="2:21" x14ac:dyDescent="0.2">
      <c r="B541" s="64">
        <f>MAX(B$488:B540)+1</f>
        <v>281</v>
      </c>
      <c r="D541" s="27" t="s">
        <v>132</v>
      </c>
      <c r="E541" s="64"/>
      <c r="F541" s="16" t="s">
        <v>56</v>
      </c>
      <c r="G541" s="64"/>
      <c r="H541" s="122">
        <v>854.38999999999942</v>
      </c>
      <c r="I541" s="341"/>
      <c r="J541" s="122">
        <f>$H541*K541/100</f>
        <v>33.318525789307991</v>
      </c>
      <c r="K541" s="147">
        <v>3.8996858330865312</v>
      </c>
      <c r="L541" s="239"/>
      <c r="M541" s="122">
        <f t="shared" si="148"/>
        <v>33.318525789307991</v>
      </c>
      <c r="N541" s="238"/>
      <c r="O541" s="122">
        <v>0</v>
      </c>
      <c r="P541" s="122">
        <f t="shared" si="149"/>
        <v>35.042843909445658</v>
      </c>
      <c r="Q541" s="122">
        <f>$H541*R541/100</f>
        <v>35.042843909445658</v>
      </c>
      <c r="R541" s="147">
        <v>4.1015044545752737</v>
      </c>
      <c r="S541" s="124"/>
      <c r="T541" s="178">
        <f t="shared" si="151"/>
        <v>5.1752533441650872E-2</v>
      </c>
    </row>
    <row r="542" spans="2:21" x14ac:dyDescent="0.2">
      <c r="B542" s="64"/>
      <c r="C542" s="33"/>
      <c r="D542" s="26"/>
      <c r="E542" s="64"/>
      <c r="F542" s="16"/>
      <c r="G542" s="64"/>
      <c r="H542" s="122"/>
      <c r="I542" s="341"/>
      <c r="J542" s="122"/>
      <c r="K542" s="147"/>
      <c r="L542" s="239"/>
      <c r="M542" s="122"/>
      <c r="N542" s="238"/>
      <c r="O542" s="122"/>
      <c r="P542" s="122"/>
      <c r="Q542" s="122"/>
      <c r="R542" s="147"/>
      <c r="S542" s="124"/>
      <c r="T542" s="178"/>
    </row>
    <row r="543" spans="2:21" x14ac:dyDescent="0.2">
      <c r="B543" s="64">
        <f>MAX(B$488:B542)+1</f>
        <v>282</v>
      </c>
      <c r="C543" s="33"/>
      <c r="D543" s="26" t="s">
        <v>134</v>
      </c>
      <c r="E543" s="64"/>
      <c r="F543" s="16"/>
      <c r="G543" s="64"/>
      <c r="H543" s="146">
        <f>H540</f>
        <v>4405.8775999999998</v>
      </c>
      <c r="I543" s="341"/>
      <c r="J543" s="146">
        <f>SUM(J539:J541)</f>
        <v>367.72828899811276</v>
      </c>
      <c r="K543" s="139">
        <f>J543/$H543*100</f>
        <v>8.3463119583284104</v>
      </c>
      <c r="L543" s="239"/>
      <c r="M543" s="146">
        <f>SUM(M539:M541)</f>
        <v>100.96577983483778</v>
      </c>
      <c r="N543" s="238"/>
      <c r="O543" s="146">
        <f>SUM(O539:O541)</f>
        <v>266.76250916327496</v>
      </c>
      <c r="P543" s="146">
        <f>SUM(P539:P541)</f>
        <v>104.37928985829737</v>
      </c>
      <c r="Q543" s="146">
        <f>SUM(Q539:Q541)</f>
        <v>371.14179902157235</v>
      </c>
      <c r="R543" s="139">
        <f>Q543/$H543*100</f>
        <v>8.4237882373666562</v>
      </c>
      <c r="S543" s="342">
        <f>Q543/O543</f>
        <v>1.3912817066599523</v>
      </c>
      <c r="T543" s="177">
        <f>R543/K543-1</f>
        <v>9.282696288500869E-3</v>
      </c>
    </row>
    <row r="544" spans="2:21" x14ac:dyDescent="0.2">
      <c r="E544" s="64"/>
      <c r="F544" s="16"/>
      <c r="G544" s="64"/>
      <c r="H544" s="122"/>
      <c r="I544" s="341"/>
      <c r="J544" s="122"/>
      <c r="K544" s="147"/>
      <c r="L544" s="239"/>
      <c r="M544" s="122"/>
      <c r="N544" s="238"/>
      <c r="O544" s="122"/>
      <c r="P544" s="122"/>
      <c r="Q544" s="122"/>
      <c r="R544" s="147"/>
      <c r="S544" s="124"/>
      <c r="T544" s="178"/>
    </row>
    <row r="545" spans="2:21" x14ac:dyDescent="0.2">
      <c r="B545" s="64"/>
      <c r="C545" s="33"/>
      <c r="D545" s="26" t="s">
        <v>87</v>
      </c>
      <c r="E545" s="64"/>
      <c r="F545" s="192"/>
      <c r="G545" s="64"/>
      <c r="H545" s="122"/>
      <c r="I545" s="341"/>
      <c r="J545" s="122"/>
      <c r="K545" s="147"/>
      <c r="L545" s="239"/>
      <c r="M545" s="122"/>
      <c r="N545" s="238"/>
      <c r="O545" s="122"/>
      <c r="P545" s="122"/>
      <c r="Q545" s="122"/>
      <c r="R545" s="240"/>
      <c r="S545" s="124"/>
      <c r="T545" s="343"/>
    </row>
    <row r="546" spans="2:21" x14ac:dyDescent="0.2">
      <c r="B546" s="64">
        <f>MAX(B$488:B545)+1</f>
        <v>283</v>
      </c>
      <c r="C546" s="33"/>
      <c r="D546" s="27" t="s">
        <v>64</v>
      </c>
      <c r="E546" s="64"/>
      <c r="F546" s="192" t="s">
        <v>56</v>
      </c>
      <c r="G546" s="64"/>
      <c r="H546" s="122">
        <v>2163.9659000000001</v>
      </c>
      <c r="I546" s="341"/>
      <c r="J546" s="122">
        <f>$H546*K546/100</f>
        <v>0</v>
      </c>
      <c r="K546" s="147">
        <v>0</v>
      </c>
      <c r="L546" s="239"/>
      <c r="M546" s="122">
        <f t="shared" ref="M546:M547" si="152">J546-O546</f>
        <v>-20.381443446878471</v>
      </c>
      <c r="N546" s="238"/>
      <c r="O546" s="122">
        <f>Q546</f>
        <v>20.381443446878471</v>
      </c>
      <c r="P546" s="122">
        <f t="shared" ref="P546:P547" si="153">Q546-O546</f>
        <v>0</v>
      </c>
      <c r="Q546" s="122">
        <f>$H546*R546/100</f>
        <v>20.381443446878471</v>
      </c>
      <c r="R546" s="147">
        <v>0.94185603603450829</v>
      </c>
      <c r="S546" s="344"/>
      <c r="T546" s="178"/>
    </row>
    <row r="547" spans="2:21" x14ac:dyDescent="0.2">
      <c r="B547" s="64">
        <f>MAX(B$488:B546)+1</f>
        <v>284</v>
      </c>
      <c r="C547" s="33"/>
      <c r="D547" s="27" t="s">
        <v>65</v>
      </c>
      <c r="E547" s="64"/>
      <c r="F547" s="192" t="s">
        <v>56</v>
      </c>
      <c r="G547" s="64"/>
      <c r="H547" s="122">
        <f>H531+H540-H546</f>
        <v>57328.93514999999</v>
      </c>
      <c r="I547" s="341"/>
      <c r="J547" s="122">
        <f>$H547*K547/100</f>
        <v>0</v>
      </c>
      <c r="K547" s="147">
        <v>0</v>
      </c>
      <c r="L547" s="239"/>
      <c r="M547" s="122">
        <f t="shared" si="152"/>
        <v>-539.95603610458375</v>
      </c>
      <c r="N547" s="239"/>
      <c r="O547" s="122">
        <f>Q547</f>
        <v>539.95603610458375</v>
      </c>
      <c r="P547" s="122">
        <f t="shared" si="153"/>
        <v>0</v>
      </c>
      <c r="Q547" s="122">
        <f>$H547*R547/100</f>
        <v>539.95603610458375</v>
      </c>
      <c r="R547" s="147">
        <v>0.94185603603450829</v>
      </c>
      <c r="S547" s="344"/>
      <c r="T547" s="178"/>
      <c r="U547" s="64"/>
    </row>
    <row r="548" spans="2:21" x14ac:dyDescent="0.2">
      <c r="B548" s="64">
        <f>MAX(B$488:B547)+1</f>
        <v>285</v>
      </c>
      <c r="C548" s="33"/>
      <c r="D548" s="26" t="s">
        <v>87</v>
      </c>
      <c r="E548" s="64"/>
      <c r="F548" s="16"/>
      <c r="G548" s="64"/>
      <c r="H548" s="146">
        <f>SUM(H546:H547)</f>
        <v>59492.901049999993</v>
      </c>
      <c r="I548" s="341"/>
      <c r="J548" s="146">
        <f>SUM(J546:J547)</f>
        <v>0</v>
      </c>
      <c r="K548" s="139">
        <f>J548/$H548*100</f>
        <v>0</v>
      </c>
      <c r="L548" s="239"/>
      <c r="M548" s="146">
        <f>SUM(M546:M547)</f>
        <v>-560.33747955146225</v>
      </c>
      <c r="N548" s="238"/>
      <c r="O548" s="146">
        <f>SUM(O546:O547)</f>
        <v>560.33747955146225</v>
      </c>
      <c r="P548" s="146">
        <f>SUM(P546:P547)</f>
        <v>0</v>
      </c>
      <c r="Q548" s="146">
        <f>SUM(Q546:Q547)</f>
        <v>560.33747955146225</v>
      </c>
      <c r="R548" s="139">
        <f>Q548/$H548*100</f>
        <v>0.94185603603450818</v>
      </c>
      <c r="S548" s="342">
        <f>Q548/O548</f>
        <v>1</v>
      </c>
      <c r="T548" s="177"/>
    </row>
    <row r="549" spans="2:21" x14ac:dyDescent="0.2">
      <c r="H549" s="148"/>
      <c r="I549" s="148"/>
      <c r="J549" s="148"/>
      <c r="K549" s="148"/>
      <c r="L549" s="148"/>
      <c r="M549" s="148"/>
      <c r="N549" s="148"/>
      <c r="O549" s="148"/>
      <c r="P549" s="148"/>
      <c r="Q549" s="148"/>
      <c r="R549" s="148"/>
      <c r="S549" s="148"/>
      <c r="T549" s="180"/>
    </row>
    <row r="550" spans="2:21" x14ac:dyDescent="0.2">
      <c r="B550" s="64">
        <f>MAX(B$488:B549)+1</f>
        <v>286</v>
      </c>
      <c r="C550" s="33"/>
      <c r="D550" s="26" t="s">
        <v>138</v>
      </c>
      <c r="E550" s="64"/>
      <c r="F550" s="16" t="s">
        <v>56</v>
      </c>
      <c r="G550" s="64"/>
      <c r="H550" s="122">
        <v>1599.69</v>
      </c>
      <c r="I550" s="341"/>
      <c r="J550" s="122">
        <f>$H550*K550/100</f>
        <v>3.3353536500000001</v>
      </c>
      <c r="K550" s="147">
        <v>0.20849999999999999</v>
      </c>
      <c r="L550" s="239"/>
      <c r="M550" s="122">
        <f t="shared" ref="M550:M551" si="154">J550-O550</f>
        <v>1.4504584578053423</v>
      </c>
      <c r="N550" s="238"/>
      <c r="O550" s="122">
        <f t="shared" ref="O550:O551" si="155">Q550</f>
        <v>1.8848951921946577</v>
      </c>
      <c r="P550" s="122">
        <f t="shared" ref="P550:P551" si="156">Q550-O550</f>
        <v>0</v>
      </c>
      <c r="Q550" s="122">
        <f>$H550*R550/100</f>
        <v>1.8848951921946577</v>
      </c>
      <c r="R550" s="147">
        <v>0.11782877883806597</v>
      </c>
      <c r="S550" s="124">
        <f>Q550/O550</f>
        <v>1</v>
      </c>
      <c r="T550" s="178">
        <f>R550/K550-1</f>
        <v>-0.43487396240735743</v>
      </c>
    </row>
    <row r="551" spans="2:21" x14ac:dyDescent="0.2">
      <c r="B551" s="64">
        <f>MAX(B$488:B550)+1</f>
        <v>287</v>
      </c>
      <c r="C551" s="33"/>
      <c r="D551" s="26" t="s">
        <v>88</v>
      </c>
      <c r="E551" s="64"/>
      <c r="F551" s="16" t="s">
        <v>56</v>
      </c>
      <c r="G551" s="64"/>
      <c r="H551" s="122">
        <f>H546</f>
        <v>2163.9659000000001</v>
      </c>
      <c r="I551" s="341"/>
      <c r="J551" s="122">
        <f>$H551*K551/100</f>
        <v>482.36184069371268</v>
      </c>
      <c r="K551" s="147">
        <v>22.290639639640929</v>
      </c>
      <c r="L551" s="239"/>
      <c r="M551" s="122">
        <f t="shared" si="154"/>
        <v>30.019345555267478</v>
      </c>
      <c r="N551" s="238"/>
      <c r="O551" s="122">
        <f t="shared" si="155"/>
        <v>452.3424951384452</v>
      </c>
      <c r="P551" s="122">
        <f t="shared" si="156"/>
        <v>0</v>
      </c>
      <c r="Q551" s="122">
        <f>$H551*R551/100</f>
        <v>452.3424951384452</v>
      </c>
      <c r="R551" s="147">
        <v>20.903402181080821</v>
      </c>
      <c r="S551" s="124">
        <f>Q551/O551</f>
        <v>1</v>
      </c>
      <c r="T551" s="178">
        <f>R551/K551-1</f>
        <v>-6.2234080357796984E-2</v>
      </c>
    </row>
    <row r="552" spans="2:21" x14ac:dyDescent="0.2">
      <c r="B552" s="64"/>
      <c r="C552" s="33"/>
      <c r="D552" s="26"/>
      <c r="E552" s="64"/>
      <c r="F552" s="16"/>
      <c r="G552" s="64"/>
      <c r="H552" s="122"/>
      <c r="I552" s="341"/>
      <c r="J552" s="122"/>
      <c r="K552" s="147"/>
      <c r="L552" s="239"/>
      <c r="M552" s="122"/>
      <c r="N552" s="238"/>
      <c r="O552" s="122"/>
      <c r="P552" s="122"/>
      <c r="Q552" s="122"/>
      <c r="R552" s="147"/>
      <c r="S552" s="124"/>
      <c r="T552" s="178"/>
    </row>
    <row r="553" spans="2:21" ht="13.5" thickBot="1" x14ac:dyDescent="0.25">
      <c r="B553" s="64">
        <f>MAX(B$488:B552)+1</f>
        <v>288</v>
      </c>
      <c r="C553" s="33"/>
      <c r="D553" s="26" t="s">
        <v>203</v>
      </c>
      <c r="E553" s="64"/>
      <c r="F553" s="16"/>
      <c r="G553" s="64"/>
      <c r="H553" s="159">
        <f>H531+H543</f>
        <v>59492.901049999993</v>
      </c>
      <c r="I553" s="341"/>
      <c r="J553" s="159">
        <f>SUM(J536,J543,J548,J550:J551)</f>
        <v>3251.7913436387666</v>
      </c>
      <c r="K553" s="140">
        <f>J553/$H553*100</f>
        <v>5.465847666271717</v>
      </c>
      <c r="L553" s="239"/>
      <c r="M553" s="159">
        <f>SUM(M536,M543,M548,M550:M551)</f>
        <v>410.43083883772204</v>
      </c>
      <c r="N553" s="238"/>
      <c r="O553" s="159">
        <f>SUM(O536,O543,O548,O550:O551)</f>
        <v>2841.360504801045</v>
      </c>
      <c r="P553" s="159">
        <f>SUM(P536,P543,P548,P550:P551)</f>
        <v>-3.6702443178961204</v>
      </c>
      <c r="Q553" s="159">
        <f>SUM(Q536,Q543,Q548,Q550:Q551)</f>
        <v>2837.6902604831484</v>
      </c>
      <c r="R553" s="140">
        <f>Q553/$H553*100</f>
        <v>4.7697964133540074</v>
      </c>
      <c r="S553" s="345">
        <f>Q553/O553</f>
        <v>0.99870827925154348</v>
      </c>
      <c r="T553" s="179">
        <f>R553/K553-1</f>
        <v>-0.1273455272478331</v>
      </c>
    </row>
    <row r="554" spans="2:21" ht="13.5" thickTop="1" x14ac:dyDescent="0.2">
      <c r="B554" s="64"/>
      <c r="C554" s="33"/>
      <c r="D554" s="26"/>
      <c r="E554" s="64"/>
      <c r="F554" s="16"/>
      <c r="G554" s="64"/>
      <c r="H554" s="346"/>
      <c r="I554" s="341"/>
      <c r="J554" s="346"/>
      <c r="K554" s="147"/>
      <c r="L554" s="239"/>
      <c r="M554" s="346"/>
      <c r="N554" s="238"/>
      <c r="O554" s="346"/>
      <c r="P554" s="346"/>
      <c r="Q554" s="346"/>
      <c r="R554" s="147"/>
      <c r="S554" s="172"/>
      <c r="T554" s="178"/>
    </row>
    <row r="555" spans="2:21" x14ac:dyDescent="0.2">
      <c r="B555" s="64"/>
      <c r="C555" s="33"/>
      <c r="D555" s="31" t="s">
        <v>24</v>
      </c>
      <c r="E555" s="64"/>
      <c r="F555" s="186"/>
      <c r="G555" s="64"/>
      <c r="H555" s="350"/>
      <c r="I555" s="341"/>
      <c r="J555" s="350"/>
      <c r="K555" s="341"/>
      <c r="L555" s="341"/>
      <c r="M555" s="144"/>
      <c r="N555" s="341"/>
      <c r="O555" s="145"/>
      <c r="P555" s="341"/>
      <c r="Q555" s="341"/>
      <c r="R555" s="341"/>
      <c r="S555" s="341"/>
      <c r="T555" s="351"/>
      <c r="U555" s="64"/>
    </row>
    <row r="556" spans="2:21" x14ac:dyDescent="0.2">
      <c r="D556" s="26" t="s">
        <v>141</v>
      </c>
      <c r="E556" s="64"/>
      <c r="F556" s="16"/>
      <c r="G556" s="64"/>
      <c r="H556" s="122"/>
      <c r="I556" s="341"/>
      <c r="J556" s="122"/>
      <c r="K556" s="147"/>
      <c r="L556" s="239"/>
      <c r="M556" s="122"/>
      <c r="N556" s="238"/>
      <c r="O556" s="122"/>
      <c r="P556" s="122"/>
      <c r="Q556" s="122"/>
      <c r="R556" s="147"/>
      <c r="S556" s="124"/>
      <c r="T556" s="178"/>
    </row>
    <row r="557" spans="2:21" x14ac:dyDescent="0.2">
      <c r="B557" s="64">
        <f>MAX(B$66:B556)+1</f>
        <v>289</v>
      </c>
      <c r="C557" s="33"/>
      <c r="D557" s="27" t="s">
        <v>89</v>
      </c>
      <c r="E557" s="64"/>
      <c r="F557" s="360" t="s">
        <v>81</v>
      </c>
      <c r="G557" s="64"/>
      <c r="H557" s="122">
        <v>71858.168000000005</v>
      </c>
      <c r="I557" s="341"/>
      <c r="J557" s="122">
        <f>$H557*K557/100</f>
        <v>24456.568187960005</v>
      </c>
      <c r="K557" s="147">
        <v>34.034500000000001</v>
      </c>
      <c r="L557" s="239"/>
      <c r="M557" s="122">
        <f t="shared" ref="M557:M559" si="157">J557-O557</f>
        <v>-11071.176174271994</v>
      </c>
      <c r="N557" s="238"/>
      <c r="O557" s="122">
        <v>35527.744362231999</v>
      </c>
      <c r="P557" s="122">
        <f t="shared" ref="P557:P559" si="158">Q557-O557</f>
        <v>-7617.9969872404472</v>
      </c>
      <c r="Q557" s="122">
        <f>$H557*R557/100</f>
        <v>27909.747374991552</v>
      </c>
      <c r="R557" s="147">
        <v>38.840048601004618</v>
      </c>
      <c r="S557" s="124">
        <f t="shared" ref="S557" si="159">Q557/O557</f>
        <v>0.78557611455516974</v>
      </c>
      <c r="T557" s="178">
        <f t="shared" ref="T557:T559" si="160">R557/K557-1</f>
        <v>0.14119639192597555</v>
      </c>
    </row>
    <row r="558" spans="2:21" x14ac:dyDescent="0.2">
      <c r="B558" s="64">
        <f>MAX(B$557:B557)+1</f>
        <v>290</v>
      </c>
      <c r="D558" s="27" t="s">
        <v>86</v>
      </c>
      <c r="E558" s="64"/>
      <c r="F558" s="16" t="s">
        <v>56</v>
      </c>
      <c r="G558" s="64"/>
      <c r="H558" s="122">
        <v>713737.64702999999</v>
      </c>
      <c r="I558" s="341"/>
      <c r="J558" s="122">
        <f>$H558*K558/100</f>
        <v>3238.9414422221398</v>
      </c>
      <c r="K558" s="147">
        <v>0.45379999999999998</v>
      </c>
      <c r="L558" s="239"/>
      <c r="M558" s="122">
        <f t="shared" si="157"/>
        <v>-53.577442187761335</v>
      </c>
      <c r="N558" s="238"/>
      <c r="O558" s="122">
        <v>3292.5188844099011</v>
      </c>
      <c r="P558" s="122">
        <f t="shared" si="158"/>
        <v>-99.966081122687683</v>
      </c>
      <c r="Q558" s="122">
        <f>$H558*R558/100</f>
        <v>3192.5528032872135</v>
      </c>
      <c r="R558" s="147">
        <v>0.44730060360022217</v>
      </c>
      <c r="S558" s="124"/>
      <c r="T558" s="178">
        <f t="shared" si="160"/>
        <v>-1.4322160422604258E-2</v>
      </c>
    </row>
    <row r="559" spans="2:21" x14ac:dyDescent="0.2">
      <c r="B559" s="64">
        <f>MAX(B$557:B558)+1</f>
        <v>291</v>
      </c>
      <c r="D559" s="27" t="s">
        <v>132</v>
      </c>
      <c r="E559" s="64"/>
      <c r="F559" s="16" t="s">
        <v>56</v>
      </c>
      <c r="G559" s="64"/>
      <c r="H559" s="122">
        <v>22348.747200000002</v>
      </c>
      <c r="I559" s="341"/>
      <c r="J559" s="122">
        <f>$H559*K559/100</f>
        <v>101.41861479360001</v>
      </c>
      <c r="K559" s="147">
        <v>0.45379999999999998</v>
      </c>
      <c r="L559" s="239"/>
      <c r="M559" s="122">
        <f t="shared" si="157"/>
        <v>101.41861479360001</v>
      </c>
      <c r="N559" s="238"/>
      <c r="O559" s="122">
        <v>0</v>
      </c>
      <c r="P559" s="122">
        <f t="shared" si="158"/>
        <v>99.966081122687754</v>
      </c>
      <c r="Q559" s="122">
        <f>$H559*R559/100</f>
        <v>99.966081122687754</v>
      </c>
      <c r="R559" s="147">
        <v>0.44730060360022217</v>
      </c>
      <c r="S559" s="124"/>
      <c r="T559" s="178">
        <f t="shared" si="160"/>
        <v>-1.4322160422604258E-2</v>
      </c>
    </row>
    <row r="560" spans="2:21" x14ac:dyDescent="0.2">
      <c r="B560" s="64"/>
      <c r="C560" s="33"/>
      <c r="D560" s="26"/>
      <c r="E560" s="64"/>
      <c r="F560" s="16"/>
      <c r="G560" s="64"/>
      <c r="H560" s="122"/>
      <c r="I560" s="341"/>
      <c r="J560" s="122"/>
      <c r="K560" s="147"/>
      <c r="L560" s="239"/>
      <c r="M560" s="122"/>
      <c r="N560" s="238"/>
      <c r="O560" s="122"/>
      <c r="P560" s="122"/>
      <c r="Q560" s="122"/>
      <c r="R560" s="147"/>
      <c r="S560" s="124"/>
      <c r="T560" s="178"/>
    </row>
    <row r="561" spans="2:21" x14ac:dyDescent="0.2">
      <c r="B561" s="64">
        <f>MAX(B$557:B560)+1</f>
        <v>292</v>
      </c>
      <c r="C561" s="33"/>
      <c r="D561" s="26" t="s">
        <v>134</v>
      </c>
      <c r="E561" s="64"/>
      <c r="F561" s="16"/>
      <c r="G561" s="64"/>
      <c r="H561" s="146">
        <f>H558</f>
        <v>713737.64702999999</v>
      </c>
      <c r="I561" s="341"/>
      <c r="J561" s="146">
        <f>SUM(J557:J559)</f>
        <v>27796.928244975748</v>
      </c>
      <c r="K561" s="139">
        <f>J561/$H561*100</f>
        <v>3.8945582260714602</v>
      </c>
      <c r="L561" s="239"/>
      <c r="M561" s="146">
        <f>SUM(M557:M559)</f>
        <v>-11023.335001666155</v>
      </c>
      <c r="N561" s="238"/>
      <c r="O561" s="146">
        <f>SUM(O557:O559)</f>
        <v>38820.263246641902</v>
      </c>
      <c r="P561" s="146">
        <f>SUM(P557:P559)</f>
        <v>-7617.9969872404472</v>
      </c>
      <c r="Q561" s="146">
        <f>SUM(Q557:Q559)</f>
        <v>31202.266259401455</v>
      </c>
      <c r="R561" s="139">
        <f>Q561/$H561*100</f>
        <v>4.3716716344219897</v>
      </c>
      <c r="S561" s="342">
        <f>Q561/O561</f>
        <v>0.80376235630242843</v>
      </c>
      <c r="T561" s="177">
        <f>R561/K561-1</f>
        <v>0.12250770964382429</v>
      </c>
    </row>
    <row r="562" spans="2:21" x14ac:dyDescent="0.2">
      <c r="E562" s="64"/>
      <c r="F562" s="16"/>
      <c r="G562" s="64"/>
      <c r="H562" s="122"/>
      <c r="I562" s="341"/>
      <c r="J562" s="122"/>
      <c r="K562" s="147"/>
      <c r="L562" s="239"/>
      <c r="M562" s="122"/>
      <c r="N562" s="238"/>
      <c r="O562" s="122"/>
      <c r="P562" s="122"/>
      <c r="Q562" s="122"/>
      <c r="R562" s="147"/>
      <c r="S562" s="124"/>
      <c r="T562" s="178"/>
    </row>
    <row r="563" spans="2:21" x14ac:dyDescent="0.2">
      <c r="D563" s="26" t="s">
        <v>135</v>
      </c>
      <c r="E563" s="64"/>
      <c r="F563" s="16"/>
      <c r="G563" s="64"/>
      <c r="H563" s="122"/>
      <c r="I563" s="341"/>
      <c r="J563" s="122"/>
      <c r="K563" s="147"/>
      <c r="L563" s="239"/>
      <c r="M563" s="122"/>
      <c r="N563" s="238"/>
      <c r="O563" s="122"/>
      <c r="P563" s="122"/>
      <c r="Q563" s="122"/>
      <c r="R563" s="147"/>
      <c r="S563" s="124"/>
      <c r="T563" s="178"/>
    </row>
    <row r="564" spans="2:21" x14ac:dyDescent="0.2">
      <c r="B564" s="64">
        <f>MAX(B$557:B563)+1</f>
        <v>293</v>
      </c>
      <c r="D564" s="27" t="s">
        <v>532</v>
      </c>
      <c r="E564" s="64"/>
      <c r="F564" s="16" t="s">
        <v>56</v>
      </c>
      <c r="G564" s="64"/>
      <c r="H564" s="122">
        <v>75999.023490000007</v>
      </c>
      <c r="I564" s="341"/>
      <c r="J564" s="122">
        <f>$H564*K564/100</f>
        <v>1863.0184782188398</v>
      </c>
      <c r="K564" s="147">
        <v>2.4513716001416475</v>
      </c>
      <c r="L564" s="239"/>
      <c r="M564" s="122">
        <f t="shared" ref="M564:M565" si="161">J564-O564</f>
        <v>679.4845174311472</v>
      </c>
      <c r="N564" s="238"/>
      <c r="O564" s="122">
        <v>1183.5339607876926</v>
      </c>
      <c r="P564" s="122">
        <f t="shared" ref="P564:P565" si="162">Q564-O564</f>
        <v>-109.05389526545105</v>
      </c>
      <c r="Q564" s="122">
        <f>$H564*R564/100</f>
        <v>1074.4800655222416</v>
      </c>
      <c r="R564" s="147">
        <v>1.4138077256527146</v>
      </c>
      <c r="S564" s="124"/>
      <c r="T564" s="178">
        <f t="shared" ref="T564:T565" si="163">R564/K564-1</f>
        <v>-0.42325850329218928</v>
      </c>
    </row>
    <row r="565" spans="2:21" x14ac:dyDescent="0.2">
      <c r="B565" s="64">
        <f>MAX(B$557:B564)+1</f>
        <v>294</v>
      </c>
      <c r="D565" s="27" t="s">
        <v>533</v>
      </c>
      <c r="E565" s="64"/>
      <c r="F565" s="16" t="s">
        <v>56</v>
      </c>
      <c r="G565" s="64"/>
      <c r="H565" s="122">
        <v>7467.4059999999999</v>
      </c>
      <c r="I565" s="341"/>
      <c r="J565" s="122">
        <f>$H565*K565/100</f>
        <v>189.69403715600001</v>
      </c>
      <c r="K565" s="147">
        <v>2.5402936060527579</v>
      </c>
      <c r="L565" s="239"/>
      <c r="M565" s="122">
        <f t="shared" si="161"/>
        <v>189.69403715600001</v>
      </c>
      <c r="N565" s="238"/>
      <c r="O565" s="122">
        <v>0</v>
      </c>
      <c r="P565" s="122">
        <f t="shared" si="162"/>
        <v>109.05389526545088</v>
      </c>
      <c r="Q565" s="122">
        <f>$H565*R565/100</f>
        <v>109.05389526545088</v>
      </c>
      <c r="R565" s="147">
        <v>1.4603986346189144</v>
      </c>
      <c r="S565" s="124"/>
      <c r="T565" s="178">
        <f t="shared" si="163"/>
        <v>-0.42510636127287715</v>
      </c>
    </row>
    <row r="566" spans="2:21" x14ac:dyDescent="0.2">
      <c r="B566" s="64"/>
      <c r="C566" s="33"/>
      <c r="D566" s="26"/>
      <c r="E566" s="64"/>
      <c r="F566" s="16"/>
      <c r="G566" s="64"/>
      <c r="H566" s="122"/>
      <c r="I566" s="341"/>
      <c r="J566" s="122"/>
      <c r="K566" s="147"/>
      <c r="L566" s="239"/>
      <c r="M566" s="122"/>
      <c r="N566" s="238"/>
      <c r="O566" s="122"/>
      <c r="P566" s="122"/>
      <c r="Q566" s="122"/>
      <c r="R566" s="147"/>
      <c r="S566" s="124"/>
      <c r="T566" s="178"/>
    </row>
    <row r="567" spans="2:21" x14ac:dyDescent="0.2">
      <c r="B567" s="64">
        <f>MAX(B$557:B566)+1</f>
        <v>295</v>
      </c>
      <c r="C567" s="33"/>
      <c r="D567" s="26" t="s">
        <v>137</v>
      </c>
      <c r="E567" s="64"/>
      <c r="F567" s="16"/>
      <c r="G567" s="64"/>
      <c r="H567" s="146">
        <f>H564</f>
        <v>75999.023490000007</v>
      </c>
      <c r="I567" s="341"/>
      <c r="J567" s="146">
        <f>SUM(J564:J565)</f>
        <v>2052.7125153748398</v>
      </c>
      <c r="K567" s="139">
        <f>J567/$H567*100</f>
        <v>2.7009722245246173</v>
      </c>
      <c r="L567" s="239"/>
      <c r="M567" s="146">
        <f>SUM(M564:M565)</f>
        <v>869.17855458714723</v>
      </c>
      <c r="N567" s="238"/>
      <c r="O567" s="146">
        <f>SUM(O564:O565)</f>
        <v>1183.5339607876926</v>
      </c>
      <c r="P567" s="146">
        <f>SUM(P564:P565)</f>
        <v>-1.7053025658242404E-13</v>
      </c>
      <c r="Q567" s="146">
        <f>SUM(Q564:Q565)</f>
        <v>1183.5339607876924</v>
      </c>
      <c r="R567" s="139">
        <f>Q567/$H567*100</f>
        <v>1.5573015368328023</v>
      </c>
      <c r="S567" s="342">
        <f>Q567/O567</f>
        <v>0.99999999999999978</v>
      </c>
      <c r="T567" s="177">
        <f>R567/K567-1</f>
        <v>-0.4234292664350171</v>
      </c>
    </row>
    <row r="568" spans="2:21" x14ac:dyDescent="0.2">
      <c r="E568" s="64"/>
      <c r="F568" s="16"/>
      <c r="G568" s="64"/>
      <c r="H568" s="122"/>
      <c r="I568" s="341"/>
      <c r="J568" s="122"/>
      <c r="K568" s="147"/>
      <c r="L568" s="239"/>
      <c r="M568" s="122"/>
      <c r="N568" s="238"/>
      <c r="O568" s="122"/>
      <c r="P568" s="122"/>
      <c r="Q568" s="122"/>
      <c r="R568" s="147"/>
      <c r="S568" s="124"/>
      <c r="T568" s="178"/>
    </row>
    <row r="569" spans="2:21" x14ac:dyDescent="0.2">
      <c r="B569" s="64"/>
      <c r="C569" s="33"/>
      <c r="D569" s="26" t="s">
        <v>87</v>
      </c>
      <c r="E569" s="64"/>
      <c r="F569" s="192"/>
      <c r="G569" s="64"/>
      <c r="H569" s="122"/>
      <c r="I569" s="341"/>
      <c r="J569" s="122"/>
      <c r="K569" s="147"/>
      <c r="L569" s="239"/>
      <c r="M569" s="122"/>
      <c r="N569" s="238"/>
      <c r="O569" s="122"/>
      <c r="P569" s="122"/>
      <c r="Q569" s="122"/>
      <c r="R569" s="240"/>
      <c r="S569" s="124"/>
      <c r="T569" s="343"/>
    </row>
    <row r="570" spans="2:21" x14ac:dyDescent="0.2">
      <c r="B570" s="64">
        <f>MAX(B$557:B569)+1</f>
        <v>296</v>
      </c>
      <c r="C570" s="33"/>
      <c r="D570" s="27" t="s">
        <v>64</v>
      </c>
      <c r="E570" s="64"/>
      <c r="F570" s="192" t="s">
        <v>56</v>
      </c>
      <c r="G570" s="64"/>
      <c r="H570" s="122">
        <v>35618.685999999994</v>
      </c>
      <c r="I570" s="341"/>
      <c r="J570" s="122">
        <f>$H570*K570/100</f>
        <v>0</v>
      </c>
      <c r="K570" s="147">
        <v>0</v>
      </c>
      <c r="L570" s="239"/>
      <c r="M570" s="122">
        <f t="shared" ref="M570:M571" si="164">J570-O570</f>
        <v>-566.37727768376931</v>
      </c>
      <c r="N570" s="238"/>
      <c r="O570" s="122">
        <f>Q570</f>
        <v>566.37727768376931</v>
      </c>
      <c r="P570" s="122">
        <f t="shared" ref="P570:P571" si="165">Q570-O570</f>
        <v>0</v>
      </c>
      <c r="Q570" s="122">
        <f>$H570*R570/100</f>
        <v>566.37727768376931</v>
      </c>
      <c r="R570" s="147">
        <v>1.5901127786796216</v>
      </c>
      <c r="S570" s="344"/>
      <c r="T570" s="178"/>
    </row>
    <row r="571" spans="2:21" x14ac:dyDescent="0.2">
      <c r="B571" s="64">
        <f>MAX(B$557:B570)+1</f>
        <v>297</v>
      </c>
      <c r="C571" s="33"/>
      <c r="D571" s="27" t="s">
        <v>65</v>
      </c>
      <c r="E571" s="64"/>
      <c r="F571" s="192" t="s">
        <v>56</v>
      </c>
      <c r="G571" s="64"/>
      <c r="H571" s="122">
        <f>H558+H564-H570</f>
        <v>754117.98452000006</v>
      </c>
      <c r="I571" s="341"/>
      <c r="J571" s="122">
        <f>$H571*K571/100</f>
        <v>0</v>
      </c>
      <c r="K571" s="147">
        <v>0</v>
      </c>
      <c r="L571" s="239"/>
      <c r="M571" s="122">
        <f t="shared" si="164"/>
        <v>-11991.326438173732</v>
      </c>
      <c r="N571" s="239"/>
      <c r="O571" s="122">
        <f>Q571</f>
        <v>11991.326438173732</v>
      </c>
      <c r="P571" s="122">
        <f t="shared" si="165"/>
        <v>0</v>
      </c>
      <c r="Q571" s="122">
        <f>$H571*R571/100</f>
        <v>11991.326438173732</v>
      </c>
      <c r="R571" s="147">
        <v>1.5901127786796216</v>
      </c>
      <c r="S571" s="344"/>
      <c r="T571" s="178"/>
      <c r="U571" s="64"/>
    </row>
    <row r="572" spans="2:21" x14ac:dyDescent="0.2">
      <c r="B572" s="64">
        <f>MAX(B$557:B571)+1</f>
        <v>298</v>
      </c>
      <c r="C572" s="33"/>
      <c r="D572" s="26" t="s">
        <v>87</v>
      </c>
      <c r="E572" s="64"/>
      <c r="F572" s="16"/>
      <c r="G572" s="64"/>
      <c r="H572" s="146">
        <f>SUM(H570:H571)</f>
        <v>789736.67052000004</v>
      </c>
      <c r="I572" s="341"/>
      <c r="J572" s="146">
        <f>SUM(J570:J571)</f>
        <v>0</v>
      </c>
      <c r="K572" s="139">
        <f>J572/$H572*100</f>
        <v>0</v>
      </c>
      <c r="L572" s="239"/>
      <c r="M572" s="146">
        <f>SUM(M570:M571)</f>
        <v>-12557.7037158575</v>
      </c>
      <c r="N572" s="238"/>
      <c r="O572" s="146">
        <f>SUM(O570:O571)</f>
        <v>12557.7037158575</v>
      </c>
      <c r="P572" s="146">
        <f>SUM(P570:P571)</f>
        <v>0</v>
      </c>
      <c r="Q572" s="146">
        <f>SUM(Q570:Q571)</f>
        <v>12557.7037158575</v>
      </c>
      <c r="R572" s="139">
        <f>Q572/$H572*100</f>
        <v>1.5901127786796216</v>
      </c>
      <c r="S572" s="342">
        <f>Q572/O572</f>
        <v>1</v>
      </c>
      <c r="T572" s="177"/>
    </row>
    <row r="573" spans="2:21" x14ac:dyDescent="0.2">
      <c r="H573" s="148"/>
      <c r="I573" s="148"/>
      <c r="J573" s="148"/>
      <c r="K573" s="148"/>
      <c r="L573" s="148"/>
      <c r="M573" s="148"/>
      <c r="N573" s="148"/>
      <c r="O573" s="148"/>
      <c r="P573" s="148"/>
      <c r="Q573" s="148"/>
      <c r="R573" s="148"/>
      <c r="S573" s="148"/>
      <c r="T573" s="180"/>
    </row>
    <row r="574" spans="2:21" x14ac:dyDescent="0.2">
      <c r="B574" s="64">
        <f>MAX(B$557:B573)+1</f>
        <v>299</v>
      </c>
      <c r="C574" s="33"/>
      <c r="D574" s="26" t="s">
        <v>88</v>
      </c>
      <c r="E574" s="64"/>
      <c r="F574" s="16" t="s">
        <v>56</v>
      </c>
      <c r="G574" s="64"/>
      <c r="H574" s="122">
        <f>H570</f>
        <v>35618.685999999994</v>
      </c>
      <c r="I574" s="341"/>
      <c r="J574" s="122">
        <f>$H574*K574/100</f>
        <v>7939.6329406352334</v>
      </c>
      <c r="K574" s="147">
        <v>22.290639639640929</v>
      </c>
      <c r="L574" s="239"/>
      <c r="M574" s="122">
        <f>J574-O574</f>
        <v>494.11575443890524</v>
      </c>
      <c r="N574" s="238"/>
      <c r="O574" s="122">
        <f>Q574</f>
        <v>7445.5171861963281</v>
      </c>
      <c r="P574" s="122">
        <f>Q574-O574</f>
        <v>0</v>
      </c>
      <c r="Q574" s="122">
        <f>$H574*R574/100</f>
        <v>7445.5171861963281</v>
      </c>
      <c r="R574" s="147">
        <v>20.903402181080821</v>
      </c>
      <c r="S574" s="124">
        <f>Q574/O574</f>
        <v>1</v>
      </c>
      <c r="T574" s="178">
        <f>R574/K574-1</f>
        <v>-6.2234080357796984E-2</v>
      </c>
    </row>
    <row r="575" spans="2:21" x14ac:dyDescent="0.2">
      <c r="B575" s="64"/>
      <c r="C575" s="33"/>
      <c r="D575" s="26"/>
      <c r="E575" s="64"/>
      <c r="F575" s="16"/>
      <c r="G575" s="64"/>
      <c r="H575" s="122"/>
      <c r="I575" s="341"/>
      <c r="J575" s="122"/>
      <c r="K575" s="147"/>
      <c r="L575" s="239"/>
      <c r="M575" s="122"/>
      <c r="N575" s="238"/>
      <c r="O575" s="122"/>
      <c r="P575" s="122"/>
      <c r="Q575" s="122"/>
      <c r="R575" s="147"/>
      <c r="S575" s="124"/>
      <c r="T575" s="178"/>
    </row>
    <row r="576" spans="2:21" ht="13.5" thickBot="1" x14ac:dyDescent="0.25">
      <c r="B576" s="64">
        <f>MAX(B$557:B575)+1</f>
        <v>300</v>
      </c>
      <c r="C576" s="33"/>
      <c r="D576" s="26" t="s">
        <v>142</v>
      </c>
      <c r="E576" s="64"/>
      <c r="F576" s="16"/>
      <c r="G576" s="64"/>
      <c r="H576" s="159">
        <f>H561+H567</f>
        <v>789736.67052000004</v>
      </c>
      <c r="I576" s="341"/>
      <c r="J576" s="159">
        <f>SUM(J561,J567,J572,J574)</f>
        <v>37789.273700985817</v>
      </c>
      <c r="K576" s="140">
        <f>J576/$H576*100</f>
        <v>4.785047359660223</v>
      </c>
      <c r="L576" s="239"/>
      <c r="M576" s="159">
        <f>SUM(M561,M567,M572,M574)</f>
        <v>-22217.744408497601</v>
      </c>
      <c r="N576" s="238"/>
      <c r="O576" s="159">
        <f>SUM(O561,O567,O572,O574)</f>
        <v>60007.018109483426</v>
      </c>
      <c r="P576" s="159">
        <f>SUM(P561,P567,P572,P574)</f>
        <v>-7617.9969872404472</v>
      </c>
      <c r="Q576" s="159">
        <f>SUM(Q561,Q567,Q572,Q574)</f>
        <v>52389.021122242979</v>
      </c>
      <c r="R576" s="140">
        <f>Q576/$H576*100</f>
        <v>6.6337328729774656</v>
      </c>
      <c r="S576" s="345">
        <f>Q576/O576</f>
        <v>0.87304823290266931</v>
      </c>
      <c r="T576" s="179">
        <f>R576/K576-1</f>
        <v>0.38634633565016885</v>
      </c>
    </row>
    <row r="577" spans="2:21" ht="13.5" thickTop="1" x14ac:dyDescent="0.2">
      <c r="B577" s="60"/>
      <c r="C577" s="30"/>
      <c r="D577" s="29"/>
      <c r="E577" s="60"/>
      <c r="F577" s="192"/>
      <c r="G577" s="60"/>
      <c r="H577" s="346"/>
      <c r="I577" s="153"/>
      <c r="J577" s="346"/>
      <c r="K577" s="347"/>
      <c r="L577" s="346"/>
      <c r="M577" s="346"/>
      <c r="N577" s="348"/>
      <c r="O577" s="346"/>
      <c r="P577" s="346"/>
      <c r="Q577" s="346"/>
      <c r="R577" s="347"/>
      <c r="S577" s="172"/>
      <c r="T577" s="365"/>
    </row>
    <row r="578" spans="2:21" x14ac:dyDescent="0.2">
      <c r="B578" s="549" t="s">
        <v>506</v>
      </c>
      <c r="C578" s="549"/>
      <c r="D578" s="549"/>
      <c r="E578" s="549"/>
      <c r="F578" s="549"/>
      <c r="G578" s="549"/>
      <c r="H578" s="549"/>
      <c r="I578" s="549"/>
      <c r="J578" s="549"/>
      <c r="K578" s="549"/>
      <c r="L578" s="549"/>
      <c r="M578" s="549"/>
      <c r="N578" s="549"/>
      <c r="O578" s="549"/>
      <c r="P578" s="549"/>
      <c r="Q578" s="549"/>
      <c r="R578" s="549"/>
      <c r="S578" s="549"/>
      <c r="T578" s="549"/>
      <c r="U578" s="31"/>
    </row>
    <row r="579" spans="2:21" x14ac:dyDescent="0.2">
      <c r="B579" s="549" t="s">
        <v>1057</v>
      </c>
      <c r="C579" s="549"/>
      <c r="D579" s="549"/>
      <c r="E579" s="549"/>
      <c r="F579" s="549"/>
      <c r="G579" s="549"/>
      <c r="H579" s="549"/>
      <c r="I579" s="549"/>
      <c r="J579" s="549"/>
      <c r="K579" s="549"/>
      <c r="L579" s="549"/>
      <c r="M579" s="549"/>
      <c r="N579" s="549"/>
      <c r="O579" s="549"/>
      <c r="P579" s="549"/>
      <c r="Q579" s="549"/>
      <c r="R579" s="549"/>
      <c r="S579" s="549"/>
      <c r="T579" s="549"/>
      <c r="U579" s="31"/>
    </row>
    <row r="580" spans="2:21" x14ac:dyDescent="0.2">
      <c r="B580" s="168"/>
      <c r="C580" s="168"/>
      <c r="D580" s="168"/>
      <c r="E580" s="168"/>
      <c r="F580" s="170"/>
      <c r="G580" s="168"/>
      <c r="H580" s="170"/>
      <c r="I580" s="168"/>
      <c r="J580" s="170"/>
      <c r="K580" s="170"/>
      <c r="L580" s="170"/>
      <c r="M580" s="170"/>
      <c r="N580" s="168"/>
      <c r="O580" s="168"/>
      <c r="P580" s="168"/>
      <c r="Q580" s="168"/>
      <c r="R580" s="168"/>
      <c r="S580" s="169"/>
      <c r="T580" s="169"/>
    </row>
    <row r="581" spans="2:21" x14ac:dyDescent="0.2">
      <c r="B581" s="170"/>
      <c r="C581" s="170"/>
      <c r="D581" s="170"/>
      <c r="E581" s="170"/>
      <c r="F581" s="340"/>
      <c r="G581" s="170"/>
      <c r="H581" s="340"/>
      <c r="I581" s="170"/>
      <c r="J581" s="173" t="s">
        <v>57</v>
      </c>
      <c r="K581" s="173"/>
      <c r="L581" s="170"/>
      <c r="M581" s="170"/>
      <c r="N581" s="170"/>
      <c r="O581" s="173" t="s">
        <v>60</v>
      </c>
      <c r="P581" s="173"/>
      <c r="Q581" s="173"/>
      <c r="R581" s="173"/>
      <c r="S581" s="174"/>
      <c r="T581" s="174"/>
    </row>
    <row r="582" spans="2:21" s="45" customFormat="1" ht="39" customHeight="1" x14ac:dyDescent="0.2">
      <c r="B582" s="154" t="s">
        <v>0</v>
      </c>
      <c r="C582" s="154"/>
      <c r="D582" s="154"/>
      <c r="E582" s="154"/>
      <c r="F582" s="60" t="s">
        <v>47</v>
      </c>
      <c r="G582" s="154"/>
      <c r="H582" s="45" t="s">
        <v>746</v>
      </c>
      <c r="I582" s="154"/>
      <c r="J582" s="45" t="s">
        <v>61</v>
      </c>
      <c r="K582" s="45" t="s">
        <v>571</v>
      </c>
      <c r="L582" s="154"/>
      <c r="M582" s="45" t="s">
        <v>34</v>
      </c>
      <c r="N582" s="154"/>
      <c r="O582" s="154" t="s">
        <v>79</v>
      </c>
      <c r="P582" s="45" t="s">
        <v>34</v>
      </c>
      <c r="Q582" s="45" t="s">
        <v>61</v>
      </c>
      <c r="R582" s="45" t="s">
        <v>69</v>
      </c>
      <c r="S582" s="154" t="s">
        <v>745</v>
      </c>
      <c r="T582" s="154" t="s">
        <v>747</v>
      </c>
      <c r="U582" s="154"/>
    </row>
    <row r="583" spans="2:21" ht="14.25" x14ac:dyDescent="0.2">
      <c r="B583" s="520" t="s">
        <v>1</v>
      </c>
      <c r="C583" s="33"/>
      <c r="D583" s="185" t="s">
        <v>33</v>
      </c>
      <c r="E583" s="64"/>
      <c r="F583" s="520" t="s">
        <v>48</v>
      </c>
      <c r="G583" s="64"/>
      <c r="H583" s="520" t="s">
        <v>560</v>
      </c>
      <c r="I583" s="64"/>
      <c r="J583" s="520" t="s">
        <v>389</v>
      </c>
      <c r="K583" s="520" t="s">
        <v>35</v>
      </c>
      <c r="L583" s="64"/>
      <c r="M583" s="520" t="s">
        <v>389</v>
      </c>
      <c r="N583" s="64"/>
      <c r="O583" s="520" t="s">
        <v>389</v>
      </c>
      <c r="P583" s="520" t="s">
        <v>389</v>
      </c>
      <c r="Q583" s="520" t="s">
        <v>389</v>
      </c>
      <c r="R583" s="520" t="s">
        <v>35</v>
      </c>
      <c r="S583" s="520" t="s">
        <v>36</v>
      </c>
      <c r="T583" s="520" t="s">
        <v>2</v>
      </c>
      <c r="U583" s="64"/>
    </row>
    <row r="584" spans="2:21" x14ac:dyDescent="0.2">
      <c r="B584" s="64"/>
      <c r="C584" s="33"/>
      <c r="D584" s="33"/>
      <c r="E584" s="64"/>
      <c r="F584" s="64"/>
      <c r="G584" s="64"/>
      <c r="H584" s="64" t="s">
        <v>3</v>
      </c>
      <c r="I584" s="64"/>
      <c r="J584" s="64" t="s">
        <v>4</v>
      </c>
      <c r="K584" s="64" t="s">
        <v>58</v>
      </c>
      <c r="L584" s="64"/>
      <c r="M584" s="64" t="s">
        <v>59</v>
      </c>
      <c r="N584" s="64"/>
      <c r="O584" s="64" t="s">
        <v>63</v>
      </c>
      <c r="P584" s="64" t="s">
        <v>227</v>
      </c>
      <c r="Q584" s="175" t="s">
        <v>38</v>
      </c>
      <c r="R584" s="175" t="s">
        <v>70</v>
      </c>
      <c r="S584" s="175" t="s">
        <v>479</v>
      </c>
      <c r="T584" s="175" t="s">
        <v>71</v>
      </c>
      <c r="U584" s="64"/>
    </row>
    <row r="585" spans="2:21" x14ac:dyDescent="0.2">
      <c r="B585" s="60"/>
      <c r="C585" s="30"/>
      <c r="D585" s="29"/>
      <c r="E585" s="60"/>
      <c r="F585" s="192"/>
      <c r="G585" s="60"/>
      <c r="H585" s="346"/>
      <c r="I585" s="153"/>
      <c r="J585" s="346"/>
      <c r="K585" s="347"/>
      <c r="L585" s="346"/>
      <c r="M585" s="346"/>
      <c r="N585" s="348"/>
      <c r="O585" s="346"/>
      <c r="P585" s="346"/>
      <c r="Q585" s="346"/>
      <c r="R585" s="347"/>
      <c r="S585" s="172"/>
      <c r="T585" s="347"/>
    </row>
    <row r="586" spans="2:21" x14ac:dyDescent="0.2">
      <c r="B586" s="64"/>
      <c r="C586" s="33"/>
      <c r="D586" s="31" t="s">
        <v>25</v>
      </c>
      <c r="E586" s="64"/>
      <c r="F586" s="186"/>
      <c r="G586" s="64"/>
      <c r="H586" s="350"/>
      <c r="I586" s="341"/>
      <c r="J586" s="350"/>
      <c r="K586" s="341"/>
      <c r="L586" s="341"/>
      <c r="M586" s="144"/>
      <c r="N586" s="341"/>
      <c r="O586" s="145"/>
      <c r="P586" s="341"/>
      <c r="Q586" s="341"/>
      <c r="R586" s="341"/>
      <c r="S586" s="341"/>
      <c r="T586" s="341"/>
      <c r="U586" s="64"/>
    </row>
    <row r="587" spans="2:21" x14ac:dyDescent="0.2">
      <c r="D587" s="26" t="s">
        <v>141</v>
      </c>
      <c r="E587" s="64"/>
      <c r="F587" s="16"/>
      <c r="G587" s="64"/>
      <c r="H587" s="122"/>
      <c r="I587" s="341"/>
      <c r="J587" s="122"/>
      <c r="K587" s="147"/>
      <c r="L587" s="239"/>
      <c r="M587" s="122"/>
      <c r="N587" s="238"/>
      <c r="O587" s="122"/>
      <c r="P587" s="122"/>
      <c r="Q587" s="122"/>
      <c r="R587" s="147"/>
      <c r="S587" s="124"/>
      <c r="T587" s="138"/>
    </row>
    <row r="588" spans="2:21" x14ac:dyDescent="0.2">
      <c r="B588" s="64">
        <f>MAX(B$557:B587)+1</f>
        <v>301</v>
      </c>
      <c r="C588" s="33"/>
      <c r="D588" s="27" t="s">
        <v>89</v>
      </c>
      <c r="E588" s="64"/>
      <c r="F588" s="360" t="s">
        <v>81</v>
      </c>
      <c r="G588" s="64"/>
      <c r="H588" s="122">
        <v>6040.4639999999999</v>
      </c>
      <c r="I588" s="341"/>
      <c r="J588" s="122">
        <f>$H588*K588/100</f>
        <v>1644.7216997759999</v>
      </c>
      <c r="K588" s="147">
        <v>27.228400000000001</v>
      </c>
      <c r="L588" s="239"/>
      <c r="M588" s="122">
        <f t="shared" ref="M588:M589" si="166">J588-O588</f>
        <v>-193.55015520223128</v>
      </c>
      <c r="N588" s="238"/>
      <c r="O588" s="122">
        <v>1838.2718549782312</v>
      </c>
      <c r="P588" s="122">
        <f t="shared" ref="P588:P589" si="167">Q588-O588</f>
        <v>-50.451337328599038</v>
      </c>
      <c r="Q588" s="122">
        <f>$H588*R588/100</f>
        <v>1787.8205176496322</v>
      </c>
      <c r="R588" s="147">
        <v>29.597403736693607</v>
      </c>
      <c r="S588" s="124">
        <f t="shared" ref="S588:S589" si="168">Q588/O588</f>
        <v>0.97255501834945057</v>
      </c>
      <c r="T588" s="178">
        <f t="shared" ref="T588:T589" si="169">R588/K588-1</f>
        <v>8.7004882280765861E-2</v>
      </c>
    </row>
    <row r="589" spans="2:21" x14ac:dyDescent="0.2">
      <c r="B589" s="64">
        <f>MAX(B$557:B588)+1</f>
        <v>302</v>
      </c>
      <c r="D589" s="27" t="s">
        <v>86</v>
      </c>
      <c r="E589" s="64"/>
      <c r="F589" s="16" t="s">
        <v>56</v>
      </c>
      <c r="G589" s="64"/>
      <c r="H589" s="122">
        <v>90073.425800000012</v>
      </c>
      <c r="I589" s="341"/>
      <c r="J589" s="122">
        <f>$H589*K589/100</f>
        <v>273.82321443200004</v>
      </c>
      <c r="K589" s="147">
        <v>0.30399999999999999</v>
      </c>
      <c r="L589" s="239"/>
      <c r="M589" s="122">
        <f t="shared" si="166"/>
        <v>-56.616951653934791</v>
      </c>
      <c r="N589" s="238"/>
      <c r="O589" s="122">
        <v>330.44016608593483</v>
      </c>
      <c r="P589" s="122">
        <f t="shared" si="167"/>
        <v>0</v>
      </c>
      <c r="Q589" s="122">
        <f>$H589*R589/100</f>
        <v>330.44016608593483</v>
      </c>
      <c r="R589" s="147">
        <v>0.36685644311969179</v>
      </c>
      <c r="S589" s="124">
        <f t="shared" si="168"/>
        <v>1</v>
      </c>
      <c r="T589" s="178">
        <f t="shared" si="169"/>
        <v>0.20676461552530201</v>
      </c>
    </row>
    <row r="590" spans="2:21" x14ac:dyDescent="0.2">
      <c r="B590" s="64"/>
      <c r="C590" s="33"/>
      <c r="D590" s="26"/>
      <c r="E590" s="64"/>
      <c r="F590" s="16"/>
      <c r="G590" s="64"/>
      <c r="H590" s="122"/>
      <c r="I590" s="341"/>
      <c r="J590" s="122"/>
      <c r="K590" s="147"/>
      <c r="L590" s="239"/>
      <c r="M590" s="122"/>
      <c r="N590" s="238"/>
      <c r="O590" s="122"/>
      <c r="P590" s="122"/>
      <c r="Q590" s="122"/>
      <c r="R590" s="147"/>
      <c r="S590" s="124"/>
      <c r="T590" s="133"/>
    </row>
    <row r="591" spans="2:21" x14ac:dyDescent="0.2">
      <c r="B591" s="64">
        <f>MAX(B$557:B590)+1</f>
        <v>303</v>
      </c>
      <c r="C591" s="33"/>
      <c r="D591" s="26" t="s">
        <v>134</v>
      </c>
      <c r="E591" s="64"/>
      <c r="F591" s="16"/>
      <c r="G591" s="64"/>
      <c r="H591" s="146">
        <f>H589</f>
        <v>90073.425800000012</v>
      </c>
      <c r="I591" s="341"/>
      <c r="J591" s="146">
        <f>SUM(J588:J589)</f>
        <v>1918.5449142079999</v>
      </c>
      <c r="K591" s="139">
        <f>J591/$H591*100</f>
        <v>2.1299788446683015</v>
      </c>
      <c r="L591" s="239"/>
      <c r="M591" s="146">
        <f>SUM(M588:M589)</f>
        <v>-250.16710685616607</v>
      </c>
      <c r="N591" s="238"/>
      <c r="O591" s="146">
        <f>SUM(O588:O589)</f>
        <v>2168.712021064166</v>
      </c>
      <c r="P591" s="146">
        <f>SUM(P588:P589)</f>
        <v>-50.451337328599038</v>
      </c>
      <c r="Q591" s="146">
        <f>SUM(Q588:Q589)</f>
        <v>2118.260683735567</v>
      </c>
      <c r="R591" s="139">
        <f>Q591/$H591*100</f>
        <v>2.351704362215528</v>
      </c>
      <c r="S591" s="342">
        <f>Q591/O591</f>
        <v>0.97673672814159851</v>
      </c>
      <c r="T591" s="177">
        <f>R591/K591-1</f>
        <v>0.10409752101634395</v>
      </c>
    </row>
    <row r="592" spans="2:21" x14ac:dyDescent="0.2">
      <c r="E592" s="64"/>
      <c r="F592" s="16"/>
      <c r="G592" s="64"/>
      <c r="H592" s="122"/>
      <c r="I592" s="341"/>
      <c r="J592" s="122"/>
      <c r="K592" s="147"/>
      <c r="L592" s="239"/>
      <c r="M592" s="122"/>
      <c r="N592" s="238"/>
      <c r="O592" s="122"/>
      <c r="P592" s="122"/>
      <c r="Q592" s="122"/>
      <c r="R592" s="147"/>
      <c r="S592" s="124"/>
      <c r="T592" s="178"/>
    </row>
    <row r="593" spans="2:21" x14ac:dyDescent="0.2">
      <c r="B593" s="64"/>
      <c r="C593" s="33"/>
      <c r="D593" s="26" t="s">
        <v>87</v>
      </c>
      <c r="E593" s="64"/>
      <c r="F593" s="192"/>
      <c r="G593" s="64"/>
      <c r="H593" s="122"/>
      <c r="I593" s="341"/>
      <c r="J593" s="122"/>
      <c r="K593" s="147"/>
      <c r="L593" s="239"/>
      <c r="M593" s="122"/>
      <c r="N593" s="238"/>
      <c r="O593" s="122"/>
      <c r="P593" s="122"/>
      <c r="Q593" s="122"/>
      <c r="R593" s="240"/>
      <c r="S593" s="124"/>
      <c r="T593" s="343"/>
    </row>
    <row r="594" spans="2:21" x14ac:dyDescent="0.2">
      <c r="B594" s="64">
        <f>MAX(B$557:B593)+1</f>
        <v>304</v>
      </c>
      <c r="C594" s="33"/>
      <c r="D594" s="27" t="s">
        <v>64</v>
      </c>
      <c r="E594" s="64"/>
      <c r="F594" s="192" t="s">
        <v>56</v>
      </c>
      <c r="G594" s="64"/>
      <c r="H594" s="122">
        <v>15795.321699999999</v>
      </c>
      <c r="I594" s="341"/>
      <c r="J594" s="122">
        <f>$H594*K594/100</f>
        <v>0</v>
      </c>
      <c r="K594" s="147">
        <v>0</v>
      </c>
      <c r="L594" s="239"/>
      <c r="M594" s="122">
        <f t="shared" ref="M594:M595" si="170">J594-O594</f>
        <v>-199.04659096152707</v>
      </c>
      <c r="N594" s="238"/>
      <c r="O594" s="122">
        <f>Q594</f>
        <v>199.04659096152707</v>
      </c>
      <c r="P594" s="122">
        <f t="shared" ref="P594:P595" si="171">Q594-O594</f>
        <v>0</v>
      </c>
      <c r="Q594" s="122">
        <f>$H594*R594/100</f>
        <v>199.04659096152707</v>
      </c>
      <c r="R594" s="147">
        <v>1.2601616778816673</v>
      </c>
      <c r="S594" s="344"/>
      <c r="T594" s="178"/>
    </row>
    <row r="595" spans="2:21" x14ac:dyDescent="0.2">
      <c r="B595" s="64">
        <f>MAX(B$557:B594)+1</f>
        <v>305</v>
      </c>
      <c r="C595" s="33"/>
      <c r="D595" s="27" t="s">
        <v>65</v>
      </c>
      <c r="E595" s="64"/>
      <c r="F595" s="192" t="s">
        <v>56</v>
      </c>
      <c r="G595" s="64"/>
      <c r="H595" s="122">
        <f>H589-H594</f>
        <v>74278.104100000011</v>
      </c>
      <c r="I595" s="341"/>
      <c r="J595" s="122">
        <f>$H595*K595/100</f>
        <v>0</v>
      </c>
      <c r="K595" s="147">
        <v>0</v>
      </c>
      <c r="L595" s="239"/>
      <c r="M595" s="122">
        <f t="shared" si="170"/>
        <v>-936.02420292525176</v>
      </c>
      <c r="N595" s="239"/>
      <c r="O595" s="122">
        <f>Q595</f>
        <v>936.02420292525176</v>
      </c>
      <c r="P595" s="122">
        <f t="shared" si="171"/>
        <v>0</v>
      </c>
      <c r="Q595" s="122">
        <f>$H595*R595/100</f>
        <v>936.02420292525176</v>
      </c>
      <c r="R595" s="147">
        <v>1.2601616778816673</v>
      </c>
      <c r="S595" s="344"/>
      <c r="T595" s="178"/>
      <c r="U595" s="64"/>
    </row>
    <row r="596" spans="2:21" x14ac:dyDescent="0.2">
      <c r="B596" s="64">
        <f>MAX(B$557:B595)+1</f>
        <v>306</v>
      </c>
      <c r="C596" s="33"/>
      <c r="D596" s="26" t="s">
        <v>87</v>
      </c>
      <c r="E596" s="64"/>
      <c r="F596" s="16"/>
      <c r="G596" s="64"/>
      <c r="H596" s="146">
        <f>SUM(H594:H595)</f>
        <v>90073.425800000012</v>
      </c>
      <c r="I596" s="341"/>
      <c r="J596" s="146">
        <f>SUM(J594:J595)</f>
        <v>0</v>
      </c>
      <c r="K596" s="139">
        <f>J596/$H596*100</f>
        <v>0</v>
      </c>
      <c r="L596" s="239"/>
      <c r="M596" s="146">
        <f>SUM(M594:M595)</f>
        <v>-1135.0707938867788</v>
      </c>
      <c r="N596" s="238"/>
      <c r="O596" s="146">
        <f>SUM(O594:O595)</f>
        <v>1135.0707938867788</v>
      </c>
      <c r="P596" s="146">
        <f>SUM(P594:P595)</f>
        <v>0</v>
      </c>
      <c r="Q596" s="146">
        <f>SUM(Q594:Q595)</f>
        <v>1135.0707938867788</v>
      </c>
      <c r="R596" s="139">
        <f>Q596/$H596*100</f>
        <v>1.2601616778816673</v>
      </c>
      <c r="S596" s="342">
        <f>Q596/O596</f>
        <v>1</v>
      </c>
      <c r="T596" s="177"/>
    </row>
    <row r="597" spans="2:21" x14ac:dyDescent="0.2">
      <c r="H597" s="148"/>
      <c r="I597" s="148"/>
      <c r="J597" s="148"/>
      <c r="K597" s="148"/>
      <c r="L597" s="148"/>
      <c r="M597" s="148"/>
      <c r="N597" s="148"/>
      <c r="O597" s="148"/>
      <c r="P597" s="148"/>
      <c r="Q597" s="148"/>
      <c r="R597" s="148"/>
      <c r="S597" s="148"/>
      <c r="T597" s="180"/>
    </row>
    <row r="598" spans="2:21" x14ac:dyDescent="0.2">
      <c r="B598" s="64">
        <f>MAX(B$557:B597)+1</f>
        <v>307</v>
      </c>
      <c r="C598" s="33"/>
      <c r="D598" s="26" t="s">
        <v>88</v>
      </c>
      <c r="E598" s="64"/>
      <c r="F598" s="16" t="s">
        <v>56</v>
      </c>
      <c r="G598" s="64"/>
      <c r="H598" s="122">
        <f>H594</f>
        <v>15795.321699999999</v>
      </c>
      <c r="I598" s="341"/>
      <c r="J598" s="122">
        <f>$H598*K598/100</f>
        <v>3520.8782400690052</v>
      </c>
      <c r="K598" s="147">
        <v>22.290639639640929</v>
      </c>
      <c r="L598" s="239"/>
      <c r="M598" s="122">
        <f>J598-O598</f>
        <v>219.11861932247348</v>
      </c>
      <c r="N598" s="238"/>
      <c r="O598" s="122">
        <f>Q598</f>
        <v>3301.7596207465317</v>
      </c>
      <c r="P598" s="122">
        <f>Q598-O598</f>
        <v>0</v>
      </c>
      <c r="Q598" s="122">
        <f>$H598*R598/100</f>
        <v>3301.7596207465317</v>
      </c>
      <c r="R598" s="147">
        <v>20.903402181080821</v>
      </c>
      <c r="S598" s="124">
        <f>Q598/O598</f>
        <v>1</v>
      </c>
      <c r="T598" s="178">
        <f>R598/K598-1</f>
        <v>-6.2234080357796984E-2</v>
      </c>
    </row>
    <row r="599" spans="2:21" x14ac:dyDescent="0.2">
      <c r="B599" s="64"/>
      <c r="C599" s="33"/>
      <c r="D599" s="26"/>
      <c r="E599" s="64"/>
      <c r="F599" s="16"/>
      <c r="G599" s="64"/>
      <c r="H599" s="122"/>
      <c r="I599" s="341"/>
      <c r="J599" s="122"/>
      <c r="K599" s="147"/>
      <c r="L599" s="239"/>
      <c r="M599" s="122"/>
      <c r="N599" s="238"/>
      <c r="O599" s="122"/>
      <c r="P599" s="122"/>
      <c r="Q599" s="122"/>
      <c r="R599" s="147"/>
      <c r="S599" s="124"/>
      <c r="T599" s="178"/>
    </row>
    <row r="600" spans="2:21" ht="13.5" thickBot="1" x14ac:dyDescent="0.25">
      <c r="B600" s="64">
        <f>MAX(B$557:B599)+1</f>
        <v>308</v>
      </c>
      <c r="C600" s="33"/>
      <c r="D600" s="26" t="s">
        <v>143</v>
      </c>
      <c r="E600" s="64"/>
      <c r="F600" s="16"/>
      <c r="G600" s="64"/>
      <c r="H600" s="159">
        <f>H591</f>
        <v>90073.425800000012</v>
      </c>
      <c r="I600" s="341"/>
      <c r="J600" s="159">
        <f>SUM(J591,J596,J598)</f>
        <v>5439.4231542770049</v>
      </c>
      <c r="K600" s="140">
        <f>J600/$H600*100</f>
        <v>6.0388767341377223</v>
      </c>
      <c r="L600" s="239"/>
      <c r="M600" s="159">
        <f>SUM(M591,M596,M598)</f>
        <v>-1166.1192814204715</v>
      </c>
      <c r="N600" s="238"/>
      <c r="O600" s="159">
        <f>SUM(O591,O596,O598)</f>
        <v>6605.5424356974763</v>
      </c>
      <c r="P600" s="159">
        <f>SUM(P591,P596,P598)</f>
        <v>-50.451337328599038</v>
      </c>
      <c r="Q600" s="159">
        <f>SUM(Q591,Q596,Q598)</f>
        <v>6555.0910983688773</v>
      </c>
      <c r="R600" s="140">
        <f>Q600/$H600*100</f>
        <v>7.2774972642029523</v>
      </c>
      <c r="S600" s="345">
        <f>Q600/O600</f>
        <v>0.99236227186189108</v>
      </c>
      <c r="T600" s="179">
        <f>R600/K600-1</f>
        <v>0.20510776831448108</v>
      </c>
    </row>
    <row r="601" spans="2:21" ht="13.5" thickTop="1" x14ac:dyDescent="0.2">
      <c r="B601" s="60"/>
      <c r="C601" s="30"/>
      <c r="D601" s="29"/>
      <c r="E601" s="60"/>
      <c r="F601" s="192"/>
      <c r="G601" s="60"/>
      <c r="H601" s="346"/>
      <c r="I601" s="153"/>
      <c r="J601" s="346"/>
      <c r="K601" s="347"/>
      <c r="L601" s="346"/>
      <c r="M601" s="346"/>
      <c r="N601" s="348"/>
      <c r="O601" s="346"/>
      <c r="P601" s="346"/>
      <c r="Q601" s="346"/>
      <c r="R601" s="347"/>
      <c r="S601" s="172"/>
      <c r="T601" s="365"/>
    </row>
    <row r="602" spans="2:21" x14ac:dyDescent="0.2">
      <c r="B602" s="64"/>
      <c r="C602" s="33"/>
      <c r="D602" s="31" t="s">
        <v>26</v>
      </c>
      <c r="E602" s="64"/>
      <c r="F602" s="186"/>
      <c r="G602" s="64"/>
      <c r="H602" s="350"/>
      <c r="I602" s="341"/>
      <c r="J602" s="350"/>
      <c r="K602" s="341"/>
      <c r="L602" s="341"/>
      <c r="M602" s="144"/>
      <c r="N602" s="341"/>
      <c r="O602" s="145"/>
      <c r="P602" s="341"/>
      <c r="Q602" s="341"/>
      <c r="R602" s="341"/>
      <c r="S602" s="341"/>
      <c r="T602" s="357"/>
      <c r="U602" s="64"/>
    </row>
    <row r="603" spans="2:21" x14ac:dyDescent="0.2">
      <c r="B603" s="64">
        <f>MAX(B$557:B602)+1</f>
        <v>309</v>
      </c>
      <c r="D603" s="26" t="s">
        <v>85</v>
      </c>
      <c r="E603" s="64"/>
      <c r="F603" s="360" t="s">
        <v>55</v>
      </c>
      <c r="G603" s="64"/>
      <c r="H603" s="122">
        <v>564.00000000000091</v>
      </c>
      <c r="I603" s="341"/>
      <c r="J603" s="122">
        <f>$H603*K603/1000</f>
        <v>1215.7640400000021</v>
      </c>
      <c r="K603" s="331">
        <v>2155.61</v>
      </c>
      <c r="L603" s="239"/>
      <c r="M603" s="122">
        <f>J603-O603</f>
        <v>-407.27802881690991</v>
      </c>
      <c r="N603" s="238"/>
      <c r="O603" s="122">
        <v>1623.042068816912</v>
      </c>
      <c r="P603" s="122">
        <f>Q603-O603</f>
        <v>68.95793118309075</v>
      </c>
      <c r="Q603" s="122">
        <f>$H603*R603/1000</f>
        <v>1692.0000000000027</v>
      </c>
      <c r="R603" s="331">
        <v>3000</v>
      </c>
      <c r="S603" s="124">
        <f>Q603/O603</f>
        <v>1.042486841535387</v>
      </c>
      <c r="T603" s="178">
        <f>R603/K603-1</f>
        <v>0.39171742569388712</v>
      </c>
    </row>
    <row r="604" spans="2:21" ht="14.25" x14ac:dyDescent="0.2">
      <c r="D604" s="26" t="s">
        <v>204</v>
      </c>
      <c r="E604" s="64"/>
      <c r="F604" s="16"/>
      <c r="G604" s="64"/>
      <c r="H604" s="122"/>
      <c r="I604" s="341"/>
      <c r="J604" s="122"/>
      <c r="K604" s="147"/>
      <c r="L604" s="239"/>
      <c r="M604" s="122"/>
      <c r="N604" s="238"/>
      <c r="O604" s="122"/>
      <c r="P604" s="122"/>
      <c r="Q604" s="122"/>
      <c r="R604" s="147"/>
      <c r="S604" s="124"/>
      <c r="T604" s="133"/>
    </row>
    <row r="605" spans="2:21" x14ac:dyDescent="0.2">
      <c r="B605" s="64"/>
      <c r="C605" s="33"/>
      <c r="D605" s="27" t="s">
        <v>105</v>
      </c>
      <c r="E605" s="64"/>
      <c r="F605" s="16"/>
      <c r="G605" s="64"/>
      <c r="H605" s="122"/>
      <c r="I605" s="341"/>
      <c r="J605" s="122"/>
      <c r="K605" s="147"/>
      <c r="L605" s="239"/>
      <c r="M605" s="122"/>
      <c r="N605" s="238"/>
      <c r="O605" s="122"/>
      <c r="P605" s="122"/>
      <c r="Q605" s="122"/>
      <c r="R605" s="147"/>
      <c r="S605" s="124"/>
      <c r="T605" s="133"/>
    </row>
    <row r="606" spans="2:21" x14ac:dyDescent="0.2">
      <c r="B606" s="64">
        <f>MAX(B$557:B605)+1</f>
        <v>310</v>
      </c>
      <c r="C606" s="33"/>
      <c r="D606" s="336" t="s">
        <v>205</v>
      </c>
      <c r="E606" s="64"/>
      <c r="F606" s="360" t="s">
        <v>81</v>
      </c>
      <c r="G606" s="64"/>
      <c r="H606" s="122">
        <v>14363.064</v>
      </c>
      <c r="I606" s="341"/>
      <c r="J606" s="122">
        <f>$H606*K606/100</f>
        <v>6405.2658430560004</v>
      </c>
      <c r="K606" s="147">
        <v>44.595399999999998</v>
      </c>
      <c r="L606" s="239"/>
      <c r="M606" s="122">
        <f t="shared" ref="M606" si="172">J606-O606</f>
        <v>367.73923871579882</v>
      </c>
      <c r="N606" s="238"/>
      <c r="O606" s="122">
        <v>6037.5266043402016</v>
      </c>
      <c r="P606" s="122">
        <f t="shared" ref="P606:P607" si="173">Q606-O606</f>
        <v>-606.17772522204632</v>
      </c>
      <c r="Q606" s="122">
        <f>$H606*R606/100</f>
        <v>5431.3488791181553</v>
      </c>
      <c r="R606" s="147">
        <v>37.814695242729236</v>
      </c>
      <c r="S606" s="124"/>
      <c r="T606" s="178">
        <f t="shared" ref="T606:T613" si="174">R606/K606-1</f>
        <v>-0.15204942117955578</v>
      </c>
    </row>
    <row r="607" spans="2:21" x14ac:dyDescent="0.2">
      <c r="B607" s="64">
        <f>MAX(B$557:B606)+1</f>
        <v>311</v>
      </c>
      <c r="C607" s="33"/>
      <c r="D607" s="336" t="s">
        <v>206</v>
      </c>
      <c r="E607" s="64"/>
      <c r="F607" s="360" t="s">
        <v>81</v>
      </c>
      <c r="G607" s="64"/>
      <c r="H607" s="122">
        <v>12176.784</v>
      </c>
      <c r="I607" s="341"/>
      <c r="J607" s="122">
        <f>$H607*K607/100</f>
        <v>3857.1546301919998</v>
      </c>
      <c r="K607" s="147">
        <v>31.676299999999998</v>
      </c>
      <c r="L607" s="239"/>
      <c r="M607" s="122">
        <f>J607-O607</f>
        <v>197.28686968798684</v>
      </c>
      <c r="N607" s="238"/>
      <c r="O607" s="122">
        <v>3659.8677605040129</v>
      </c>
      <c r="P607" s="122">
        <f t="shared" si="173"/>
        <v>-385.33815023660009</v>
      </c>
      <c r="Q607" s="122">
        <f>$H607*R607/100</f>
        <v>3274.5296102674129</v>
      </c>
      <c r="R607" s="147">
        <v>26.89157999573133</v>
      </c>
      <c r="S607" s="124"/>
      <c r="T607" s="178">
        <f t="shared" si="174"/>
        <v>-0.15105047004443917</v>
      </c>
    </row>
    <row r="608" spans="2:21" x14ac:dyDescent="0.2">
      <c r="B608" s="64"/>
      <c r="C608" s="33"/>
      <c r="D608" s="27" t="s">
        <v>108</v>
      </c>
      <c r="E608" s="64"/>
      <c r="F608" s="16"/>
      <c r="G608" s="64"/>
      <c r="H608" s="122"/>
      <c r="I608" s="341"/>
      <c r="J608" s="122"/>
      <c r="K608" s="147"/>
      <c r="L608" s="239"/>
      <c r="M608" s="122"/>
      <c r="N608" s="238"/>
      <c r="O608" s="122"/>
      <c r="P608" s="122"/>
      <c r="Q608" s="122"/>
      <c r="R608" s="147"/>
      <c r="S608" s="124"/>
      <c r="T608" s="133"/>
    </row>
    <row r="609" spans="2:20" x14ac:dyDescent="0.2">
      <c r="B609" s="64">
        <f>MAX(B$557:B608)+1</f>
        <v>312</v>
      </c>
      <c r="C609" s="33"/>
      <c r="D609" s="335" t="s">
        <v>207</v>
      </c>
      <c r="E609" s="64"/>
      <c r="F609" s="192" t="s">
        <v>56</v>
      </c>
      <c r="G609" s="64"/>
      <c r="H609" s="122">
        <v>393753.99073000008</v>
      </c>
      <c r="I609" s="341"/>
      <c r="J609" s="122">
        <f>$H609*K609/100</f>
        <v>551.25558702200021</v>
      </c>
      <c r="K609" s="147">
        <v>0.14000000000000001</v>
      </c>
      <c r="L609" s="239"/>
      <c r="M609" s="122">
        <f>J609-O609</f>
        <v>551.25558702200021</v>
      </c>
      <c r="N609" s="238"/>
      <c r="O609" s="122">
        <v>0</v>
      </c>
      <c r="P609" s="122">
        <f>Q609-O609</f>
        <v>0</v>
      </c>
      <c r="Q609" s="122">
        <f>$H609*R609/100</f>
        <v>0</v>
      </c>
      <c r="R609" s="147">
        <v>0</v>
      </c>
      <c r="S609" s="124"/>
      <c r="T609" s="178">
        <f t="shared" si="174"/>
        <v>-1</v>
      </c>
    </row>
    <row r="610" spans="2:20" ht="25.5" x14ac:dyDescent="0.2">
      <c r="B610" s="64">
        <f>MAX(B$557:B609)+1</f>
        <v>313</v>
      </c>
      <c r="C610" s="33"/>
      <c r="D610" s="335" t="s">
        <v>536</v>
      </c>
      <c r="E610" s="64"/>
      <c r="F610" s="192" t="s">
        <v>56</v>
      </c>
      <c r="G610" s="64"/>
      <c r="H610" s="122">
        <v>37535.500949999994</v>
      </c>
      <c r="I610" s="341"/>
      <c r="J610" s="122">
        <f>$H610*K610/100</f>
        <v>820.90140577650004</v>
      </c>
      <c r="K610" s="147">
        <v>2.1870000000000003</v>
      </c>
      <c r="L610" s="239"/>
      <c r="M610" s="122">
        <f>J610-O610</f>
        <v>694.34601805686339</v>
      </c>
      <c r="N610" s="238"/>
      <c r="O610" s="122">
        <v>126.55538771963663</v>
      </c>
      <c r="P610" s="122">
        <f>Q610-O610</f>
        <v>-1.6361294137021929</v>
      </c>
      <c r="Q610" s="122">
        <f>$H610*R610/100</f>
        <v>124.91925830593443</v>
      </c>
      <c r="R610" s="147">
        <v>0.33280296024911438</v>
      </c>
      <c r="S610" s="124"/>
      <c r="T610" s="178">
        <f t="shared" si="174"/>
        <v>-0.84782672142244431</v>
      </c>
    </row>
    <row r="611" spans="2:20" x14ac:dyDescent="0.2">
      <c r="B611" s="64"/>
      <c r="C611" s="33"/>
      <c r="D611" s="26"/>
      <c r="E611" s="64"/>
      <c r="F611" s="16"/>
      <c r="G611" s="64"/>
      <c r="H611" s="122"/>
      <c r="I611" s="341"/>
      <c r="J611" s="122"/>
      <c r="K611" s="147"/>
      <c r="L611" s="239"/>
      <c r="M611" s="122"/>
      <c r="N611" s="238"/>
      <c r="O611" s="122"/>
      <c r="P611" s="122"/>
      <c r="Q611" s="122"/>
      <c r="R611" s="147"/>
      <c r="S611" s="124"/>
      <c r="T611" s="133"/>
    </row>
    <row r="612" spans="2:20" x14ac:dyDescent="0.2">
      <c r="B612" s="64">
        <f>MAX(B$557:B611)+1</f>
        <v>314</v>
      </c>
      <c r="C612" s="33"/>
      <c r="D612" s="27" t="s">
        <v>208</v>
      </c>
      <c r="E612" s="64"/>
      <c r="F612" s="192" t="s">
        <v>56</v>
      </c>
      <c r="G612" s="64"/>
      <c r="H612" s="122">
        <v>1410.373</v>
      </c>
      <c r="I612" s="341"/>
      <c r="J612" s="122">
        <f>$H612*K612/100</f>
        <v>1.9745222000000004</v>
      </c>
      <c r="K612" s="147">
        <v>0.14000000000000001</v>
      </c>
      <c r="L612" s="239"/>
      <c r="M612" s="122">
        <f t="shared" ref="M612" si="175">J612-O612</f>
        <v>1.9745222000000004</v>
      </c>
      <c r="N612" s="238"/>
      <c r="O612" s="122">
        <v>0</v>
      </c>
      <c r="P612" s="122">
        <f t="shared" ref="P612" si="176">Q612-O612</f>
        <v>0</v>
      </c>
      <c r="Q612" s="122">
        <f>$H612*R612/100</f>
        <v>0</v>
      </c>
      <c r="R612" s="147">
        <v>0</v>
      </c>
      <c r="S612" s="124"/>
      <c r="T612" s="178">
        <f t="shared" si="174"/>
        <v>-1</v>
      </c>
    </row>
    <row r="613" spans="2:20" x14ac:dyDescent="0.2">
      <c r="B613" s="64">
        <f>MAX(B$557:B612)+1</f>
        <v>315</v>
      </c>
      <c r="C613" s="33"/>
      <c r="D613" s="27" t="s">
        <v>535</v>
      </c>
      <c r="E613" s="64"/>
      <c r="F613" s="192" t="s">
        <v>56</v>
      </c>
      <c r="G613" s="64"/>
      <c r="H613" s="122">
        <v>350</v>
      </c>
      <c r="I613" s="341"/>
      <c r="J613" s="122">
        <f>$H613*K613/100</f>
        <v>10.843</v>
      </c>
      <c r="K613" s="147">
        <v>3.0979999999999999</v>
      </c>
      <c r="L613" s="239"/>
      <c r="M613" s="122">
        <f>J613-O613</f>
        <v>10.843</v>
      </c>
      <c r="N613" s="238"/>
      <c r="O613" s="122">
        <v>0</v>
      </c>
      <c r="P613" s="122">
        <f>Q613-O613</f>
        <v>1.6361294137022346</v>
      </c>
      <c r="Q613" s="122">
        <f>$H613*R613/100</f>
        <v>1.6361294137022346</v>
      </c>
      <c r="R613" s="147">
        <v>0.46746554677206703</v>
      </c>
      <c r="S613" s="124"/>
      <c r="T613" s="178">
        <f t="shared" si="174"/>
        <v>-0.84910731221043667</v>
      </c>
    </row>
    <row r="614" spans="2:20" x14ac:dyDescent="0.2">
      <c r="B614" s="64"/>
      <c r="C614" s="33"/>
      <c r="D614" s="26"/>
      <c r="E614" s="64"/>
      <c r="F614" s="16"/>
      <c r="G614" s="64"/>
      <c r="H614" s="122"/>
      <c r="I614" s="341"/>
      <c r="J614" s="122"/>
      <c r="K614" s="147"/>
      <c r="L614" s="239"/>
      <c r="M614" s="122"/>
      <c r="N614" s="238"/>
      <c r="O614" s="122"/>
      <c r="P614" s="122"/>
      <c r="Q614" s="122"/>
      <c r="R614" s="147"/>
      <c r="S614" s="124"/>
      <c r="T614" s="133"/>
    </row>
    <row r="615" spans="2:20" x14ac:dyDescent="0.2">
      <c r="B615" s="64">
        <f>MAX(B$557:B614)+1</f>
        <v>316</v>
      </c>
      <c r="C615" s="33"/>
      <c r="D615" s="27" t="s">
        <v>209</v>
      </c>
      <c r="E615" s="64"/>
      <c r="F615" s="360"/>
      <c r="G615" s="64"/>
      <c r="H615" s="122"/>
      <c r="I615" s="341"/>
      <c r="J615" s="122">
        <v>327.83781096999996</v>
      </c>
      <c r="K615" s="332">
        <v>3.5799999999999998E-3</v>
      </c>
      <c r="L615" s="239"/>
      <c r="M615" s="122">
        <f>J615-O615</f>
        <v>-390.36036623736879</v>
      </c>
      <c r="N615" s="238"/>
      <c r="O615" s="122">
        <f>Q615</f>
        <v>718.19817720736876</v>
      </c>
      <c r="P615" s="122">
        <f>Q615-O615</f>
        <v>0</v>
      </c>
      <c r="Q615" s="122">
        <v>718.19817720736876</v>
      </c>
      <c r="R615" s="332">
        <v>8.0300000000000007E-3</v>
      </c>
      <c r="S615" s="124">
        <f>Q615/O615</f>
        <v>1</v>
      </c>
      <c r="T615" s="178">
        <f>R615/K615-1</f>
        <v>1.2430167597765367</v>
      </c>
    </row>
    <row r="616" spans="2:20" x14ac:dyDescent="0.2">
      <c r="B616" s="64"/>
      <c r="C616" s="33"/>
      <c r="D616" s="26"/>
      <c r="E616" s="64"/>
      <c r="F616" s="16"/>
      <c r="G616" s="64"/>
      <c r="H616" s="122"/>
      <c r="I616" s="341"/>
      <c r="J616" s="122"/>
      <c r="K616" s="147"/>
      <c r="L616" s="239"/>
      <c r="M616" s="122"/>
      <c r="N616" s="238"/>
      <c r="O616" s="122"/>
      <c r="P616" s="122"/>
      <c r="Q616" s="122"/>
      <c r="R616" s="147"/>
      <c r="S616" s="124"/>
      <c r="T616" s="178"/>
    </row>
    <row r="617" spans="2:20" x14ac:dyDescent="0.2">
      <c r="B617" s="64">
        <f>MAX(B$557:B616)+1</f>
        <v>317</v>
      </c>
      <c r="C617" s="33"/>
      <c r="D617" s="26" t="s">
        <v>220</v>
      </c>
      <c r="E617" s="64"/>
      <c r="F617" s="16"/>
      <c r="G617" s="64"/>
      <c r="H617" s="146">
        <f>SUM(H609:H610)</f>
        <v>431289.49168000009</v>
      </c>
      <c r="I617" s="341"/>
      <c r="J617" s="146">
        <f>SUM(J603:J615)</f>
        <v>13190.996839216503</v>
      </c>
      <c r="K617" s="139">
        <f>J617/$H617*100</f>
        <v>3.0585017937334085</v>
      </c>
      <c r="L617" s="239"/>
      <c r="M617" s="146">
        <f>SUM(M603:M615)</f>
        <v>1025.8068406283705</v>
      </c>
      <c r="N617" s="238"/>
      <c r="O617" s="146">
        <f>SUM(O603:O615)</f>
        <v>12165.18999858813</v>
      </c>
      <c r="P617" s="146">
        <f>SUM(P603:P615)</f>
        <v>-922.55794427555566</v>
      </c>
      <c r="Q617" s="146">
        <f>SUM(Q603:Q615)</f>
        <v>11242.632054312575</v>
      </c>
      <c r="R617" s="139">
        <f>Q617/$H617*100</f>
        <v>2.6067484302757293</v>
      </c>
      <c r="S617" s="342">
        <f>Q617/O617</f>
        <v>0.92416411544886468</v>
      </c>
      <c r="T617" s="177">
        <f>R617/K617-1</f>
        <v>-0.14770413552912753</v>
      </c>
    </row>
    <row r="618" spans="2:20" x14ac:dyDescent="0.2">
      <c r="E618" s="64"/>
      <c r="F618" s="16"/>
      <c r="G618" s="64"/>
      <c r="H618" s="122"/>
      <c r="I618" s="341"/>
      <c r="J618" s="122"/>
      <c r="K618" s="147"/>
      <c r="L618" s="239"/>
      <c r="M618" s="122"/>
      <c r="N618" s="238"/>
      <c r="O618" s="122"/>
      <c r="P618" s="122"/>
      <c r="Q618" s="122"/>
      <c r="R618" s="147"/>
      <c r="S618" s="124"/>
      <c r="T618" s="178"/>
    </row>
    <row r="619" spans="2:20" x14ac:dyDescent="0.2">
      <c r="D619" s="356" t="s">
        <v>1058</v>
      </c>
      <c r="E619" s="64"/>
      <c r="F619" s="16"/>
      <c r="G619" s="64"/>
      <c r="H619" s="122"/>
      <c r="I619" s="341"/>
      <c r="J619" s="122"/>
      <c r="K619" s="147"/>
      <c r="L619" s="239"/>
      <c r="M619" s="122"/>
      <c r="N619" s="238"/>
      <c r="O619" s="122"/>
      <c r="P619" s="122"/>
      <c r="Q619" s="122"/>
      <c r="R619" s="147"/>
      <c r="S619" s="124"/>
      <c r="T619" s="178"/>
    </row>
    <row r="620" spans="2:20" x14ac:dyDescent="0.2">
      <c r="D620" s="359" t="s">
        <v>211</v>
      </c>
      <c r="E620" s="64"/>
      <c r="F620" s="16"/>
      <c r="G620" s="64"/>
      <c r="H620" s="122"/>
      <c r="I620" s="341"/>
      <c r="J620" s="122"/>
      <c r="K620" s="147"/>
      <c r="L620" s="239"/>
      <c r="M620" s="122"/>
      <c r="N620" s="238"/>
      <c r="O620" s="122"/>
      <c r="P620" s="122"/>
      <c r="Q620" s="122"/>
      <c r="R620" s="147"/>
      <c r="S620" s="124"/>
      <c r="T620" s="178"/>
    </row>
    <row r="621" spans="2:20" x14ac:dyDescent="0.2">
      <c r="B621" s="64">
        <f>MAX(B$557:B620)+1</f>
        <v>318</v>
      </c>
      <c r="D621" s="336" t="s">
        <v>212</v>
      </c>
      <c r="E621" s="64"/>
      <c r="F621" s="16" t="s">
        <v>221</v>
      </c>
      <c r="G621" s="64"/>
      <c r="H621" s="122">
        <v>17815248</v>
      </c>
      <c r="I621" s="341"/>
      <c r="J621" s="122">
        <f>$H621*K621/1000</f>
        <v>213.78297599999999</v>
      </c>
      <c r="K621" s="158">
        <v>1.2E-2</v>
      </c>
      <c r="L621" s="239"/>
      <c r="M621" s="122">
        <f>J621-O621</f>
        <v>-78.058471986353908</v>
      </c>
      <c r="N621" s="238"/>
      <c r="O621" s="122">
        <v>291.8414479863539</v>
      </c>
      <c r="P621" s="122">
        <f>Q621-O621</f>
        <v>0</v>
      </c>
      <c r="Q621" s="122">
        <f>$H621*R621/1000</f>
        <v>291.8414479863539</v>
      </c>
      <c r="R621" s="158">
        <v>1.638155404776593E-2</v>
      </c>
      <c r="S621" s="124"/>
      <c r="T621" s="178">
        <f t="shared" ref="T621" si="177">R621/K621-1</f>
        <v>0.36512950398049404</v>
      </c>
    </row>
    <row r="622" spans="2:20" x14ac:dyDescent="0.2">
      <c r="D622" s="359" t="s">
        <v>213</v>
      </c>
      <c r="E622" s="64"/>
      <c r="F622" s="16"/>
      <c r="G622" s="64"/>
      <c r="H622" s="122"/>
      <c r="I622" s="341"/>
      <c r="J622" s="122"/>
      <c r="K622" s="147"/>
      <c r="L622" s="239"/>
      <c r="M622" s="122"/>
      <c r="N622" s="238"/>
      <c r="O622" s="122"/>
      <c r="P622" s="122"/>
      <c r="Q622" s="122"/>
      <c r="R622" s="147"/>
      <c r="S622" s="124"/>
      <c r="T622" s="178"/>
    </row>
    <row r="623" spans="2:20" x14ac:dyDescent="0.2">
      <c r="B623" s="64">
        <f>MAX(B$557:B622)+1</f>
        <v>319</v>
      </c>
      <c r="D623" s="335" t="s">
        <v>214</v>
      </c>
      <c r="E623" s="64"/>
      <c r="F623" s="16" t="s">
        <v>221</v>
      </c>
      <c r="G623" s="64"/>
      <c r="H623" s="122">
        <v>674172</v>
      </c>
      <c r="I623" s="341"/>
      <c r="J623" s="122">
        <f>$H623*K623/1000</f>
        <v>1266.0950159999998</v>
      </c>
      <c r="K623" s="158">
        <v>1.8779999999999999</v>
      </c>
      <c r="L623" s="239"/>
      <c r="M623" s="122">
        <f>J623-O623</f>
        <v>377.80091635529232</v>
      </c>
      <c r="N623" s="238"/>
      <c r="O623" s="122">
        <v>888.29409964470744</v>
      </c>
      <c r="P623" s="122">
        <f t="shared" ref="P623:P626" si="178">Q623-O623</f>
        <v>775.40125330235344</v>
      </c>
      <c r="Q623" s="122">
        <f>$H623*R623/1000</f>
        <v>1663.6953529470609</v>
      </c>
      <c r="R623" s="158">
        <v>2.4677609763488562</v>
      </c>
      <c r="S623" s="124"/>
      <c r="T623" s="178">
        <f t="shared" ref="T623:T626" si="179">R623/K623-1</f>
        <v>0.31403672862026433</v>
      </c>
    </row>
    <row r="624" spans="2:20" x14ac:dyDescent="0.2">
      <c r="B624" s="64">
        <f>MAX(B$557:B623)+1</f>
        <v>320</v>
      </c>
      <c r="D624" s="335" t="s">
        <v>215</v>
      </c>
      <c r="E624" s="64"/>
      <c r="F624" s="16" t="s">
        <v>221</v>
      </c>
      <c r="G624" s="64"/>
      <c r="H624" s="122">
        <v>10476</v>
      </c>
      <c r="I624" s="341"/>
      <c r="J624" s="122">
        <f>$H624*K624/1000</f>
        <v>15.431148</v>
      </c>
      <c r="K624" s="158">
        <v>1.4730000000000001</v>
      </c>
      <c r="L624" s="239"/>
      <c r="M624" s="122">
        <f t="shared" ref="M624:M626" si="180">J624-O624</f>
        <v>3.8712707935095629</v>
      </c>
      <c r="N624" s="238"/>
      <c r="O624" s="122">
        <v>11.559877206490437</v>
      </c>
      <c r="P624" s="122">
        <f t="shared" si="178"/>
        <v>11.673881503687845</v>
      </c>
      <c r="Q624" s="122">
        <f>$H624*R624/1000</f>
        <v>23.233758710178282</v>
      </c>
      <c r="R624" s="158">
        <v>2.2178082006661208</v>
      </c>
      <c r="S624" s="124"/>
      <c r="T624" s="178">
        <f t="shared" si="179"/>
        <v>0.50564032631780087</v>
      </c>
    </row>
    <row r="625" spans="2:21" x14ac:dyDescent="0.2">
      <c r="B625" s="64">
        <f>MAX(B$557:B624)+1</f>
        <v>321</v>
      </c>
      <c r="D625" s="336" t="s">
        <v>216</v>
      </c>
      <c r="E625" s="64"/>
      <c r="F625" s="16" t="s">
        <v>221</v>
      </c>
      <c r="G625" s="64"/>
      <c r="H625" s="122">
        <v>0</v>
      </c>
      <c r="I625" s="341"/>
      <c r="J625" s="122">
        <f>$H625*K625/1000</f>
        <v>0</v>
      </c>
      <c r="K625" s="158">
        <v>1.4730000000000001</v>
      </c>
      <c r="L625" s="239"/>
      <c r="M625" s="122">
        <f t="shared" si="180"/>
        <v>0</v>
      </c>
      <c r="N625" s="238"/>
      <c r="O625" s="122">
        <v>0</v>
      </c>
      <c r="P625" s="122">
        <f t="shared" si="178"/>
        <v>0</v>
      </c>
      <c r="Q625" s="122">
        <f>$H625*R625/1000</f>
        <v>0</v>
      </c>
      <c r="R625" s="158">
        <v>2.2178082006661208</v>
      </c>
      <c r="S625" s="124"/>
      <c r="T625" s="178">
        <f t="shared" si="179"/>
        <v>0.50564032631780087</v>
      </c>
    </row>
    <row r="626" spans="2:21" x14ac:dyDescent="0.2">
      <c r="B626" s="64">
        <f>MAX(B$557:B625)+1</f>
        <v>322</v>
      </c>
      <c r="D626" s="336" t="s">
        <v>217</v>
      </c>
      <c r="E626" s="64"/>
      <c r="F626" s="16" t="s">
        <v>221</v>
      </c>
      <c r="G626" s="64"/>
      <c r="H626" s="122">
        <v>0</v>
      </c>
      <c r="I626" s="341"/>
      <c r="J626" s="122">
        <f>$H626*K626/1000</f>
        <v>0</v>
      </c>
      <c r="K626" s="158">
        <v>1.4730000000000001</v>
      </c>
      <c r="L626" s="239"/>
      <c r="M626" s="122">
        <f t="shared" si="180"/>
        <v>0</v>
      </c>
      <c r="N626" s="238"/>
      <c r="O626" s="122">
        <v>0</v>
      </c>
      <c r="P626" s="122">
        <f t="shared" si="178"/>
        <v>0</v>
      </c>
      <c r="Q626" s="122">
        <f>$H626*R626/1000</f>
        <v>0</v>
      </c>
      <c r="R626" s="158">
        <v>2.2178082006661208</v>
      </c>
      <c r="S626" s="124"/>
      <c r="T626" s="178">
        <f t="shared" si="179"/>
        <v>0.50564032631780087</v>
      </c>
    </row>
    <row r="627" spans="2:21" x14ac:dyDescent="0.2">
      <c r="D627" s="359" t="s">
        <v>218</v>
      </c>
      <c r="E627" s="64"/>
      <c r="F627" s="16"/>
      <c r="G627" s="64"/>
      <c r="H627" s="122"/>
      <c r="I627" s="341"/>
      <c r="J627" s="122"/>
      <c r="K627" s="147"/>
      <c r="L627" s="239"/>
      <c r="M627" s="122"/>
      <c r="N627" s="238"/>
      <c r="O627" s="122"/>
      <c r="P627" s="122"/>
      <c r="Q627" s="122"/>
      <c r="R627" s="147"/>
      <c r="S627" s="124"/>
      <c r="T627" s="178"/>
    </row>
    <row r="628" spans="2:21" x14ac:dyDescent="0.2">
      <c r="B628" s="64">
        <f>MAX(B$557:B627)+1</f>
        <v>323</v>
      </c>
      <c r="D628" s="336" t="s">
        <v>1052</v>
      </c>
      <c r="E628" s="64"/>
      <c r="F628" s="16" t="s">
        <v>104</v>
      </c>
      <c r="G628" s="64"/>
      <c r="H628" s="122">
        <v>2989700.51</v>
      </c>
      <c r="I628" s="341"/>
      <c r="J628" s="122">
        <f>$H628*K628/1000</f>
        <v>35.876406119999999</v>
      </c>
      <c r="K628" s="158">
        <v>1.2E-2</v>
      </c>
      <c r="L628" s="239"/>
      <c r="M628" s="122">
        <f>J628-O628</f>
        <v>35.876406119999999</v>
      </c>
      <c r="N628" s="238"/>
      <c r="O628" s="122">
        <v>0</v>
      </c>
      <c r="P628" s="122">
        <f>Q628-O628</f>
        <v>0</v>
      </c>
      <c r="Q628" s="122">
        <f>$H628*R628/1000</f>
        <v>0</v>
      </c>
      <c r="R628" s="158">
        <v>0</v>
      </c>
      <c r="S628" s="124"/>
      <c r="T628" s="178">
        <f t="shared" ref="T628" si="181">R628/K628-1</f>
        <v>-1</v>
      </c>
    </row>
    <row r="629" spans="2:21" x14ac:dyDescent="0.2">
      <c r="D629" s="356"/>
      <c r="E629" s="64"/>
      <c r="F629" s="16"/>
      <c r="G629" s="64"/>
      <c r="H629" s="122"/>
      <c r="I629" s="341"/>
      <c r="J629" s="122"/>
      <c r="K629" s="147"/>
      <c r="L629" s="239"/>
      <c r="M629" s="122"/>
      <c r="N629" s="238"/>
      <c r="O629" s="122"/>
      <c r="P629" s="122"/>
      <c r="Q629" s="122"/>
      <c r="R629" s="147"/>
      <c r="S629" s="124"/>
      <c r="T629" s="178"/>
    </row>
    <row r="630" spans="2:21" x14ac:dyDescent="0.2">
      <c r="B630" s="64">
        <f>MAX(B$557:B629)+1</f>
        <v>324</v>
      </c>
      <c r="C630" s="33"/>
      <c r="D630" s="27" t="s">
        <v>237</v>
      </c>
      <c r="E630" s="64"/>
      <c r="F630" s="192"/>
      <c r="G630" s="64"/>
      <c r="H630" s="122"/>
      <c r="I630" s="341"/>
      <c r="J630" s="122">
        <v>70.632634880000026</v>
      </c>
      <c r="K630" s="332">
        <v>4.45E-3</v>
      </c>
      <c r="L630" s="239"/>
      <c r="M630" s="122">
        <f>J630-O630</f>
        <v>-61.713945673234193</v>
      </c>
      <c r="N630" s="238"/>
      <c r="O630" s="122">
        <f>Q630</f>
        <v>132.34658055323422</v>
      </c>
      <c r="P630" s="122">
        <f>Q630-O630</f>
        <v>0</v>
      </c>
      <c r="Q630" s="122">
        <v>132.34658055323422</v>
      </c>
      <c r="R630" s="332">
        <v>8.3400000000000002E-3</v>
      </c>
      <c r="S630" s="124">
        <f>Q630/O630</f>
        <v>1</v>
      </c>
      <c r="T630" s="178">
        <f>R630/K630-1</f>
        <v>0.87415730337078656</v>
      </c>
    </row>
    <row r="631" spans="2:21" x14ac:dyDescent="0.2">
      <c r="H631" s="148"/>
      <c r="I631" s="148"/>
      <c r="J631" s="148"/>
      <c r="K631" s="148"/>
      <c r="L631" s="148"/>
      <c r="M631" s="148"/>
      <c r="N631" s="148"/>
      <c r="O631" s="148"/>
      <c r="P631" s="148"/>
      <c r="Q631" s="148"/>
      <c r="R631" s="148"/>
      <c r="S631" s="148"/>
      <c r="T631" s="180"/>
    </row>
    <row r="632" spans="2:21" x14ac:dyDescent="0.2">
      <c r="B632" s="64">
        <f>MAX(B$557:B631)+1</f>
        <v>325</v>
      </c>
      <c r="C632" s="33"/>
      <c r="D632" s="26" t="s">
        <v>219</v>
      </c>
      <c r="E632" s="64"/>
      <c r="F632" s="16"/>
      <c r="G632" s="64"/>
      <c r="H632" s="146">
        <f>H617</f>
        <v>431289.49168000009</v>
      </c>
      <c r="I632" s="341"/>
      <c r="J632" s="146">
        <f>SUM(J621:J630)</f>
        <v>1601.8181809999996</v>
      </c>
      <c r="K632" s="139">
        <f>J632/$H632*100</f>
        <v>0.37140208882911663</v>
      </c>
      <c r="L632" s="239"/>
      <c r="M632" s="146">
        <f>SUM(M621:M630)</f>
        <v>277.77617560921379</v>
      </c>
      <c r="N632" s="238"/>
      <c r="O632" s="146">
        <f>SUM(O621:O630)</f>
        <v>1324.042005390786</v>
      </c>
      <c r="P632" s="146">
        <f>SUM(P621:P630)</f>
        <v>787.07513480604132</v>
      </c>
      <c r="Q632" s="146">
        <f>SUM(Q621:Q630)</f>
        <v>2111.1171401968272</v>
      </c>
      <c r="R632" s="139">
        <f>Q632/$H632*100</f>
        <v>0.48948958435629902</v>
      </c>
      <c r="S632" s="342">
        <f>Q632/O632</f>
        <v>1.5944487649194625</v>
      </c>
      <c r="T632" s="177">
        <f>R632/K632-1</f>
        <v>0.31795054222625785</v>
      </c>
    </row>
    <row r="633" spans="2:21" x14ac:dyDescent="0.2">
      <c r="B633" s="64"/>
      <c r="C633" s="33"/>
      <c r="D633" s="26"/>
      <c r="E633" s="64"/>
      <c r="F633" s="16"/>
      <c r="G633" s="64"/>
      <c r="H633" s="122"/>
      <c r="I633" s="341"/>
      <c r="J633" s="122"/>
      <c r="K633" s="147"/>
      <c r="L633" s="239"/>
      <c r="M633" s="122"/>
      <c r="N633" s="238"/>
      <c r="O633" s="122"/>
      <c r="P633" s="122"/>
      <c r="Q633" s="122"/>
      <c r="R633" s="147"/>
      <c r="S633" s="124"/>
      <c r="T633" s="178"/>
    </row>
    <row r="634" spans="2:21" ht="13.5" thickBot="1" x14ac:dyDescent="0.25">
      <c r="B634" s="64">
        <f>MAX(B$557:B633)+1</f>
        <v>326</v>
      </c>
      <c r="C634" s="33"/>
      <c r="D634" s="26" t="s">
        <v>210</v>
      </c>
      <c r="E634" s="64"/>
      <c r="F634" s="16"/>
      <c r="G634" s="64"/>
      <c r="H634" s="159">
        <f>H617</f>
        <v>431289.49168000009</v>
      </c>
      <c r="I634" s="341"/>
      <c r="J634" s="159">
        <f>J617+J632</f>
        <v>14792.815020216502</v>
      </c>
      <c r="K634" s="140">
        <f>J634/$H634*100</f>
        <v>3.4299038825625252</v>
      </c>
      <c r="L634" s="239"/>
      <c r="M634" s="159">
        <f>M617+M632</f>
        <v>1303.5830162375844</v>
      </c>
      <c r="N634" s="238"/>
      <c r="O634" s="159">
        <f>O617+O632</f>
        <v>13489.232003978916</v>
      </c>
      <c r="P634" s="159">
        <f>P617+P632</f>
        <v>-135.48280946951434</v>
      </c>
      <c r="Q634" s="159">
        <f>Q617+Q632</f>
        <v>13353.749194509403</v>
      </c>
      <c r="R634" s="140">
        <f>Q634/$H634*100</f>
        <v>3.0962380146320285</v>
      </c>
      <c r="S634" s="345">
        <f>Q634/O634</f>
        <v>0.98995622512611914</v>
      </c>
      <c r="T634" s="179">
        <f>R634/K634-1</f>
        <v>-9.728140477254732E-2</v>
      </c>
    </row>
    <row r="635" spans="2:21" ht="13.5" thickTop="1" x14ac:dyDescent="0.2">
      <c r="B635" s="60"/>
      <c r="C635" s="30"/>
      <c r="D635" s="29"/>
      <c r="E635" s="60"/>
      <c r="F635" s="192"/>
      <c r="G635" s="60"/>
      <c r="H635" s="346"/>
      <c r="I635" s="153"/>
      <c r="J635" s="346"/>
      <c r="K635" s="347"/>
      <c r="L635" s="346"/>
      <c r="M635" s="346"/>
      <c r="N635" s="348"/>
      <c r="O635" s="346"/>
      <c r="P635" s="346"/>
      <c r="Q635" s="346"/>
      <c r="R635" s="347"/>
      <c r="S635" s="172"/>
      <c r="T635" s="347"/>
    </row>
    <row r="636" spans="2:21" x14ac:dyDescent="0.2">
      <c r="B636" s="549" t="s">
        <v>506</v>
      </c>
      <c r="C636" s="549"/>
      <c r="D636" s="549"/>
      <c r="E636" s="549"/>
      <c r="F636" s="549"/>
      <c r="G636" s="549"/>
      <c r="H636" s="549"/>
      <c r="I636" s="549"/>
      <c r="J636" s="549"/>
      <c r="K636" s="549"/>
      <c r="L636" s="549"/>
      <c r="M636" s="549"/>
      <c r="N636" s="549"/>
      <c r="O636" s="549"/>
      <c r="P636" s="549"/>
      <c r="Q636" s="549"/>
      <c r="R636" s="549"/>
      <c r="S636" s="549"/>
      <c r="T636" s="549"/>
      <c r="U636" s="31"/>
    </row>
    <row r="637" spans="2:21" x14ac:dyDescent="0.2">
      <c r="B637" s="549" t="s">
        <v>1057</v>
      </c>
      <c r="C637" s="549"/>
      <c r="D637" s="549"/>
      <c r="E637" s="549"/>
      <c r="F637" s="549"/>
      <c r="G637" s="549"/>
      <c r="H637" s="549"/>
      <c r="I637" s="549"/>
      <c r="J637" s="549"/>
      <c r="K637" s="549"/>
      <c r="L637" s="549"/>
      <c r="M637" s="549"/>
      <c r="N637" s="549"/>
      <c r="O637" s="549"/>
      <c r="P637" s="549"/>
      <c r="Q637" s="549"/>
      <c r="R637" s="549"/>
      <c r="S637" s="549"/>
      <c r="T637" s="549"/>
      <c r="U637" s="31"/>
    </row>
    <row r="638" spans="2:21" x14ac:dyDescent="0.2">
      <c r="B638" s="168"/>
      <c r="C638" s="168"/>
      <c r="D638" s="168"/>
      <c r="E638" s="168"/>
      <c r="F638" s="170"/>
      <c r="G638" s="168"/>
      <c r="H638" s="170"/>
      <c r="I638" s="168"/>
      <c r="J638" s="170"/>
      <c r="K638" s="170"/>
      <c r="L638" s="170"/>
      <c r="M638" s="170"/>
      <c r="N638" s="168"/>
      <c r="O638" s="168"/>
      <c r="P638" s="168"/>
      <c r="Q638" s="168"/>
      <c r="R638" s="168"/>
      <c r="S638" s="169"/>
      <c r="T638" s="169"/>
    </row>
    <row r="639" spans="2:21" x14ac:dyDescent="0.2">
      <c r="B639" s="170"/>
      <c r="C639" s="170"/>
      <c r="D639" s="170"/>
      <c r="E639" s="170"/>
      <c r="F639" s="340"/>
      <c r="G639" s="170"/>
      <c r="H639" s="340"/>
      <c r="I639" s="170"/>
      <c r="J639" s="173" t="s">
        <v>57</v>
      </c>
      <c r="K639" s="173"/>
      <c r="L639" s="170"/>
      <c r="M639" s="170"/>
      <c r="N639" s="170"/>
      <c r="O639" s="173" t="s">
        <v>60</v>
      </c>
      <c r="P639" s="173"/>
      <c r="Q639" s="173"/>
      <c r="R639" s="173"/>
      <c r="S639" s="174"/>
      <c r="T639" s="174"/>
    </row>
    <row r="640" spans="2:21" s="45" customFormat="1" ht="39" customHeight="1" x14ac:dyDescent="0.2">
      <c r="B640" s="154" t="s">
        <v>0</v>
      </c>
      <c r="C640" s="154"/>
      <c r="D640" s="154"/>
      <c r="E640" s="154"/>
      <c r="F640" s="60" t="s">
        <v>47</v>
      </c>
      <c r="G640" s="154"/>
      <c r="H640" s="45" t="s">
        <v>746</v>
      </c>
      <c r="I640" s="154"/>
      <c r="J640" s="45" t="s">
        <v>61</v>
      </c>
      <c r="K640" s="45" t="s">
        <v>571</v>
      </c>
      <c r="L640" s="154"/>
      <c r="M640" s="45" t="s">
        <v>34</v>
      </c>
      <c r="N640" s="154"/>
      <c r="O640" s="154" t="s">
        <v>79</v>
      </c>
      <c r="P640" s="45" t="s">
        <v>34</v>
      </c>
      <c r="Q640" s="45" t="s">
        <v>61</v>
      </c>
      <c r="R640" s="45" t="s">
        <v>69</v>
      </c>
      <c r="S640" s="154" t="s">
        <v>745</v>
      </c>
      <c r="T640" s="154" t="s">
        <v>747</v>
      </c>
      <c r="U640" s="154"/>
    </row>
    <row r="641" spans="2:21" ht="14.25" x14ac:dyDescent="0.2">
      <c r="B641" s="520" t="s">
        <v>1</v>
      </c>
      <c r="C641" s="33"/>
      <c r="D641" s="185" t="s">
        <v>33</v>
      </c>
      <c r="E641" s="64"/>
      <c r="F641" s="520" t="s">
        <v>48</v>
      </c>
      <c r="G641" s="64"/>
      <c r="H641" s="520" t="s">
        <v>560</v>
      </c>
      <c r="I641" s="64"/>
      <c r="J641" s="520" t="s">
        <v>389</v>
      </c>
      <c r="K641" s="520" t="s">
        <v>35</v>
      </c>
      <c r="L641" s="64"/>
      <c r="M641" s="520" t="s">
        <v>389</v>
      </c>
      <c r="N641" s="64"/>
      <c r="O641" s="520" t="s">
        <v>389</v>
      </c>
      <c r="P641" s="520" t="s">
        <v>389</v>
      </c>
      <c r="Q641" s="520" t="s">
        <v>389</v>
      </c>
      <c r="R641" s="520" t="s">
        <v>35</v>
      </c>
      <c r="S641" s="520" t="s">
        <v>36</v>
      </c>
      <c r="T641" s="520" t="s">
        <v>2</v>
      </c>
      <c r="U641" s="64"/>
    </row>
    <row r="642" spans="2:21" x14ac:dyDescent="0.2">
      <c r="B642" s="64"/>
      <c r="C642" s="33"/>
      <c r="D642" s="33"/>
      <c r="E642" s="64"/>
      <c r="F642" s="64"/>
      <c r="G642" s="64"/>
      <c r="H642" s="64" t="s">
        <v>3</v>
      </c>
      <c r="I642" s="64"/>
      <c r="J642" s="64" t="s">
        <v>4</v>
      </c>
      <c r="K642" s="64" t="s">
        <v>58</v>
      </c>
      <c r="L642" s="64"/>
      <c r="M642" s="64" t="s">
        <v>59</v>
      </c>
      <c r="N642" s="64"/>
      <c r="O642" s="64" t="s">
        <v>63</v>
      </c>
      <c r="P642" s="64" t="s">
        <v>227</v>
      </c>
      <c r="Q642" s="175" t="s">
        <v>38</v>
      </c>
      <c r="R642" s="175" t="s">
        <v>70</v>
      </c>
      <c r="S642" s="175" t="s">
        <v>479</v>
      </c>
      <c r="T642" s="175" t="s">
        <v>71</v>
      </c>
      <c r="U642" s="64"/>
    </row>
    <row r="643" spans="2:21" x14ac:dyDescent="0.2">
      <c r="B643" s="60"/>
      <c r="C643" s="30"/>
      <c r="D643" s="29"/>
      <c r="E643" s="60"/>
      <c r="F643" s="192"/>
      <c r="G643" s="60"/>
      <c r="H643" s="346"/>
      <c r="I643" s="153"/>
      <c r="J643" s="346"/>
      <c r="K643" s="347"/>
      <c r="L643" s="346"/>
      <c r="M643" s="346"/>
      <c r="N643" s="348"/>
      <c r="O643" s="346"/>
      <c r="P643" s="346"/>
      <c r="Q643" s="346"/>
      <c r="R643" s="347"/>
      <c r="S643" s="172"/>
      <c r="T643" s="347"/>
    </row>
    <row r="644" spans="2:21" x14ac:dyDescent="0.2">
      <c r="B644" s="64"/>
      <c r="C644" s="33"/>
      <c r="D644" s="31" t="s">
        <v>27</v>
      </c>
      <c r="E644" s="64"/>
      <c r="F644" s="186"/>
      <c r="G644" s="64"/>
      <c r="H644" s="350"/>
      <c r="I644" s="341"/>
      <c r="J644" s="350"/>
      <c r="K644" s="341"/>
      <c r="L644" s="341"/>
      <c r="M644" s="144"/>
      <c r="N644" s="341"/>
      <c r="O644" s="145"/>
      <c r="P644" s="341"/>
      <c r="Q644" s="341"/>
      <c r="R644" s="341"/>
      <c r="S644" s="341"/>
      <c r="T644" s="341"/>
      <c r="U644" s="64"/>
    </row>
    <row r="645" spans="2:21" x14ac:dyDescent="0.2">
      <c r="B645" s="64">
        <f>MAX(B$66:B644)+1</f>
        <v>327</v>
      </c>
      <c r="D645" s="26" t="s">
        <v>85</v>
      </c>
      <c r="E645" s="64"/>
      <c r="F645" s="360" t="s">
        <v>55</v>
      </c>
      <c r="G645" s="64"/>
      <c r="H645" s="122">
        <v>501.00000000000347</v>
      </c>
      <c r="I645" s="341"/>
      <c r="J645" s="122">
        <f>$H645*K645/1000</f>
        <v>3408.7088100000237</v>
      </c>
      <c r="K645" s="331">
        <v>6803.81</v>
      </c>
      <c r="L645" s="239"/>
      <c r="M645" s="122">
        <f>J645-O645</f>
        <v>-1987.2083229265427</v>
      </c>
      <c r="N645" s="238"/>
      <c r="O645" s="122">
        <v>5395.9171329265664</v>
      </c>
      <c r="P645" s="122">
        <f>Q645-O645</f>
        <v>-3892.917132926556</v>
      </c>
      <c r="Q645" s="122">
        <f>$H645*R645/1000</f>
        <v>1503.0000000000105</v>
      </c>
      <c r="R645" s="331">
        <v>3000</v>
      </c>
      <c r="S645" s="124">
        <f>Q645/O645</f>
        <v>0.27854393664211685</v>
      </c>
      <c r="T645" s="178">
        <f>R645/K645-1</f>
        <v>-0.55907057957232786</v>
      </c>
    </row>
    <row r="646" spans="2:21" ht="14.25" x14ac:dyDescent="0.2">
      <c r="D646" s="26" t="s">
        <v>204</v>
      </c>
      <c r="E646" s="64"/>
      <c r="F646" s="16"/>
      <c r="G646" s="64"/>
      <c r="H646" s="122"/>
      <c r="I646" s="341"/>
      <c r="J646" s="122"/>
      <c r="K646" s="147"/>
      <c r="L646" s="239"/>
      <c r="M646" s="122"/>
      <c r="N646" s="238"/>
      <c r="O646" s="122"/>
      <c r="P646" s="122"/>
      <c r="Q646" s="122"/>
      <c r="R646" s="147"/>
      <c r="S646" s="124"/>
      <c r="T646" s="133"/>
    </row>
    <row r="647" spans="2:21" x14ac:dyDescent="0.2">
      <c r="B647" s="64"/>
      <c r="C647" s="33"/>
      <c r="D647" s="27" t="s">
        <v>105</v>
      </c>
      <c r="E647" s="64"/>
      <c r="F647" s="16"/>
      <c r="G647" s="64"/>
      <c r="H647" s="122"/>
      <c r="I647" s="341"/>
      <c r="J647" s="122"/>
      <c r="K647" s="147"/>
      <c r="L647" s="239"/>
      <c r="M647" s="122"/>
      <c r="N647" s="238"/>
      <c r="O647" s="122"/>
      <c r="P647" s="122"/>
      <c r="Q647" s="122"/>
      <c r="R647" s="147"/>
      <c r="S647" s="124"/>
      <c r="T647" s="133"/>
    </row>
    <row r="648" spans="2:21" x14ac:dyDescent="0.2">
      <c r="B648" s="64">
        <f>MAX(B$645:B647)+1</f>
        <v>328</v>
      </c>
      <c r="C648" s="33"/>
      <c r="D648" s="336" t="s">
        <v>222</v>
      </c>
      <c r="E648" s="64"/>
      <c r="F648" s="360" t="s">
        <v>81</v>
      </c>
      <c r="G648" s="64"/>
      <c r="H648" s="122">
        <v>60333.714</v>
      </c>
      <c r="I648" s="341"/>
      <c r="J648" s="122">
        <f>$H648*K648/100</f>
        <v>20007.021564684001</v>
      </c>
      <c r="K648" s="147">
        <v>33.160600000000002</v>
      </c>
      <c r="L648" s="239"/>
      <c r="M648" s="122">
        <f t="shared" ref="M648:M649" si="182">J648-O648</f>
        <v>-3279.8035255963041</v>
      </c>
      <c r="N648" s="238"/>
      <c r="O648" s="122">
        <v>23286.825090280305</v>
      </c>
      <c r="P648" s="122">
        <f t="shared" ref="P648:P649" si="183">Q648-O648</f>
        <v>-112.18847326783361</v>
      </c>
      <c r="Q648" s="122">
        <f>$H648*R648/100</f>
        <v>23174.636617012471</v>
      </c>
      <c r="R648" s="147">
        <v>38.410757569163522</v>
      </c>
      <c r="S648" s="124"/>
      <c r="T648" s="178">
        <f t="shared" ref="T648:T649" si="184">R648/K648-1</f>
        <v>0.15832516809597896</v>
      </c>
    </row>
    <row r="649" spans="2:21" x14ac:dyDescent="0.2">
      <c r="B649" s="64">
        <f>MAX(B$645:B648)+1</f>
        <v>329</v>
      </c>
      <c r="C649" s="33"/>
      <c r="D649" s="336" t="s">
        <v>223</v>
      </c>
      <c r="E649" s="64"/>
      <c r="F649" s="360" t="s">
        <v>81</v>
      </c>
      <c r="G649" s="64"/>
      <c r="H649" s="122">
        <v>248379.71</v>
      </c>
      <c r="I649" s="341"/>
      <c r="J649" s="122">
        <f>$H649*K649/100</f>
        <v>45894.112535539993</v>
      </c>
      <c r="K649" s="147">
        <v>18.477399999999999</v>
      </c>
      <c r="L649" s="239"/>
      <c r="M649" s="122">
        <f t="shared" si="182"/>
        <v>-8341.0455025137999</v>
      </c>
      <c r="N649" s="238"/>
      <c r="O649" s="122">
        <v>54235.158038053793</v>
      </c>
      <c r="P649" s="122">
        <f t="shared" si="183"/>
        <v>-444.86137285409495</v>
      </c>
      <c r="Q649" s="122">
        <f>$H649*R649/100</f>
        <v>53790.296665199698</v>
      </c>
      <c r="R649" s="147">
        <v>21.656477763501574</v>
      </c>
      <c r="S649" s="124"/>
      <c r="T649" s="178">
        <f t="shared" si="184"/>
        <v>0.17205222398722619</v>
      </c>
    </row>
    <row r="650" spans="2:21" x14ac:dyDescent="0.2">
      <c r="B650" s="64"/>
      <c r="C650" s="33"/>
      <c r="D650" s="27" t="s">
        <v>108</v>
      </c>
      <c r="E650" s="64"/>
      <c r="F650" s="16"/>
      <c r="G650" s="64"/>
      <c r="H650" s="122"/>
      <c r="I650" s="341"/>
      <c r="J650" s="122"/>
      <c r="K650" s="147"/>
      <c r="L650" s="239"/>
      <c r="M650" s="122"/>
      <c r="N650" s="238"/>
      <c r="O650" s="122"/>
      <c r="P650" s="122"/>
      <c r="Q650" s="122"/>
      <c r="R650" s="147"/>
      <c r="S650" s="124"/>
      <c r="T650" s="133"/>
    </row>
    <row r="651" spans="2:21" x14ac:dyDescent="0.2">
      <c r="B651" s="64">
        <f>MAX(B$645:B650)+1</f>
        <v>330</v>
      </c>
      <c r="C651" s="33"/>
      <c r="D651" s="335" t="s">
        <v>207</v>
      </c>
      <c r="E651" s="64"/>
      <c r="F651" s="192" t="s">
        <v>56</v>
      </c>
      <c r="G651" s="64"/>
      <c r="H651" s="122">
        <v>4963881.1019000001</v>
      </c>
      <c r="I651" s="341"/>
      <c r="J651" s="122">
        <f>$H651*K651/100</f>
        <v>1518.9476171813999</v>
      </c>
      <c r="K651" s="147">
        <v>3.0599999999999999E-2</v>
      </c>
      <c r="L651" s="239"/>
      <c r="M651" s="122">
        <f>J651-O651</f>
        <v>1518.9476171813999</v>
      </c>
      <c r="N651" s="238"/>
      <c r="O651" s="122">
        <v>0</v>
      </c>
      <c r="P651" s="122">
        <f t="shared" ref="P651:P652" si="185">Q651-O651</f>
        <v>0</v>
      </c>
      <c r="Q651" s="122">
        <f>$H651*R651/100</f>
        <v>0</v>
      </c>
      <c r="R651" s="147">
        <v>0</v>
      </c>
      <c r="S651" s="124"/>
      <c r="T651" s="178">
        <f t="shared" ref="T651:T652" si="186">R651/K651-1</f>
        <v>-1</v>
      </c>
    </row>
    <row r="652" spans="2:21" ht="25.5" x14ac:dyDescent="0.2">
      <c r="B652" s="64">
        <f>MAX(B$645:B651)+1</f>
        <v>331</v>
      </c>
      <c r="C652" s="33"/>
      <c r="D652" s="335" t="s">
        <v>536</v>
      </c>
      <c r="E652" s="64"/>
      <c r="F652" s="192" t="s">
        <v>56</v>
      </c>
      <c r="G652" s="64"/>
      <c r="H652" s="122">
        <v>41762.222750000008</v>
      </c>
      <c r="I652" s="341"/>
      <c r="J652" s="122">
        <f>$H652*K652/100</f>
        <v>1134.9716873528298</v>
      </c>
      <c r="K652" s="147">
        <v>2.7176994245423147</v>
      </c>
      <c r="L652" s="239"/>
      <c r="M652" s="122">
        <f>J652-O652</f>
        <v>551.77605796709656</v>
      </c>
      <c r="N652" s="238"/>
      <c r="O652" s="122">
        <v>583.19562938573324</v>
      </c>
      <c r="P652" s="122">
        <f t="shared" si="185"/>
        <v>-2.9289268055466664</v>
      </c>
      <c r="Q652" s="122">
        <f>$H652*R652/100</f>
        <v>580.26670258018657</v>
      </c>
      <c r="R652" s="147">
        <v>1.3894535883633887</v>
      </c>
      <c r="S652" s="124"/>
      <c r="T652" s="178">
        <f t="shared" si="186"/>
        <v>-0.48873905045721333</v>
      </c>
    </row>
    <row r="653" spans="2:21" x14ac:dyDescent="0.2">
      <c r="B653" s="64"/>
      <c r="C653" s="33"/>
      <c r="D653" s="26"/>
      <c r="E653" s="64"/>
      <c r="F653" s="16"/>
      <c r="G653" s="64"/>
      <c r="H653" s="122"/>
      <c r="I653" s="341"/>
      <c r="J653" s="122"/>
      <c r="K653" s="147"/>
      <c r="L653" s="239"/>
      <c r="M653" s="122"/>
      <c r="N653" s="238"/>
      <c r="O653" s="122"/>
      <c r="P653" s="122"/>
      <c r="Q653" s="122"/>
      <c r="R653" s="147"/>
      <c r="S653" s="124"/>
      <c r="T653" s="133"/>
    </row>
    <row r="654" spans="2:21" x14ac:dyDescent="0.2">
      <c r="B654" s="64">
        <f>MAX(B$645:B653)+1</f>
        <v>332</v>
      </c>
      <c r="C654" s="33"/>
      <c r="D654" s="27" t="s">
        <v>208</v>
      </c>
      <c r="E654" s="64"/>
      <c r="F654" s="192" t="s">
        <v>56</v>
      </c>
      <c r="G654" s="64"/>
      <c r="H654" s="122">
        <v>24455.350999999999</v>
      </c>
      <c r="I654" s="341"/>
      <c r="J654" s="122">
        <f>$H654*K654/100</f>
        <v>7.4833374059999995</v>
      </c>
      <c r="K654" s="147">
        <v>3.0599999999999999E-2</v>
      </c>
      <c r="L654" s="239"/>
      <c r="M654" s="122">
        <f t="shared" ref="M654:M655" si="187">J654-O654</f>
        <v>7.4833374059999995</v>
      </c>
      <c r="N654" s="238"/>
      <c r="O654" s="122">
        <v>0</v>
      </c>
      <c r="P654" s="122">
        <f t="shared" ref="P654:P655" si="188">Q654-O654</f>
        <v>0</v>
      </c>
      <c r="Q654" s="122">
        <f>$H654*R654/100</f>
        <v>0</v>
      </c>
      <c r="R654" s="147">
        <v>0</v>
      </c>
      <c r="S654" s="124"/>
      <c r="T654" s="178">
        <f t="shared" ref="T654:T655" si="189">R654/K654-1</f>
        <v>-1</v>
      </c>
    </row>
    <row r="655" spans="2:21" x14ac:dyDescent="0.2">
      <c r="B655" s="64">
        <f>MAX(B$645:B654)+1</f>
        <v>333</v>
      </c>
      <c r="C655" s="33"/>
      <c r="D655" s="27" t="s">
        <v>535</v>
      </c>
      <c r="E655" s="64"/>
      <c r="F655" s="192" t="s">
        <v>56</v>
      </c>
      <c r="G655" s="64"/>
      <c r="H655" s="122">
        <v>176.95000000000073</v>
      </c>
      <c r="I655" s="341"/>
      <c r="J655" s="122">
        <f>$H655*K655/100</f>
        <v>5.7328260999999996</v>
      </c>
      <c r="K655" s="147">
        <v>3.2397999999999865</v>
      </c>
      <c r="L655" s="239"/>
      <c r="M655" s="122">
        <f t="shared" si="187"/>
        <v>5.7328260999999996</v>
      </c>
      <c r="N655" s="238"/>
      <c r="O655" s="122">
        <v>0</v>
      </c>
      <c r="P655" s="122">
        <f t="shared" si="188"/>
        <v>2.9288159883754346</v>
      </c>
      <c r="Q655" s="122">
        <f>$H655*R655/100</f>
        <v>2.9288159883754346</v>
      </c>
      <c r="R655" s="147">
        <v>1.6551658594944461</v>
      </c>
      <c r="S655" s="124"/>
      <c r="T655" s="178">
        <f t="shared" si="189"/>
        <v>-0.48911480353896752</v>
      </c>
    </row>
    <row r="656" spans="2:21" x14ac:dyDescent="0.2">
      <c r="B656" s="64"/>
      <c r="C656" s="33"/>
      <c r="D656" s="26"/>
      <c r="E656" s="64"/>
      <c r="F656" s="16"/>
      <c r="G656" s="64"/>
      <c r="H656" s="122"/>
      <c r="I656" s="341"/>
      <c r="J656" s="122"/>
      <c r="K656" s="147"/>
      <c r="L656" s="239"/>
      <c r="M656" s="122"/>
      <c r="N656" s="238"/>
      <c r="O656" s="122"/>
      <c r="P656" s="122"/>
      <c r="Q656" s="122"/>
      <c r="R656" s="147"/>
      <c r="S656" s="124"/>
      <c r="T656" s="133"/>
    </row>
    <row r="657" spans="2:20" x14ac:dyDescent="0.2">
      <c r="B657" s="64">
        <f>MAX(B$645:B656)+1</f>
        <v>334</v>
      </c>
      <c r="C657" s="33"/>
      <c r="D657" s="27" t="s">
        <v>209</v>
      </c>
      <c r="E657" s="64"/>
      <c r="F657" s="360"/>
      <c r="G657" s="64"/>
      <c r="H657" s="122"/>
      <c r="I657" s="341"/>
      <c r="J657" s="122">
        <v>3215.4555231599979</v>
      </c>
      <c r="K657" s="332">
        <v>3.0899999999999999E-3</v>
      </c>
      <c r="L657" s="239"/>
      <c r="M657" s="122">
        <f>J657-O657</f>
        <v>-5120.1148555897935</v>
      </c>
      <c r="N657" s="238"/>
      <c r="O657" s="122">
        <f>Q657</f>
        <v>8335.5703787497914</v>
      </c>
      <c r="P657" s="122">
        <f>Q657-O657</f>
        <v>0</v>
      </c>
      <c r="Q657" s="122">
        <v>8335.5703787497914</v>
      </c>
      <c r="R657" s="332">
        <v>8.0300000000000007E-3</v>
      </c>
      <c r="S657" s="124">
        <f>Q657/O657</f>
        <v>1</v>
      </c>
      <c r="T657" s="178">
        <f>R657/K657-1</f>
        <v>1.5987055016181233</v>
      </c>
    </row>
    <row r="658" spans="2:20" x14ac:dyDescent="0.2">
      <c r="B658" s="64"/>
      <c r="C658" s="33"/>
      <c r="D658" s="26"/>
      <c r="E658" s="64"/>
      <c r="F658" s="16"/>
      <c r="G658" s="64"/>
      <c r="H658" s="122"/>
      <c r="I658" s="341"/>
      <c r="J658" s="122"/>
      <c r="K658" s="147"/>
      <c r="L658" s="239"/>
      <c r="M658" s="122"/>
      <c r="N658" s="238"/>
      <c r="O658" s="122"/>
      <c r="P658" s="122"/>
      <c r="Q658" s="122"/>
      <c r="R658" s="147"/>
      <c r="S658" s="124"/>
      <c r="T658" s="178"/>
    </row>
    <row r="659" spans="2:20" x14ac:dyDescent="0.2">
      <c r="B659" s="64">
        <f>MAX(B$645:B658)+1</f>
        <v>335</v>
      </c>
      <c r="C659" s="33"/>
      <c r="D659" s="26" t="s">
        <v>220</v>
      </c>
      <c r="E659" s="64"/>
      <c r="F659" s="16"/>
      <c r="G659" s="64"/>
      <c r="H659" s="146">
        <f>SUM(H651:H652)</f>
        <v>5005643.3246499998</v>
      </c>
      <c r="I659" s="341"/>
      <c r="J659" s="146">
        <f>SUM(J645:J657)</f>
        <v>75192.433901424229</v>
      </c>
      <c r="K659" s="139">
        <f>J659/$H659*100</f>
        <v>1.5021532503353456</v>
      </c>
      <c r="L659" s="239"/>
      <c r="M659" s="146">
        <f>SUM(M645:M657)</f>
        <v>-16644.232367971945</v>
      </c>
      <c r="N659" s="238"/>
      <c r="O659" s="146">
        <f>SUM(O645:O657)</f>
        <v>91836.666269396184</v>
      </c>
      <c r="P659" s="146">
        <f>SUM(P645:P657)</f>
        <v>-4449.967089865655</v>
      </c>
      <c r="Q659" s="146">
        <f>SUM(Q645:Q657)</f>
        <v>87386.699179530537</v>
      </c>
      <c r="R659" s="139">
        <f>Q659/$H659*100</f>
        <v>1.7457636014375979</v>
      </c>
      <c r="S659" s="342">
        <f>Q659/O659</f>
        <v>0.95154476669686605</v>
      </c>
      <c r="T659" s="177">
        <f>R659/K659-1</f>
        <v>0.16217409977834674</v>
      </c>
    </row>
    <row r="660" spans="2:20" x14ac:dyDescent="0.2">
      <c r="E660" s="64"/>
      <c r="F660" s="16"/>
      <c r="G660" s="64"/>
      <c r="H660" s="122"/>
      <c r="I660" s="341"/>
      <c r="J660" s="122"/>
      <c r="K660" s="147"/>
      <c r="L660" s="239"/>
      <c r="M660" s="122"/>
      <c r="N660" s="238"/>
      <c r="O660" s="122"/>
      <c r="P660" s="122"/>
      <c r="Q660" s="122"/>
      <c r="R660" s="147"/>
      <c r="S660" s="124"/>
      <c r="T660" s="178"/>
    </row>
    <row r="661" spans="2:20" x14ac:dyDescent="0.2">
      <c r="D661" s="356" t="s">
        <v>1058</v>
      </c>
      <c r="E661" s="64"/>
      <c r="F661" s="16"/>
      <c r="G661" s="64"/>
      <c r="H661" s="122"/>
      <c r="I661" s="341"/>
      <c r="J661" s="122"/>
      <c r="K661" s="147"/>
      <c r="L661" s="239"/>
      <c r="M661" s="122"/>
      <c r="N661" s="238"/>
      <c r="O661" s="122"/>
      <c r="P661" s="122"/>
      <c r="Q661" s="122"/>
      <c r="R661" s="147"/>
      <c r="S661" s="124"/>
      <c r="T661" s="178"/>
    </row>
    <row r="662" spans="2:20" x14ac:dyDescent="0.2">
      <c r="D662" s="359" t="s">
        <v>211</v>
      </c>
      <c r="E662" s="64"/>
      <c r="F662" s="16"/>
      <c r="G662" s="64"/>
      <c r="H662" s="122"/>
      <c r="I662" s="341"/>
      <c r="J662" s="122"/>
      <c r="K662" s="147"/>
      <c r="L662" s="239"/>
      <c r="M662" s="122"/>
      <c r="N662" s="238"/>
      <c r="O662" s="122"/>
      <c r="P662" s="122"/>
      <c r="Q662" s="122"/>
      <c r="R662" s="147"/>
      <c r="S662" s="124"/>
      <c r="T662" s="178"/>
    </row>
    <row r="663" spans="2:20" x14ac:dyDescent="0.2">
      <c r="B663" s="64">
        <f>MAX(B$645:B662)+1</f>
        <v>336</v>
      </c>
      <c r="D663" s="336" t="s">
        <v>212</v>
      </c>
      <c r="E663" s="64"/>
      <c r="F663" s="16" t="s">
        <v>221</v>
      </c>
      <c r="G663" s="64"/>
      <c r="H663" s="122">
        <v>113600526</v>
      </c>
      <c r="I663" s="341"/>
      <c r="J663" s="122">
        <f>$H663*K663/1000</f>
        <v>1363.206312</v>
      </c>
      <c r="K663" s="158">
        <v>1.2E-2</v>
      </c>
      <c r="L663" s="239"/>
      <c r="M663" s="122">
        <f>J663-O663</f>
        <v>-485.2712754599138</v>
      </c>
      <c r="N663" s="238"/>
      <c r="O663" s="122">
        <v>1848.4775874599138</v>
      </c>
      <c r="P663" s="122">
        <f>Q663-O663</f>
        <v>12.475569063724834</v>
      </c>
      <c r="Q663" s="122">
        <f>$H663*R663/1000</f>
        <v>1860.9531565236387</v>
      </c>
      <c r="R663" s="158">
        <v>1.638155404776593E-2</v>
      </c>
      <c r="S663" s="124"/>
      <c r="T663" s="178">
        <f t="shared" ref="T663" si="190">R663/K663-1</f>
        <v>0.36512950398049404</v>
      </c>
    </row>
    <row r="664" spans="2:20" x14ac:dyDescent="0.2">
      <c r="D664" s="359" t="s">
        <v>213</v>
      </c>
      <c r="E664" s="64"/>
      <c r="F664" s="16"/>
      <c r="G664" s="64"/>
      <c r="H664" s="122"/>
      <c r="I664" s="341"/>
      <c r="J664" s="122"/>
      <c r="K664" s="147"/>
      <c r="L664" s="239"/>
      <c r="M664" s="122"/>
      <c r="N664" s="238"/>
      <c r="O664" s="122"/>
      <c r="P664" s="122"/>
      <c r="Q664" s="122"/>
      <c r="R664" s="147"/>
      <c r="S664" s="124"/>
      <c r="T664" s="178"/>
    </row>
    <row r="665" spans="2:20" x14ac:dyDescent="0.2">
      <c r="B665" s="64">
        <f>MAX(B$645:B664)+1</f>
        <v>337</v>
      </c>
      <c r="D665" s="336" t="s">
        <v>214</v>
      </c>
      <c r="E665" s="64"/>
      <c r="F665" s="16" t="s">
        <v>221</v>
      </c>
      <c r="G665" s="64"/>
      <c r="H665" s="122">
        <v>2398062</v>
      </c>
      <c r="I665" s="341"/>
      <c r="J665" s="122">
        <f>$H665*K665/1000</f>
        <v>4503.5604359999998</v>
      </c>
      <c r="K665" s="158">
        <v>1.8779999999999999</v>
      </c>
      <c r="L665" s="239"/>
      <c r="M665" s="122">
        <f t="shared" ref="M665:M668" si="191">J665-O665</f>
        <v>436.33756402465497</v>
      </c>
      <c r="N665" s="238"/>
      <c r="O665" s="122">
        <v>4067.2228719753448</v>
      </c>
      <c r="P665" s="122">
        <f t="shared" ref="P665:P668" si="192">Q665-O665</f>
        <v>1850.6209504897461</v>
      </c>
      <c r="Q665" s="122">
        <f>$H665*R665/1000</f>
        <v>5917.8438224650909</v>
      </c>
      <c r="R665" s="158">
        <v>2.4677609763488562</v>
      </c>
      <c r="S665" s="124"/>
      <c r="T665" s="178">
        <f t="shared" ref="T665:T668" si="193">R665/K665-1</f>
        <v>0.31403672862026433</v>
      </c>
    </row>
    <row r="666" spans="2:20" x14ac:dyDescent="0.2">
      <c r="B666" s="64">
        <f>MAX(B$645:B665)+1</f>
        <v>338</v>
      </c>
      <c r="D666" s="335" t="s">
        <v>215</v>
      </c>
      <c r="E666" s="64"/>
      <c r="F666" s="16" t="s">
        <v>221</v>
      </c>
      <c r="G666" s="64"/>
      <c r="H666" s="122">
        <v>900000</v>
      </c>
      <c r="I666" s="341"/>
      <c r="J666" s="122">
        <f>$H666*K666/1000</f>
        <v>1325.7</v>
      </c>
      <c r="K666" s="158">
        <v>1.4730000000000001</v>
      </c>
      <c r="L666" s="239"/>
      <c r="M666" s="122">
        <f t="shared" si="191"/>
        <v>51.34304226958352</v>
      </c>
      <c r="N666" s="238"/>
      <c r="O666" s="122">
        <v>1274.3569577304165</v>
      </c>
      <c r="P666" s="122">
        <f t="shared" si="192"/>
        <v>721.67042286909214</v>
      </c>
      <c r="Q666" s="122">
        <f>$H666*R666/1000</f>
        <v>1996.0273805995087</v>
      </c>
      <c r="R666" s="158">
        <v>2.2178082006661208</v>
      </c>
      <c r="S666" s="124"/>
      <c r="T666" s="178">
        <f t="shared" si="193"/>
        <v>0.50564032631780087</v>
      </c>
    </row>
    <row r="667" spans="2:20" x14ac:dyDescent="0.2">
      <c r="B667" s="64">
        <f>MAX(B$645:B666)+1</f>
        <v>339</v>
      </c>
      <c r="D667" s="336" t="s">
        <v>216</v>
      </c>
      <c r="E667" s="64"/>
      <c r="F667" s="16" t="s">
        <v>221</v>
      </c>
      <c r="G667" s="64"/>
      <c r="H667" s="122">
        <v>12000</v>
      </c>
      <c r="I667" s="341"/>
      <c r="J667" s="122">
        <f>$H667*K667/1000</f>
        <v>17.675999999999998</v>
      </c>
      <c r="K667" s="158">
        <v>1.4730000000000001</v>
      </c>
      <c r="L667" s="239"/>
      <c r="M667" s="122">
        <f t="shared" si="191"/>
        <v>0.68457389692778037</v>
      </c>
      <c r="N667" s="238"/>
      <c r="O667" s="122">
        <v>16.991426103072218</v>
      </c>
      <c r="P667" s="122">
        <f t="shared" si="192"/>
        <v>9.6222723049212284</v>
      </c>
      <c r="Q667" s="122">
        <f>$H667*R667/1000</f>
        <v>26.613698407993446</v>
      </c>
      <c r="R667" s="158">
        <v>2.2178082006661208</v>
      </c>
      <c r="S667" s="124"/>
      <c r="T667" s="178">
        <f t="shared" si="193"/>
        <v>0.50564032631780087</v>
      </c>
    </row>
    <row r="668" spans="2:20" x14ac:dyDescent="0.2">
      <c r="B668" s="64">
        <f>MAX(B$645:B667)+1</f>
        <v>340</v>
      </c>
      <c r="D668" s="336" t="s">
        <v>217</v>
      </c>
      <c r="E668" s="64"/>
      <c r="F668" s="16" t="s">
        <v>221</v>
      </c>
      <c r="G668" s="64"/>
      <c r="H668" s="122">
        <v>180000</v>
      </c>
      <c r="I668" s="341"/>
      <c r="J668" s="122">
        <f>$H668*K668/1000</f>
        <v>265.14</v>
      </c>
      <c r="K668" s="158">
        <v>1.4730000000000001</v>
      </c>
      <c r="L668" s="239"/>
      <c r="M668" s="122">
        <f t="shared" si="191"/>
        <v>10.268608453916727</v>
      </c>
      <c r="N668" s="238"/>
      <c r="O668" s="122">
        <v>254.87139154608326</v>
      </c>
      <c r="P668" s="122">
        <f t="shared" si="192"/>
        <v>144.33408457381847</v>
      </c>
      <c r="Q668" s="122">
        <f>$H668*R668/1000</f>
        <v>399.20547611990173</v>
      </c>
      <c r="R668" s="158">
        <v>2.2178082006661208</v>
      </c>
      <c r="S668" s="124"/>
      <c r="T668" s="178">
        <f t="shared" si="193"/>
        <v>0.50564032631780087</v>
      </c>
    </row>
    <row r="669" spans="2:20" x14ac:dyDescent="0.2">
      <c r="D669" s="359" t="s">
        <v>218</v>
      </c>
      <c r="E669" s="64"/>
      <c r="F669" s="16"/>
      <c r="G669" s="64"/>
      <c r="H669" s="122"/>
      <c r="I669" s="341"/>
      <c r="J669" s="122"/>
      <c r="K669" s="147"/>
      <c r="L669" s="239"/>
      <c r="M669" s="122"/>
      <c r="N669" s="238"/>
      <c r="O669" s="122"/>
      <c r="P669" s="122"/>
      <c r="Q669" s="122"/>
      <c r="R669" s="147"/>
      <c r="S669" s="124"/>
      <c r="T669" s="178"/>
    </row>
    <row r="670" spans="2:20" x14ac:dyDescent="0.2">
      <c r="B670" s="64">
        <f>MAX(B$645:B669)+1</f>
        <v>341</v>
      </c>
      <c r="D670" s="336" t="s">
        <v>1052</v>
      </c>
      <c r="E670" s="64"/>
      <c r="F670" s="16" t="s">
        <v>104</v>
      </c>
      <c r="G670" s="64"/>
      <c r="H670" s="122">
        <v>31198326.559999999</v>
      </c>
      <c r="I670" s="341"/>
      <c r="J670" s="122">
        <f>$H670*K670/1000</f>
        <v>374.37991872000003</v>
      </c>
      <c r="K670" s="158">
        <v>1.2E-2</v>
      </c>
      <c r="L670" s="239"/>
      <c r="M670" s="122">
        <f>J670-O670</f>
        <v>374.37991872000003</v>
      </c>
      <c r="N670" s="238"/>
      <c r="O670" s="122">
        <v>0</v>
      </c>
      <c r="P670" s="122">
        <f>Q670-O670</f>
        <v>0</v>
      </c>
      <c r="Q670" s="122">
        <f>$H670*R670/1000</f>
        <v>0</v>
      </c>
      <c r="R670" s="158">
        <v>0</v>
      </c>
      <c r="S670" s="124"/>
      <c r="T670" s="178">
        <f t="shared" ref="T670" si="194">R670/K670-1</f>
        <v>-1</v>
      </c>
    </row>
    <row r="671" spans="2:20" x14ac:dyDescent="0.2">
      <c r="D671" s="356"/>
      <c r="E671" s="64"/>
      <c r="F671" s="16"/>
      <c r="G671" s="64"/>
      <c r="H671" s="122"/>
      <c r="I671" s="341"/>
      <c r="J671" s="122"/>
      <c r="K671" s="147"/>
      <c r="L671" s="239"/>
      <c r="M671" s="122"/>
      <c r="N671" s="238"/>
      <c r="O671" s="122"/>
      <c r="P671" s="122"/>
      <c r="Q671" s="122"/>
      <c r="R671" s="147"/>
      <c r="S671" s="124"/>
      <c r="T671" s="178"/>
    </row>
    <row r="672" spans="2:20" x14ac:dyDescent="0.2">
      <c r="B672" s="64">
        <f>MAX(B$645:B671)+1</f>
        <v>342</v>
      </c>
      <c r="C672" s="33"/>
      <c r="D672" s="27" t="s">
        <v>237</v>
      </c>
      <c r="E672" s="64"/>
      <c r="F672" s="192"/>
      <c r="G672" s="64"/>
      <c r="H672" s="122"/>
      <c r="I672" s="341"/>
      <c r="J672" s="122">
        <v>737.06227340000055</v>
      </c>
      <c r="K672" s="332">
        <v>4.45E-3</v>
      </c>
      <c r="L672" s="239"/>
      <c r="M672" s="122">
        <f>J672-O672</f>
        <v>-644.0097856201005</v>
      </c>
      <c r="N672" s="238"/>
      <c r="O672" s="122">
        <f>Q672</f>
        <v>1381.0720590201011</v>
      </c>
      <c r="P672" s="122">
        <f>Q672-O672</f>
        <v>0</v>
      </c>
      <c r="Q672" s="122">
        <v>1381.0720590201011</v>
      </c>
      <c r="R672" s="332">
        <v>8.3400000000000002E-3</v>
      </c>
      <c r="S672" s="124">
        <f>Q672/O672</f>
        <v>1</v>
      </c>
      <c r="T672" s="178">
        <f>R672/K672-1</f>
        <v>0.87415730337078656</v>
      </c>
    </row>
    <row r="673" spans="2:21" x14ac:dyDescent="0.2">
      <c r="H673" s="148"/>
      <c r="I673" s="148"/>
      <c r="J673" s="148"/>
      <c r="K673" s="148"/>
      <c r="L673" s="148"/>
      <c r="M673" s="148"/>
      <c r="N673" s="148"/>
      <c r="O673" s="148"/>
      <c r="P673" s="148"/>
      <c r="Q673" s="148"/>
      <c r="R673" s="148"/>
      <c r="S673" s="148"/>
      <c r="T673" s="180"/>
    </row>
    <row r="674" spans="2:21" x14ac:dyDescent="0.2">
      <c r="B674" s="64">
        <f>MAX(B$645:B673)+1</f>
        <v>343</v>
      </c>
      <c r="C674" s="33"/>
      <c r="D674" s="26" t="s">
        <v>219</v>
      </c>
      <c r="E674" s="64"/>
      <c r="F674" s="16"/>
      <c r="G674" s="64"/>
      <c r="H674" s="146">
        <f>H659</f>
        <v>5005643.3246499998</v>
      </c>
      <c r="I674" s="341"/>
      <c r="J674" s="146">
        <f>SUM(J663:J672)</f>
        <v>8586.7249401200006</v>
      </c>
      <c r="K674" s="139">
        <f>J674/$H674*100</f>
        <v>0.17154088661961137</v>
      </c>
      <c r="L674" s="239"/>
      <c r="M674" s="146">
        <f>SUM(M663:M672)</f>
        <v>-256.26735371493129</v>
      </c>
      <c r="N674" s="238"/>
      <c r="O674" s="146">
        <f>SUM(O663:O672)</f>
        <v>8842.9922938349318</v>
      </c>
      <c r="P674" s="146">
        <f>SUM(P663:P672)</f>
        <v>2738.7232993013031</v>
      </c>
      <c r="Q674" s="146">
        <f>SUM(Q663:Q672)</f>
        <v>11581.715593136234</v>
      </c>
      <c r="R674" s="139">
        <f>Q674/$H674*100</f>
        <v>0.23137316908103997</v>
      </c>
      <c r="S674" s="342">
        <f>Q674/O674</f>
        <v>1.3097054942828183</v>
      </c>
      <c r="T674" s="177">
        <f>R674/K674-1</f>
        <v>0.34879312821849617</v>
      </c>
    </row>
    <row r="675" spans="2:21" x14ac:dyDescent="0.2">
      <c r="B675" s="64"/>
      <c r="C675" s="33"/>
      <c r="D675" s="26"/>
      <c r="E675" s="64"/>
      <c r="F675" s="16"/>
      <c r="G675" s="64"/>
      <c r="H675" s="122"/>
      <c r="I675" s="341"/>
      <c r="J675" s="122"/>
      <c r="K675" s="147"/>
      <c r="L675" s="239"/>
      <c r="M675" s="122"/>
      <c r="N675" s="238"/>
      <c r="O675" s="122"/>
      <c r="P675" s="122"/>
      <c r="Q675" s="122"/>
      <c r="R675" s="147"/>
      <c r="S675" s="124"/>
      <c r="T675" s="178"/>
    </row>
    <row r="676" spans="2:21" ht="13.5" thickBot="1" x14ac:dyDescent="0.25">
      <c r="B676" s="64">
        <f>MAX(B$645:B675)+1</f>
        <v>344</v>
      </c>
      <c r="C676" s="33"/>
      <c r="D676" s="26" t="s">
        <v>224</v>
      </c>
      <c r="E676" s="64"/>
      <c r="F676" s="16"/>
      <c r="G676" s="64"/>
      <c r="H676" s="159">
        <f>H659</f>
        <v>5005643.3246499998</v>
      </c>
      <c r="I676" s="341"/>
      <c r="J676" s="159">
        <f>J659+J674</f>
        <v>83779.158841544224</v>
      </c>
      <c r="K676" s="140">
        <f>J676/$H676*100</f>
        <v>1.6736941369549569</v>
      </c>
      <c r="L676" s="239"/>
      <c r="M676" s="159">
        <f>M659+M674</f>
        <v>-16900.499721686876</v>
      </c>
      <c r="N676" s="238"/>
      <c r="O676" s="159">
        <f>O659+O674</f>
        <v>100679.65856323112</v>
      </c>
      <c r="P676" s="159">
        <f>P659+P674</f>
        <v>-1711.2437905643519</v>
      </c>
      <c r="Q676" s="159">
        <f>Q659+Q674</f>
        <v>98968.414772666772</v>
      </c>
      <c r="R676" s="140">
        <f>Q676/$H676*100</f>
        <v>1.9771367705186376</v>
      </c>
      <c r="S676" s="345">
        <f>Q676/O676</f>
        <v>0.98300308309558271</v>
      </c>
      <c r="T676" s="179">
        <f>R676/K676-1</f>
        <v>0.18130112716756619</v>
      </c>
    </row>
    <row r="677" spans="2:21" ht="13.5" thickTop="1" x14ac:dyDescent="0.2">
      <c r="B677" s="60"/>
      <c r="C677" s="30"/>
      <c r="D677" s="29"/>
      <c r="E677" s="60"/>
      <c r="F677" s="192"/>
      <c r="G677" s="60"/>
      <c r="H677" s="346"/>
      <c r="I677" s="153"/>
      <c r="J677" s="346"/>
      <c r="K677" s="347"/>
      <c r="L677" s="346"/>
      <c r="M677" s="346"/>
      <c r="N677" s="348"/>
      <c r="O677" s="346"/>
      <c r="P677" s="346"/>
      <c r="Q677" s="346"/>
      <c r="R677" s="347"/>
      <c r="S677" s="172"/>
      <c r="T677" s="365"/>
    </row>
    <row r="678" spans="2:21" x14ac:dyDescent="0.2">
      <c r="B678" s="64"/>
      <c r="C678" s="33"/>
      <c r="D678" s="31" t="s">
        <v>28</v>
      </c>
      <c r="E678" s="64"/>
      <c r="F678" s="186"/>
      <c r="G678" s="64"/>
      <c r="H678" s="350"/>
      <c r="I678" s="341"/>
      <c r="J678" s="350"/>
      <c r="K678" s="341"/>
      <c r="L678" s="341"/>
      <c r="M678" s="144"/>
      <c r="N678" s="341"/>
      <c r="O678" s="145"/>
      <c r="P678" s="341"/>
      <c r="Q678" s="341"/>
      <c r="R678" s="341"/>
      <c r="S678" s="341"/>
      <c r="T678" s="357"/>
      <c r="U678" s="64"/>
    </row>
    <row r="679" spans="2:21" x14ac:dyDescent="0.2">
      <c r="B679" s="64">
        <f>MAX(B$645:B678)+1</f>
        <v>345</v>
      </c>
      <c r="D679" s="26" t="s">
        <v>85</v>
      </c>
      <c r="E679" s="64"/>
      <c r="F679" s="360" t="s">
        <v>55</v>
      </c>
      <c r="G679" s="64"/>
      <c r="H679" s="122">
        <v>12.000000000000004</v>
      </c>
      <c r="I679" s="341"/>
      <c r="J679" s="122">
        <f>$H679*K679/1000</f>
        <v>272.44476000000009</v>
      </c>
      <c r="K679" s="331">
        <v>22703.73</v>
      </c>
      <c r="L679" s="239"/>
      <c r="M679" s="122">
        <f>J679-O679</f>
        <v>-110.81907584159086</v>
      </c>
      <c r="N679" s="238"/>
      <c r="O679" s="122">
        <f>Q679</f>
        <v>383.26383584159095</v>
      </c>
      <c r="P679" s="122">
        <f>Q679-O679</f>
        <v>0</v>
      </c>
      <c r="Q679" s="122">
        <f>$H679*R679/1000</f>
        <v>383.26383584159095</v>
      </c>
      <c r="R679" s="331">
        <v>31938.652986799236</v>
      </c>
      <c r="S679" s="124">
        <f>Q679/O679</f>
        <v>1</v>
      </c>
      <c r="T679" s="178">
        <f>R679/K679-1</f>
        <v>0.40675796385876839</v>
      </c>
    </row>
    <row r="680" spans="2:21" ht="14.25" x14ac:dyDescent="0.2">
      <c r="D680" s="26" t="s">
        <v>204</v>
      </c>
      <c r="E680" s="64"/>
      <c r="F680" s="16"/>
      <c r="G680" s="64"/>
      <c r="H680" s="122"/>
      <c r="I680" s="341"/>
      <c r="J680" s="122"/>
      <c r="K680" s="147"/>
      <c r="L680" s="239"/>
      <c r="M680" s="122"/>
      <c r="N680" s="238"/>
      <c r="O680" s="122"/>
      <c r="P680" s="122"/>
      <c r="Q680" s="122"/>
      <c r="R680" s="147"/>
      <c r="S680" s="124"/>
      <c r="T680" s="133"/>
    </row>
    <row r="681" spans="2:21" x14ac:dyDescent="0.2">
      <c r="B681" s="64">
        <f>MAX(B$557:B680)+1</f>
        <v>346</v>
      </c>
      <c r="C681" s="33"/>
      <c r="D681" s="27" t="s">
        <v>105</v>
      </c>
      <c r="E681" s="64"/>
      <c r="F681" s="360" t="s">
        <v>81</v>
      </c>
      <c r="G681" s="64"/>
      <c r="H681" s="122">
        <v>28200</v>
      </c>
      <c r="I681" s="341"/>
      <c r="J681" s="122">
        <f>$H681*K681/100</f>
        <v>5841.1506000000008</v>
      </c>
      <c r="K681" s="147">
        <v>20.7133</v>
      </c>
      <c r="L681" s="239"/>
      <c r="M681" s="122">
        <f t="shared" ref="M681:M683" si="195">J681-O681</f>
        <v>-1455.9656076210777</v>
      </c>
      <c r="N681" s="238"/>
      <c r="O681" s="122">
        <v>7297.1162076210785</v>
      </c>
      <c r="P681" s="122">
        <f t="shared" ref="P681:P683" si="196">Q681-O681</f>
        <v>-169.72841904622419</v>
      </c>
      <c r="Q681" s="122">
        <f>$H681*R681/100</f>
        <v>7127.3877885748543</v>
      </c>
      <c r="R681" s="147">
        <v>25.274424782180333</v>
      </c>
      <c r="S681" s="124"/>
      <c r="T681" s="178">
        <f t="shared" ref="T681:T682" si="197">R681/K681-1</f>
        <v>0.2202027094755703</v>
      </c>
    </row>
    <row r="682" spans="2:21" x14ac:dyDescent="0.2">
      <c r="B682" s="64">
        <f>MAX(B$557:B681)+1</f>
        <v>347</v>
      </c>
      <c r="C682" s="33"/>
      <c r="D682" s="27" t="s">
        <v>1052</v>
      </c>
      <c r="E682" s="64"/>
      <c r="F682" s="192" t="s">
        <v>56</v>
      </c>
      <c r="G682" s="64"/>
      <c r="H682" s="122">
        <v>249200.14546999999</v>
      </c>
      <c r="I682" s="341"/>
      <c r="J682" s="122">
        <f>$H682*K682/100</f>
        <v>204.59331943087</v>
      </c>
      <c r="K682" s="147">
        <v>8.2100000000000006E-2</v>
      </c>
      <c r="L682" s="239"/>
      <c r="M682" s="122">
        <f t="shared" si="195"/>
        <v>204.59331943087</v>
      </c>
      <c r="N682" s="238"/>
      <c r="O682" s="122">
        <v>0</v>
      </c>
      <c r="P682" s="122">
        <f t="shared" si="196"/>
        <v>0</v>
      </c>
      <c r="Q682" s="122">
        <f>$H682*R682/100</f>
        <v>0</v>
      </c>
      <c r="R682" s="147">
        <v>0</v>
      </c>
      <c r="S682" s="124"/>
      <c r="T682" s="178">
        <f t="shared" si="197"/>
        <v>-1</v>
      </c>
    </row>
    <row r="683" spans="2:21" x14ac:dyDescent="0.2">
      <c r="B683" s="64">
        <f>MAX(B$557:B682)+1</f>
        <v>348</v>
      </c>
      <c r="C683" s="33"/>
      <c r="D683" s="27" t="s">
        <v>209</v>
      </c>
      <c r="E683" s="64"/>
      <c r="F683" s="360"/>
      <c r="G683" s="64"/>
      <c r="H683" s="122"/>
      <c r="I683" s="341"/>
      <c r="J683" s="122">
        <v>216.63544388</v>
      </c>
      <c r="K683" s="332">
        <v>4.1900000000000001E-3</v>
      </c>
      <c r="L683" s="239"/>
      <c r="M683" s="122">
        <f t="shared" si="195"/>
        <v>-198.34125666330388</v>
      </c>
      <c r="N683" s="238"/>
      <c r="O683" s="122">
        <f>Q683</f>
        <v>414.97670054330388</v>
      </c>
      <c r="P683" s="122">
        <f t="shared" si="196"/>
        <v>0</v>
      </c>
      <c r="Q683" s="122">
        <v>414.97670054330388</v>
      </c>
      <c r="R683" s="332">
        <v>8.0300000000000007E-3</v>
      </c>
      <c r="S683" s="124">
        <f>Q683/O683</f>
        <v>1</v>
      </c>
      <c r="T683" s="178">
        <f>R683/K683-1</f>
        <v>0.91646778042959443</v>
      </c>
    </row>
    <row r="684" spans="2:21" x14ac:dyDescent="0.2">
      <c r="B684" s="64">
        <f>MAX(B$557:B683)+1</f>
        <v>349</v>
      </c>
      <c r="C684" s="33"/>
      <c r="D684" s="26" t="s">
        <v>220</v>
      </c>
      <c r="E684" s="64"/>
      <c r="F684" s="16"/>
      <c r="G684" s="64"/>
      <c r="H684" s="146">
        <f>SUM(H682:H682)</f>
        <v>249200.14546999999</v>
      </c>
      <c r="I684" s="341"/>
      <c r="J684" s="146">
        <f>SUM(J679:J683)</f>
        <v>6534.8241233108711</v>
      </c>
      <c r="K684" s="139">
        <f>J684/$H684*100</f>
        <v>2.6223195459962394</v>
      </c>
      <c r="L684" s="239"/>
      <c r="M684" s="146">
        <f>SUM(M679:M683)</f>
        <v>-1560.5326206951024</v>
      </c>
      <c r="N684" s="238"/>
      <c r="O684" s="146">
        <f>SUM(O679:O683)</f>
        <v>8095.3567440059733</v>
      </c>
      <c r="P684" s="146">
        <f>SUM(P679:P683)</f>
        <v>-169.72841904622419</v>
      </c>
      <c r="Q684" s="146">
        <f>SUM(Q679:Q683)</f>
        <v>7925.6283249597491</v>
      </c>
      <c r="R684" s="139">
        <f>Q684/$H684*100</f>
        <v>3.1804268452619655</v>
      </c>
      <c r="S684" s="342">
        <f>Q684/O684</f>
        <v>0.97903385552812161</v>
      </c>
      <c r="T684" s="177">
        <f>R684/K684-1</f>
        <v>0.21282963020957735</v>
      </c>
    </row>
    <row r="685" spans="2:21" x14ac:dyDescent="0.2">
      <c r="E685" s="64"/>
      <c r="F685" s="16"/>
      <c r="G685" s="64"/>
      <c r="H685" s="122"/>
      <c r="I685" s="341"/>
      <c r="J685" s="122"/>
      <c r="K685" s="147"/>
      <c r="L685" s="239"/>
      <c r="M685" s="122"/>
      <c r="N685" s="238"/>
      <c r="O685" s="122"/>
      <c r="P685" s="122"/>
      <c r="Q685" s="122"/>
      <c r="R685" s="147"/>
      <c r="S685" s="124"/>
      <c r="T685" s="178"/>
    </row>
    <row r="686" spans="2:21" x14ac:dyDescent="0.2">
      <c r="D686" s="356" t="s">
        <v>1058</v>
      </c>
      <c r="E686" s="64"/>
      <c r="F686" s="16"/>
      <c r="G686" s="64"/>
      <c r="H686" s="122"/>
      <c r="I686" s="341"/>
      <c r="J686" s="122"/>
      <c r="K686" s="147"/>
      <c r="L686" s="239"/>
      <c r="M686" s="122"/>
      <c r="N686" s="238"/>
      <c r="O686" s="122"/>
      <c r="P686" s="122"/>
      <c r="Q686" s="122"/>
      <c r="R686" s="147"/>
      <c r="S686" s="124"/>
      <c r="T686" s="178"/>
    </row>
    <row r="687" spans="2:21" x14ac:dyDescent="0.2">
      <c r="D687" s="359" t="s">
        <v>211</v>
      </c>
      <c r="E687" s="64"/>
      <c r="F687" s="16"/>
      <c r="G687" s="64"/>
      <c r="H687" s="122"/>
      <c r="I687" s="341"/>
      <c r="J687" s="122"/>
      <c r="K687" s="147"/>
      <c r="L687" s="239"/>
      <c r="M687" s="122"/>
      <c r="N687" s="238"/>
      <c r="O687" s="122"/>
      <c r="P687" s="122"/>
      <c r="Q687" s="122"/>
      <c r="R687" s="147"/>
      <c r="S687" s="124"/>
      <c r="T687" s="178"/>
    </row>
    <row r="688" spans="2:21" x14ac:dyDescent="0.2">
      <c r="B688" s="64">
        <f>MAX(B$557:B687)+1</f>
        <v>350</v>
      </c>
      <c r="D688" s="336" t="s">
        <v>212</v>
      </c>
      <c r="E688" s="64"/>
      <c r="F688" s="16" t="s">
        <v>221</v>
      </c>
      <c r="G688" s="64"/>
      <c r="H688" s="122">
        <v>38472252</v>
      </c>
      <c r="I688" s="341"/>
      <c r="J688" s="122">
        <f>$H688*K688/1000</f>
        <v>461.66702400000003</v>
      </c>
      <c r="K688" s="158">
        <v>1.2E-2</v>
      </c>
      <c r="L688" s="239"/>
      <c r="M688" s="122">
        <f>J688-O688</f>
        <v>-168.56825147727085</v>
      </c>
      <c r="N688" s="238"/>
      <c r="O688" s="122">
        <v>630.23527547727087</v>
      </c>
      <c r="P688" s="122">
        <f>Q688-O688</f>
        <v>0</v>
      </c>
      <c r="Q688" s="122">
        <f>$H688*R688/1000</f>
        <v>630.23527547727087</v>
      </c>
      <c r="R688" s="158">
        <v>1.638155404776593E-2</v>
      </c>
      <c r="S688" s="124">
        <f>Q688/O688</f>
        <v>1</v>
      </c>
      <c r="T688" s="178">
        <f>R688/K688-1</f>
        <v>0.36512950398049404</v>
      </c>
    </row>
    <row r="689" spans="2:20" x14ac:dyDescent="0.2">
      <c r="D689" s="359" t="s">
        <v>213</v>
      </c>
      <c r="E689" s="64"/>
      <c r="F689" s="16"/>
      <c r="G689" s="64"/>
      <c r="H689" s="122"/>
      <c r="I689" s="341"/>
      <c r="J689" s="122"/>
      <c r="K689" s="147"/>
      <c r="L689" s="239"/>
      <c r="M689" s="122"/>
      <c r="N689" s="238"/>
      <c r="O689" s="122"/>
      <c r="P689" s="122"/>
      <c r="Q689" s="122"/>
      <c r="R689" s="147"/>
      <c r="S689" s="124"/>
      <c r="T689" s="178"/>
    </row>
    <row r="690" spans="2:20" x14ac:dyDescent="0.2">
      <c r="B690" s="64">
        <f>MAX(B$557:B689)+1</f>
        <v>351</v>
      </c>
      <c r="D690" s="336" t="s">
        <v>214</v>
      </c>
      <c r="E690" s="64"/>
      <c r="F690" s="16" t="s">
        <v>221</v>
      </c>
      <c r="G690" s="64"/>
      <c r="H690" s="122">
        <v>0</v>
      </c>
      <c r="I690" s="341"/>
      <c r="J690" s="122">
        <f>$H690*K690/1000</f>
        <v>0</v>
      </c>
      <c r="K690" s="158">
        <v>1.8779999999999999</v>
      </c>
      <c r="L690" s="239"/>
      <c r="M690" s="122">
        <f t="shared" ref="M690:M693" si="198">J690-O690</f>
        <v>0</v>
      </c>
      <c r="N690" s="238"/>
      <c r="O690" s="122">
        <v>0</v>
      </c>
      <c r="P690" s="122">
        <f t="shared" ref="P690:P693" si="199">Q690-O690</f>
        <v>0</v>
      </c>
      <c r="Q690" s="122">
        <f>$H690*R690/1000</f>
        <v>0</v>
      </c>
      <c r="R690" s="158">
        <v>2.4677609763488562</v>
      </c>
      <c r="S690" s="124"/>
      <c r="T690" s="178">
        <f t="shared" ref="T690:T693" si="200">R690/K690-1</f>
        <v>0.31403672862026433</v>
      </c>
    </row>
    <row r="691" spans="2:20" x14ac:dyDescent="0.2">
      <c r="B691" s="64">
        <f>MAX(B$557:B690)+1</f>
        <v>352</v>
      </c>
      <c r="D691" s="336" t="s">
        <v>215</v>
      </c>
      <c r="E691" s="64"/>
      <c r="F691" s="16" t="s">
        <v>221</v>
      </c>
      <c r="G691" s="64"/>
      <c r="H691" s="122">
        <v>649668</v>
      </c>
      <c r="I691" s="341"/>
      <c r="J691" s="122">
        <f>$H691*K691/1000</f>
        <v>956.96096399999999</v>
      </c>
      <c r="K691" s="158">
        <v>1.4730000000000001</v>
      </c>
      <c r="L691" s="239"/>
      <c r="M691" s="122">
        <f t="shared" si="198"/>
        <v>-483.87805411035686</v>
      </c>
      <c r="N691" s="238"/>
      <c r="O691" s="122">
        <v>1440.8390181103568</v>
      </c>
      <c r="P691" s="122">
        <f t="shared" si="199"/>
        <v>0</v>
      </c>
      <c r="Q691" s="122">
        <f>$H691*R691/1000</f>
        <v>1440.8390181103575</v>
      </c>
      <c r="R691" s="158">
        <v>2.2178082006661208</v>
      </c>
      <c r="S691" s="124"/>
      <c r="T691" s="178">
        <f t="shared" si="200"/>
        <v>0.50564032631780087</v>
      </c>
    </row>
    <row r="692" spans="2:20" x14ac:dyDescent="0.2">
      <c r="B692" s="64">
        <f>MAX(B$557:B691)+1</f>
        <v>353</v>
      </c>
      <c r="D692" s="336" t="s">
        <v>216</v>
      </c>
      <c r="E692" s="64"/>
      <c r="F692" s="16" t="s">
        <v>221</v>
      </c>
      <c r="G692" s="64"/>
      <c r="H692" s="122">
        <v>0</v>
      </c>
      <c r="I692" s="341"/>
      <c r="J692" s="122">
        <f>$H692*K692/1000</f>
        <v>0</v>
      </c>
      <c r="K692" s="158">
        <v>1.4730000000000001</v>
      </c>
      <c r="L692" s="239"/>
      <c r="M692" s="122">
        <f t="shared" si="198"/>
        <v>0</v>
      </c>
      <c r="N692" s="238"/>
      <c r="O692" s="122">
        <v>0</v>
      </c>
      <c r="P692" s="122">
        <f t="shared" si="199"/>
        <v>0</v>
      </c>
      <c r="Q692" s="122">
        <f>$H692*R692/1000</f>
        <v>0</v>
      </c>
      <c r="R692" s="158">
        <v>2.2178082006661208</v>
      </c>
      <c r="S692" s="124"/>
      <c r="T692" s="178">
        <f t="shared" si="200"/>
        <v>0.50564032631780087</v>
      </c>
    </row>
    <row r="693" spans="2:20" x14ac:dyDescent="0.2">
      <c r="B693" s="64">
        <f>MAX(B$557:B692)+1</f>
        <v>354</v>
      </c>
      <c r="D693" s="336" t="s">
        <v>217</v>
      </c>
      <c r="E693" s="64"/>
      <c r="F693" s="16" t="s">
        <v>221</v>
      </c>
      <c r="G693" s="64"/>
      <c r="H693" s="122">
        <v>0</v>
      </c>
      <c r="I693" s="341"/>
      <c r="J693" s="122">
        <f>$H693*K693/1000</f>
        <v>0</v>
      </c>
      <c r="K693" s="158">
        <v>1.4730000000000001</v>
      </c>
      <c r="L693" s="239"/>
      <c r="M693" s="122">
        <f t="shared" si="198"/>
        <v>0</v>
      </c>
      <c r="N693" s="238"/>
      <c r="O693" s="122">
        <v>0</v>
      </c>
      <c r="P693" s="122">
        <f t="shared" si="199"/>
        <v>0</v>
      </c>
      <c r="Q693" s="122">
        <f>$H693*R693/1000</f>
        <v>0</v>
      </c>
      <c r="R693" s="158">
        <v>2.2178082006661208</v>
      </c>
      <c r="S693" s="124"/>
      <c r="T693" s="178">
        <f t="shared" si="200"/>
        <v>0.50564032631780087</v>
      </c>
    </row>
    <row r="694" spans="2:20" x14ac:dyDescent="0.2">
      <c r="D694" s="359" t="s">
        <v>218</v>
      </c>
      <c r="E694" s="64"/>
      <c r="F694" s="16"/>
      <c r="G694" s="64"/>
      <c r="H694" s="122"/>
      <c r="I694" s="341"/>
      <c r="J694" s="122"/>
      <c r="K694" s="147"/>
      <c r="L694" s="239"/>
      <c r="M694" s="122"/>
      <c r="N694" s="238"/>
      <c r="O694" s="122"/>
      <c r="P694" s="122"/>
      <c r="Q694" s="122"/>
      <c r="R694" s="147"/>
      <c r="S694" s="124"/>
      <c r="T694" s="178"/>
    </row>
    <row r="695" spans="2:20" x14ac:dyDescent="0.2">
      <c r="B695" s="64">
        <f>MAX(B$557:B694)+1</f>
        <v>355</v>
      </c>
      <c r="D695" s="336" t="s">
        <v>1052</v>
      </c>
      <c r="E695" s="64"/>
      <c r="F695" s="16" t="s">
        <v>104</v>
      </c>
      <c r="G695" s="64"/>
      <c r="H695" s="122">
        <v>6433273.9199999999</v>
      </c>
      <c r="I695" s="341"/>
      <c r="J695" s="122">
        <f>$H695*K695/1000</f>
        <v>77.199287040000002</v>
      </c>
      <c r="K695" s="158">
        <v>1.2E-2</v>
      </c>
      <c r="L695" s="239"/>
      <c r="M695" s="122">
        <f>J695-O695</f>
        <v>77.199287040000002</v>
      </c>
      <c r="N695" s="238"/>
      <c r="O695" s="122">
        <v>0</v>
      </c>
      <c r="P695" s="122">
        <f>Q695-O695</f>
        <v>0</v>
      </c>
      <c r="Q695" s="122">
        <f>$H695*R695/1000</f>
        <v>0</v>
      </c>
      <c r="R695" s="158">
        <v>0</v>
      </c>
      <c r="S695" s="124"/>
      <c r="T695" s="178">
        <f t="shared" ref="T695" si="201">R695/K695-1</f>
        <v>-1</v>
      </c>
    </row>
    <row r="696" spans="2:20" x14ac:dyDescent="0.2">
      <c r="D696" s="356"/>
      <c r="E696" s="64"/>
      <c r="F696" s="16"/>
      <c r="G696" s="64"/>
      <c r="H696" s="122"/>
      <c r="I696" s="341"/>
      <c r="J696" s="122"/>
      <c r="K696" s="147"/>
      <c r="L696" s="239"/>
      <c r="M696" s="122"/>
      <c r="N696" s="238"/>
      <c r="O696" s="122"/>
      <c r="P696" s="122"/>
      <c r="Q696" s="122"/>
      <c r="R696" s="147"/>
      <c r="S696" s="124"/>
      <c r="T696" s="178"/>
    </row>
    <row r="697" spans="2:20" x14ac:dyDescent="0.2">
      <c r="B697" s="64">
        <f>MAX(B$557:B696)+1</f>
        <v>356</v>
      </c>
      <c r="C697" s="33"/>
      <c r="D697" s="27" t="s">
        <v>237</v>
      </c>
      <c r="E697" s="64"/>
      <c r="F697" s="192"/>
      <c r="G697" s="64"/>
      <c r="H697" s="122"/>
      <c r="I697" s="341"/>
      <c r="J697" s="122">
        <v>151.98647672000001</v>
      </c>
      <c r="K697" s="332">
        <v>4.45E-3</v>
      </c>
      <c r="L697" s="239"/>
      <c r="M697" s="122">
        <f>J697-O697</f>
        <v>-132.79850499520896</v>
      </c>
      <c r="N697" s="238"/>
      <c r="O697" s="122">
        <f>Q697</f>
        <v>284.78498171520897</v>
      </c>
      <c r="P697" s="122">
        <f>Q697-O697</f>
        <v>0</v>
      </c>
      <c r="Q697" s="122">
        <v>284.78498171520897</v>
      </c>
      <c r="R697" s="332">
        <v>8.3400000000000002E-3</v>
      </c>
      <c r="S697" s="124">
        <f>Q697/O697</f>
        <v>1</v>
      </c>
      <c r="T697" s="178">
        <f>R697/K697-1</f>
        <v>0.87415730337078656</v>
      </c>
    </row>
    <row r="698" spans="2:20" x14ac:dyDescent="0.2">
      <c r="H698" s="148"/>
      <c r="I698" s="148"/>
      <c r="J698" s="148"/>
      <c r="K698" s="148"/>
      <c r="L698" s="148"/>
      <c r="M698" s="148"/>
      <c r="N698" s="148"/>
      <c r="O698" s="148"/>
      <c r="P698" s="148"/>
      <c r="Q698" s="148"/>
      <c r="R698" s="148"/>
      <c r="S698" s="148"/>
      <c r="T698" s="180"/>
    </row>
    <row r="699" spans="2:20" x14ac:dyDescent="0.2">
      <c r="B699" s="64">
        <f>MAX(B$557:B698)+1</f>
        <v>357</v>
      </c>
      <c r="C699" s="33"/>
      <c r="D699" s="26" t="s">
        <v>219</v>
      </c>
      <c r="E699" s="64"/>
      <c r="F699" s="16"/>
      <c r="G699" s="64"/>
      <c r="H699" s="146">
        <f>H684</f>
        <v>249200.14546999999</v>
      </c>
      <c r="I699" s="341"/>
      <c r="J699" s="146">
        <f>SUM(J688:J697)</f>
        <v>1647.8137517599998</v>
      </c>
      <c r="K699" s="139">
        <f>J699/$H699*100</f>
        <v>0.66124108742078247</v>
      </c>
      <c r="L699" s="239"/>
      <c r="M699" s="146">
        <f>SUM(M688:M697)</f>
        <v>-708.04552354283669</v>
      </c>
      <c r="N699" s="238"/>
      <c r="O699" s="146">
        <f>SUM(O688:O697)</f>
        <v>2355.859275302837</v>
      </c>
      <c r="P699" s="146">
        <f>SUM(P688:P697)</f>
        <v>0</v>
      </c>
      <c r="Q699" s="146">
        <f>SUM(Q688:Q697)</f>
        <v>2355.8592753028374</v>
      </c>
      <c r="R699" s="139">
        <f>Q699/$H699*100</f>
        <v>0.94536833871409121</v>
      </c>
      <c r="S699" s="342">
        <f>Q699/O699</f>
        <v>1.0000000000000002</v>
      </c>
      <c r="T699" s="177">
        <f>R699/K699-1</f>
        <v>0.42968783503996577</v>
      </c>
    </row>
    <row r="700" spans="2:20" x14ac:dyDescent="0.2">
      <c r="B700" s="64"/>
      <c r="C700" s="33"/>
      <c r="D700" s="26"/>
      <c r="E700" s="64"/>
      <c r="F700" s="16"/>
      <c r="G700" s="64"/>
      <c r="H700" s="122"/>
      <c r="I700" s="341"/>
      <c r="J700" s="122"/>
      <c r="K700" s="147"/>
      <c r="L700" s="239"/>
      <c r="M700" s="122"/>
      <c r="N700" s="238"/>
      <c r="O700" s="122"/>
      <c r="P700" s="122"/>
      <c r="Q700" s="122"/>
      <c r="R700" s="147"/>
      <c r="S700" s="124"/>
      <c r="T700" s="178"/>
    </row>
    <row r="701" spans="2:20" ht="13.5" thickBot="1" x14ac:dyDescent="0.25">
      <c r="B701" s="64">
        <f>MAX(B$557:B700)+1</f>
        <v>358</v>
      </c>
      <c r="C701" s="33"/>
      <c r="D701" s="26" t="s">
        <v>225</v>
      </c>
      <c r="E701" s="64"/>
      <c r="F701" s="16"/>
      <c r="G701" s="64"/>
      <c r="H701" s="159">
        <f>H684</f>
        <v>249200.14546999999</v>
      </c>
      <c r="I701" s="341"/>
      <c r="J701" s="159">
        <f>J684+J699</f>
        <v>8182.6378750708709</v>
      </c>
      <c r="K701" s="140">
        <f>J701/$H701*100</f>
        <v>3.2835606334170215</v>
      </c>
      <c r="L701" s="239"/>
      <c r="M701" s="159">
        <f>M684+M699</f>
        <v>-2268.5781442379393</v>
      </c>
      <c r="N701" s="238"/>
      <c r="O701" s="159">
        <f>O684+O699</f>
        <v>10451.216019308809</v>
      </c>
      <c r="P701" s="159">
        <f>P684+P699</f>
        <v>-169.72841904622419</v>
      </c>
      <c r="Q701" s="159">
        <f>Q684+Q699</f>
        <v>10281.487600262586</v>
      </c>
      <c r="R701" s="140">
        <f>Q701/$H701*100</f>
        <v>4.1257951839760558</v>
      </c>
      <c r="S701" s="345">
        <f>Q701/O701</f>
        <v>0.98375993580721643</v>
      </c>
      <c r="T701" s="179">
        <f>R701/K701-1</f>
        <v>0.25650038010187948</v>
      </c>
    </row>
    <row r="702" spans="2:20" ht="13.5" thickTop="1" x14ac:dyDescent="0.2">
      <c r="B702" s="64"/>
      <c r="C702" s="33"/>
      <c r="D702" s="26"/>
      <c r="E702" s="64"/>
      <c r="F702" s="16"/>
      <c r="G702" s="64"/>
      <c r="H702" s="346"/>
      <c r="I702" s="341"/>
      <c r="J702" s="346"/>
      <c r="K702" s="147"/>
      <c r="L702" s="239"/>
      <c r="M702" s="346"/>
      <c r="N702" s="238"/>
      <c r="O702" s="346"/>
      <c r="P702" s="346"/>
      <c r="Q702" s="346"/>
      <c r="R702" s="147"/>
      <c r="S702" s="172"/>
      <c r="T702" s="178"/>
    </row>
    <row r="703" spans="2:20" ht="13.5" thickBot="1" x14ac:dyDescent="0.25">
      <c r="B703" s="64">
        <f>MAX(B$557:B702)+1</f>
        <v>359</v>
      </c>
      <c r="C703" s="30"/>
      <c r="D703" s="366" t="s">
        <v>616</v>
      </c>
      <c r="H703" s="148"/>
      <c r="I703" s="148"/>
      <c r="J703" s="159">
        <f xml:space="preserve"> J701 + J676 + J634 + J600 + J576 + J553 + J519 + J485 + J457 + J437 + J398 + J385 + J333 + J294 + J262 + J245 + J226 + J203 + J171 + J140 + J123 + J102 + J81 + J55 + J31</f>
        <v>5853924.5979762077</v>
      </c>
      <c r="K703" s="367"/>
      <c r="L703" s="367"/>
      <c r="M703" s="159">
        <f xml:space="preserve"> M701 + M676 + M634 + M600 + M576 + M553 + M519 + M485 + M457 + M437 + M398 + M385 + M333 + M294 + M262 + M245 + M226 + M203 + M171 + M140 + M123 + M102 + M81 + M55 + M31</f>
        <v>-274483.49468575208</v>
      </c>
      <c r="N703" s="368"/>
      <c r="O703" s="159">
        <f xml:space="preserve"> O701 + O676 + O634 + O600 + O576 + O553 + O519 + O485 + O457 + O437 + O398 + O385 + O333 + O294 + O262 + O245 + O226 + O203 + O171 + O140 + O123 + O102 + O81 + O55 + O31</f>
        <v>6128408.0926619601</v>
      </c>
      <c r="P703" s="159">
        <f xml:space="preserve"> P701 + P676 + P634 + P600 + P576 + P553 + P519 + P485 + P457 + P437 + P398 + P385 + P333 + P294 + P262 + P245 + P226 + P203 + P171 + P140 + P123 + P102 + P81 + P55 + P31</f>
        <v>-19786.094684109157</v>
      </c>
      <c r="Q703" s="159">
        <f xml:space="preserve"> Q701 + Q676 + Q634 + Q600 + Q576 + Q553 + Q519 + Q485 + Q457 + Q437 + Q398 + Q385 + Q333 + Q294 + Q262 + Q245 + Q226 + Q203 + Q171 + Q140 + Q123 + Q102 + Q81 + Q55 + Q31</f>
        <v>6108621.997977851</v>
      </c>
      <c r="R703" s="347"/>
      <c r="S703" s="172"/>
      <c r="T703" s="365"/>
    </row>
    <row r="704" spans="2:20" ht="13.5" thickTop="1" x14ac:dyDescent="0.2">
      <c r="B704" s="64"/>
      <c r="C704" s="30"/>
      <c r="D704" s="366"/>
      <c r="H704" s="148"/>
      <c r="I704" s="148"/>
      <c r="J704" s="346"/>
      <c r="K704" s="367"/>
      <c r="L704" s="367"/>
      <c r="M704" s="346"/>
      <c r="N704" s="368"/>
      <c r="O704" s="346"/>
      <c r="P704" s="346"/>
      <c r="Q704" s="346"/>
      <c r="R704" s="347"/>
      <c r="S704" s="172"/>
      <c r="T704" s="365"/>
    </row>
    <row r="705" spans="2:21" x14ac:dyDescent="0.2">
      <c r="B705" s="31" t="s">
        <v>29</v>
      </c>
    </row>
    <row r="706" spans="2:21" x14ac:dyDescent="0.2">
      <c r="B706" s="23" t="s">
        <v>30</v>
      </c>
      <c r="C706" s="396"/>
      <c r="D706" s="396" t="s">
        <v>1079</v>
      </c>
    </row>
    <row r="707" spans="2:21" x14ac:dyDescent="0.2">
      <c r="B707" s="23" t="s">
        <v>31</v>
      </c>
      <c r="D707" s="396" t="s">
        <v>1055</v>
      </c>
    </row>
    <row r="708" spans="2:21" x14ac:dyDescent="0.2">
      <c r="B708" s="23" t="s">
        <v>32</v>
      </c>
      <c r="D708" s="396" t="s">
        <v>963</v>
      </c>
    </row>
    <row r="709" spans="2:21" x14ac:dyDescent="0.2">
      <c r="B709" s="60"/>
      <c r="C709" s="30"/>
      <c r="D709" s="29"/>
      <c r="E709" s="60"/>
      <c r="F709" s="192"/>
      <c r="G709" s="60"/>
      <c r="H709" s="346"/>
      <c r="I709" s="153"/>
      <c r="J709" s="346"/>
      <c r="K709" s="347"/>
      <c r="L709" s="346"/>
      <c r="M709" s="346"/>
      <c r="N709" s="348"/>
      <c r="O709" s="346"/>
      <c r="P709" s="346"/>
      <c r="Q709" s="346"/>
      <c r="R709" s="347"/>
      <c r="S709" s="172"/>
      <c r="T709" s="365"/>
    </row>
    <row r="710" spans="2:21" x14ac:dyDescent="0.2">
      <c r="B710" s="166" t="s">
        <v>506</v>
      </c>
      <c r="C710" s="169"/>
      <c r="D710" s="169"/>
      <c r="E710" s="169"/>
      <c r="F710" s="169"/>
      <c r="G710" s="169"/>
      <c r="H710" s="169"/>
      <c r="I710" s="169"/>
      <c r="J710" s="169"/>
      <c r="K710" s="169"/>
      <c r="L710" s="169"/>
      <c r="M710" s="169"/>
      <c r="N710" s="169"/>
      <c r="O710" s="169"/>
      <c r="P710" s="169"/>
      <c r="Q710" s="169"/>
      <c r="R710" s="169"/>
      <c r="S710" s="169"/>
      <c r="T710" s="169"/>
    </row>
    <row r="711" spans="2:21" x14ac:dyDescent="0.2">
      <c r="B711" s="194" t="s">
        <v>39</v>
      </c>
      <c r="C711" s="166"/>
      <c r="D711" s="166"/>
      <c r="E711" s="166"/>
      <c r="F711" s="166"/>
      <c r="G711" s="166"/>
      <c r="H711" s="166"/>
      <c r="I711" s="166"/>
      <c r="J711" s="166"/>
      <c r="K711" s="166"/>
      <c r="L711" s="166"/>
      <c r="M711" s="166"/>
      <c r="N711" s="166"/>
      <c r="O711" s="166"/>
      <c r="P711" s="166"/>
      <c r="Q711" s="166"/>
      <c r="R711" s="166"/>
      <c r="S711" s="166"/>
      <c r="T711" s="166"/>
      <c r="U711" s="31"/>
    </row>
    <row r="712" spans="2:21" x14ac:dyDescent="0.2">
      <c r="C712" s="168"/>
      <c r="E712" s="168"/>
      <c r="F712" s="170"/>
      <c r="G712" s="168"/>
      <c r="I712" s="168"/>
      <c r="J712" s="170"/>
      <c r="K712" s="170"/>
      <c r="L712" s="170"/>
      <c r="M712" s="170"/>
      <c r="N712" s="168"/>
      <c r="O712" s="168"/>
      <c r="P712" s="168"/>
      <c r="Q712" s="168"/>
      <c r="R712" s="168"/>
      <c r="S712" s="169"/>
      <c r="T712" s="169"/>
    </row>
    <row r="713" spans="2:21" x14ac:dyDescent="0.2">
      <c r="B713" s="170"/>
      <c r="C713" s="170"/>
      <c r="D713" s="170"/>
      <c r="E713" s="170"/>
      <c r="F713" s="340"/>
      <c r="G713" s="170"/>
      <c r="H713" s="340"/>
      <c r="I713" s="170"/>
      <c r="J713" s="173" t="s">
        <v>57</v>
      </c>
      <c r="K713" s="173"/>
      <c r="L713" s="170"/>
      <c r="M713" s="170"/>
      <c r="N713" s="170"/>
      <c r="O713" s="173" t="s">
        <v>60</v>
      </c>
      <c r="P713" s="173"/>
      <c r="Q713" s="173"/>
      <c r="R713" s="173"/>
      <c r="S713" s="174"/>
      <c r="T713" s="174"/>
    </row>
    <row r="714" spans="2:21" s="45" customFormat="1" ht="39" customHeight="1" x14ac:dyDescent="0.2">
      <c r="B714" s="154" t="s">
        <v>0</v>
      </c>
      <c r="C714" s="154"/>
      <c r="D714" s="154"/>
      <c r="E714" s="154"/>
      <c r="F714" s="60" t="s">
        <v>47</v>
      </c>
      <c r="G714" s="154"/>
      <c r="H714" s="45" t="s">
        <v>746</v>
      </c>
      <c r="I714" s="154"/>
      <c r="J714" s="45" t="s">
        <v>61</v>
      </c>
      <c r="K714" s="45" t="s">
        <v>571</v>
      </c>
      <c r="L714" s="154"/>
      <c r="M714" s="45" t="s">
        <v>34</v>
      </c>
      <c r="N714" s="154"/>
      <c r="O714" s="154" t="s">
        <v>79</v>
      </c>
      <c r="P714" s="45" t="s">
        <v>34</v>
      </c>
      <c r="Q714" s="45" t="s">
        <v>61</v>
      </c>
      <c r="R714" s="45" t="s">
        <v>69</v>
      </c>
      <c r="S714" s="154" t="s">
        <v>745</v>
      </c>
      <c r="T714" s="154" t="s">
        <v>747</v>
      </c>
      <c r="U714" s="154"/>
    </row>
    <row r="715" spans="2:21" x14ac:dyDescent="0.2">
      <c r="B715" s="520" t="s">
        <v>1</v>
      </c>
      <c r="C715" s="33"/>
      <c r="D715" s="185" t="s">
        <v>33</v>
      </c>
      <c r="E715" s="64"/>
      <c r="F715" s="520" t="s">
        <v>48</v>
      </c>
      <c r="G715" s="64"/>
      <c r="H715" s="520" t="s">
        <v>560</v>
      </c>
      <c r="I715" s="64"/>
      <c r="J715" s="520" t="s">
        <v>389</v>
      </c>
      <c r="K715" s="520" t="s">
        <v>98</v>
      </c>
      <c r="L715" s="64"/>
      <c r="M715" s="520" t="s">
        <v>389</v>
      </c>
      <c r="N715" s="64"/>
      <c r="O715" s="520" t="s">
        <v>389</v>
      </c>
      <c r="P715" s="520" t="s">
        <v>389</v>
      </c>
      <c r="Q715" s="520" t="s">
        <v>389</v>
      </c>
      <c r="R715" s="520" t="s">
        <v>98</v>
      </c>
      <c r="S715" s="520" t="s">
        <v>36</v>
      </c>
      <c r="T715" s="520" t="s">
        <v>2</v>
      </c>
      <c r="U715" s="64"/>
    </row>
    <row r="716" spans="2:21" x14ac:dyDescent="0.2">
      <c r="B716" s="64"/>
      <c r="C716" s="33"/>
      <c r="D716" s="33"/>
      <c r="E716" s="64"/>
      <c r="F716" s="64"/>
      <c r="G716" s="64"/>
      <c r="H716" s="64" t="s">
        <v>3</v>
      </c>
      <c r="I716" s="64"/>
      <c r="J716" s="64" t="s">
        <v>4</v>
      </c>
      <c r="K716" s="64" t="s">
        <v>58</v>
      </c>
      <c r="L716" s="64"/>
      <c r="M716" s="64" t="s">
        <v>59</v>
      </c>
      <c r="N716" s="64"/>
      <c r="O716" s="64" t="s">
        <v>63</v>
      </c>
      <c r="P716" s="64" t="s">
        <v>227</v>
      </c>
      <c r="Q716" s="175" t="s">
        <v>38</v>
      </c>
      <c r="R716" s="175" t="s">
        <v>70</v>
      </c>
      <c r="S716" s="175" t="s">
        <v>479</v>
      </c>
      <c r="T716" s="175" t="s">
        <v>71</v>
      </c>
      <c r="U716" s="64"/>
    </row>
    <row r="717" spans="2:21" x14ac:dyDescent="0.2">
      <c r="D717" s="358"/>
      <c r="H717" s="148"/>
      <c r="I717" s="148"/>
      <c r="J717" s="151"/>
      <c r="K717" s="152"/>
      <c r="L717" s="151"/>
      <c r="M717" s="151"/>
      <c r="N717" s="151"/>
      <c r="O717" s="151"/>
      <c r="P717" s="151"/>
      <c r="Q717" s="151"/>
      <c r="R717" s="152"/>
      <c r="S717" s="148"/>
      <c r="T717" s="148"/>
    </row>
    <row r="718" spans="2:21" x14ac:dyDescent="0.2">
      <c r="D718" s="31" t="s">
        <v>342</v>
      </c>
      <c r="H718" s="148"/>
      <c r="I718" s="148"/>
      <c r="J718" s="148"/>
      <c r="K718" s="148"/>
      <c r="L718" s="148"/>
      <c r="M718" s="148"/>
      <c r="N718" s="148"/>
      <c r="O718" s="148"/>
      <c r="P718" s="148"/>
      <c r="Q718" s="148"/>
      <c r="R718" s="148"/>
      <c r="S718" s="148"/>
      <c r="T718" s="180"/>
    </row>
    <row r="719" spans="2:21" x14ac:dyDescent="0.2">
      <c r="D719" s="356" t="s">
        <v>258</v>
      </c>
      <c r="H719" s="148"/>
      <c r="I719" s="148"/>
      <c r="J719" s="148"/>
      <c r="K719" s="148"/>
      <c r="L719" s="148"/>
      <c r="M719" s="148"/>
      <c r="N719" s="148"/>
      <c r="O719" s="148"/>
      <c r="P719" s="148"/>
      <c r="Q719" s="148"/>
      <c r="R719" s="148"/>
      <c r="S719" s="148"/>
      <c r="T719" s="180"/>
    </row>
    <row r="720" spans="2:21" x14ac:dyDescent="0.2">
      <c r="B720" s="64">
        <v>1</v>
      </c>
      <c r="D720" s="370" t="s">
        <v>259</v>
      </c>
      <c r="F720" s="360" t="s">
        <v>97</v>
      </c>
      <c r="H720" s="122">
        <v>91095.48</v>
      </c>
      <c r="I720" s="148"/>
      <c r="J720" s="368">
        <f>H720*12*K720/1000</f>
        <v>169.00033449599999</v>
      </c>
      <c r="K720" s="371">
        <v>0.15459999999999999</v>
      </c>
      <c r="L720" s="148"/>
      <c r="M720" s="337">
        <f>J720-O720</f>
        <v>163.43052393897167</v>
      </c>
      <c r="N720" s="148"/>
      <c r="O720" s="122">
        <v>5.5698105570283136</v>
      </c>
      <c r="P720" s="122">
        <f>Q720-O720</f>
        <v>163.43052393897165</v>
      </c>
      <c r="Q720" s="122">
        <f>R720*H720*12/1000</f>
        <v>169.00033449599997</v>
      </c>
      <c r="R720" s="371">
        <v>0.15459999999999999</v>
      </c>
      <c r="S720" s="148"/>
      <c r="T720" s="330">
        <f>IFERROR((R720-K720)/K720,"")</f>
        <v>0</v>
      </c>
    </row>
    <row r="721" spans="2:20" x14ac:dyDescent="0.2">
      <c r="B721" s="64">
        <f>MAX(B$720:B720)+1</f>
        <v>2</v>
      </c>
      <c r="D721" s="370" t="s">
        <v>260</v>
      </c>
      <c r="F721" s="360" t="s">
        <v>104</v>
      </c>
      <c r="H721" s="122">
        <v>0</v>
      </c>
      <c r="I721" s="148"/>
      <c r="J721" s="148"/>
      <c r="K721" s="371">
        <v>5.8999999999999999E-3</v>
      </c>
      <c r="L721" s="148"/>
      <c r="M721" s="337">
        <f>J722-O722</f>
        <v>0</v>
      </c>
      <c r="N721" s="148"/>
      <c r="O721" s="122">
        <v>0</v>
      </c>
      <c r="P721" s="122">
        <f>Q721-O721</f>
        <v>0</v>
      </c>
      <c r="Q721" s="122">
        <f>R721*H721/1000</f>
        <v>0</v>
      </c>
      <c r="R721" s="371">
        <v>5.8999999999999999E-3</v>
      </c>
      <c r="S721" s="148"/>
      <c r="T721" s="330">
        <f>IFERROR((R721-K721)/K721,"")</f>
        <v>0</v>
      </c>
    </row>
    <row r="722" spans="2:20" x14ac:dyDescent="0.2">
      <c r="H722" s="148"/>
      <c r="I722" s="148"/>
      <c r="J722" s="148"/>
      <c r="K722" s="148"/>
      <c r="L722" s="148"/>
      <c r="M722" s="148"/>
      <c r="N722" s="148"/>
      <c r="O722" s="148"/>
      <c r="P722" s="148"/>
      <c r="Q722" s="368"/>
      <c r="R722" s="148"/>
      <c r="S722" s="148"/>
      <c r="T722" s="180"/>
    </row>
    <row r="723" spans="2:20" ht="13.5" thickBot="1" x14ac:dyDescent="0.25">
      <c r="B723" s="64">
        <f>MAX(B$720:B722)+1</f>
        <v>3</v>
      </c>
      <c r="D723" s="366" t="s">
        <v>557</v>
      </c>
      <c r="E723" s="366"/>
      <c r="F723" s="366"/>
      <c r="G723" s="366"/>
      <c r="H723" s="159">
        <f>H720</f>
        <v>91095.48</v>
      </c>
      <c r="I723" s="341"/>
      <c r="J723" s="159">
        <f>SUM(J720:J721)</f>
        <v>169.00033449599999</v>
      </c>
      <c r="K723" s="140">
        <f>J723/$H723*100</f>
        <v>0.18551999999999999</v>
      </c>
      <c r="L723" s="239"/>
      <c r="M723" s="159">
        <f>SUM(M720:M721)</f>
        <v>163.43052393897167</v>
      </c>
      <c r="N723" s="238"/>
      <c r="O723" s="159">
        <f>SUM(O720:O721)</f>
        <v>5.5698105570283136</v>
      </c>
      <c r="P723" s="159">
        <f>SUM(P720:P721)</f>
        <v>163.43052393897165</v>
      </c>
      <c r="Q723" s="159">
        <f>SUM(Q720:Q721)</f>
        <v>169.00033449599997</v>
      </c>
      <c r="R723" s="140"/>
      <c r="S723" s="345">
        <f>Q723/O723</f>
        <v>30.342205137075162</v>
      </c>
      <c r="T723" s="179">
        <f>(Q723-J723)/J723</f>
        <v>-1.6817546258215667E-16</v>
      </c>
    </row>
    <row r="724" spans="2:20" ht="13.5" thickTop="1" x14ac:dyDescent="0.2">
      <c r="D724" s="372"/>
      <c r="H724" s="148"/>
      <c r="I724" s="148"/>
      <c r="J724" s="148"/>
      <c r="K724" s="148"/>
      <c r="L724" s="148"/>
      <c r="M724" s="148"/>
      <c r="N724" s="148"/>
      <c r="O724" s="148"/>
      <c r="P724" s="148"/>
      <c r="Q724" s="148"/>
      <c r="R724" s="148"/>
      <c r="S724" s="148"/>
      <c r="T724" s="180"/>
    </row>
    <row r="725" spans="2:20" x14ac:dyDescent="0.2">
      <c r="D725" s="31" t="s">
        <v>344</v>
      </c>
      <c r="H725" s="148"/>
      <c r="I725" s="148"/>
      <c r="J725" s="148"/>
      <c r="K725" s="148"/>
      <c r="L725" s="148"/>
      <c r="M725" s="148"/>
      <c r="N725" s="148"/>
      <c r="O725" s="148"/>
      <c r="P725" s="148"/>
      <c r="Q725" s="148"/>
      <c r="R725" s="148"/>
      <c r="S725" s="148"/>
      <c r="T725" s="180"/>
    </row>
    <row r="726" spans="2:20" x14ac:dyDescent="0.2">
      <c r="B726" s="64"/>
      <c r="D726" s="356" t="s">
        <v>482</v>
      </c>
      <c r="H726" s="148"/>
      <c r="I726" s="148"/>
      <c r="J726" s="148"/>
      <c r="K726" s="148"/>
      <c r="L726" s="148"/>
      <c r="M726" s="148"/>
      <c r="N726" s="148"/>
      <c r="O726" s="148"/>
      <c r="P726" s="148"/>
      <c r="Q726" s="148"/>
      <c r="R726" s="148"/>
      <c r="S726" s="148"/>
      <c r="T726" s="180"/>
    </row>
    <row r="727" spans="2:20" x14ac:dyDescent="0.2">
      <c r="B727" s="64">
        <f>MAX(B$720:B726)+1</f>
        <v>4</v>
      </c>
      <c r="D727" s="373" t="s">
        <v>259</v>
      </c>
      <c r="F727" s="360" t="s">
        <v>97</v>
      </c>
      <c r="H727" s="374">
        <v>1210000</v>
      </c>
      <c r="I727" s="148"/>
      <c r="J727" s="368">
        <f>H727*12*K727/1000</f>
        <v>19179.468000000001</v>
      </c>
      <c r="K727" s="371">
        <v>1.3209</v>
      </c>
      <c r="L727" s="148"/>
      <c r="M727" s="375">
        <f>J727-O727</f>
        <v>-2488.3096047850304</v>
      </c>
      <c r="N727" s="148"/>
      <c r="O727" s="122">
        <v>21667.777604785031</v>
      </c>
      <c r="P727" s="122">
        <f>Q727-O727</f>
        <v>0</v>
      </c>
      <c r="Q727" s="122">
        <f>R727*H727*12/1000</f>
        <v>21667.777604785031</v>
      </c>
      <c r="R727" s="371">
        <v>1.4922711849025505</v>
      </c>
      <c r="S727" s="148"/>
      <c r="T727" s="330">
        <f>IFERROR((R727-K727)/K727,"")</f>
        <v>0.12973819736736358</v>
      </c>
    </row>
    <row r="728" spans="2:20" x14ac:dyDescent="0.2">
      <c r="B728" s="64"/>
      <c r="D728" s="366"/>
      <c r="H728" s="148"/>
      <c r="I728" s="148"/>
      <c r="J728" s="148"/>
      <c r="K728" s="148"/>
      <c r="L728" s="148"/>
      <c r="M728" s="148"/>
      <c r="N728" s="148"/>
      <c r="O728" s="148"/>
      <c r="P728" s="148"/>
      <c r="Q728" s="148"/>
      <c r="R728" s="148"/>
      <c r="S728" s="148"/>
      <c r="T728" s="180"/>
    </row>
    <row r="729" spans="2:20" ht="13.5" thickBot="1" x14ac:dyDescent="0.25">
      <c r="B729" s="64">
        <f>MAX(B$720:B728)+1</f>
        <v>5</v>
      </c>
      <c r="D729" s="366" t="s">
        <v>558</v>
      </c>
      <c r="H729" s="159">
        <v>0</v>
      </c>
      <c r="I729" s="341"/>
      <c r="J729" s="159">
        <f>SUM(J727:J727)</f>
        <v>19179.468000000001</v>
      </c>
      <c r="K729" s="140"/>
      <c r="L729" s="239"/>
      <c r="M729" s="159">
        <f>SUM(M727:M727)</f>
        <v>-2488.3096047850304</v>
      </c>
      <c r="N729" s="238"/>
      <c r="O729" s="159">
        <f>SUM(O727:O727)</f>
        <v>21667.777604785031</v>
      </c>
      <c r="P729" s="159">
        <f>SUM(P727:P727)</f>
        <v>0</v>
      </c>
      <c r="Q729" s="159">
        <f>SUM(Q727:Q727)</f>
        <v>21667.777604785031</v>
      </c>
      <c r="R729" s="140"/>
      <c r="S729" s="345">
        <f>Q729/O729</f>
        <v>1</v>
      </c>
      <c r="T729" s="179">
        <f>(Q729-J729)/J729</f>
        <v>0.12973819736736339</v>
      </c>
    </row>
    <row r="730" spans="2:20" ht="13.5" thickTop="1" x14ac:dyDescent="0.2">
      <c r="B730" s="64"/>
      <c r="D730" s="366"/>
      <c r="H730" s="346"/>
      <c r="I730" s="341"/>
      <c r="J730" s="346"/>
      <c r="K730" s="147"/>
      <c r="L730" s="239"/>
      <c r="M730" s="346"/>
      <c r="N730" s="238"/>
      <c r="O730" s="346"/>
      <c r="P730" s="346"/>
      <c r="Q730" s="346"/>
      <c r="R730" s="147"/>
      <c r="S730" s="172"/>
      <c r="T730" s="178"/>
    </row>
    <row r="731" spans="2:20" x14ac:dyDescent="0.2">
      <c r="B731" s="64"/>
      <c r="D731" s="376" t="s">
        <v>253</v>
      </c>
      <c r="H731" s="346"/>
      <c r="I731" s="341"/>
      <c r="J731" s="346"/>
      <c r="K731" s="147"/>
      <c r="L731" s="239"/>
      <c r="M731" s="346"/>
      <c r="N731" s="238"/>
      <c r="O731" s="346"/>
      <c r="P731" s="346"/>
      <c r="Q731" s="346"/>
      <c r="R731" s="147"/>
      <c r="S731" s="172"/>
      <c r="T731" s="178"/>
    </row>
    <row r="732" spans="2:20" x14ac:dyDescent="0.2">
      <c r="B732" s="64">
        <f>MAX(B$720:B731)+1</f>
        <v>6</v>
      </c>
      <c r="D732" s="356" t="s">
        <v>559</v>
      </c>
      <c r="E732" s="366"/>
      <c r="F732" s="366"/>
      <c r="H732" s="122">
        <v>0</v>
      </c>
      <c r="I732" s="148"/>
      <c r="J732" s="122">
        <v>3560.977942268019</v>
      </c>
      <c r="K732" s="122">
        <v>0</v>
      </c>
      <c r="L732" s="148"/>
      <c r="M732" s="122">
        <v>3560.977942268019</v>
      </c>
      <c r="N732" s="148"/>
      <c r="O732" s="122">
        <v>0</v>
      </c>
      <c r="P732" s="122">
        <v>3560.977942268019</v>
      </c>
      <c r="Q732" s="122">
        <v>3560.977942268019</v>
      </c>
      <c r="R732" s="122">
        <v>0</v>
      </c>
      <c r="S732" s="148"/>
      <c r="T732" s="330" t="str">
        <f>IFERROR((R732-K732)/K732,"")</f>
        <v/>
      </c>
    </row>
    <row r="734" spans="2:20" x14ac:dyDescent="0.2">
      <c r="D734" s="31" t="s">
        <v>748</v>
      </c>
      <c r="H734" s="148"/>
      <c r="I734" s="148"/>
      <c r="J734" s="151"/>
      <c r="K734" s="153"/>
      <c r="L734" s="151"/>
      <c r="M734" s="151"/>
      <c r="N734" s="151"/>
      <c r="O734" s="151"/>
      <c r="P734" s="151"/>
      <c r="Q734" s="151"/>
      <c r="R734" s="153"/>
      <c r="S734" s="148"/>
      <c r="T734" s="155"/>
    </row>
    <row r="735" spans="2:20" x14ac:dyDescent="0.2">
      <c r="D735" s="26" t="s">
        <v>620</v>
      </c>
      <c r="H735" s="148"/>
      <c r="I735" s="148"/>
      <c r="J735" s="148"/>
      <c r="K735" s="148"/>
      <c r="L735" s="148"/>
      <c r="M735" s="148"/>
      <c r="N735" s="148"/>
      <c r="O735" s="148"/>
      <c r="P735" s="148"/>
      <c r="Q735" s="148"/>
      <c r="R735" s="148"/>
      <c r="S735" s="148"/>
      <c r="T735" s="155"/>
    </row>
    <row r="736" spans="2:20" x14ac:dyDescent="0.2">
      <c r="B736" s="64">
        <f>MAX(B$720:B735)+1</f>
        <v>7</v>
      </c>
      <c r="D736" s="27" t="s">
        <v>99</v>
      </c>
      <c r="F736" s="360" t="s">
        <v>97</v>
      </c>
      <c r="H736" s="122">
        <v>1835035</v>
      </c>
      <c r="I736" s="148"/>
      <c r="J736" s="122">
        <f>(K736*H736*12/1000)</f>
        <v>82796.77919999999</v>
      </c>
      <c r="K736" s="158">
        <v>3.76</v>
      </c>
      <c r="L736" s="148"/>
      <c r="M736" s="122">
        <f>J736-O736</f>
        <v>-5445.403413308115</v>
      </c>
      <c r="N736" s="148"/>
      <c r="O736" s="122">
        <v>88242.182613308105</v>
      </c>
      <c r="P736" s="122">
        <f>Q736-O736</f>
        <v>-11919.616517673596</v>
      </c>
      <c r="Q736" s="122">
        <f>R736*(H736)*12/1000</f>
        <v>76322.566095634509</v>
      </c>
      <c r="R736" s="158">
        <v>3.4659904804556181</v>
      </c>
      <c r="S736" s="172">
        <f>IFERROR(Q736/O736,"-")</f>
        <v>0.86492155832197248</v>
      </c>
      <c r="T736" s="178">
        <f>IFERROR(R736/K736-1,"-")</f>
        <v>-7.8194021155420623E-2</v>
      </c>
    </row>
    <row r="737" spans="2:21" x14ac:dyDescent="0.2">
      <c r="B737" s="64">
        <f>MAX(B$720:B736)+1</f>
        <v>8</v>
      </c>
      <c r="D737" s="377" t="s">
        <v>96</v>
      </c>
      <c r="F737" s="360" t="s">
        <v>97</v>
      </c>
      <c r="H737" s="122">
        <v>451429</v>
      </c>
      <c r="I737" s="148"/>
      <c r="J737" s="122">
        <f>K737*H737*12/1000</f>
        <v>417.12039600000008</v>
      </c>
      <c r="K737" s="158">
        <v>7.6999999999999999E-2</v>
      </c>
      <c r="L737" s="148"/>
      <c r="M737" s="122">
        <f>J737-O737</f>
        <v>141.37699850450906</v>
      </c>
      <c r="N737" s="148"/>
      <c r="O737" s="122">
        <v>275.74339749549102</v>
      </c>
      <c r="P737" s="122">
        <f>Q737-O737</f>
        <v>0</v>
      </c>
      <c r="Q737" s="122">
        <f>O737</f>
        <v>275.74339749549102</v>
      </c>
      <c r="R737" s="158">
        <v>5.0999999999999997E-2</v>
      </c>
      <c r="S737" s="172">
        <f>IFERROR(Q737/O737,"-")</f>
        <v>1</v>
      </c>
      <c r="T737" s="178">
        <f>IFERROR(R737/K737-1,"-")</f>
        <v>-0.33766233766233766</v>
      </c>
    </row>
    <row r="738" spans="2:21" x14ac:dyDescent="0.2">
      <c r="B738" s="64">
        <f>MAX(B$720:B737)+1</f>
        <v>9</v>
      </c>
      <c r="D738" s="27" t="s">
        <v>95</v>
      </c>
      <c r="F738" s="360" t="s">
        <v>97</v>
      </c>
      <c r="H738" s="122">
        <v>49500</v>
      </c>
      <c r="I738" s="148"/>
      <c r="J738" s="122">
        <f>(K738*H738*12/1000)</f>
        <v>1894.86</v>
      </c>
      <c r="K738" s="158">
        <v>3.19</v>
      </c>
      <c r="L738" s="148"/>
      <c r="M738" s="122">
        <f>J738-O738</f>
        <v>169.38472666576922</v>
      </c>
      <c r="N738" s="148"/>
      <c r="O738" s="122">
        <v>1725.4752733342307</v>
      </c>
      <c r="P738" s="122">
        <f>Q738-O738</f>
        <v>-233.72719071049119</v>
      </c>
      <c r="Q738" s="122">
        <f>R738*(H738)*12/1000</f>
        <v>1491.7480826237395</v>
      </c>
      <c r="R738" s="158">
        <v>2.5113604084574739</v>
      </c>
      <c r="S738" s="172">
        <f>IFERROR(Q738/O738,"-")</f>
        <v>0.86454329753514969</v>
      </c>
      <c r="T738" s="178">
        <f>IFERROR(R738/K738-1,"-")</f>
        <v>-0.21273968386913045</v>
      </c>
    </row>
    <row r="739" spans="2:21" x14ac:dyDescent="0.2">
      <c r="B739" s="64">
        <f>MAX(B$720:B738)+1</f>
        <v>10</v>
      </c>
      <c r="D739" s="377" t="s">
        <v>96</v>
      </c>
      <c r="F739" s="360" t="s">
        <v>97</v>
      </c>
      <c r="H739" s="122">
        <v>49500</v>
      </c>
      <c r="I739" s="148"/>
      <c r="J739" s="122">
        <f>K739*H739*12/1000</f>
        <v>45.738</v>
      </c>
      <c r="K739" s="158">
        <v>7.6999999999999999E-2</v>
      </c>
      <c r="L739" s="148"/>
      <c r="M739" s="122">
        <f>J739-O739</f>
        <v>15.502241606040364</v>
      </c>
      <c r="N739" s="148"/>
      <c r="O739" s="122">
        <v>30.235758393959635</v>
      </c>
      <c r="P739" s="148"/>
      <c r="Q739" s="122">
        <f>O739</f>
        <v>30.235758393959635</v>
      </c>
      <c r="R739" s="158">
        <v>5.0999999999999997E-2</v>
      </c>
      <c r="S739" s="172">
        <f>IFERROR(Q739/O739,"-")</f>
        <v>1</v>
      </c>
      <c r="T739" s="178">
        <f>IFERROR(R739/K739-1,"-")</f>
        <v>-0.33766233766233766</v>
      </c>
    </row>
    <row r="740" spans="2:21" x14ac:dyDescent="0.2">
      <c r="B740" s="64">
        <f>MAX(B$720:B739)+1</f>
        <v>11</v>
      </c>
      <c r="D740" s="359" t="s">
        <v>100</v>
      </c>
      <c r="F740" s="360" t="s">
        <v>97</v>
      </c>
      <c r="H740" s="122">
        <v>383738.83333333331</v>
      </c>
      <c r="I740" s="148"/>
      <c r="J740" s="122">
        <f>K740*H740*12/1000</f>
        <v>2624.7736199999995</v>
      </c>
      <c r="K740" s="158">
        <v>0.56999999999999995</v>
      </c>
      <c r="L740" s="148"/>
      <c r="M740" s="122">
        <f>J740-O740</f>
        <v>-4614.0316814704329</v>
      </c>
      <c r="N740" s="148"/>
      <c r="O740" s="122">
        <v>7238.8053014704328</v>
      </c>
      <c r="P740" s="122">
        <f>Q740-O740</f>
        <v>-851.36070922492218</v>
      </c>
      <c r="Q740" s="122">
        <f>R740*H740*12/1000</f>
        <v>6387.4445922455106</v>
      </c>
      <c r="R740" s="158">
        <v>1.3871075927606822</v>
      </c>
      <c r="S740" s="172">
        <f>IFERROR(Q740/O740,"-")</f>
        <v>0.88238933445937773</v>
      </c>
      <c r="T740" s="178">
        <f>IFERROR(R740/K740-1,"-")</f>
        <v>1.4335220925626007</v>
      </c>
    </row>
    <row r="741" spans="2:21" x14ac:dyDescent="0.2">
      <c r="B741" s="64"/>
      <c r="D741" s="27" t="s">
        <v>552</v>
      </c>
      <c r="T741" s="178"/>
    </row>
    <row r="742" spans="2:21" x14ac:dyDescent="0.2">
      <c r="B742" s="64">
        <f>MAX(B$720:B741)+1</f>
        <v>12</v>
      </c>
      <c r="D742" s="377" t="s">
        <v>553</v>
      </c>
      <c r="F742" s="360" t="s">
        <v>97</v>
      </c>
      <c r="H742" s="122">
        <v>54513</v>
      </c>
      <c r="I742" s="148"/>
      <c r="J742" s="122">
        <f>K742*H742*12/1000</f>
        <v>3040.5170879999996</v>
      </c>
      <c r="K742" s="158">
        <f>K736 + K748</f>
        <v>4.6479999999999997</v>
      </c>
      <c r="L742" s="148"/>
      <c r="M742" s="122">
        <f>J742-O742</f>
        <v>419.12507051844477</v>
      </c>
      <c r="N742" s="148"/>
      <c r="O742" s="122">
        <v>2621.3920174815548</v>
      </c>
      <c r="P742" s="122">
        <f>Q742-O742</f>
        <v>267.08411391792561</v>
      </c>
      <c r="Q742" s="122">
        <f>R742*H742*12/1000</f>
        <v>2888.4761313994804</v>
      </c>
      <c r="R742" s="158">
        <v>4.4155769134571576</v>
      </c>
      <c r="S742" s="172">
        <f>IFERROR(Q742/O742,"-")</f>
        <v>1.1018863688211429</v>
      </c>
      <c r="T742" s="178">
        <f>IFERROR(R742/K742-1,"-")</f>
        <v>-5.0004966984260379E-2</v>
      </c>
    </row>
    <row r="743" spans="2:21" ht="12" customHeight="1" x14ac:dyDescent="0.2">
      <c r="B743" s="64"/>
      <c r="D743" s="26"/>
      <c r="H743" s="148"/>
      <c r="I743" s="148"/>
      <c r="J743" s="122"/>
      <c r="K743" s="150"/>
      <c r="L743" s="148"/>
      <c r="M743" s="148"/>
      <c r="N743" s="148"/>
      <c r="O743" s="148"/>
      <c r="P743" s="148"/>
      <c r="Q743" s="122"/>
      <c r="R743" s="158"/>
      <c r="S743" s="148"/>
      <c r="T743" s="178"/>
    </row>
    <row r="744" spans="2:21" x14ac:dyDescent="0.2">
      <c r="B744" s="64"/>
      <c r="D744" s="356" t="s">
        <v>622</v>
      </c>
      <c r="H744" s="148"/>
      <c r="I744" s="148"/>
      <c r="J744" s="122"/>
      <c r="K744" s="150"/>
      <c r="L744" s="148"/>
      <c r="M744" s="148"/>
      <c r="N744" s="148"/>
      <c r="O744" s="148"/>
      <c r="P744" s="148"/>
      <c r="Q744" s="122"/>
      <c r="R744" s="158"/>
      <c r="S744" s="148"/>
      <c r="T744" s="178"/>
    </row>
    <row r="745" spans="2:21" x14ac:dyDescent="0.2">
      <c r="B745" s="64">
        <f>MAX(B$736:B744)+1</f>
        <v>13</v>
      </c>
      <c r="D745" s="27" t="s">
        <v>103</v>
      </c>
      <c r="F745" s="360" t="s">
        <v>97</v>
      </c>
      <c r="H745" s="122">
        <v>32826</v>
      </c>
      <c r="I745" s="148"/>
      <c r="J745" s="122">
        <f>K745*H745*12/1000</f>
        <v>1481.1091199999998</v>
      </c>
      <c r="K745" s="158">
        <v>3.76</v>
      </c>
      <c r="L745" s="148"/>
      <c r="M745" s="122">
        <f>J745-O745</f>
        <v>-97.410028934190677</v>
      </c>
      <c r="N745" s="148"/>
      <c r="O745" s="122">
        <v>1578.5191489341905</v>
      </c>
      <c r="P745" s="122">
        <f>Q745-O745</f>
        <v>-213.22390679695718</v>
      </c>
      <c r="Q745" s="122">
        <f>R745*H745*12/1000</f>
        <v>1365.2952421372333</v>
      </c>
      <c r="R745" s="158">
        <v>3.4659904804556181</v>
      </c>
      <c r="S745" s="172">
        <f>IFERROR(Q745/O745,"-")</f>
        <v>0.86492155832197215</v>
      </c>
      <c r="T745" s="178">
        <f>IFERROR(R745/K745-1,"-")</f>
        <v>-7.8194021155420623E-2</v>
      </c>
    </row>
    <row r="746" spans="2:21" x14ac:dyDescent="0.2">
      <c r="B746" s="64">
        <f>MAX(B$736:B745)+1</f>
        <v>14</v>
      </c>
      <c r="D746" s="27" t="s">
        <v>95</v>
      </c>
      <c r="F746" s="360" t="s">
        <v>97</v>
      </c>
      <c r="H746" s="122">
        <v>0</v>
      </c>
      <c r="J746" s="122">
        <v>0</v>
      </c>
      <c r="K746" s="158">
        <v>3.19</v>
      </c>
      <c r="M746" s="122">
        <f>J746-O746</f>
        <v>0</v>
      </c>
      <c r="O746" s="122">
        <v>0</v>
      </c>
      <c r="P746" s="122">
        <f>Q746-O746</f>
        <v>0</v>
      </c>
      <c r="Q746" s="122">
        <f>R746*H746*12/1000</f>
        <v>0</v>
      </c>
      <c r="R746" s="158">
        <v>2.5113604084574739</v>
      </c>
      <c r="S746" s="172" t="str">
        <f>IFERROR(Q746/O746,"-")</f>
        <v>-</v>
      </c>
      <c r="T746" s="178">
        <f>IFERROR(R746/K746-1,"-")</f>
        <v>-0.21273968386913045</v>
      </c>
    </row>
    <row r="747" spans="2:21" x14ac:dyDescent="0.2">
      <c r="B747" s="64">
        <f>MAX(B$736:B746)+1</f>
        <v>15</v>
      </c>
      <c r="D747" s="27" t="s">
        <v>100</v>
      </c>
      <c r="F747" s="360" t="s">
        <v>97</v>
      </c>
      <c r="H747" s="122">
        <v>0</v>
      </c>
      <c r="I747" s="148"/>
      <c r="J747" s="122">
        <f>K747*H747*12/1000</f>
        <v>0</v>
      </c>
      <c r="K747" s="158">
        <v>0.56999999999999995</v>
      </c>
      <c r="L747" s="148"/>
      <c r="M747" s="122">
        <f>J747-O747</f>
        <v>0</v>
      </c>
      <c r="N747" s="148"/>
      <c r="O747" s="122">
        <v>0</v>
      </c>
      <c r="P747" s="122">
        <f>Q747-O747</f>
        <v>0</v>
      </c>
      <c r="Q747" s="122">
        <f>R747*H747*12/1000</f>
        <v>0</v>
      </c>
      <c r="R747" s="158">
        <v>1.3871075927606822</v>
      </c>
      <c r="S747" s="172" t="str">
        <f>IFERROR(Q747/O747,"-")</f>
        <v>-</v>
      </c>
      <c r="T747" s="178">
        <f>IFERROR(R747/K747-1,"-")</f>
        <v>1.4335220925626007</v>
      </c>
    </row>
    <row r="748" spans="2:21" x14ac:dyDescent="0.2">
      <c r="B748" s="64">
        <f>MAX(B$736:B747)+1</f>
        <v>16</v>
      </c>
      <c r="D748" s="27" t="s">
        <v>101</v>
      </c>
      <c r="F748" s="360" t="s">
        <v>97</v>
      </c>
      <c r="H748" s="122">
        <v>1047191</v>
      </c>
      <c r="I748" s="148"/>
      <c r="J748" s="122">
        <f>H748*K748*12/1000</f>
        <v>11158.867296</v>
      </c>
      <c r="K748" s="158">
        <v>0.88800000000000001</v>
      </c>
      <c r="L748" s="148"/>
      <c r="M748" s="122">
        <f>J748-O748</f>
        <v>11158.867296</v>
      </c>
      <c r="N748" s="148"/>
      <c r="O748" s="122">
        <v>0</v>
      </c>
      <c r="P748" s="122">
        <f>Q748-O748</f>
        <v>11932.780396335778</v>
      </c>
      <c r="Q748" s="122">
        <f>R748*H748*12/1000</f>
        <v>11932.780396335778</v>
      </c>
      <c r="R748" s="158">
        <v>0.94958643300153922</v>
      </c>
      <c r="S748" s="172" t="str">
        <f>IFERROR(Q748/O748,"-")</f>
        <v>-</v>
      </c>
      <c r="T748" s="178">
        <f>IFERROR(R748/K748-1,"-")</f>
        <v>6.9354091217949554E-2</v>
      </c>
      <c r="U748" s="31"/>
    </row>
    <row r="749" spans="2:21" x14ac:dyDescent="0.2">
      <c r="B749" s="64">
        <f>MAX(B$736:B748)+1</f>
        <v>17</v>
      </c>
      <c r="D749" s="27" t="s">
        <v>102</v>
      </c>
      <c r="F749" s="360" t="s">
        <v>97</v>
      </c>
      <c r="H749" s="122">
        <v>63329</v>
      </c>
      <c r="I749" s="148"/>
      <c r="J749" s="122">
        <f>K749*H749*12/1000</f>
        <v>1190.8385159999998</v>
      </c>
      <c r="K749" s="158">
        <v>1.5669999999999999</v>
      </c>
      <c r="L749" s="148"/>
      <c r="M749" s="122">
        <f>J749-O749</f>
        <v>1190.8385159999998</v>
      </c>
      <c r="N749" s="148"/>
      <c r="O749" s="122">
        <v>0</v>
      </c>
      <c r="P749" s="122">
        <f>Q749-O749</f>
        <v>1018.0638141522943</v>
      </c>
      <c r="Q749" s="122">
        <f>R749*H749*12/1000</f>
        <v>1018.0638141522943</v>
      </c>
      <c r="R749" s="158">
        <v>1.3396493104163629</v>
      </c>
      <c r="S749" s="172" t="str">
        <f>IFERROR(Q749/O749,"-")</f>
        <v>-</v>
      </c>
      <c r="T749" s="178">
        <f>IFERROR(R749/K749-1,"-")</f>
        <v>-0.14508659194871543</v>
      </c>
    </row>
    <row r="750" spans="2:21" x14ac:dyDescent="0.2">
      <c r="B750" s="64"/>
      <c r="D750" s="378"/>
      <c r="F750" s="360"/>
      <c r="H750" s="122"/>
      <c r="I750" s="148"/>
      <c r="J750" s="122"/>
      <c r="K750" s="158"/>
      <c r="L750" s="148"/>
      <c r="M750" s="122"/>
      <c r="N750" s="148"/>
      <c r="O750" s="122"/>
      <c r="P750" s="122"/>
      <c r="Q750" s="122"/>
      <c r="R750" s="158"/>
      <c r="S750" s="172"/>
      <c r="T750" s="178"/>
    </row>
    <row r="751" spans="2:21" s="45" customFormat="1" x14ac:dyDescent="0.2">
      <c r="B751" s="63"/>
      <c r="C751" s="28"/>
      <c r="D751" s="356" t="s">
        <v>621</v>
      </c>
      <c r="E751" s="28"/>
      <c r="F751" s="28"/>
      <c r="G751" s="28"/>
      <c r="H751" s="148"/>
      <c r="I751" s="148"/>
      <c r="J751" s="148"/>
      <c r="K751" s="148"/>
      <c r="L751" s="148"/>
      <c r="M751" s="148"/>
      <c r="N751" s="148"/>
      <c r="O751" s="148"/>
      <c r="P751" s="148"/>
      <c r="Q751" s="148"/>
      <c r="R751" s="148"/>
      <c r="S751" s="148"/>
      <c r="T751" s="180"/>
      <c r="U751" s="154"/>
    </row>
    <row r="752" spans="2:21" x14ac:dyDescent="0.2">
      <c r="B752" s="64">
        <f>MAX(B$736:B751)+1</f>
        <v>18</v>
      </c>
      <c r="D752" s="27" t="s">
        <v>1051</v>
      </c>
      <c r="F752" s="360" t="s">
        <v>104</v>
      </c>
      <c r="H752" s="122">
        <v>349244186.82099998</v>
      </c>
      <c r="I752" s="148"/>
      <c r="J752" s="122">
        <v>15561.312225236692</v>
      </c>
      <c r="K752" s="148"/>
      <c r="L752" s="148"/>
      <c r="M752" s="122">
        <f>J752-O752</f>
        <v>-4355.5988396493813</v>
      </c>
      <c r="N752" s="148"/>
      <c r="O752" s="122">
        <v>19916.911064886073</v>
      </c>
      <c r="P752" s="122">
        <f>Q752-O752</f>
        <v>5.881148064367153</v>
      </c>
      <c r="Q752" s="122">
        <v>19922.79221295044</v>
      </c>
      <c r="R752" s="148"/>
      <c r="S752" s="172">
        <f>IFERROR(Q752/O752,"-")</f>
        <v>1.0002952841454786</v>
      </c>
      <c r="T752" s="178" t="str">
        <f>IFERROR(R752/K752-1,"-")</f>
        <v>-</v>
      </c>
      <c r="U752" s="64"/>
    </row>
    <row r="753" spans="2:21" x14ac:dyDescent="0.2">
      <c r="B753" s="64">
        <f>MAX(B$736:B752)+1</f>
        <v>19</v>
      </c>
      <c r="D753" s="27" t="s">
        <v>1050</v>
      </c>
      <c r="F753" s="360" t="s">
        <v>104</v>
      </c>
      <c r="H753" s="122">
        <v>17399687.223999999</v>
      </c>
      <c r="I753" s="148"/>
      <c r="J753" s="122">
        <v>160.76437939710056</v>
      </c>
      <c r="K753" s="148"/>
      <c r="L753" s="148"/>
      <c r="M753" s="122">
        <f>J753-O753</f>
        <v>-276.27895330831655</v>
      </c>
      <c r="N753" s="148"/>
      <c r="O753" s="122">
        <v>437.04333270541707</v>
      </c>
      <c r="P753" s="122">
        <f>Q753-O753</f>
        <v>10.777349819016024</v>
      </c>
      <c r="Q753" s="122">
        <v>447.8206825244331</v>
      </c>
      <c r="R753" s="148"/>
      <c r="S753" s="172">
        <f>IFERROR(Q753/O753,"-")</f>
        <v>1.0246596824902952</v>
      </c>
      <c r="T753" s="178" t="str">
        <f>IFERROR(R753/K753-1,"-")</f>
        <v>-</v>
      </c>
      <c r="U753" s="64"/>
    </row>
    <row r="754" spans="2:21" x14ac:dyDescent="0.2">
      <c r="D754" s="356"/>
      <c r="F754" s="366"/>
      <c r="H754" s="148"/>
      <c r="I754" s="148"/>
      <c r="J754" s="148"/>
      <c r="K754" s="148"/>
      <c r="L754" s="148"/>
      <c r="M754" s="148"/>
      <c r="N754" s="148"/>
      <c r="O754" s="148"/>
      <c r="P754" s="148"/>
      <c r="Q754" s="148"/>
      <c r="R754" s="148"/>
      <c r="S754" s="151"/>
      <c r="T754" s="180"/>
    </row>
    <row r="755" spans="2:21" x14ac:dyDescent="0.2">
      <c r="D755" s="356" t="s">
        <v>623</v>
      </c>
      <c r="F755" s="366"/>
      <c r="H755" s="148"/>
      <c r="I755" s="148"/>
      <c r="J755" s="148"/>
      <c r="K755" s="148"/>
      <c r="L755" s="148"/>
      <c r="M755" s="148"/>
      <c r="N755" s="148"/>
      <c r="O755" s="148"/>
      <c r="P755" s="148"/>
      <c r="Q755" s="148"/>
      <c r="R755" s="148"/>
      <c r="S755" s="151"/>
      <c r="T755" s="180"/>
    </row>
    <row r="756" spans="2:21" x14ac:dyDescent="0.2">
      <c r="B756" s="64">
        <f>MAX(B$736:B755)+1</f>
        <v>20</v>
      </c>
      <c r="D756" s="27" t="s">
        <v>1051</v>
      </c>
      <c r="F756" s="360" t="s">
        <v>104</v>
      </c>
      <c r="H756" s="122">
        <v>4834911.8473035097</v>
      </c>
      <c r="I756" s="148"/>
      <c r="J756" s="122">
        <v>225.86213270525406</v>
      </c>
      <c r="K756" s="148"/>
      <c r="L756" s="148"/>
      <c r="M756" s="122">
        <f>J756-O756</f>
        <v>-61.486298503026092</v>
      </c>
      <c r="N756" s="148"/>
      <c r="O756" s="122">
        <v>287.34843120828015</v>
      </c>
      <c r="P756" s="122">
        <f>Q756-O756</f>
        <v>-2.1634040003694963</v>
      </c>
      <c r="Q756" s="122">
        <v>285.18502720791065</v>
      </c>
      <c r="R756" s="148"/>
      <c r="S756" s="172">
        <f>IFERROR(Q756/O756,"-")</f>
        <v>0.99247114734097375</v>
      </c>
      <c r="T756" s="178" t="str">
        <f>IFERROR(R756/K756-1,"-")</f>
        <v>-</v>
      </c>
    </row>
    <row r="757" spans="2:21" x14ac:dyDescent="0.2">
      <c r="B757" s="64">
        <f>MAX(B$736:B756)+1</f>
        <v>21</v>
      </c>
      <c r="D757" s="27" t="s">
        <v>1050</v>
      </c>
      <c r="F757" s="360" t="s">
        <v>104</v>
      </c>
      <c r="H757" s="122">
        <v>204967728.36268201</v>
      </c>
      <c r="I757" s="148"/>
      <c r="J757" s="122">
        <v>3043.347625504985</v>
      </c>
      <c r="K757" s="148"/>
      <c r="L757" s="148"/>
      <c r="M757" s="122">
        <f>J757-O757</f>
        <v>-2875.5380039197712</v>
      </c>
      <c r="N757" s="148"/>
      <c r="O757" s="122">
        <v>5918.8856294247562</v>
      </c>
      <c r="P757" s="122">
        <f>Q757-O757</f>
        <v>-3.9644915340768421</v>
      </c>
      <c r="Q757" s="122">
        <v>5914.9211378906793</v>
      </c>
      <c r="R757" s="148"/>
      <c r="S757" s="172">
        <f>IFERROR(Q757/O757,"-")</f>
        <v>0.99933019629330766</v>
      </c>
      <c r="T757" s="178" t="str">
        <f>IFERROR(R757/K757-1,"-")</f>
        <v>-</v>
      </c>
    </row>
    <row r="758" spans="2:21" x14ac:dyDescent="0.2">
      <c r="H758" s="148"/>
      <c r="I758" s="148"/>
      <c r="J758" s="148"/>
      <c r="K758" s="148"/>
      <c r="L758" s="148"/>
      <c r="M758" s="148"/>
      <c r="N758" s="148"/>
      <c r="O758" s="148"/>
      <c r="P758" s="148"/>
      <c r="Q758" s="122"/>
      <c r="R758" s="148"/>
      <c r="S758" s="148"/>
      <c r="T758" s="180"/>
    </row>
    <row r="759" spans="2:21" ht="13.5" thickBot="1" x14ac:dyDescent="0.25">
      <c r="B759" s="64">
        <f>MAX(B$736:B758)+1</f>
        <v>22</v>
      </c>
      <c r="D759" s="35" t="s">
        <v>624</v>
      </c>
      <c r="E759" s="45"/>
      <c r="F759" s="45"/>
      <c r="H759" s="159">
        <f>SUM(H752:H757)</f>
        <v>576446514.25498545</v>
      </c>
      <c r="I759" s="239"/>
      <c r="J759" s="159">
        <f>SUM(J736:J757)</f>
        <v>123641.88959884401</v>
      </c>
      <c r="K759" s="140">
        <f>J759/$H759*100</f>
        <v>2.1448978620096613E-2</v>
      </c>
      <c r="L759" s="239"/>
      <c r="M759" s="159">
        <f>SUM(M736:M757)</f>
        <v>-4630.6523697984694</v>
      </c>
      <c r="N759" s="238"/>
      <c r="O759" s="159">
        <f>SUM(O736:O757)</f>
        <v>128272.54196864252</v>
      </c>
      <c r="P759" s="159">
        <f>SUM(P736:P757)</f>
        <v>10.530602348967989</v>
      </c>
      <c r="Q759" s="159">
        <f>SUM(Q736:Q757)</f>
        <v>128283.07257099145</v>
      </c>
      <c r="R759" s="140">
        <f>Q759/$H759*100</f>
        <v>2.2254115412040934E-2</v>
      </c>
      <c r="S759" s="345">
        <f>Q759/O759</f>
        <v>1.0000820955302461</v>
      </c>
      <c r="T759" s="179">
        <f>R759/K759-1</f>
        <v>3.7537302181370524E-2</v>
      </c>
    </row>
    <row r="760" spans="2:21" ht="13.5" thickTop="1" x14ac:dyDescent="0.2">
      <c r="H760" s="148"/>
      <c r="I760" s="148"/>
      <c r="J760" s="148"/>
      <c r="K760" s="148"/>
      <c r="L760" s="148"/>
      <c r="M760" s="148"/>
      <c r="N760" s="148"/>
      <c r="O760" s="148"/>
      <c r="P760" s="148"/>
      <c r="Q760" s="148"/>
      <c r="R760" s="148"/>
      <c r="S760" s="148"/>
      <c r="T760" s="155"/>
    </row>
    <row r="761" spans="2:21" x14ac:dyDescent="0.2">
      <c r="B761" s="166" t="s">
        <v>506</v>
      </c>
      <c r="C761" s="169"/>
      <c r="D761" s="169"/>
      <c r="E761" s="169"/>
      <c r="F761" s="169"/>
      <c r="G761" s="169"/>
      <c r="H761" s="169"/>
      <c r="I761" s="169"/>
      <c r="J761" s="169"/>
      <c r="K761" s="169"/>
      <c r="L761" s="169"/>
      <c r="M761" s="169"/>
      <c r="N761" s="169"/>
      <c r="O761" s="169"/>
      <c r="P761" s="169"/>
      <c r="Q761" s="169"/>
      <c r="R761" s="169"/>
      <c r="S761" s="169"/>
      <c r="T761" s="169"/>
    </row>
    <row r="762" spans="2:21" x14ac:dyDescent="0.2">
      <c r="B762" s="194" t="s">
        <v>939</v>
      </c>
      <c r="C762" s="166"/>
      <c r="D762" s="166"/>
      <c r="E762" s="166"/>
      <c r="F762" s="166"/>
      <c r="G762" s="166"/>
      <c r="H762" s="166"/>
      <c r="I762" s="166"/>
      <c r="J762" s="166"/>
      <c r="K762" s="166"/>
      <c r="L762" s="166"/>
      <c r="M762" s="166"/>
      <c r="N762" s="166"/>
      <c r="O762" s="166"/>
      <c r="P762" s="166"/>
      <c r="Q762" s="166"/>
      <c r="R762" s="166"/>
      <c r="S762" s="166"/>
      <c r="T762" s="166"/>
    </row>
    <row r="763" spans="2:21" x14ac:dyDescent="0.2">
      <c r="C763" s="64"/>
      <c r="D763" s="64"/>
      <c r="E763" s="64"/>
      <c r="F763" s="170"/>
      <c r="G763" s="64"/>
      <c r="H763" s="170"/>
      <c r="I763" s="64"/>
      <c r="J763" s="170"/>
      <c r="K763" s="170"/>
      <c r="L763" s="170"/>
      <c r="M763" s="170"/>
      <c r="N763" s="64"/>
      <c r="O763" s="64"/>
      <c r="P763" s="64"/>
      <c r="Q763" s="64"/>
      <c r="R763" s="64"/>
      <c r="S763" s="63"/>
      <c r="T763" s="63"/>
    </row>
    <row r="764" spans="2:21" x14ac:dyDescent="0.2">
      <c r="B764" s="170"/>
      <c r="C764" s="170"/>
      <c r="D764" s="170"/>
      <c r="E764" s="170"/>
      <c r="F764" s="60"/>
      <c r="G764" s="170"/>
      <c r="H764" s="60"/>
      <c r="I764" s="170"/>
      <c r="J764" s="173" t="s">
        <v>57</v>
      </c>
      <c r="K764" s="173"/>
      <c r="L764" s="170"/>
      <c r="M764" s="170"/>
      <c r="N764" s="170"/>
      <c r="O764" s="173" t="s">
        <v>60</v>
      </c>
      <c r="P764" s="173"/>
      <c r="Q764" s="173"/>
      <c r="R764" s="173"/>
      <c r="S764" s="174"/>
      <c r="T764" s="174"/>
    </row>
    <row r="765" spans="2:21" ht="38.25" x14ac:dyDescent="0.2">
      <c r="B765" s="154" t="s">
        <v>0</v>
      </c>
      <c r="C765" s="154"/>
      <c r="D765" s="154"/>
      <c r="E765" s="154"/>
      <c r="F765" s="60" t="s">
        <v>47</v>
      </c>
      <c r="G765" s="154"/>
      <c r="H765" s="45" t="s">
        <v>746</v>
      </c>
      <c r="I765" s="154"/>
      <c r="J765" s="45" t="s">
        <v>61</v>
      </c>
      <c r="K765" s="45" t="s">
        <v>571</v>
      </c>
      <c r="L765" s="154"/>
      <c r="M765" s="45" t="s">
        <v>34</v>
      </c>
      <c r="N765" s="154"/>
      <c r="O765" s="154" t="s">
        <v>79</v>
      </c>
      <c r="P765" s="45" t="s">
        <v>34</v>
      </c>
      <c r="Q765" s="45" t="s">
        <v>61</v>
      </c>
      <c r="R765" s="45" t="s">
        <v>69</v>
      </c>
      <c r="S765" s="154" t="s">
        <v>745</v>
      </c>
      <c r="T765" s="154" t="s">
        <v>747</v>
      </c>
    </row>
    <row r="766" spans="2:21" x14ac:dyDescent="0.2">
      <c r="B766" s="520" t="s">
        <v>1</v>
      </c>
      <c r="C766" s="33"/>
      <c r="D766" s="185" t="s">
        <v>33</v>
      </c>
      <c r="E766" s="64"/>
      <c r="F766" s="520" t="s">
        <v>48</v>
      </c>
      <c r="G766" s="64"/>
      <c r="H766" s="520" t="s">
        <v>560</v>
      </c>
      <c r="I766" s="64"/>
      <c r="J766" s="520" t="s">
        <v>389</v>
      </c>
      <c r="K766" s="520" t="s">
        <v>98</v>
      </c>
      <c r="L766" s="64"/>
      <c r="M766" s="520" t="s">
        <v>389</v>
      </c>
      <c r="N766" s="64"/>
      <c r="O766" s="520" t="s">
        <v>389</v>
      </c>
      <c r="P766" s="520" t="s">
        <v>389</v>
      </c>
      <c r="Q766" s="520" t="s">
        <v>389</v>
      </c>
      <c r="R766" s="520" t="s">
        <v>98</v>
      </c>
      <c r="S766" s="520" t="s">
        <v>36</v>
      </c>
      <c r="T766" s="520" t="s">
        <v>2</v>
      </c>
    </row>
    <row r="767" spans="2:21" x14ac:dyDescent="0.2">
      <c r="B767" s="64"/>
      <c r="C767" s="33"/>
      <c r="D767" s="33"/>
      <c r="E767" s="64"/>
      <c r="F767" s="64"/>
      <c r="G767" s="64"/>
      <c r="H767" s="64" t="s">
        <v>3</v>
      </c>
      <c r="I767" s="64"/>
      <c r="J767" s="64" t="s">
        <v>4</v>
      </c>
      <c r="K767" s="64" t="s">
        <v>58</v>
      </c>
      <c r="L767" s="64"/>
      <c r="M767" s="64" t="s">
        <v>59</v>
      </c>
      <c r="N767" s="64"/>
      <c r="O767" s="64" t="s">
        <v>63</v>
      </c>
      <c r="P767" s="64" t="s">
        <v>227</v>
      </c>
      <c r="Q767" s="175" t="s">
        <v>38</v>
      </c>
      <c r="R767" s="175" t="s">
        <v>70</v>
      </c>
      <c r="S767" s="175" t="s">
        <v>479</v>
      </c>
      <c r="T767" s="175" t="s">
        <v>71</v>
      </c>
    </row>
    <row r="768" spans="2:21" x14ac:dyDescent="0.2">
      <c r="H768" s="148"/>
      <c r="I768" s="148"/>
      <c r="J768" s="148"/>
      <c r="K768" s="148"/>
      <c r="L768" s="148"/>
      <c r="M768" s="148"/>
      <c r="N768" s="148"/>
      <c r="O768" s="148"/>
      <c r="P768" s="148"/>
      <c r="Q768" s="148"/>
      <c r="R768" s="148"/>
      <c r="S768" s="148"/>
      <c r="T768" s="155"/>
    </row>
    <row r="769" spans="2:21" x14ac:dyDescent="0.2">
      <c r="D769" s="379" t="s">
        <v>43</v>
      </c>
      <c r="H769" s="148"/>
      <c r="I769" s="148"/>
      <c r="J769" s="148"/>
      <c r="K769" s="148"/>
      <c r="L769" s="148"/>
      <c r="M769" s="148"/>
      <c r="N769" s="148"/>
      <c r="O769" s="148"/>
      <c r="P769" s="148"/>
      <c r="Q769" s="148"/>
      <c r="R769" s="148"/>
      <c r="S769" s="148"/>
      <c r="T769" s="155"/>
    </row>
    <row r="770" spans="2:21" x14ac:dyDescent="0.2">
      <c r="D770" s="26" t="s">
        <v>619</v>
      </c>
      <c r="H770" s="148"/>
      <c r="I770" s="148"/>
      <c r="J770" s="148"/>
      <c r="K770" s="148"/>
      <c r="L770" s="148"/>
      <c r="M770" s="148"/>
      <c r="N770" s="148"/>
      <c r="O770" s="148"/>
      <c r="P770" s="148"/>
      <c r="Q770" s="148"/>
      <c r="R770" s="148"/>
      <c r="S770" s="148"/>
      <c r="T770" s="155"/>
    </row>
    <row r="771" spans="2:21" x14ac:dyDescent="0.2">
      <c r="B771" s="64">
        <f>MAX(B$736:B770)+1</f>
        <v>23</v>
      </c>
      <c r="D771" s="380" t="s">
        <v>625</v>
      </c>
      <c r="F771" s="360" t="s">
        <v>97</v>
      </c>
      <c r="H771" s="122">
        <v>0</v>
      </c>
      <c r="I771" s="148"/>
      <c r="J771" s="122">
        <f>H771*K771*12/1000</f>
        <v>0</v>
      </c>
      <c r="K771" s="158">
        <v>2.3260000000000001</v>
      </c>
      <c r="L771" s="148"/>
      <c r="M771" s="122">
        <f>J771-O771</f>
        <v>0</v>
      </c>
      <c r="N771" s="148"/>
      <c r="O771" s="122">
        <v>0</v>
      </c>
      <c r="P771" s="122">
        <f>Q771-O771</f>
        <v>0</v>
      </c>
      <c r="Q771" s="198">
        <f>R771*H771*12/1000</f>
        <v>0</v>
      </c>
      <c r="R771" s="158">
        <v>6.6401399005200359</v>
      </c>
      <c r="S771" s="172" t="str">
        <f>IFERROR(Q771/O771,"-")</f>
        <v>-</v>
      </c>
      <c r="T771" s="178">
        <f>IFERROR(R771/K771-1,"-")</f>
        <v>1.8547463028890951</v>
      </c>
    </row>
    <row r="772" spans="2:21" x14ac:dyDescent="0.2">
      <c r="B772" s="64">
        <f>MAX(B771:B$771)+1</f>
        <v>24</v>
      </c>
      <c r="D772" s="380" t="s">
        <v>626</v>
      </c>
      <c r="F772" s="360" t="s">
        <v>97</v>
      </c>
      <c r="H772" s="122">
        <v>36927</v>
      </c>
      <c r="I772" s="148"/>
      <c r="J772" s="122">
        <f>H772*K772*12/1000</f>
        <v>1030.7064240000002</v>
      </c>
      <c r="K772" s="158">
        <v>2.3260000000000001</v>
      </c>
      <c r="L772" s="148"/>
      <c r="M772" s="122">
        <f>J772-O772</f>
        <v>1030.7064240000002</v>
      </c>
      <c r="N772" s="148"/>
      <c r="O772" s="122">
        <v>0</v>
      </c>
      <c r="P772" s="122">
        <f>Q772-O772</f>
        <v>806.13845295288763</v>
      </c>
      <c r="Q772" s="122">
        <f>R772*H772*12/1000</f>
        <v>806.13845295288763</v>
      </c>
      <c r="R772" s="158">
        <v>1.8192164111013795</v>
      </c>
      <c r="S772" s="172" t="str">
        <f>IFERROR(Q772/O772,"-")</f>
        <v>-</v>
      </c>
      <c r="T772" s="178">
        <f>IFERROR(R772/K772-1,"-")</f>
        <v>-0.21787772523586435</v>
      </c>
    </row>
    <row r="773" spans="2:21" x14ac:dyDescent="0.2">
      <c r="B773" s="64">
        <f>MAX(B$771:B772)+1</f>
        <v>25</v>
      </c>
      <c r="D773" s="27" t="s">
        <v>627</v>
      </c>
      <c r="F773" s="360" t="s">
        <v>97</v>
      </c>
      <c r="H773" s="122">
        <v>203626</v>
      </c>
      <c r="I773" s="148"/>
      <c r="J773" s="122">
        <f>H773*K773*12/1000</f>
        <v>78.192384000000004</v>
      </c>
      <c r="K773" s="158">
        <v>3.2000000000000001E-2</v>
      </c>
      <c r="L773" s="148"/>
      <c r="M773" s="122">
        <f>J773-O773</f>
        <v>78.192384000000004</v>
      </c>
      <c r="N773" s="148"/>
      <c r="O773" s="122">
        <v>0</v>
      </c>
      <c r="P773" s="122">
        <f>Q773-O773</f>
        <v>38.879567507855178</v>
      </c>
      <c r="Q773" s="122">
        <f>R773*H773*12/1000</f>
        <v>38.879567507855178</v>
      </c>
      <c r="R773" s="158">
        <v>1.5911347072514962E-2</v>
      </c>
      <c r="S773" s="172" t="str">
        <f>IFERROR(Q773/O773,"-")</f>
        <v>-</v>
      </c>
      <c r="T773" s="178">
        <f>IFERROR(R773/K773-1,"-")</f>
        <v>-0.50277040398390738</v>
      </c>
    </row>
    <row r="774" spans="2:21" x14ac:dyDescent="0.2">
      <c r="B774" s="64">
        <f>MAX(B$771:B773)+1</f>
        <v>26</v>
      </c>
      <c r="D774" s="378" t="s">
        <v>96</v>
      </c>
      <c r="F774" s="360" t="s">
        <v>97</v>
      </c>
      <c r="H774" s="122">
        <v>110781</v>
      </c>
      <c r="I774" s="148"/>
      <c r="J774" s="122">
        <f>H774*K774*12/1000</f>
        <v>102.361644</v>
      </c>
      <c r="K774" s="158">
        <v>7.6999999999999999E-2</v>
      </c>
      <c r="L774" s="148"/>
      <c r="M774" s="122">
        <f>J774-O774</f>
        <v>34.694016714318323</v>
      </c>
      <c r="N774" s="148"/>
      <c r="O774" s="122">
        <v>67.667627285681675</v>
      </c>
      <c r="P774" s="122">
        <f>Q774-O774</f>
        <v>0</v>
      </c>
      <c r="Q774" s="122">
        <f>O774</f>
        <v>67.667627285681675</v>
      </c>
      <c r="R774" s="158">
        <v>5.0999999999999997E-2</v>
      </c>
      <c r="S774" s="172">
        <f>IFERROR(Q774/O774,"-")</f>
        <v>1</v>
      </c>
      <c r="T774" s="178">
        <f>IFERROR(R774/K774-1,"-")</f>
        <v>-0.33766233766233766</v>
      </c>
    </row>
    <row r="775" spans="2:21" x14ac:dyDescent="0.2">
      <c r="B775" s="64">
        <f>MAX(B$771:B774)+1</f>
        <v>27</v>
      </c>
      <c r="D775" s="27" t="s">
        <v>628</v>
      </c>
      <c r="F775" s="360" t="s">
        <v>97</v>
      </c>
      <c r="H775" s="122">
        <v>500000</v>
      </c>
      <c r="I775" s="148"/>
      <c r="J775" s="122">
        <f>H775*K775*12/1000</f>
        <v>912</v>
      </c>
      <c r="K775" s="158">
        <v>0.152</v>
      </c>
      <c r="L775" s="148"/>
      <c r="M775" s="122">
        <f>J775-O775</f>
        <v>912</v>
      </c>
      <c r="N775" s="148"/>
      <c r="O775" s="122">
        <v>0</v>
      </c>
      <c r="P775" s="122">
        <f>Q775-O775</f>
        <v>159.11347072514798</v>
      </c>
      <c r="Q775" s="122">
        <v>159.11347072514798</v>
      </c>
      <c r="R775" s="158">
        <v>2.3867020608772445E-2</v>
      </c>
      <c r="S775" s="172" t="str">
        <f>IFERROR(Q775/O775,"-")</f>
        <v>-</v>
      </c>
      <c r="T775" s="178">
        <f>IFERROR(R775/K775-1,"-")</f>
        <v>-0.84298012757386553</v>
      </c>
    </row>
    <row r="776" spans="2:21" x14ac:dyDescent="0.2">
      <c r="H776" s="148"/>
      <c r="I776" s="148"/>
      <c r="J776" s="148"/>
      <c r="K776" s="148"/>
      <c r="L776" s="148"/>
      <c r="M776" s="148"/>
      <c r="N776" s="148"/>
      <c r="O776" s="148"/>
      <c r="P776" s="148"/>
      <c r="Q776" s="238"/>
      <c r="R776" s="148"/>
      <c r="S776" s="148"/>
      <c r="T776" s="180"/>
    </row>
    <row r="777" spans="2:21" x14ac:dyDescent="0.2">
      <c r="D777" s="26" t="s">
        <v>321</v>
      </c>
      <c r="H777" s="148"/>
      <c r="I777" s="148"/>
      <c r="J777" s="148"/>
      <c r="K777" s="148"/>
      <c r="L777" s="148"/>
      <c r="M777" s="148"/>
      <c r="N777" s="148"/>
      <c r="O777" s="148"/>
      <c r="P777" s="148"/>
      <c r="Q777" s="238"/>
      <c r="R777" s="148"/>
      <c r="S777" s="148"/>
      <c r="T777" s="155"/>
    </row>
    <row r="778" spans="2:21" x14ac:dyDescent="0.2">
      <c r="D778" s="359" t="s">
        <v>109</v>
      </c>
      <c r="H778" s="148"/>
      <c r="I778" s="148"/>
      <c r="J778" s="148"/>
      <c r="K778" s="148"/>
      <c r="L778" s="148"/>
      <c r="M778" s="148"/>
      <c r="N778" s="148"/>
      <c r="O778" s="148"/>
      <c r="P778" s="148"/>
      <c r="Q778" s="238"/>
      <c r="R778" s="148"/>
      <c r="S778" s="148"/>
      <c r="T778" s="155"/>
    </row>
    <row r="779" spans="2:21" x14ac:dyDescent="0.2">
      <c r="D779" s="336" t="s">
        <v>1053</v>
      </c>
      <c r="F779" s="366"/>
      <c r="H779" s="148"/>
      <c r="I779" s="148"/>
      <c r="J779" s="148"/>
      <c r="K779" s="148"/>
      <c r="L779" s="148"/>
      <c r="M779" s="148"/>
      <c r="N779" s="148"/>
      <c r="O779" s="148"/>
      <c r="P779" s="148"/>
      <c r="Q779" s="238"/>
      <c r="R779" s="148"/>
      <c r="S779" s="148"/>
      <c r="T779" s="155"/>
    </row>
    <row r="780" spans="2:21" x14ac:dyDescent="0.2">
      <c r="B780" s="64">
        <f>MAX(B$771:B779)+1</f>
        <v>28</v>
      </c>
      <c r="D780" s="381" t="s">
        <v>107</v>
      </c>
      <c r="F780" s="360" t="s">
        <v>104</v>
      </c>
      <c r="H780" s="122">
        <v>182561.93109999999</v>
      </c>
      <c r="I780" s="148"/>
      <c r="J780" s="122">
        <v>3.7415094940005567</v>
      </c>
      <c r="K780" s="148"/>
      <c r="L780" s="148"/>
      <c r="M780" s="122">
        <f>J780-O780</f>
        <v>-0.94801037159213397</v>
      </c>
      <c r="N780" s="148"/>
      <c r="O780" s="122">
        <v>4.6895198655926906</v>
      </c>
      <c r="P780" s="122">
        <f>Q780-O780</f>
        <v>0</v>
      </c>
      <c r="Q780" s="122">
        <v>4.6895198655926906</v>
      </c>
      <c r="R780" s="148"/>
      <c r="S780" s="172">
        <f>IFERROR(Q780/O780,"-")</f>
        <v>1</v>
      </c>
      <c r="T780" s="133" t="str">
        <f>IFERROR(R780/K780-1,"-")</f>
        <v>-</v>
      </c>
    </row>
    <row r="781" spans="2:21" x14ac:dyDescent="0.2">
      <c r="B781" s="64">
        <f>MAX(B$771:B780)+1</f>
        <v>29</v>
      </c>
      <c r="D781" s="381" t="s">
        <v>106</v>
      </c>
      <c r="F781" s="360" t="s">
        <v>104</v>
      </c>
      <c r="H781" s="122">
        <v>36496498.858000003</v>
      </c>
      <c r="I781" s="148"/>
      <c r="J781" s="122">
        <v>534.17159271005198</v>
      </c>
      <c r="K781" s="148"/>
      <c r="L781" s="148"/>
      <c r="M781" s="122">
        <f>J781-O781</f>
        <v>-403.32427725542493</v>
      </c>
      <c r="N781" s="148"/>
      <c r="O781" s="122">
        <v>937.49586996547691</v>
      </c>
      <c r="P781" s="122">
        <f>Q781-O781</f>
        <v>0</v>
      </c>
      <c r="Q781" s="122">
        <v>937.49586996547691</v>
      </c>
      <c r="R781" s="148"/>
      <c r="S781" s="172">
        <f>IFERROR(Q781/O781,"-")</f>
        <v>1</v>
      </c>
      <c r="T781" s="133" t="str">
        <f>IFERROR(R781/K781-1,"-")</f>
        <v>-</v>
      </c>
    </row>
    <row r="782" spans="2:21" x14ac:dyDescent="0.2">
      <c r="B782" s="64">
        <f>MAX(B$771:B781)+1</f>
        <v>30</v>
      </c>
      <c r="D782" s="381" t="s">
        <v>110</v>
      </c>
      <c r="F782" s="360" t="s">
        <v>104</v>
      </c>
      <c r="H782" s="122">
        <v>10101454.704</v>
      </c>
      <c r="I782" s="148"/>
      <c r="J782" s="122">
        <v>222.75142613254567</v>
      </c>
      <c r="K782" s="148"/>
      <c r="L782" s="148"/>
      <c r="M782" s="122">
        <f>J782-O782</f>
        <v>-258.39681488077065</v>
      </c>
      <c r="N782" s="148"/>
      <c r="O782" s="122">
        <v>481.14824101331635</v>
      </c>
      <c r="P782" s="122">
        <f>Q782-O782</f>
        <v>0</v>
      </c>
      <c r="Q782" s="122">
        <v>481.14824101331635</v>
      </c>
      <c r="R782" s="148"/>
      <c r="S782" s="172">
        <f>IFERROR(Q782/O782,"-")</f>
        <v>1</v>
      </c>
      <c r="T782" s="133" t="str">
        <f>IFERROR(R782/K782-1,"-")</f>
        <v>-</v>
      </c>
      <c r="U782" s="31"/>
    </row>
    <row r="783" spans="2:21" x14ac:dyDescent="0.2">
      <c r="B783" s="64">
        <f>MAX(B$771:B782)+1</f>
        <v>31</v>
      </c>
      <c r="D783" s="381" t="s">
        <v>111</v>
      </c>
      <c r="F783" s="360" t="s">
        <v>104</v>
      </c>
      <c r="H783" s="122">
        <v>0</v>
      </c>
      <c r="I783" s="148"/>
      <c r="J783" s="122">
        <v>0</v>
      </c>
      <c r="K783" s="148"/>
      <c r="L783" s="148"/>
      <c r="M783" s="122">
        <f>J783-O783</f>
        <v>0</v>
      </c>
      <c r="N783" s="148"/>
      <c r="O783" s="122">
        <v>0</v>
      </c>
      <c r="P783" s="122">
        <f>Q783-O783</f>
        <v>0</v>
      </c>
      <c r="Q783" s="122">
        <v>0</v>
      </c>
      <c r="R783" s="148"/>
      <c r="S783" s="148"/>
      <c r="T783" s="133" t="str">
        <f>IFERROR(R783/K783-1,"-")</f>
        <v>-</v>
      </c>
    </row>
    <row r="784" spans="2:21" ht="12" customHeight="1" x14ac:dyDescent="0.2">
      <c r="D784" s="366"/>
      <c r="F784" s="366"/>
      <c r="H784" s="148"/>
      <c r="I784" s="148"/>
      <c r="J784" s="148"/>
      <c r="K784" s="148"/>
      <c r="L784" s="148"/>
      <c r="M784" s="148"/>
      <c r="N784" s="148"/>
      <c r="O784" s="148"/>
      <c r="P784" s="148"/>
      <c r="Q784" s="238"/>
      <c r="R784" s="148"/>
      <c r="S784" s="148"/>
      <c r="T784" s="155"/>
    </row>
    <row r="785" spans="2:21" s="45" customFormat="1" x14ac:dyDescent="0.2">
      <c r="B785" s="63"/>
      <c r="C785" s="28"/>
      <c r="D785" s="359" t="s">
        <v>112</v>
      </c>
      <c r="E785" s="28"/>
      <c r="F785" s="360"/>
      <c r="G785" s="28"/>
      <c r="H785" s="148"/>
      <c r="I785" s="148"/>
      <c r="J785" s="148"/>
      <c r="K785" s="148"/>
      <c r="L785" s="148"/>
      <c r="M785" s="148"/>
      <c r="N785" s="148"/>
      <c r="O785" s="148"/>
      <c r="P785" s="148"/>
      <c r="Q785" s="238"/>
      <c r="R785" s="148"/>
      <c r="S785" s="148"/>
      <c r="T785" s="155"/>
      <c r="U785" s="154"/>
    </row>
    <row r="786" spans="2:21" x14ac:dyDescent="0.2">
      <c r="D786" s="336" t="s">
        <v>1053</v>
      </c>
      <c r="F786" s="366"/>
      <c r="H786" s="148"/>
      <c r="I786" s="148"/>
      <c r="J786" s="148"/>
      <c r="K786" s="148"/>
      <c r="L786" s="148"/>
      <c r="M786" s="148"/>
      <c r="N786" s="148"/>
      <c r="O786" s="148"/>
      <c r="P786" s="148"/>
      <c r="Q786" s="238"/>
      <c r="R786" s="148"/>
      <c r="S786" s="148"/>
      <c r="T786" s="155"/>
      <c r="U786" s="64"/>
    </row>
    <row r="787" spans="2:21" x14ac:dyDescent="0.2">
      <c r="B787" s="64">
        <f>MAX(B$771:B786)+1</f>
        <v>32</v>
      </c>
      <c r="D787" s="381" t="s">
        <v>113</v>
      </c>
      <c r="F787" s="360" t="s">
        <v>104</v>
      </c>
      <c r="H787" s="122">
        <v>0</v>
      </c>
      <c r="I787" s="148"/>
      <c r="J787" s="122">
        <v>0</v>
      </c>
      <c r="K787" s="148"/>
      <c r="L787" s="148"/>
      <c r="M787" s="122">
        <f>J787-O787</f>
        <v>0</v>
      </c>
      <c r="N787" s="148"/>
      <c r="O787" s="122">
        <v>0</v>
      </c>
      <c r="P787" s="122">
        <f>Q787-O787</f>
        <v>0</v>
      </c>
      <c r="Q787" s="122">
        <v>0</v>
      </c>
      <c r="R787" s="148"/>
      <c r="S787" s="172" t="str">
        <f>IFERROR(Q787/O787,"-")</f>
        <v>-</v>
      </c>
      <c r="T787" s="133" t="str">
        <f>IFERROR(R787/K787-1,"-")</f>
        <v>-</v>
      </c>
      <c r="U787" s="64"/>
    </row>
    <row r="788" spans="2:21" x14ac:dyDescent="0.2">
      <c r="B788" s="64">
        <f>MAX(B$771:B787)+1</f>
        <v>33</v>
      </c>
      <c r="D788" s="381" t="s">
        <v>102</v>
      </c>
      <c r="F788" s="360" t="s">
        <v>104</v>
      </c>
      <c r="H788" s="122">
        <v>0</v>
      </c>
      <c r="I788" s="148"/>
      <c r="J788" s="122">
        <v>0</v>
      </c>
      <c r="K788" s="148"/>
      <c r="L788" s="148"/>
      <c r="M788" s="122">
        <f>J788-O788</f>
        <v>0</v>
      </c>
      <c r="N788" s="148"/>
      <c r="O788" s="122">
        <v>0</v>
      </c>
      <c r="P788" s="122">
        <f>Q788-O788</f>
        <v>0</v>
      </c>
      <c r="Q788" s="122">
        <v>0</v>
      </c>
      <c r="R788" s="148"/>
      <c r="S788" s="172" t="str">
        <f>IFERROR(Q788/O788,"-")</f>
        <v>-</v>
      </c>
      <c r="T788" s="133" t="str">
        <f>IFERROR(R788/K788-1,"-")</f>
        <v>-</v>
      </c>
    </row>
    <row r="789" spans="2:21" x14ac:dyDescent="0.2">
      <c r="H789" s="148"/>
      <c r="I789" s="148"/>
      <c r="J789" s="148"/>
      <c r="K789" s="148"/>
      <c r="L789" s="148"/>
      <c r="M789" s="148"/>
      <c r="N789" s="148"/>
      <c r="O789" s="148"/>
      <c r="P789" s="148"/>
      <c r="Q789" s="238"/>
      <c r="R789" s="148"/>
      <c r="S789" s="148"/>
      <c r="T789" s="155"/>
    </row>
    <row r="790" spans="2:21" x14ac:dyDescent="0.2">
      <c r="B790" s="64">
        <f>MAX(B$771:B789)+1</f>
        <v>34</v>
      </c>
      <c r="D790" s="28" t="s">
        <v>114</v>
      </c>
      <c r="F790" s="360" t="s">
        <v>104</v>
      </c>
      <c r="H790" s="122">
        <v>45665000</v>
      </c>
      <c r="I790" s="148"/>
      <c r="J790" s="122">
        <v>12138.692302499876</v>
      </c>
      <c r="K790" s="148"/>
      <c r="L790" s="148"/>
      <c r="M790" s="122">
        <f>J790-O790</f>
        <v>12117.775740074983</v>
      </c>
      <c r="N790" s="148"/>
      <c r="O790" s="122">
        <v>20.916562424892923</v>
      </c>
      <c r="P790" s="122">
        <f>Q790-O790</f>
        <v>12117.775740074983</v>
      </c>
      <c r="Q790" s="122">
        <v>12138.692302499876</v>
      </c>
      <c r="R790" s="148"/>
      <c r="S790" s="172">
        <f>IFERROR(Q790/O790,"-")</f>
        <v>580.33877918933501</v>
      </c>
      <c r="T790" s="133" t="str">
        <f>IFERROR(R790/K790-1,"-")</f>
        <v>-</v>
      </c>
    </row>
    <row r="791" spans="2:21" x14ac:dyDescent="0.2">
      <c r="B791" s="64">
        <f>MAX(B$771:B790)+1</f>
        <v>35</v>
      </c>
      <c r="D791" s="28" t="s">
        <v>1043</v>
      </c>
      <c r="H791" s="148"/>
      <c r="I791" s="148"/>
      <c r="J791" s="122">
        <v>2388.3000000000002</v>
      </c>
      <c r="K791" s="148"/>
      <c r="L791" s="148"/>
      <c r="M791" s="122">
        <f>J791-O791</f>
        <v>-681.3681650491917</v>
      </c>
      <c r="N791" s="148"/>
      <c r="O791" s="122">
        <v>3069.6681650491919</v>
      </c>
      <c r="P791" s="122">
        <f>Q791-O791</f>
        <v>-10.019116186088013</v>
      </c>
      <c r="Q791" s="122">
        <v>3059.6490488631039</v>
      </c>
      <c r="R791" s="148"/>
      <c r="S791" s="172">
        <f>IFERROR(Q791/O791,"-")</f>
        <v>0.99673609144461794</v>
      </c>
      <c r="T791" s="133" t="str">
        <f>IFERROR(R791/K791-1,"-")</f>
        <v>-</v>
      </c>
    </row>
    <row r="792" spans="2:21" x14ac:dyDescent="0.2">
      <c r="H792" s="148"/>
      <c r="I792" s="148"/>
      <c r="J792" s="148"/>
      <c r="K792" s="148"/>
      <c r="L792" s="148"/>
      <c r="M792" s="148"/>
      <c r="N792" s="148"/>
      <c r="O792" s="148"/>
      <c r="P792" s="148"/>
      <c r="Q792" s="148"/>
      <c r="R792" s="148"/>
      <c r="S792" s="148"/>
      <c r="T792" s="155"/>
    </row>
    <row r="793" spans="2:21" ht="13.5" thickBot="1" x14ac:dyDescent="0.25">
      <c r="B793" s="64">
        <f>MAX(B$771:B792)+1</f>
        <v>36</v>
      </c>
      <c r="D793" s="28" t="str">
        <f>"Total " &amp;D769</f>
        <v>Total Rate C1</v>
      </c>
      <c r="H793" s="382">
        <f>SUM(H779:H791)</f>
        <v>92445515.493100002</v>
      </c>
      <c r="I793" s="383"/>
      <c r="J793" s="382">
        <f>SUM(J769:J791)</f>
        <v>17410.917282836475</v>
      </c>
      <c r="K793" s="200">
        <f>J793/$H793*100</f>
        <v>1.883370674063254E-2</v>
      </c>
      <c r="L793" s="383"/>
      <c r="M793" s="382">
        <f>SUM(M769:M791)</f>
        <v>12829.331297232322</v>
      </c>
      <c r="N793" s="384"/>
      <c r="O793" s="382">
        <f>SUM(O769:O791)</f>
        <v>4581.5859856041525</v>
      </c>
      <c r="P793" s="382">
        <f>SUM(P769:P791)</f>
        <v>13111.888115074786</v>
      </c>
      <c r="Q793" s="382">
        <f>SUM(Q769:Q791)</f>
        <v>17693.474100678937</v>
      </c>
      <c r="R793" s="200">
        <f>Q793/$H793*100</f>
        <v>1.9139353603366029E-2</v>
      </c>
      <c r="S793" s="345">
        <f>Q793/O793</f>
        <v>3.8618666453655526</v>
      </c>
      <c r="T793" s="179">
        <f>R793/K793-1</f>
        <v>1.6228715193598919E-2</v>
      </c>
    </row>
    <row r="794" spans="2:21" ht="13.5" thickTop="1" x14ac:dyDescent="0.2">
      <c r="H794" s="148"/>
      <c r="I794" s="148"/>
      <c r="J794" s="148"/>
      <c r="K794" s="148"/>
      <c r="L794" s="148"/>
      <c r="M794" s="148"/>
      <c r="N794" s="148"/>
      <c r="O794" s="148"/>
      <c r="P794" s="148"/>
      <c r="Q794" s="148"/>
      <c r="R794" s="148"/>
      <c r="S794" s="148"/>
      <c r="T794" s="148"/>
    </row>
    <row r="795" spans="2:21" x14ac:dyDescent="0.2">
      <c r="D795" s="36" t="s">
        <v>343</v>
      </c>
      <c r="E795" s="385"/>
      <c r="F795" s="385"/>
      <c r="H795" s="148"/>
      <c r="I795" s="148"/>
      <c r="J795" s="148"/>
      <c r="K795" s="148"/>
      <c r="L795" s="148"/>
      <c r="M795" s="148"/>
      <c r="N795" s="148"/>
      <c r="O795" s="148"/>
      <c r="P795" s="148"/>
      <c r="Q795" s="148"/>
      <c r="R795" s="148"/>
      <c r="S795" s="148"/>
      <c r="T795" s="155"/>
    </row>
    <row r="796" spans="2:21" x14ac:dyDescent="0.2">
      <c r="B796" s="64">
        <f>MAX(B$771:B795)+1</f>
        <v>37</v>
      </c>
      <c r="D796" s="356" t="s">
        <v>250</v>
      </c>
      <c r="F796" s="16" t="s">
        <v>55</v>
      </c>
      <c r="H796" s="122">
        <v>24</v>
      </c>
      <c r="I796" s="148"/>
      <c r="J796" s="122">
        <f>K796*H796/1000</f>
        <v>25.140720000000002</v>
      </c>
      <c r="K796" s="331">
        <v>1047.53</v>
      </c>
      <c r="L796" s="148"/>
      <c r="M796" s="122">
        <f>J796-O796</f>
        <v>24.732433783264892</v>
      </c>
      <c r="N796" s="148"/>
      <c r="O796" s="369">
        <v>0.40828621673511001</v>
      </c>
      <c r="P796" s="122">
        <f>Q796-O796</f>
        <v>10.852391775821275</v>
      </c>
      <c r="Q796" s="122">
        <f>R796*H796/1000</f>
        <v>11.260677992556385</v>
      </c>
      <c r="R796" s="331">
        <v>469.19491635651599</v>
      </c>
      <c r="S796" s="172">
        <f>IFERROR(Q796/O796,"-")</f>
        <v>27.580353024413128</v>
      </c>
      <c r="T796" s="178">
        <f>IFERROR(R796/K796-1,"-")</f>
        <v>-0.55209405329058259</v>
      </c>
    </row>
    <row r="797" spans="2:21" x14ac:dyDescent="0.2">
      <c r="B797" s="64">
        <f>MAX(B$796:B796)+1</f>
        <v>38</v>
      </c>
      <c r="D797" s="356" t="s">
        <v>251</v>
      </c>
      <c r="F797" s="16" t="s">
        <v>55</v>
      </c>
      <c r="H797" s="122">
        <v>105</v>
      </c>
      <c r="I797" s="148"/>
      <c r="J797" s="122">
        <f>K797*H797/1000</f>
        <v>109.99064999999999</v>
      </c>
      <c r="K797" s="331">
        <v>1047.53</v>
      </c>
      <c r="L797" s="148"/>
      <c r="M797" s="122">
        <f>J797-O797</f>
        <v>108.20439780178388</v>
      </c>
      <c r="N797" s="148"/>
      <c r="O797" s="122">
        <v>1.7862521982161061</v>
      </c>
      <c r="P797" s="122">
        <f>Q797-O797</f>
        <v>109.67955918602344</v>
      </c>
      <c r="Q797" s="122">
        <f>R797*H797/1000</f>
        <v>111.46581138423954</v>
      </c>
      <c r="R797" s="331">
        <v>1061.5791560403766</v>
      </c>
      <c r="S797" s="172">
        <f>IFERROR(Q797/O797,"-")</f>
        <v>62.402056941096106</v>
      </c>
      <c r="T797" s="178">
        <f>IFERROR(R797/K797-1,"-")</f>
        <v>1.3411698032874009E-2</v>
      </c>
    </row>
    <row r="798" spans="2:21" x14ac:dyDescent="0.2">
      <c r="B798" s="64">
        <f>MAX(B$796:B797)+1</f>
        <v>39</v>
      </c>
      <c r="D798" s="356" t="s">
        <v>312</v>
      </c>
      <c r="F798" s="16" t="s">
        <v>313</v>
      </c>
      <c r="H798" s="122">
        <v>7.75</v>
      </c>
      <c r="I798" s="148"/>
      <c r="J798" s="122">
        <f>K798*H798/1000</f>
        <v>0</v>
      </c>
      <c r="K798" s="122">
        <v>0</v>
      </c>
      <c r="L798" s="148"/>
      <c r="M798" s="122">
        <f>J798-O798</f>
        <v>0</v>
      </c>
      <c r="N798" s="148"/>
      <c r="O798" s="386">
        <v>0</v>
      </c>
      <c r="P798" s="122">
        <f>Q798-O798</f>
        <v>77.5</v>
      </c>
      <c r="Q798" s="122">
        <f>R798*H798/1000</f>
        <v>77.5</v>
      </c>
      <c r="R798" s="331">
        <v>10000</v>
      </c>
      <c r="S798" s="172" t="str">
        <f>IFERROR(Q798/O798,"-")</f>
        <v>-</v>
      </c>
      <c r="T798" s="178" t="str">
        <f>IFERROR(R798/K798-1,"-")</f>
        <v>-</v>
      </c>
    </row>
    <row r="799" spans="2:21" x14ac:dyDescent="0.2">
      <c r="B799" s="64">
        <f>MAX(B$796:B798)+1</f>
        <v>40</v>
      </c>
      <c r="D799" s="356" t="s">
        <v>116</v>
      </c>
      <c r="F799" s="63" t="s">
        <v>104</v>
      </c>
      <c r="H799" s="122">
        <v>4791112.166666666</v>
      </c>
      <c r="I799" s="148"/>
      <c r="J799" s="122">
        <f>K799*H799/1000</f>
        <v>182.06226233333331</v>
      </c>
      <c r="K799" s="158">
        <v>3.7999999999999999E-2</v>
      </c>
      <c r="L799" s="148"/>
      <c r="M799" s="122">
        <f>J799-O799</f>
        <v>182.06226233333331</v>
      </c>
      <c r="N799" s="148"/>
      <c r="O799" s="386">
        <v>0</v>
      </c>
      <c r="P799" s="122">
        <f>Q799-O799</f>
        <v>212.1950275601626</v>
      </c>
      <c r="Q799" s="122">
        <f>R799*H799/1000</f>
        <v>212.1950275601626</v>
      </c>
      <c r="R799" s="158">
        <v>4.428930490011751E-2</v>
      </c>
      <c r="S799" s="172" t="str">
        <f>IFERROR(Q799/O799,"-")</f>
        <v>-</v>
      </c>
      <c r="T799" s="178">
        <f>IFERROR(R799/K799-1,"-")</f>
        <v>0.165508023687303</v>
      </c>
    </row>
    <row r="800" spans="2:21" x14ac:dyDescent="0.2">
      <c r="B800" s="64">
        <f>MAX(B$796:B799)+1</f>
        <v>41</v>
      </c>
      <c r="D800" s="356" t="s">
        <v>1044</v>
      </c>
      <c r="F800" s="63" t="s">
        <v>104</v>
      </c>
      <c r="H800" s="122">
        <v>4791112.166666666</v>
      </c>
      <c r="I800" s="148"/>
      <c r="J800" s="122">
        <f>K800*H800/1000</f>
        <v>43.120009499999995</v>
      </c>
      <c r="K800" s="158">
        <v>8.9999999999999993E-3</v>
      </c>
      <c r="L800" s="148"/>
      <c r="M800" s="122">
        <f>J800-O800</f>
        <v>-79.950641366193494</v>
      </c>
      <c r="N800" s="148"/>
      <c r="O800" s="122">
        <v>123.07065086619349</v>
      </c>
      <c r="P800" s="122">
        <f>Q800-O800</f>
        <v>-1.0356481539020024E-7</v>
      </c>
      <c r="Q800" s="122">
        <f>R800*H800/1000</f>
        <v>123.07065076262867</v>
      </c>
      <c r="R800" s="158">
        <v>2.568728230135613E-2</v>
      </c>
      <c r="S800" s="172">
        <f>IFERROR(Q800/O800,"-")</f>
        <v>0.99999999915849302</v>
      </c>
      <c r="T800" s="178">
        <f>IFERROR(R800/K800-1,"-")</f>
        <v>1.854142477928459</v>
      </c>
    </row>
    <row r="801" spans="2:21" x14ac:dyDescent="0.2">
      <c r="B801" s="64">
        <f>MAX(B$796:B800)+1</f>
        <v>42</v>
      </c>
      <c r="D801" s="356" t="s">
        <v>1049</v>
      </c>
      <c r="F801" s="63" t="s">
        <v>104</v>
      </c>
      <c r="H801" s="122">
        <v>0</v>
      </c>
      <c r="I801" s="148"/>
      <c r="J801" s="148"/>
      <c r="K801" s="158"/>
      <c r="L801" s="148"/>
      <c r="M801" s="148"/>
      <c r="N801" s="148"/>
      <c r="O801" s="386"/>
      <c r="P801" s="148"/>
      <c r="Q801" s="148"/>
      <c r="R801" s="148"/>
      <c r="S801" s="148"/>
      <c r="T801" s="180"/>
    </row>
    <row r="802" spans="2:21" x14ac:dyDescent="0.2">
      <c r="D802" s="26"/>
    </row>
    <row r="803" spans="2:21" ht="13.5" thickBot="1" x14ac:dyDescent="0.25">
      <c r="B803" s="64">
        <f>MAX(B$796:B802)+1</f>
        <v>43</v>
      </c>
      <c r="D803" s="156" t="str">
        <f>"Total " &amp;D795</f>
        <v>Total Rate M13</v>
      </c>
      <c r="E803" s="387"/>
      <c r="F803" s="387"/>
      <c r="H803" s="159">
        <f>SUM(H800)</f>
        <v>4791112.166666666</v>
      </c>
      <c r="I803" s="239"/>
      <c r="J803" s="159">
        <f>SUM(J796:J800)</f>
        <v>360.31364183333329</v>
      </c>
      <c r="K803" s="199">
        <f>J803/$H803*100</f>
        <v>7.52045932758897E-3</v>
      </c>
      <c r="L803" s="239"/>
      <c r="M803" s="159">
        <f>SUM(M796:M800)</f>
        <v>235.04845255218856</v>
      </c>
      <c r="N803" s="238"/>
      <c r="O803" s="159">
        <f>SUM(O796:O800)</f>
        <v>125.2651892811447</v>
      </c>
      <c r="P803" s="159">
        <f>SUM(P796:P800)</f>
        <v>410.22697841844251</v>
      </c>
      <c r="Q803" s="159">
        <f>SUM(Q796:Q800)</f>
        <v>535.49216769958718</v>
      </c>
      <c r="R803" s="199">
        <f>Q803/$H803*100</f>
        <v>1.1176782113872876E-2</v>
      </c>
      <c r="S803" s="345">
        <f>Q803/O803</f>
        <v>4.2748681479076414</v>
      </c>
      <c r="T803" s="179">
        <f>R803/K803-1</f>
        <v>0.48618344000220914</v>
      </c>
    </row>
    <row r="804" spans="2:21" ht="13.5" thickTop="1" x14ac:dyDescent="0.2">
      <c r="D804" s="26"/>
      <c r="H804" s="148"/>
      <c r="I804" s="148"/>
      <c r="J804" s="148"/>
      <c r="K804" s="148"/>
      <c r="L804" s="148"/>
      <c r="M804" s="148"/>
      <c r="N804" s="148"/>
      <c r="O804" s="148"/>
      <c r="P804" s="148"/>
      <c r="Q804" s="148"/>
      <c r="R804" s="148"/>
      <c r="S804" s="148"/>
      <c r="T804" s="180"/>
    </row>
    <row r="805" spans="2:21" x14ac:dyDescent="0.2">
      <c r="B805" s="64">
        <f>MAX(B$796:B804)+1</f>
        <v>44</v>
      </c>
      <c r="D805" s="356" t="s">
        <v>252</v>
      </c>
      <c r="E805" s="366"/>
      <c r="F805" s="16" t="s">
        <v>55</v>
      </c>
      <c r="H805" s="122">
        <v>768</v>
      </c>
      <c r="I805" s="148"/>
      <c r="J805" s="122">
        <v>63.72</v>
      </c>
      <c r="K805" s="331">
        <v>90</v>
      </c>
      <c r="L805" s="148"/>
      <c r="M805" s="122">
        <f>J805-O805</f>
        <v>63.72</v>
      </c>
      <c r="N805" s="148"/>
      <c r="O805" s="122">
        <v>0</v>
      </c>
      <c r="P805" s="122">
        <f>Q805-O805</f>
        <v>360.34169576180432</v>
      </c>
      <c r="Q805" s="122">
        <f>R805*H805/1000</f>
        <v>360.34169576180432</v>
      </c>
      <c r="R805" s="331">
        <v>469.19491635651599</v>
      </c>
      <c r="S805" s="148"/>
      <c r="T805" s="180"/>
    </row>
    <row r="806" spans="2:21" x14ac:dyDescent="0.2">
      <c r="B806" s="64"/>
      <c r="T806" s="180"/>
    </row>
    <row r="807" spans="2:21" x14ac:dyDescent="0.2">
      <c r="D807" s="31" t="s">
        <v>41</v>
      </c>
      <c r="H807" s="148"/>
      <c r="I807" s="148"/>
      <c r="J807" s="148"/>
      <c r="K807" s="148"/>
      <c r="L807" s="148"/>
      <c r="M807" s="148"/>
      <c r="N807" s="148"/>
      <c r="O807" s="148"/>
      <c r="P807" s="148"/>
      <c r="Q807" s="148"/>
      <c r="R807" s="148"/>
      <c r="S807" s="148"/>
      <c r="T807" s="180"/>
    </row>
    <row r="808" spans="2:21" x14ac:dyDescent="0.2">
      <c r="B808" s="64">
        <f>MAX(B$796:B807)+1</f>
        <v>45</v>
      </c>
      <c r="D808" s="356" t="s">
        <v>115</v>
      </c>
      <c r="F808" s="16" t="s">
        <v>55</v>
      </c>
      <c r="H808" s="122">
        <v>24</v>
      </c>
      <c r="I808" s="148"/>
      <c r="J808" s="388">
        <f>K808*H808/1000</f>
        <v>39.99624</v>
      </c>
      <c r="K808" s="331">
        <v>1666.51</v>
      </c>
      <c r="L808" s="148"/>
      <c r="M808" s="375">
        <f>J808-O808</f>
        <v>39.992662732854264</v>
      </c>
      <c r="N808" s="148"/>
      <c r="O808" s="122">
        <v>3.577267145735545E-3</v>
      </c>
      <c r="P808" s="122">
        <f>Q808-O808</f>
        <v>40.054912894160047</v>
      </c>
      <c r="Q808" s="122">
        <f>R808*H808/1000</f>
        <v>40.058490161305784</v>
      </c>
      <c r="R808" s="331">
        <v>1669.1037567210742</v>
      </c>
      <c r="S808" s="148"/>
      <c r="T808" s="178">
        <f>IFERROR(R808/K808-1,"-")</f>
        <v>1.5564003342758426E-3</v>
      </c>
    </row>
    <row r="809" spans="2:21" x14ac:dyDescent="0.2">
      <c r="B809" s="64">
        <f>MAX(B$808:B808)+1</f>
        <v>46</v>
      </c>
      <c r="D809" s="356" t="s">
        <v>116</v>
      </c>
      <c r="F809" s="63" t="s">
        <v>104</v>
      </c>
      <c r="H809" s="122">
        <v>5198226.8965517245</v>
      </c>
      <c r="I809" s="148"/>
      <c r="J809" s="388">
        <f>K809*H809/1000</f>
        <v>197.53262206896551</v>
      </c>
      <c r="K809" s="158">
        <v>3.7999999999999999E-2</v>
      </c>
      <c r="L809" s="148"/>
      <c r="M809" s="375">
        <f>J809-O809</f>
        <v>197.53262206896551</v>
      </c>
      <c r="N809" s="148"/>
      <c r="O809" s="122">
        <v>0</v>
      </c>
      <c r="P809" s="122">
        <f>Q809-O809</f>
        <v>230.22585596137091</v>
      </c>
      <c r="Q809" s="122">
        <f>R809*H809/1000</f>
        <v>230.22585596137091</v>
      </c>
      <c r="R809" s="158">
        <v>4.428930490011751E-2</v>
      </c>
      <c r="S809" s="148"/>
      <c r="T809" s="178">
        <f>IFERROR(R809/K809-1,"-")</f>
        <v>0.165508023687303</v>
      </c>
    </row>
    <row r="810" spans="2:21" x14ac:dyDescent="0.2">
      <c r="D810" s="356" t="s">
        <v>480</v>
      </c>
      <c r="H810" s="148"/>
      <c r="I810" s="148"/>
      <c r="J810" s="388"/>
      <c r="K810" s="371"/>
      <c r="L810" s="148"/>
      <c r="M810" s="375"/>
      <c r="N810" s="148"/>
      <c r="O810" s="148"/>
      <c r="P810" s="148"/>
      <c r="Q810" s="122"/>
      <c r="R810" s="148"/>
      <c r="S810" s="148"/>
      <c r="T810" s="180"/>
    </row>
    <row r="811" spans="2:21" x14ac:dyDescent="0.2">
      <c r="B811" s="64">
        <f>MAX(B$808:B810)+1</f>
        <v>47</v>
      </c>
      <c r="D811" s="359" t="s">
        <v>117</v>
      </c>
      <c r="F811" s="360" t="s">
        <v>200</v>
      </c>
      <c r="H811" s="122">
        <v>7333.333333333333</v>
      </c>
      <c r="I811" s="148"/>
      <c r="J811" s="388">
        <f>K811*H811*12/1000</f>
        <v>204.68799999999999</v>
      </c>
      <c r="K811" s="158">
        <v>2.3260000000000001</v>
      </c>
      <c r="L811" s="148"/>
      <c r="M811" s="375">
        <f>J811-O811</f>
        <v>199.70385833762836</v>
      </c>
      <c r="N811" s="148"/>
      <c r="O811" s="122">
        <v>4.9841416623716226</v>
      </c>
      <c r="P811" s="122">
        <f>Q811-O811</f>
        <v>155.10690251454977</v>
      </c>
      <c r="Q811" s="122">
        <f>R811*H811*12/1000</f>
        <v>160.0910441769214</v>
      </c>
      <c r="R811" s="158">
        <v>1.8192164111013795</v>
      </c>
      <c r="S811" s="148"/>
      <c r="T811" s="178">
        <f>IFERROR(R811/K811-1,"-")</f>
        <v>-0.21787772523586435</v>
      </c>
    </row>
    <row r="812" spans="2:21" x14ac:dyDescent="0.2">
      <c r="B812" s="64">
        <f>MAX(B$808:B811)+1</f>
        <v>48</v>
      </c>
      <c r="D812" s="359" t="s">
        <v>1045</v>
      </c>
      <c r="F812" s="63" t="s">
        <v>104</v>
      </c>
      <c r="H812" s="122">
        <v>655235.89655172406</v>
      </c>
      <c r="I812" s="148"/>
      <c r="J812" s="388">
        <v>5.8971230689655147</v>
      </c>
      <c r="K812" s="158">
        <v>8.9999999999999993E-3</v>
      </c>
      <c r="L812" s="148"/>
      <c r="M812" s="375">
        <f>J812-O812</f>
        <v>-10.934106393904399</v>
      </c>
      <c r="N812" s="148"/>
      <c r="O812" s="122">
        <v>16.831229462869914</v>
      </c>
      <c r="P812" s="122">
        <f>Q812-O812</f>
        <v>-1.4163592965132921E-8</v>
      </c>
      <c r="Q812" s="122">
        <f>(H812 * R812) / 1000</f>
        <v>16.831229448706321</v>
      </c>
      <c r="R812" s="158">
        <v>2.568728230135613E-2</v>
      </c>
      <c r="S812" s="148"/>
      <c r="T812" s="178">
        <f>IFERROR(R812/K812-1,"-")</f>
        <v>1.854142477928459</v>
      </c>
      <c r="U812" s="31"/>
    </row>
    <row r="813" spans="2:21" x14ac:dyDescent="0.2">
      <c r="B813" s="64">
        <f>MAX(B$808:B812)+1</f>
        <v>49</v>
      </c>
      <c r="D813" s="359" t="s">
        <v>1046</v>
      </c>
      <c r="F813" s="63" t="s">
        <v>104</v>
      </c>
      <c r="H813" s="122">
        <v>642043</v>
      </c>
      <c r="I813" s="148"/>
      <c r="J813" s="388">
        <v>16.693118000000002</v>
      </c>
      <c r="K813" s="158">
        <v>2.5999999999999999E-2</v>
      </c>
      <c r="L813" s="148"/>
      <c r="M813" s="375">
        <f>J813-O813</f>
        <v>-19.012242109402333</v>
      </c>
      <c r="N813" s="148"/>
      <c r="O813" s="122">
        <v>35.705360109402335</v>
      </c>
      <c r="P813" s="122">
        <f>Q813-O813</f>
        <v>-3.0046308552300616E-8</v>
      </c>
      <c r="Q813" s="122">
        <f>(H813 * R813) / 1000</f>
        <v>35.705360079356026</v>
      </c>
      <c r="R813" s="158">
        <v>5.5612100870745453E-2</v>
      </c>
      <c r="S813" s="148"/>
      <c r="T813" s="178">
        <f>IFERROR(R813/K813-1,"-")</f>
        <v>1.1389269565671327</v>
      </c>
    </row>
    <row r="814" spans="2:21" x14ac:dyDescent="0.2">
      <c r="B814" s="64">
        <f>MAX(B$808:B813)+1</f>
        <v>50</v>
      </c>
      <c r="D814" s="359" t="s">
        <v>1047</v>
      </c>
      <c r="F814" s="63" t="s">
        <v>104</v>
      </c>
      <c r="H814" s="122">
        <v>4542991</v>
      </c>
      <c r="I814" s="148"/>
      <c r="J814" s="337">
        <v>41.728935447364961</v>
      </c>
      <c r="K814" s="158"/>
      <c r="L814" s="148"/>
      <c r="M814" s="375">
        <f>J814-O814</f>
        <v>-74.968156960356623</v>
      </c>
      <c r="N814" s="148"/>
      <c r="O814" s="122">
        <v>116.69709240772158</v>
      </c>
      <c r="P814" s="122">
        <f>Q814-O814</f>
        <v>0</v>
      </c>
      <c r="Q814" s="122">
        <v>116.69709240772158</v>
      </c>
      <c r="R814" s="158"/>
      <c r="S814" s="148"/>
      <c r="T814" s="178" t="str">
        <f>IFERROR(R814/K814-1,"-")</f>
        <v>-</v>
      </c>
    </row>
    <row r="815" spans="2:21" s="45" customFormat="1" x14ac:dyDescent="0.2">
      <c r="B815" s="64">
        <f>MAX(B$808:B814)+1</f>
        <v>51</v>
      </c>
      <c r="C815" s="28"/>
      <c r="D815" s="359" t="s">
        <v>1048</v>
      </c>
      <c r="E815" s="28"/>
      <c r="F815" s="63" t="s">
        <v>104</v>
      </c>
      <c r="G815" s="28"/>
      <c r="H815" s="122">
        <v>5048908.75</v>
      </c>
      <c r="I815" s="148"/>
      <c r="J815" s="337">
        <v>131.890024936407</v>
      </c>
      <c r="K815" s="158"/>
      <c r="L815" s="148"/>
      <c r="M815" s="375">
        <f>J815-O815</f>
        <v>-148.89039799206105</v>
      </c>
      <c r="N815" s="148"/>
      <c r="O815" s="122">
        <v>280.78042292846806</v>
      </c>
      <c r="P815" s="122">
        <f>Q815-O815</f>
        <v>0</v>
      </c>
      <c r="Q815" s="122">
        <v>280.78042292846806</v>
      </c>
      <c r="R815" s="158"/>
      <c r="S815" s="148"/>
      <c r="T815" s="178" t="str">
        <f>IFERROR(R815/K815-1,"-")</f>
        <v>-</v>
      </c>
      <c r="U815" s="154"/>
    </row>
    <row r="816" spans="2:21" x14ac:dyDescent="0.2">
      <c r="D816" s="356" t="s">
        <v>481</v>
      </c>
      <c r="H816" s="148"/>
      <c r="I816" s="148"/>
      <c r="J816" s="388"/>
      <c r="K816" s="338"/>
      <c r="L816" s="148"/>
      <c r="M816" s="337"/>
      <c r="N816" s="148"/>
      <c r="O816" s="386"/>
      <c r="P816" s="148"/>
      <c r="Q816" s="337"/>
      <c r="R816" s="148"/>
      <c r="S816" s="148"/>
      <c r="T816" s="180"/>
      <c r="U816" s="64"/>
    </row>
    <row r="817" spans="2:21" x14ac:dyDescent="0.2">
      <c r="B817" s="64">
        <f>MAX(B$808:B816)+1</f>
        <v>52</v>
      </c>
      <c r="D817" s="359" t="s">
        <v>117</v>
      </c>
      <c r="F817" s="360" t="s">
        <v>200</v>
      </c>
      <c r="H817" s="122">
        <v>0</v>
      </c>
      <c r="I817" s="148"/>
      <c r="J817" s="388">
        <f>K817*H817*12/1000</f>
        <v>0</v>
      </c>
      <c r="K817" s="158">
        <v>0.84199999999999997</v>
      </c>
      <c r="L817" s="148"/>
      <c r="M817" s="375">
        <f>J817-O817</f>
        <v>0</v>
      </c>
      <c r="N817" s="148"/>
      <c r="O817" s="122">
        <v>0</v>
      </c>
      <c r="P817" s="122">
        <v>0</v>
      </c>
      <c r="Q817" s="337">
        <v>0</v>
      </c>
      <c r="R817" s="158">
        <v>1.0780132903660307</v>
      </c>
      <c r="S817" s="148"/>
      <c r="T817" s="178">
        <f>IFERROR(R817/K817-1,"-")</f>
        <v>0.28030081991215039</v>
      </c>
      <c r="U817" s="64"/>
    </row>
    <row r="818" spans="2:21" x14ac:dyDescent="0.2">
      <c r="B818" s="64">
        <f>MAX(B$808:B817)+1</f>
        <v>53</v>
      </c>
      <c r="D818" s="359" t="s">
        <v>1045</v>
      </c>
      <c r="F818" s="63" t="s">
        <v>104</v>
      </c>
      <c r="H818" s="122">
        <v>0</v>
      </c>
      <c r="I818" s="148"/>
      <c r="J818" s="388">
        <f>K818*H818/1000</f>
        <v>0</v>
      </c>
      <c r="K818" s="158">
        <v>8.9999999999999993E-3</v>
      </c>
      <c r="L818" s="148"/>
      <c r="M818" s="375">
        <f>J818-O818</f>
        <v>0</v>
      </c>
      <c r="N818" s="148"/>
      <c r="O818" s="122">
        <v>0</v>
      </c>
      <c r="P818" s="122">
        <v>0</v>
      </c>
      <c r="Q818" s="337">
        <v>0</v>
      </c>
      <c r="R818" s="158">
        <v>2.568728230135613E-2</v>
      </c>
      <c r="S818" s="148"/>
      <c r="T818" s="178">
        <f>IFERROR(R818/K818-1,"-")</f>
        <v>1.854142477928459</v>
      </c>
    </row>
    <row r="819" spans="2:21" x14ac:dyDescent="0.2">
      <c r="B819" s="64">
        <f>MAX(B$808:B818)+1</f>
        <v>54</v>
      </c>
      <c r="D819" s="359" t="s">
        <v>1046</v>
      </c>
      <c r="F819" s="63" t="s">
        <v>104</v>
      </c>
      <c r="H819" s="122">
        <v>0</v>
      </c>
      <c r="I819" s="148"/>
      <c r="J819" s="388">
        <f>K819*H819/1000</f>
        <v>0</v>
      </c>
      <c r="K819" s="158">
        <v>1.0999999999999999E-2</v>
      </c>
      <c r="L819" s="148"/>
      <c r="M819" s="375">
        <f>J819-O819</f>
        <v>0</v>
      </c>
      <c r="N819" s="148"/>
      <c r="O819" s="122">
        <v>0</v>
      </c>
      <c r="P819" s="122">
        <v>0</v>
      </c>
      <c r="Q819" s="337">
        <v>0</v>
      </c>
      <c r="R819" s="158">
        <v>2.568728230135613E-2</v>
      </c>
      <c r="S819" s="148"/>
      <c r="T819" s="178">
        <f>IFERROR(R819/K819-1,"-")</f>
        <v>1.3352074819414663</v>
      </c>
    </row>
    <row r="820" spans="2:21" x14ac:dyDescent="0.2">
      <c r="D820" s="376"/>
      <c r="H820" s="148"/>
      <c r="I820" s="148"/>
      <c r="J820" s="388"/>
      <c r="K820" s="338"/>
      <c r="L820" s="148"/>
      <c r="M820" s="375"/>
      <c r="N820" s="148"/>
      <c r="O820" s="386"/>
      <c r="P820" s="148"/>
      <c r="Q820" s="337"/>
      <c r="R820" s="158"/>
      <c r="S820" s="148"/>
      <c r="T820" s="180"/>
    </row>
    <row r="821" spans="2:21" ht="13.5" thickBot="1" x14ac:dyDescent="0.25">
      <c r="B821" s="64">
        <f>MAX(B$808:B820)+1</f>
        <v>55</v>
      </c>
      <c r="D821" s="28" t="str">
        <f>"Total " &amp;D807</f>
        <v>Total Rate M16</v>
      </c>
      <c r="H821" s="159">
        <f>SUM(H808:H820)</f>
        <v>16094762.876436781</v>
      </c>
      <c r="I821" s="239"/>
      <c r="J821" s="159">
        <f>SUM(J808:J820)</f>
        <v>638.42606352170299</v>
      </c>
      <c r="K821" s="199">
        <f>J821/$H821*100</f>
        <v>3.9666695832864859E-3</v>
      </c>
      <c r="L821" s="239"/>
      <c r="M821" s="159">
        <f>SUM(M808:M820)</f>
        <v>183.4242396837237</v>
      </c>
      <c r="N821" s="238"/>
      <c r="O821" s="159">
        <v>455.00182383797926</v>
      </c>
      <c r="P821" s="159">
        <v>425.38767132587083</v>
      </c>
      <c r="Q821" s="159">
        <v>880.38949516385003</v>
      </c>
      <c r="R821" s="199">
        <v>5.4700370668571132E-3</v>
      </c>
      <c r="S821" s="345">
        <v>1.9349142114149993</v>
      </c>
      <c r="T821" s="179">
        <f>R821/K821-1</f>
        <v>0.37899992727023402</v>
      </c>
    </row>
    <row r="822" spans="2:21" ht="13.5" thickTop="1" x14ac:dyDescent="0.2">
      <c r="B822" s="64"/>
      <c r="D822" s="366"/>
      <c r="H822" s="122"/>
      <c r="I822" s="148"/>
      <c r="J822" s="388"/>
      <c r="K822" s="158"/>
      <c r="L822" s="148"/>
      <c r="M822" s="375"/>
      <c r="N822" s="148"/>
      <c r="O822" s="122"/>
      <c r="P822" s="122"/>
      <c r="Q822" s="337"/>
      <c r="R822" s="148"/>
      <c r="S822" s="148"/>
      <c r="T822" s="180"/>
    </row>
    <row r="823" spans="2:21" x14ac:dyDescent="0.2">
      <c r="B823" s="166" t="s">
        <v>506</v>
      </c>
      <c r="C823" s="169"/>
      <c r="D823" s="169"/>
      <c r="E823" s="169"/>
      <c r="F823" s="169"/>
      <c r="G823" s="169"/>
      <c r="H823" s="169"/>
      <c r="I823" s="169"/>
      <c r="J823" s="169"/>
      <c r="K823" s="169"/>
      <c r="L823" s="169"/>
      <c r="M823" s="169"/>
      <c r="N823" s="169"/>
      <c r="O823" s="169"/>
      <c r="P823" s="169"/>
      <c r="Q823" s="169"/>
      <c r="R823" s="169"/>
      <c r="S823" s="169"/>
      <c r="T823" s="169"/>
    </row>
    <row r="824" spans="2:21" x14ac:dyDescent="0.2">
      <c r="B824" s="194" t="s">
        <v>939</v>
      </c>
      <c r="C824" s="166"/>
      <c r="D824" s="166"/>
      <c r="E824" s="166"/>
      <c r="F824" s="166"/>
      <c r="G824" s="166"/>
      <c r="H824" s="166"/>
      <c r="I824" s="166"/>
      <c r="J824" s="166"/>
      <c r="K824" s="166"/>
      <c r="L824" s="166"/>
      <c r="M824" s="166"/>
      <c r="N824" s="166"/>
      <c r="O824" s="166"/>
      <c r="P824" s="166"/>
      <c r="Q824" s="166"/>
      <c r="R824" s="166"/>
      <c r="S824" s="166"/>
      <c r="T824" s="166"/>
    </row>
    <row r="825" spans="2:21" x14ac:dyDescent="0.2">
      <c r="B825" s="64"/>
      <c r="C825" s="64"/>
      <c r="D825" s="64"/>
      <c r="E825" s="64"/>
      <c r="F825" s="170"/>
      <c r="G825" s="64"/>
      <c r="H825" s="170"/>
      <c r="I825" s="64"/>
      <c r="J825" s="170"/>
      <c r="K825" s="170"/>
      <c r="L825" s="170"/>
      <c r="M825" s="170"/>
      <c r="N825" s="64"/>
      <c r="O825" s="64"/>
      <c r="P825" s="64"/>
      <c r="Q825" s="64"/>
      <c r="R825" s="64"/>
      <c r="S825" s="63"/>
      <c r="T825" s="63"/>
    </row>
    <row r="826" spans="2:21" x14ac:dyDescent="0.2">
      <c r="B826" s="170"/>
      <c r="C826" s="170"/>
      <c r="D826" s="170"/>
      <c r="E826" s="170"/>
      <c r="F826" s="60"/>
      <c r="G826" s="170"/>
      <c r="H826" s="60"/>
      <c r="I826" s="170"/>
      <c r="J826" s="173" t="s">
        <v>57</v>
      </c>
      <c r="K826" s="173"/>
      <c r="L826" s="170"/>
      <c r="M826" s="170"/>
      <c r="N826" s="170"/>
      <c r="O826" s="173" t="s">
        <v>60</v>
      </c>
      <c r="P826" s="173"/>
      <c r="Q826" s="173"/>
      <c r="R826" s="173"/>
      <c r="S826" s="174"/>
      <c r="T826" s="174"/>
    </row>
    <row r="827" spans="2:21" ht="38.25" x14ac:dyDescent="0.2">
      <c r="B827" s="154" t="s">
        <v>0</v>
      </c>
      <c r="C827" s="154"/>
      <c r="D827" s="154"/>
      <c r="E827" s="154"/>
      <c r="F827" s="60" t="s">
        <v>47</v>
      </c>
      <c r="G827" s="154"/>
      <c r="H827" s="45" t="s">
        <v>746</v>
      </c>
      <c r="I827" s="154"/>
      <c r="J827" s="45" t="s">
        <v>61</v>
      </c>
      <c r="K827" s="45" t="s">
        <v>571</v>
      </c>
      <c r="L827" s="154"/>
      <c r="M827" s="45" t="s">
        <v>34</v>
      </c>
      <c r="N827" s="154"/>
      <c r="O827" s="154" t="s">
        <v>79</v>
      </c>
      <c r="P827" s="45" t="s">
        <v>34</v>
      </c>
      <c r="Q827" s="45" t="s">
        <v>61</v>
      </c>
      <c r="R827" s="45" t="s">
        <v>69</v>
      </c>
      <c r="S827" s="154" t="s">
        <v>745</v>
      </c>
      <c r="T827" s="154" t="s">
        <v>747</v>
      </c>
    </row>
    <row r="828" spans="2:21" x14ac:dyDescent="0.2">
      <c r="B828" s="520" t="s">
        <v>1</v>
      </c>
      <c r="C828" s="33"/>
      <c r="D828" s="185" t="s">
        <v>33</v>
      </c>
      <c r="E828" s="64"/>
      <c r="F828" s="520" t="s">
        <v>48</v>
      </c>
      <c r="G828" s="64"/>
      <c r="H828" s="520" t="s">
        <v>560</v>
      </c>
      <c r="I828" s="64"/>
      <c r="J828" s="520" t="s">
        <v>389</v>
      </c>
      <c r="K828" s="520" t="s">
        <v>98</v>
      </c>
      <c r="L828" s="64"/>
      <c r="M828" s="520" t="s">
        <v>389</v>
      </c>
      <c r="N828" s="64"/>
      <c r="O828" s="520" t="s">
        <v>389</v>
      </c>
      <c r="P828" s="520" t="s">
        <v>389</v>
      </c>
      <c r="Q828" s="520" t="s">
        <v>389</v>
      </c>
      <c r="R828" s="520" t="s">
        <v>98</v>
      </c>
      <c r="S828" s="520" t="s">
        <v>36</v>
      </c>
      <c r="T828" s="520" t="s">
        <v>2</v>
      </c>
    </row>
    <row r="829" spans="2:21" x14ac:dyDescent="0.2">
      <c r="B829" s="64"/>
      <c r="C829" s="33"/>
      <c r="D829" s="33"/>
      <c r="E829" s="64"/>
      <c r="F829" s="64"/>
      <c r="G829" s="64"/>
      <c r="H829" s="64" t="s">
        <v>3</v>
      </c>
      <c r="I829" s="64"/>
      <c r="J829" s="64" t="s">
        <v>4</v>
      </c>
      <c r="K829" s="64" t="s">
        <v>58</v>
      </c>
      <c r="L829" s="64"/>
      <c r="M829" s="64" t="s">
        <v>59</v>
      </c>
      <c r="N829" s="64"/>
      <c r="O829" s="64" t="s">
        <v>63</v>
      </c>
      <c r="P829" s="64" t="s">
        <v>227</v>
      </c>
      <c r="Q829" s="175" t="s">
        <v>38</v>
      </c>
      <c r="R829" s="175" t="s">
        <v>70</v>
      </c>
      <c r="S829" s="175" t="s">
        <v>479</v>
      </c>
      <c r="T829" s="175" t="s">
        <v>71</v>
      </c>
    </row>
    <row r="830" spans="2:21" x14ac:dyDescent="0.2">
      <c r="H830" s="148"/>
      <c r="I830" s="148"/>
      <c r="J830" s="148"/>
      <c r="K830" s="148"/>
      <c r="L830" s="148"/>
      <c r="M830" s="148"/>
      <c r="N830" s="148"/>
      <c r="O830" s="148"/>
      <c r="P830" s="148"/>
      <c r="Q830" s="148"/>
      <c r="R830" s="148"/>
      <c r="S830" s="148"/>
      <c r="T830" s="148"/>
    </row>
    <row r="831" spans="2:21" x14ac:dyDescent="0.2">
      <c r="D831" s="31" t="s">
        <v>618</v>
      </c>
      <c r="H831" s="148"/>
      <c r="I831" s="148"/>
      <c r="J831" s="148"/>
      <c r="K831" s="148"/>
      <c r="L831" s="148"/>
      <c r="M831" s="148"/>
      <c r="N831" s="148"/>
      <c r="O831" s="148"/>
      <c r="P831" s="148"/>
      <c r="Q831" s="148"/>
      <c r="R831" s="148"/>
      <c r="S831" s="148"/>
      <c r="T831" s="148"/>
    </row>
    <row r="832" spans="2:21" ht="12" customHeight="1" x14ac:dyDescent="0.2">
      <c r="B832" s="64">
        <f>MAX(B$808:B831)+1</f>
        <v>56</v>
      </c>
      <c r="D832" s="356" t="s">
        <v>115</v>
      </c>
      <c r="F832" s="360" t="s">
        <v>55</v>
      </c>
      <c r="H832" s="122">
        <v>12</v>
      </c>
      <c r="I832" s="148"/>
      <c r="J832" s="388">
        <f>K832*H832/1000</f>
        <v>25.624175999999999</v>
      </c>
      <c r="K832" s="389">
        <v>2135.348</v>
      </c>
      <c r="L832" s="148"/>
      <c r="M832" s="337">
        <f>J832-O832</f>
        <v>25.624175999999999</v>
      </c>
      <c r="N832" s="148"/>
      <c r="O832" s="122">
        <v>0</v>
      </c>
      <c r="P832" s="122">
        <f>Q832-O832</f>
        <v>25.345637999999994</v>
      </c>
      <c r="Q832" s="122">
        <f>R832*H832/1000</f>
        <v>25.345637999999994</v>
      </c>
      <c r="R832" s="331">
        <v>2112.1364999999996</v>
      </c>
      <c r="S832" s="148"/>
      <c r="T832" s="330">
        <f>IFERROR((R832-K832)/K832,"")</f>
        <v>-1.08701251505611E-2</v>
      </c>
    </row>
    <row r="833" spans="2:20" ht="12" customHeight="1" x14ac:dyDescent="0.2">
      <c r="B833" s="64"/>
      <c r="D833" s="356" t="s">
        <v>619</v>
      </c>
      <c r="F833" s="366"/>
      <c r="H833" s="122"/>
      <c r="I833" s="148"/>
      <c r="J833" s="367"/>
      <c r="K833" s="367"/>
      <c r="L833" s="148"/>
      <c r="M833" s="367"/>
      <c r="N833" s="148"/>
      <c r="O833" s="148"/>
      <c r="P833" s="148"/>
      <c r="Q833" s="122"/>
      <c r="R833" s="148"/>
      <c r="S833" s="148"/>
      <c r="T833" s="390"/>
    </row>
    <row r="834" spans="2:20" ht="12" customHeight="1" x14ac:dyDescent="0.2">
      <c r="B834" s="64">
        <f>MAX(B$808:B833)+1</f>
        <v>57</v>
      </c>
      <c r="D834" s="370" t="s">
        <v>254</v>
      </c>
      <c r="F834" s="360" t="s">
        <v>97</v>
      </c>
      <c r="H834" s="122">
        <v>8863</v>
      </c>
      <c r="I834" s="148"/>
      <c r="J834" s="375">
        <f>H834*K834*12/1000</f>
        <v>503.489304</v>
      </c>
      <c r="K834" s="371">
        <v>4.734</v>
      </c>
      <c r="L834" s="148"/>
      <c r="M834" s="375">
        <f>J834-O834</f>
        <v>5.3348574754297147</v>
      </c>
      <c r="N834" s="148"/>
      <c r="O834" s="122">
        <v>498.15444652457029</v>
      </c>
      <c r="P834" s="122">
        <f>Q834-O834</f>
        <v>0</v>
      </c>
      <c r="Q834" s="122">
        <f>R834*H834*12/1000</f>
        <v>498.15444652457029</v>
      </c>
      <c r="R834" s="158">
        <v>4.6838396190583538</v>
      </c>
      <c r="S834" s="148"/>
      <c r="T834" s="330">
        <f>IFERROR((R834-K834)/K834,"")</f>
        <v>-1.059577121707778E-2</v>
      </c>
    </row>
    <row r="835" spans="2:20" ht="12" customHeight="1" x14ac:dyDescent="0.2">
      <c r="B835" s="64">
        <f>MAX(B$808:B834)+1</f>
        <v>58</v>
      </c>
      <c r="D835" s="370" t="s">
        <v>255</v>
      </c>
      <c r="F835" s="360" t="s">
        <v>97</v>
      </c>
      <c r="H835" s="122">
        <v>0</v>
      </c>
      <c r="I835" s="148"/>
      <c r="J835" s="375">
        <v>0</v>
      </c>
      <c r="K835" s="371">
        <v>2.9039999999999999</v>
      </c>
      <c r="L835" s="148"/>
      <c r="M835" s="375">
        <f>J835-O835</f>
        <v>0</v>
      </c>
      <c r="N835" s="148"/>
      <c r="O835" s="122">
        <v>0</v>
      </c>
      <c r="P835" s="122">
        <f>Q835-O835</f>
        <v>0</v>
      </c>
      <c r="Q835" s="122">
        <f>R835*H835/1000</f>
        <v>0</v>
      </c>
      <c r="R835" s="158">
        <v>3.4938004202993662</v>
      </c>
      <c r="S835" s="148"/>
      <c r="T835" s="330">
        <f>IFERROR((R835-K835)/K835,"")</f>
        <v>0.20309931828490577</v>
      </c>
    </row>
    <row r="836" spans="2:20" ht="12" customHeight="1" x14ac:dyDescent="0.2">
      <c r="B836" s="64">
        <f>MAX(B$808:B835)+1</f>
        <v>59</v>
      </c>
      <c r="D836" s="370" t="s">
        <v>256</v>
      </c>
      <c r="F836" s="360" t="s">
        <v>97</v>
      </c>
      <c r="H836" s="122">
        <v>0</v>
      </c>
      <c r="I836" s="148"/>
      <c r="J836" s="375">
        <v>0</v>
      </c>
      <c r="K836" s="371">
        <v>2.9039999999999999</v>
      </c>
      <c r="L836" s="148"/>
      <c r="M836" s="375">
        <f>J836-O836</f>
        <v>0</v>
      </c>
      <c r="N836" s="148"/>
      <c r="O836" s="122">
        <v>0</v>
      </c>
      <c r="P836" s="122">
        <f>Q836-O836</f>
        <v>0</v>
      </c>
      <c r="Q836" s="122">
        <f>R836*H836/1000</f>
        <v>0</v>
      </c>
      <c r="R836" s="158">
        <v>3.4938004202993662</v>
      </c>
      <c r="S836" s="148"/>
      <c r="T836" s="330">
        <f>IFERROR((R836-K836)/K836,"")</f>
        <v>0.20309931828490577</v>
      </c>
    </row>
    <row r="837" spans="2:20" ht="12" customHeight="1" x14ac:dyDescent="0.2">
      <c r="B837" s="64"/>
      <c r="D837" s="356" t="s">
        <v>321</v>
      </c>
      <c r="F837" s="366"/>
      <c r="H837" s="122"/>
      <c r="I837" s="148"/>
      <c r="J837" s="367"/>
      <c r="K837" s="148"/>
      <c r="L837" s="148"/>
      <c r="M837" s="367"/>
      <c r="N837" s="148"/>
      <c r="O837" s="122"/>
      <c r="P837" s="148"/>
      <c r="Q837" s="122"/>
      <c r="R837" s="148"/>
      <c r="S837" s="148"/>
      <c r="T837" s="180"/>
    </row>
    <row r="838" spans="2:20" ht="12" customHeight="1" x14ac:dyDescent="0.2">
      <c r="B838" s="64">
        <f>MAX(B$808:B837)+1</f>
        <v>60</v>
      </c>
      <c r="D838" s="336" t="s">
        <v>1054</v>
      </c>
      <c r="E838" s="391"/>
      <c r="F838" s="360" t="s">
        <v>104</v>
      </c>
      <c r="H838" s="122">
        <v>1303506.0105505299</v>
      </c>
      <c r="I838" s="148"/>
      <c r="J838" s="375">
        <v>41.171305514776698</v>
      </c>
      <c r="K838" s="148"/>
      <c r="L838" s="148"/>
      <c r="M838" s="375">
        <f>J838-O838</f>
        <v>-17.808195482303766</v>
      </c>
      <c r="N838" s="148"/>
      <c r="O838" s="122">
        <v>58.979500997080464</v>
      </c>
      <c r="P838" s="122">
        <f>Q838-O838</f>
        <v>-0.17739558122907084</v>
      </c>
      <c r="Q838" s="122">
        <v>58.802105415851393</v>
      </c>
      <c r="R838" s="122">
        <v>0</v>
      </c>
      <c r="S838" s="148"/>
      <c r="T838" s="180"/>
    </row>
    <row r="839" spans="2:20" x14ac:dyDescent="0.2">
      <c r="B839" s="64"/>
      <c r="D839" s="366"/>
      <c r="H839" s="122"/>
      <c r="I839" s="148"/>
      <c r="J839" s="148"/>
      <c r="K839" s="148"/>
      <c r="L839" s="148"/>
      <c r="M839" s="148"/>
      <c r="N839" s="148"/>
      <c r="O839" s="148"/>
      <c r="P839" s="148"/>
      <c r="Q839" s="122"/>
      <c r="R839" s="122"/>
      <c r="S839" s="148"/>
      <c r="T839" s="180"/>
    </row>
    <row r="840" spans="2:20" ht="13.5" thickBot="1" x14ac:dyDescent="0.25">
      <c r="B840" s="64">
        <f>MAX(B$808:B839)+1</f>
        <v>61</v>
      </c>
      <c r="D840" s="366" t="s">
        <v>257</v>
      </c>
      <c r="H840" s="159">
        <f>H838</f>
        <v>1303506.0105505299</v>
      </c>
      <c r="I840" s="341"/>
      <c r="J840" s="159">
        <f>SUM(J832:J838)</f>
        <v>570.28478551477667</v>
      </c>
      <c r="K840" s="140">
        <f>J840/$H840*100</f>
        <v>4.3750069497103389E-2</v>
      </c>
      <c r="L840" s="239"/>
      <c r="M840" s="159">
        <f>SUM(M832:M838)</f>
        <v>13.150837993125947</v>
      </c>
      <c r="N840" s="238"/>
      <c r="O840" s="159">
        <f>SUM(O832:O838)</f>
        <v>557.13394752165073</v>
      </c>
      <c r="P840" s="159">
        <f>SUM(P832:P838)</f>
        <v>25.168242418770923</v>
      </c>
      <c r="Q840" s="159">
        <f>SUM(Q832:Q838)</f>
        <v>582.30218994042173</v>
      </c>
      <c r="R840" s="140">
        <f>Q840/$H840*100</f>
        <v>4.4671998842144886E-2</v>
      </c>
      <c r="S840" s="345">
        <f>Q840/O840</f>
        <v>1.0451744908575922</v>
      </c>
      <c r="T840" s="179">
        <f>(Q840-J840)/J840</f>
        <v>2.1072637269811349E-2</v>
      </c>
    </row>
    <row r="841" spans="2:20" ht="13.5" thickTop="1" x14ac:dyDescent="0.2">
      <c r="B841" s="64"/>
      <c r="D841" s="366"/>
      <c r="H841" s="148"/>
      <c r="I841" s="148"/>
      <c r="J841" s="148"/>
      <c r="K841" s="148"/>
      <c r="L841" s="148"/>
      <c r="M841" s="148"/>
      <c r="N841" s="148"/>
      <c r="O841" s="148"/>
      <c r="P841" s="148"/>
      <c r="Q841" s="148"/>
      <c r="R841" s="148"/>
      <c r="S841" s="148"/>
      <c r="T841" s="148"/>
    </row>
    <row r="842" spans="2:20" x14ac:dyDescent="0.2">
      <c r="B842" s="64">
        <f>MAX(B$808:B841)+1</f>
        <v>62</v>
      </c>
      <c r="D842" s="392" t="s">
        <v>396</v>
      </c>
      <c r="H842" s="148"/>
      <c r="I842" s="148"/>
      <c r="J842" s="374">
        <v>1196.9395495536583</v>
      </c>
      <c r="K842" s="337">
        <v>0</v>
      </c>
      <c r="L842" s="148"/>
      <c r="M842" s="374">
        <v>1196.9395495536583</v>
      </c>
      <c r="N842" s="148"/>
      <c r="O842" s="337">
        <v>0</v>
      </c>
      <c r="P842" s="337">
        <v>1718.1429125535255</v>
      </c>
      <c r="Q842" s="337">
        <v>1718.0114299177626</v>
      </c>
      <c r="R842" s="148"/>
      <c r="S842" s="148"/>
      <c r="T842" s="148"/>
    </row>
    <row r="843" spans="2:20" x14ac:dyDescent="0.2">
      <c r="B843" s="64"/>
      <c r="D843" s="393" t="s">
        <v>434</v>
      </c>
      <c r="H843" s="148"/>
      <c r="I843" s="148"/>
      <c r="J843" s="148"/>
      <c r="K843" s="148"/>
      <c r="L843" s="148"/>
      <c r="M843" s="148"/>
      <c r="N843" s="148"/>
      <c r="O843" s="148"/>
      <c r="P843" s="148"/>
      <c r="Q843" s="148"/>
      <c r="R843" s="148"/>
      <c r="S843" s="148"/>
      <c r="T843" s="148"/>
    </row>
    <row r="844" spans="2:20" ht="13.5" thickBot="1" x14ac:dyDescent="0.25">
      <c r="B844" s="64">
        <f>MAX(B$808:B843)+1</f>
        <v>63</v>
      </c>
      <c r="D844" s="366" t="s">
        <v>44</v>
      </c>
      <c r="H844" s="148"/>
      <c r="I844" s="148"/>
      <c r="J844" s="159">
        <f>J842 + J729 + J723 + J840 + J821 + J732 + J805 + J803 + J793 + J759</f>
        <v>166791.93719886796</v>
      </c>
      <c r="K844" s="367"/>
      <c r="L844" s="367"/>
      <c r="M844" s="159">
        <f>M842 + M729 + M723 + M840 + M821 + M732 + M805 + M803 + M793 + M759</f>
        <v>11127.060868638509</v>
      </c>
      <c r="N844" s="368"/>
      <c r="O844" s="159">
        <f>O842 + O729 + O723 + O840 + O821 + O732 + O805 + O803 + O793 + O759</f>
        <v>155664.87633022951</v>
      </c>
      <c r="P844" s="159">
        <f>P842 + P729 + P723 + P840 + P821 + P732 + P805 + P803 + P793 + P759</f>
        <v>19786.094684109157</v>
      </c>
      <c r="Q844" s="159">
        <f>Q842 + Q729 + Q723 + Q840 + Q821 + Q732 + Q805 + Q803 + Q793 + Q759</f>
        <v>175450.83953170286</v>
      </c>
      <c r="R844" s="148"/>
      <c r="S844" s="148"/>
      <c r="T844" s="148"/>
    </row>
    <row r="845" spans="2:20" ht="13.5" thickTop="1" x14ac:dyDescent="0.2">
      <c r="B845" s="64"/>
    </row>
    <row r="846" spans="2:20" ht="13.5" thickBot="1" x14ac:dyDescent="0.25">
      <c r="B846" s="64">
        <f>MAX(B$808:B845)+1</f>
        <v>64</v>
      </c>
      <c r="D846" s="393" t="s">
        <v>1075</v>
      </c>
      <c r="H846" s="394"/>
      <c r="J846" s="159">
        <f>J844+J703</f>
        <v>6020716.5351750758</v>
      </c>
      <c r="K846" s="367"/>
      <c r="L846" s="395"/>
      <c r="M846" s="159">
        <f>M844+M703</f>
        <v>-263356.43381711358</v>
      </c>
      <c r="N846" s="368"/>
      <c r="O846" s="159">
        <f>O844+O703</f>
        <v>6284072.9689921895</v>
      </c>
      <c r="P846" s="159">
        <f>P844+P703</f>
        <v>0</v>
      </c>
      <c r="Q846" s="159">
        <f>Q844+Q703</f>
        <v>6284072.8375095539</v>
      </c>
    </row>
    <row r="847" spans="2:20" ht="13.5" thickTop="1" x14ac:dyDescent="0.2">
      <c r="B847" s="64"/>
    </row>
    <row r="848" spans="2:20" x14ac:dyDescent="0.2">
      <c r="B848" s="31" t="s">
        <v>29</v>
      </c>
    </row>
    <row r="849" spans="2:20" x14ac:dyDescent="0.2">
      <c r="B849" s="23" t="s">
        <v>30</v>
      </c>
      <c r="C849" s="396"/>
      <c r="D849" s="396" t="s">
        <v>1079</v>
      </c>
    </row>
    <row r="850" spans="2:20" x14ac:dyDescent="0.2">
      <c r="B850" s="23" t="s">
        <v>31</v>
      </c>
      <c r="D850" s="396" t="s">
        <v>1055</v>
      </c>
    </row>
    <row r="851" spans="2:20" x14ac:dyDescent="0.2">
      <c r="B851" s="23" t="s">
        <v>32</v>
      </c>
      <c r="D851" s="396" t="s">
        <v>963</v>
      </c>
    </row>
    <row r="852" spans="2:20" x14ac:dyDescent="0.2">
      <c r="B852" s="167" t="s">
        <v>45</v>
      </c>
      <c r="D852" s="396" t="s">
        <v>934</v>
      </c>
    </row>
    <row r="853" spans="2:20" x14ac:dyDescent="0.2">
      <c r="B853" s="167" t="s">
        <v>46</v>
      </c>
      <c r="D853" s="396" t="s">
        <v>935</v>
      </c>
    </row>
    <row r="855" spans="2:20" x14ac:dyDescent="0.2">
      <c r="T855" s="244"/>
    </row>
  </sheetData>
  <mergeCells count="16">
    <mergeCell ref="B174:T174"/>
    <mergeCell ref="B248:T248"/>
    <mergeCell ref="B297:T297"/>
    <mergeCell ref="B401:T401"/>
    <mergeCell ref="B460:T460"/>
    <mergeCell ref="B296:T296"/>
    <mergeCell ref="B335:T335"/>
    <mergeCell ref="B336:T336"/>
    <mergeCell ref="B578:T578"/>
    <mergeCell ref="B400:T400"/>
    <mergeCell ref="B579:T579"/>
    <mergeCell ref="B637:T637"/>
    <mergeCell ref="B636:T636"/>
    <mergeCell ref="B521:T521"/>
    <mergeCell ref="B459:T459"/>
    <mergeCell ref="B522:T522"/>
  </mergeCells>
  <pageMargins left="0.7" right="0.7" top="0.75" bottom="0.75" header="0.3" footer="0.3"/>
  <pageSetup scale="52" fitToHeight="0" orientation="landscape" blackAndWhite="1" r:id="rId1"/>
  <headerFooter>
    <oddHeader>&amp;R&amp;"Arial,Regular"&amp;10Filed: 2022-11-30
EB-2022-0200
Exhibit 8
Tab 2
Schedule 8
Attachment 2
Page &amp;P of &amp;N</oddHeader>
  </headerFooter>
  <rowBreaks count="15" manualBreakCount="15">
    <brk id="55" min="1" max="19" man="1"/>
    <brk id="123" min="1" max="19" man="1"/>
    <brk id="171" min="1" max="19" man="1"/>
    <brk id="245" min="1" max="19" man="1"/>
    <brk id="245" min="1" max="19" man="1"/>
    <brk id="294" min="1" max="19" man="1"/>
    <brk id="333" min="1" max="19" man="1"/>
    <brk id="398" min="1" max="19" man="1"/>
    <brk id="457" min="1" max="19" man="1"/>
    <brk id="519" min="1" max="19" man="1"/>
    <brk id="576" min="1" max="19" man="1"/>
    <brk id="634" min="1" max="19" man="1"/>
    <brk id="708" min="1" max="19" man="1"/>
    <brk id="759" min="1" max="19" man="1"/>
    <brk id="821" min="1" max="1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A31EA-ABAB-435B-85A4-C4CF30A79BC1}">
  <sheetPr>
    <pageSetUpPr fitToPage="1"/>
  </sheetPr>
  <dimension ref="A1:E36"/>
  <sheetViews>
    <sheetView view="pageLayout" zoomScaleNormal="100" zoomScaleSheetLayoutView="90" workbookViewId="0">
      <selection sqref="A1:E1"/>
    </sheetView>
  </sheetViews>
  <sheetFormatPr defaultColWidth="9.140625" defaultRowHeight="15" customHeight="1" x14ac:dyDescent="0.2"/>
  <cols>
    <col min="1" max="1" width="4.7109375" style="66" customWidth="1"/>
    <col min="2" max="2" width="1.7109375" style="66" customWidth="1"/>
    <col min="3" max="3" width="74.28515625" style="66" customWidth="1"/>
    <col min="4" max="4" width="1.7109375" style="66" customWidth="1"/>
    <col min="5" max="5" width="12.7109375" style="66" customWidth="1"/>
    <col min="6" max="16384" width="9.140625" style="66"/>
  </cols>
  <sheetData>
    <row r="1" spans="1:5" ht="15" customHeight="1" x14ac:dyDescent="0.2">
      <c r="A1" s="572"/>
      <c r="B1" s="572"/>
      <c r="C1" s="572"/>
      <c r="D1" s="572"/>
      <c r="E1" s="572"/>
    </row>
    <row r="2" spans="1:5" ht="15" customHeight="1" x14ac:dyDescent="0.2">
      <c r="A2" s="536"/>
      <c r="B2" s="536"/>
      <c r="C2" s="536"/>
      <c r="D2" s="536"/>
      <c r="E2" s="536"/>
    </row>
    <row r="3" spans="1:5" ht="15" customHeight="1" x14ac:dyDescent="0.2">
      <c r="A3" s="536"/>
      <c r="B3" s="536"/>
      <c r="C3" s="536"/>
      <c r="D3" s="536"/>
      <c r="E3" s="536"/>
    </row>
    <row r="4" spans="1:5" ht="15" customHeight="1" x14ac:dyDescent="0.2">
      <c r="A4" s="536"/>
      <c r="B4" s="536"/>
      <c r="C4" s="536"/>
      <c r="D4" s="536"/>
      <c r="E4" s="536"/>
    </row>
    <row r="5" spans="1:5" ht="15" customHeight="1" x14ac:dyDescent="0.2">
      <c r="A5" s="536"/>
      <c r="B5" s="536"/>
      <c r="C5" s="536"/>
      <c r="D5" s="536"/>
      <c r="E5" s="536"/>
    </row>
    <row r="6" spans="1:5" ht="15" customHeight="1" x14ac:dyDescent="0.2">
      <c r="A6" s="573" t="s">
        <v>596</v>
      </c>
      <c r="B6" s="573"/>
      <c r="C6" s="573"/>
      <c r="D6" s="573"/>
      <c r="E6" s="573"/>
    </row>
    <row r="7" spans="1:5" ht="15" customHeight="1" x14ac:dyDescent="0.2">
      <c r="A7" s="574"/>
      <c r="B7" s="573"/>
      <c r="C7" s="573"/>
      <c r="D7" s="573"/>
      <c r="E7" s="573"/>
    </row>
    <row r="8" spans="1:5" ht="15" customHeight="1" x14ac:dyDescent="0.2">
      <c r="A8" s="225" t="s">
        <v>0</v>
      </c>
      <c r="B8" s="104"/>
      <c r="C8" s="104"/>
      <c r="D8" s="455"/>
      <c r="E8" s="454" t="s">
        <v>42</v>
      </c>
    </row>
    <row r="9" spans="1:5" ht="15" customHeight="1" x14ac:dyDescent="0.2">
      <c r="A9" s="226" t="s">
        <v>1</v>
      </c>
      <c r="B9" s="104"/>
      <c r="C9" s="227" t="s">
        <v>522</v>
      </c>
      <c r="D9" s="455"/>
      <c r="E9" s="519" t="s">
        <v>586</v>
      </c>
    </row>
    <row r="10" spans="1:5" ht="15" customHeight="1" x14ac:dyDescent="0.2">
      <c r="A10" s="455"/>
      <c r="B10" s="455"/>
      <c r="C10" s="455"/>
      <c r="D10" s="455"/>
      <c r="E10" s="456" t="s">
        <v>3</v>
      </c>
    </row>
    <row r="11" spans="1:5" ht="15" customHeight="1" x14ac:dyDescent="0.2">
      <c r="A11" s="455"/>
      <c r="B11" s="455"/>
      <c r="C11" s="455"/>
      <c r="D11" s="455"/>
      <c r="E11" s="455"/>
    </row>
    <row r="12" spans="1:5" ht="15" customHeight="1" x14ac:dyDescent="0.2">
      <c r="A12" s="455"/>
      <c r="B12" s="455"/>
      <c r="C12" s="457" t="s">
        <v>115</v>
      </c>
      <c r="D12" s="455"/>
      <c r="E12" s="455"/>
    </row>
    <row r="13" spans="1:5" ht="15" customHeight="1" x14ac:dyDescent="0.2">
      <c r="A13" s="536">
        <v>1</v>
      </c>
      <c r="B13" s="455"/>
      <c r="C13" s="96" t="s">
        <v>589</v>
      </c>
      <c r="D13" s="455"/>
      <c r="E13" s="458">
        <v>25.345637999999997</v>
      </c>
    </row>
    <row r="14" spans="1:5" ht="15" customHeight="1" thickBot="1" x14ac:dyDescent="0.25">
      <c r="A14" s="536">
        <f>MAX($A$13:A13)+1</f>
        <v>2</v>
      </c>
      <c r="B14" s="455"/>
      <c r="C14" s="455" t="s">
        <v>833</v>
      </c>
      <c r="E14" s="459">
        <f>E13/12*1000</f>
        <v>2112.1364999999996</v>
      </c>
    </row>
    <row r="15" spans="1:5" ht="15" customHeight="1" thickTop="1" x14ac:dyDescent="0.2">
      <c r="C15" s="76"/>
    </row>
    <row r="16" spans="1:5" ht="15" customHeight="1" x14ac:dyDescent="0.2">
      <c r="A16" s="536"/>
      <c r="B16" s="455"/>
      <c r="C16" s="457" t="s">
        <v>832</v>
      </c>
    </row>
    <row r="17" spans="1:5" ht="15" customHeight="1" x14ac:dyDescent="0.2">
      <c r="A17" s="536"/>
      <c r="B17" s="455"/>
      <c r="C17" s="460" t="s">
        <v>956</v>
      </c>
    </row>
    <row r="18" spans="1:5" ht="15" customHeight="1" x14ac:dyDescent="0.2">
      <c r="A18" s="536">
        <f>MAX($A$13:A17)+1</f>
        <v>3</v>
      </c>
      <c r="B18" s="455"/>
      <c r="C18" s="461" t="s">
        <v>946</v>
      </c>
      <c r="E18" s="462">
        <v>1.2130938541655143</v>
      </c>
    </row>
    <row r="19" spans="1:5" ht="15" customHeight="1" x14ac:dyDescent="0.2">
      <c r="A19" s="536">
        <f>MAX($A$13:A18)+1</f>
        <v>4</v>
      </c>
      <c r="B19" s="455"/>
      <c r="C19" s="461" t="s">
        <v>947</v>
      </c>
      <c r="E19" s="462">
        <v>227.56202369152254</v>
      </c>
    </row>
    <row r="20" spans="1:5" ht="15" customHeight="1" x14ac:dyDescent="0.2">
      <c r="A20" s="536">
        <f>MAX($A$13:A19)+1</f>
        <v>5</v>
      </c>
      <c r="B20" s="455"/>
      <c r="C20" s="461" t="s">
        <v>948</v>
      </c>
      <c r="E20" s="463">
        <v>269.3793289788822</v>
      </c>
    </row>
    <row r="21" spans="1:5" ht="15" customHeight="1" x14ac:dyDescent="0.2">
      <c r="A21" s="536">
        <f>MAX($A$13:A20)+1</f>
        <v>6</v>
      </c>
      <c r="B21" s="455"/>
      <c r="C21" s="96" t="s">
        <v>523</v>
      </c>
      <c r="E21" s="304">
        <f>SUM(E18:E20)</f>
        <v>498.15444652457029</v>
      </c>
    </row>
    <row r="22" spans="1:5" ht="15" customHeight="1" x14ac:dyDescent="0.2">
      <c r="A22" s="536">
        <f>MAX($A$13:A21)+1</f>
        <v>7</v>
      </c>
      <c r="B22" s="455"/>
      <c r="C22" s="461" t="s">
        <v>524</v>
      </c>
      <c r="D22" s="455"/>
      <c r="E22" s="464">
        <v>106356</v>
      </c>
    </row>
    <row r="23" spans="1:5" ht="15" customHeight="1" thickBot="1" x14ac:dyDescent="0.25">
      <c r="A23" s="536">
        <f>MAX($A$13:A22)+1</f>
        <v>8</v>
      </c>
      <c r="C23" s="455" t="s">
        <v>1114</v>
      </c>
      <c r="D23" s="455"/>
      <c r="E23" s="465">
        <f>(E21*1000) / (E22)</f>
        <v>4.6838396190583538</v>
      </c>
    </row>
    <row r="24" spans="1:5" ht="15" customHeight="1" thickTop="1" x14ac:dyDescent="0.2">
      <c r="A24" s="536"/>
    </row>
    <row r="25" spans="1:5" ht="15" customHeight="1" x14ac:dyDescent="0.2">
      <c r="A25" s="536"/>
      <c r="B25" s="455"/>
      <c r="C25" s="460" t="s">
        <v>957</v>
      </c>
      <c r="D25" s="461"/>
      <c r="E25" s="461"/>
    </row>
    <row r="26" spans="1:5" ht="15" customHeight="1" x14ac:dyDescent="0.2">
      <c r="A26" s="536">
        <f>MAX($A$13:A25)+1</f>
        <v>9</v>
      </c>
      <c r="C26" s="461" t="s">
        <v>539</v>
      </c>
      <c r="D26" s="461"/>
      <c r="E26" s="466">
        <v>0.94958643300153922</v>
      </c>
    </row>
    <row r="27" spans="1:5" ht="15" customHeight="1" x14ac:dyDescent="0.2">
      <c r="A27" s="536">
        <f>MAX($A$13:A26)+1</f>
        <v>10</v>
      </c>
      <c r="C27" s="461" t="s">
        <v>1115</v>
      </c>
      <c r="D27" s="461"/>
      <c r="E27" s="228">
        <f>(E20+E18)*1000/E22</f>
        <v>2.5442139872978271</v>
      </c>
    </row>
    <row r="28" spans="1:5" ht="15" customHeight="1" thickBot="1" x14ac:dyDescent="0.25">
      <c r="A28" s="536">
        <f>MAX($A$13:A27)+1</f>
        <v>11</v>
      </c>
      <c r="C28" s="455" t="s">
        <v>1116</v>
      </c>
      <c r="D28" s="461"/>
      <c r="E28" s="467">
        <f>E26+E27</f>
        <v>3.4938004202993662</v>
      </c>
    </row>
    <row r="29" spans="1:5" ht="15" customHeight="1" thickTop="1" x14ac:dyDescent="0.2">
      <c r="B29" s="455"/>
      <c r="C29" s="461"/>
      <c r="D29" s="461"/>
      <c r="E29" s="182"/>
    </row>
    <row r="30" spans="1:5" ht="15" customHeight="1" x14ac:dyDescent="0.2">
      <c r="A30" s="468" t="s">
        <v>29</v>
      </c>
      <c r="C30" s="461"/>
      <c r="D30" s="461"/>
      <c r="E30" s="461"/>
    </row>
    <row r="31" spans="1:5" ht="15" customHeight="1" x14ac:dyDescent="0.2">
      <c r="A31" s="77" t="s">
        <v>267</v>
      </c>
      <c r="C31" s="66" t="s">
        <v>1155</v>
      </c>
      <c r="D31" s="455"/>
      <c r="E31" s="455"/>
    </row>
    <row r="32" spans="1:5" ht="15" customHeight="1" x14ac:dyDescent="0.2">
      <c r="A32" s="77" t="s">
        <v>268</v>
      </c>
      <c r="C32" s="469" t="s">
        <v>955</v>
      </c>
    </row>
    <row r="33" spans="1:3" ht="15" customHeight="1" x14ac:dyDescent="0.2">
      <c r="A33" s="77" t="s">
        <v>269</v>
      </c>
      <c r="C33" s="469" t="s">
        <v>1117</v>
      </c>
    </row>
    <row r="34" spans="1:3" ht="15" customHeight="1" x14ac:dyDescent="0.2">
      <c r="A34" s="77" t="s">
        <v>277</v>
      </c>
      <c r="C34" s="469" t="s">
        <v>1118</v>
      </c>
    </row>
    <row r="35" spans="1:3" ht="15" customHeight="1" x14ac:dyDescent="0.2">
      <c r="A35" s="77" t="s">
        <v>278</v>
      </c>
      <c r="C35" s="545" t="s">
        <v>1154</v>
      </c>
    </row>
    <row r="36" spans="1:3" ht="15" customHeight="1" x14ac:dyDescent="0.2">
      <c r="A36" s="77" t="s">
        <v>279</v>
      </c>
      <c r="C36" s="469" t="s">
        <v>1078</v>
      </c>
    </row>
  </sheetData>
  <mergeCells count="3">
    <mergeCell ref="A1:E1"/>
    <mergeCell ref="A6:E6"/>
    <mergeCell ref="A7:E7"/>
  </mergeCells>
  <pageMargins left="0.7" right="0.7" top="0.75" bottom="0.75" header="0.3" footer="0.3"/>
  <pageSetup scale="96" orientation="portrait" horizontalDpi="1200" verticalDpi="1200" r:id="rId1"/>
  <headerFooter>
    <oddHeader>&amp;R&amp;"Arial,Regular"&amp;10Filed: 2022-11-30
EB-2022-0200
Exhibit 8
Tab 2
Schedule 8
Attachment 16
Page &amp;P of &amp;N</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BAF8-F418-479E-AA26-4A089672AB76}">
  <dimension ref="A6:I111"/>
  <sheetViews>
    <sheetView view="pageLayout" zoomScaleNormal="85" zoomScaleSheetLayoutView="90" workbookViewId="0"/>
  </sheetViews>
  <sheetFormatPr defaultColWidth="9.140625" defaultRowHeight="15" customHeight="1" x14ac:dyDescent="0.2"/>
  <cols>
    <col min="1" max="1" width="5.5703125" style="46" customWidth="1"/>
    <col min="2" max="2" width="1.7109375" style="46" customWidth="1"/>
    <col min="3" max="3" width="53" style="46" customWidth="1"/>
    <col min="4" max="4" width="1.7109375" style="46" customWidth="1"/>
    <col min="5" max="5" width="12.140625" style="66" bestFit="1" customWidth="1"/>
    <col min="6" max="6" width="1.7109375" style="66" customWidth="1"/>
    <col min="7" max="7" width="10.85546875" style="66" customWidth="1"/>
    <col min="8" max="8" width="1.7109375" style="66" customWidth="1"/>
    <col min="9" max="9" width="11" style="66" customWidth="1"/>
    <col min="10" max="16384" width="9.140625" style="46"/>
  </cols>
  <sheetData>
    <row r="6" spans="1:9" ht="15" customHeight="1" x14ac:dyDescent="0.2">
      <c r="A6" s="47" t="s">
        <v>842</v>
      </c>
      <c r="B6" s="68"/>
      <c r="C6" s="68"/>
      <c r="D6" s="68"/>
      <c r="E6" s="229"/>
      <c r="F6" s="229"/>
      <c r="G6" s="229"/>
      <c r="H6" s="229"/>
      <c r="I6" s="229"/>
    </row>
    <row r="7" spans="1:9" ht="15" customHeight="1" x14ac:dyDescent="0.2">
      <c r="A7" s="47" t="s">
        <v>849</v>
      </c>
      <c r="B7" s="68"/>
      <c r="C7" s="68"/>
      <c r="D7" s="68"/>
      <c r="E7" s="229"/>
      <c r="F7" s="229"/>
      <c r="G7" s="229"/>
      <c r="H7" s="229"/>
      <c r="I7" s="229"/>
    </row>
    <row r="8" spans="1:9" ht="15" customHeight="1" x14ac:dyDescent="0.2">
      <c r="I8" s="230"/>
    </row>
    <row r="9" spans="1:9" ht="15" customHeight="1" x14ac:dyDescent="0.2">
      <c r="A9" s="24" t="s">
        <v>0</v>
      </c>
      <c r="B9" s="24"/>
      <c r="C9" s="24"/>
      <c r="E9" s="454"/>
    </row>
    <row r="10" spans="1:9" ht="15" customHeight="1" x14ac:dyDescent="0.2">
      <c r="A10" s="519" t="s">
        <v>1</v>
      </c>
      <c r="B10" s="9"/>
      <c r="C10" s="401" t="s">
        <v>33</v>
      </c>
      <c r="D10" s="41"/>
      <c r="E10" s="519" t="s">
        <v>386</v>
      </c>
      <c r="F10" s="454"/>
      <c r="G10" s="519" t="s">
        <v>556</v>
      </c>
      <c r="H10" s="454"/>
      <c r="I10" s="519" t="s">
        <v>448</v>
      </c>
    </row>
    <row r="11" spans="1:9" ht="15" customHeight="1" x14ac:dyDescent="0.2">
      <c r="E11" s="77" t="s">
        <v>3</v>
      </c>
      <c r="F11" s="454"/>
      <c r="G11" s="77" t="s">
        <v>4</v>
      </c>
      <c r="H11" s="454"/>
      <c r="I11" s="77" t="s">
        <v>119</v>
      </c>
    </row>
    <row r="13" spans="1:9" ht="15" customHeight="1" x14ac:dyDescent="0.2">
      <c r="A13" s="41"/>
      <c r="C13" s="102" t="s">
        <v>449</v>
      </c>
    </row>
    <row r="14" spans="1:9" ht="15" customHeight="1" x14ac:dyDescent="0.2">
      <c r="A14" s="41" cm="1">
        <f t="array" ref="A14">MAX($A$13:A13+1)</f>
        <v>1</v>
      </c>
      <c r="C14" s="181" t="s">
        <v>330</v>
      </c>
      <c r="E14" s="295">
        <v>738612</v>
      </c>
      <c r="G14" s="298">
        <v>3.7999999999999999E-2</v>
      </c>
      <c r="I14" s="300">
        <f>E14*G14</f>
        <v>28067.255999999998</v>
      </c>
    </row>
    <row r="15" spans="1:9" ht="15" customHeight="1" x14ac:dyDescent="0.2">
      <c r="A15" s="41" cm="1">
        <f t="array" ref="A15">MAX($A$13:A14+1)</f>
        <v>2</v>
      </c>
      <c r="C15" s="181" t="s">
        <v>334</v>
      </c>
      <c r="E15" s="295">
        <v>738612</v>
      </c>
      <c r="G15" s="298">
        <v>8.9999999999999993E-3</v>
      </c>
      <c r="I15" s="300">
        <f>E15*G15</f>
        <v>6647.5079999999998</v>
      </c>
    </row>
    <row r="16" spans="1:9" ht="15" customHeight="1" x14ac:dyDescent="0.2">
      <c r="A16" s="41" cm="1">
        <f t="array" ref="A16">MAX($A$13:A15+1)</f>
        <v>3</v>
      </c>
      <c r="C16" s="181" t="s">
        <v>335</v>
      </c>
      <c r="E16" s="295">
        <v>738612</v>
      </c>
      <c r="G16" s="298">
        <v>2.5999999999999999E-2</v>
      </c>
      <c r="I16" s="300">
        <f>E16*G16</f>
        <v>19203.912</v>
      </c>
    </row>
    <row r="17" spans="1:9" ht="15" customHeight="1" x14ac:dyDescent="0.2">
      <c r="A17" s="41" cm="1">
        <f t="array" ref="A17">MAX($A$13:A16+1)</f>
        <v>4</v>
      </c>
      <c r="C17" s="223" t="s">
        <v>450</v>
      </c>
      <c r="I17" s="299">
        <f>SUM(I14:I16)</f>
        <v>53918.675999999992</v>
      </c>
    </row>
    <row r="19" spans="1:9" ht="15" customHeight="1" x14ac:dyDescent="0.2">
      <c r="C19" s="102" t="s">
        <v>451</v>
      </c>
    </row>
    <row r="20" spans="1:9" ht="15" customHeight="1" x14ac:dyDescent="0.2">
      <c r="A20" s="41" cm="1">
        <f t="array" ref="A20">MAX($A$13:A19+1)</f>
        <v>5</v>
      </c>
      <c r="C20" s="181" t="s">
        <v>330</v>
      </c>
      <c r="E20" s="295">
        <v>418156</v>
      </c>
      <c r="G20" s="298">
        <v>3.7999999999999999E-2</v>
      </c>
      <c r="I20" s="106">
        <f>E20*G20</f>
        <v>15889.928</v>
      </c>
    </row>
    <row r="21" spans="1:9" ht="15" customHeight="1" x14ac:dyDescent="0.2">
      <c r="A21" s="41" cm="1">
        <f t="array" ref="A21">MAX($A$13:A20+1)</f>
        <v>6</v>
      </c>
      <c r="C21" s="181" t="s">
        <v>334</v>
      </c>
      <c r="E21" s="295">
        <v>418156</v>
      </c>
      <c r="G21" s="298">
        <v>8.9999999999999993E-3</v>
      </c>
      <c r="I21" s="106">
        <f>E21*G21</f>
        <v>3763.4039999999995</v>
      </c>
    </row>
    <row r="22" spans="1:9" ht="15" customHeight="1" x14ac:dyDescent="0.2">
      <c r="A22" s="41" cm="1">
        <f t="array" ref="A22">MAX($A$13:A21+1)</f>
        <v>7</v>
      </c>
      <c r="C22" s="181" t="s">
        <v>335</v>
      </c>
      <c r="E22" s="295">
        <v>418156</v>
      </c>
      <c r="G22" s="298">
        <v>1.0999999999999999E-2</v>
      </c>
      <c r="I22" s="108">
        <f>E22*G22</f>
        <v>4599.7159999999994</v>
      </c>
    </row>
    <row r="23" spans="1:9" ht="15" customHeight="1" thickBot="1" x14ac:dyDescent="0.25">
      <c r="A23" s="41" cm="1">
        <f t="array" ref="A23">MAX($A$13:A22+1)</f>
        <v>8</v>
      </c>
      <c r="C23" s="231" t="s">
        <v>452</v>
      </c>
      <c r="I23" s="118">
        <f>SUM(I20:I22)</f>
        <v>24253.047999999999</v>
      </c>
    </row>
    <row r="24" spans="1:9" ht="15" customHeight="1" thickTop="1" x14ac:dyDescent="0.2"/>
    <row r="25" spans="1:9" ht="15" customHeight="1" x14ac:dyDescent="0.2">
      <c r="C25" s="102" t="s">
        <v>453</v>
      </c>
    </row>
    <row r="26" spans="1:9" ht="15" customHeight="1" x14ac:dyDescent="0.2">
      <c r="A26" s="41" cm="1">
        <f t="array" ref="A26">MAX($A$13:A25+1)</f>
        <v>9</v>
      </c>
      <c r="C26" s="181" t="s">
        <v>454</v>
      </c>
      <c r="E26" s="295">
        <v>162000</v>
      </c>
      <c r="G26" s="296">
        <v>0.22646959999999999</v>
      </c>
      <c r="I26" s="106">
        <f>E26*G26*12</f>
        <v>440256.90240000002</v>
      </c>
    </row>
    <row r="27" spans="1:9" ht="15" customHeight="1" x14ac:dyDescent="0.2">
      <c r="A27" s="41" cm="1">
        <f t="array" ref="A27">MAX($A$13:A26+1)</f>
        <v>10</v>
      </c>
      <c r="C27" s="181" t="s">
        <v>455</v>
      </c>
      <c r="E27" s="295">
        <v>2835</v>
      </c>
      <c r="G27" s="296">
        <v>24.928547458067616</v>
      </c>
      <c r="I27" s="106">
        <f>E27*G27*12</f>
        <v>848069.18452346034</v>
      </c>
    </row>
    <row r="28" spans="1:9" ht="15" customHeight="1" x14ac:dyDescent="0.2">
      <c r="A28" s="41" cm="1">
        <f t="array" ref="A28">MAX($A$13:A27+1)</f>
        <v>11</v>
      </c>
      <c r="C28" s="181" t="s">
        <v>456</v>
      </c>
      <c r="E28" s="295">
        <v>324000</v>
      </c>
      <c r="G28" s="296">
        <v>1.0640595399749269</v>
      </c>
      <c r="I28" s="106">
        <f>E28*G28</f>
        <v>344755.29095187632</v>
      </c>
    </row>
    <row r="29" spans="1:9" ht="15" customHeight="1" x14ac:dyDescent="0.2">
      <c r="A29" s="41" cm="1">
        <f t="array" ref="A29">MAX($A$13:A28+1)</f>
        <v>12</v>
      </c>
      <c r="C29" s="181" t="s">
        <v>848</v>
      </c>
      <c r="E29" s="295">
        <v>12</v>
      </c>
      <c r="G29" s="297">
        <v>29116.67</v>
      </c>
      <c r="I29" s="108">
        <f>E29*G29</f>
        <v>349400.04</v>
      </c>
    </row>
    <row r="30" spans="1:9" ht="15" customHeight="1" x14ac:dyDescent="0.2">
      <c r="A30" s="41" cm="1">
        <f t="array" ref="A30">MAX($A$13:A29+1)</f>
        <v>13</v>
      </c>
      <c r="C30" s="181" t="s">
        <v>457</v>
      </c>
      <c r="E30" s="295"/>
      <c r="I30" s="106">
        <f>SUM(I26:I29)</f>
        <v>1982481.4178753369</v>
      </c>
    </row>
    <row r="31" spans="1:9" ht="15" customHeight="1" x14ac:dyDescent="0.2">
      <c r="A31" s="41" cm="1">
        <f t="array" ref="A31">MAX($A$13:A30+1)</f>
        <v>14</v>
      </c>
      <c r="C31" s="181" t="s">
        <v>458</v>
      </c>
      <c r="E31" s="295"/>
      <c r="I31" s="120">
        <v>0.3</v>
      </c>
    </row>
    <row r="32" spans="1:9" ht="15" customHeight="1" thickBot="1" x14ac:dyDescent="0.25">
      <c r="A32" s="41" cm="1">
        <f t="array" ref="A32">MAX($A$13:A31+1)</f>
        <v>15</v>
      </c>
      <c r="C32" s="231" t="s">
        <v>459</v>
      </c>
      <c r="I32" s="118">
        <f>I30*I31</f>
        <v>594744.42536260106</v>
      </c>
    </row>
    <row r="33" spans="1:9" ht="15" customHeight="1" thickTop="1" x14ac:dyDescent="0.2"/>
    <row r="34" spans="1:9" ht="15" customHeight="1" x14ac:dyDescent="0.2">
      <c r="C34" s="102" t="s">
        <v>460</v>
      </c>
    </row>
    <row r="35" spans="1:9" ht="15" customHeight="1" x14ac:dyDescent="0.2">
      <c r="A35" s="41" cm="1">
        <f t="array" ref="A35">MAX($A$13:A34+1)</f>
        <v>16</v>
      </c>
      <c r="C35" s="181" t="s">
        <v>454</v>
      </c>
      <c r="E35" s="295">
        <v>28300</v>
      </c>
      <c r="G35" s="296">
        <v>0.44040360000000001</v>
      </c>
      <c r="I35" s="106">
        <f>E35*G35*12</f>
        <v>149561.06255999999</v>
      </c>
    </row>
    <row r="36" spans="1:9" ht="15" customHeight="1" x14ac:dyDescent="0.2">
      <c r="A36" s="41" cm="1">
        <f t="array" ref="A36">MAX($A$13:A35+1)</f>
        <v>17</v>
      </c>
      <c r="C36" s="181" t="s">
        <v>455</v>
      </c>
      <c r="E36" s="295">
        <v>283</v>
      </c>
      <c r="G36" s="296">
        <v>48.710228254683045</v>
      </c>
      <c r="I36" s="106">
        <f>E36*G36*12</f>
        <v>165419.93515290361</v>
      </c>
    </row>
    <row r="37" spans="1:9" ht="15" customHeight="1" x14ac:dyDescent="0.2">
      <c r="A37" s="41" cm="1">
        <f t="array" ref="A37">MAX($A$13:A36+1)</f>
        <v>18</v>
      </c>
      <c r="C37" s="181" t="s">
        <v>456</v>
      </c>
      <c r="E37" s="295">
        <v>56600</v>
      </c>
      <c r="G37" s="296">
        <v>1.276545148695607</v>
      </c>
      <c r="I37" s="108">
        <f>E37*G37</f>
        <v>72252.45541617136</v>
      </c>
    </row>
    <row r="38" spans="1:9" ht="15" customHeight="1" x14ac:dyDescent="0.2">
      <c r="A38" s="41" cm="1">
        <f t="array" ref="A38">MAX($A$13:A37+1)</f>
        <v>19</v>
      </c>
      <c r="C38" s="181" t="s">
        <v>457</v>
      </c>
      <c r="I38" s="106">
        <f>SUM(I35:I37)</f>
        <v>387233.45312907494</v>
      </c>
    </row>
    <row r="39" spans="1:9" ht="15" customHeight="1" x14ac:dyDescent="0.2">
      <c r="A39" s="41" cm="1">
        <f t="array" ref="A39">MAX($A$13:A38+1)</f>
        <v>20</v>
      </c>
      <c r="C39" s="181" t="s">
        <v>458</v>
      </c>
      <c r="I39" s="120">
        <v>0.42364471137236287</v>
      </c>
    </row>
    <row r="40" spans="1:9" ht="15" customHeight="1" thickBot="1" x14ac:dyDescent="0.25">
      <c r="A40" s="41" cm="1">
        <f t="array" ref="A40">MAX($A$13:A39+1)</f>
        <v>21</v>
      </c>
      <c r="C40" s="231" t="s">
        <v>461</v>
      </c>
      <c r="I40" s="118">
        <f>I38*I39</f>
        <v>164049.40448459037</v>
      </c>
    </row>
    <row r="41" spans="1:9" ht="15" customHeight="1" thickTop="1" x14ac:dyDescent="0.2">
      <c r="C41" s="99"/>
    </row>
    <row r="42" spans="1:9" ht="15" customHeight="1" x14ac:dyDescent="0.2">
      <c r="C42" s="102" t="s">
        <v>847</v>
      </c>
    </row>
    <row r="43" spans="1:9" ht="15" customHeight="1" x14ac:dyDescent="0.2">
      <c r="A43" s="41" cm="1">
        <f t="array" ref="A43">MAX($A$13:A42+1)</f>
        <v>22</v>
      </c>
      <c r="C43" s="181" t="s">
        <v>462</v>
      </c>
      <c r="I43" s="295">
        <v>48079.757689903723</v>
      </c>
    </row>
    <row r="44" spans="1:9" ht="15" customHeight="1" x14ac:dyDescent="0.2">
      <c r="A44" s="41" cm="1">
        <f t="array" ref="A44">MAX($A$13:A43+1)</f>
        <v>23</v>
      </c>
      <c r="C44" s="181" t="s">
        <v>463</v>
      </c>
      <c r="I44" s="295">
        <v>82978.207695495017</v>
      </c>
    </row>
    <row r="45" spans="1:9" ht="15" customHeight="1" x14ac:dyDescent="0.2">
      <c r="A45" s="41" cm="1">
        <f t="array" ref="A45">MAX($A$13:A44+1)</f>
        <v>24</v>
      </c>
      <c r="C45" s="181" t="s">
        <v>464</v>
      </c>
      <c r="I45" s="295">
        <v>228916.03032106798</v>
      </c>
    </row>
    <row r="46" spans="1:9" ht="15" customHeight="1" thickBot="1" x14ac:dyDescent="0.25">
      <c r="A46" s="41" cm="1">
        <f t="array" ref="A46">MAX($A$13:A45+1)</f>
        <v>25</v>
      </c>
      <c r="C46" s="231" t="s">
        <v>465</v>
      </c>
      <c r="I46" s="118">
        <f>SUM(I43:I45)</f>
        <v>359973.99570646673</v>
      </c>
    </row>
    <row r="47" spans="1:9" ht="15" customHeight="1" thickTop="1" x14ac:dyDescent="0.2">
      <c r="I47" s="106"/>
    </row>
    <row r="48" spans="1:9" ht="15" customHeight="1" thickBot="1" x14ac:dyDescent="0.25">
      <c r="A48" s="41" cm="1">
        <f t="array" ref="A48">MAX($A$13:A46+1)</f>
        <v>26</v>
      </c>
      <c r="C48" s="116" t="s">
        <v>846</v>
      </c>
      <c r="I48" s="118">
        <f>I17+I23+I32+I40+I46</f>
        <v>1196939.5495536583</v>
      </c>
    </row>
    <row r="49" spans="1:9" ht="15" customHeight="1" thickTop="1" x14ac:dyDescent="0.2"/>
    <row r="50" spans="1:9" ht="15" customHeight="1" x14ac:dyDescent="0.2">
      <c r="A50" s="292" t="s">
        <v>29</v>
      </c>
      <c r="B50" s="116"/>
      <c r="C50" s="116"/>
      <c r="D50" s="116"/>
      <c r="E50" s="116"/>
      <c r="F50" s="116"/>
      <c r="G50" s="116"/>
      <c r="H50" s="116"/>
    </row>
    <row r="51" spans="1:9" ht="15" customHeight="1" x14ac:dyDescent="0.2">
      <c r="A51" s="291" t="s">
        <v>30</v>
      </c>
      <c r="B51" s="530"/>
      <c r="C51" s="569" t="s">
        <v>845</v>
      </c>
      <c r="D51" s="569"/>
      <c r="E51" s="569"/>
      <c r="F51" s="569"/>
      <c r="G51" s="569"/>
      <c r="H51" s="569"/>
      <c r="I51" s="569"/>
    </row>
    <row r="52" spans="1:9" ht="10.5" customHeight="1" x14ac:dyDescent="0.2">
      <c r="A52" s="290"/>
      <c r="B52" s="66"/>
      <c r="C52" s="569"/>
      <c r="D52" s="569"/>
      <c r="E52" s="569"/>
      <c r="F52" s="569"/>
      <c r="G52" s="569"/>
      <c r="H52" s="569"/>
      <c r="I52" s="569"/>
    </row>
    <row r="53" spans="1:9" ht="15" customHeight="1" x14ac:dyDescent="0.2">
      <c r="A53" s="290" t="s">
        <v>268</v>
      </c>
      <c r="B53" s="66"/>
      <c r="C53" s="294" t="s">
        <v>844</v>
      </c>
      <c r="D53" s="294"/>
      <c r="E53" s="294"/>
      <c r="F53" s="294"/>
      <c r="G53" s="294"/>
      <c r="H53" s="294"/>
      <c r="I53" s="294"/>
    </row>
    <row r="54" spans="1:9" ht="15" customHeight="1" x14ac:dyDescent="0.2">
      <c r="A54" s="290" t="s">
        <v>269</v>
      </c>
      <c r="C54" s="570" t="s">
        <v>843</v>
      </c>
      <c r="D54" s="570"/>
      <c r="E54" s="570"/>
      <c r="F54" s="570"/>
      <c r="G54" s="570"/>
      <c r="H54" s="570"/>
      <c r="I54" s="570"/>
    </row>
    <row r="55" spans="1:9" ht="15" customHeight="1" x14ac:dyDescent="0.2">
      <c r="A55" s="50"/>
      <c r="C55" s="570"/>
      <c r="D55" s="570"/>
      <c r="E55" s="570"/>
      <c r="F55" s="570"/>
      <c r="G55" s="570"/>
      <c r="H55" s="570"/>
      <c r="I55" s="570"/>
    </row>
    <row r="61" spans="1:9" ht="15" customHeight="1" x14ac:dyDescent="0.2">
      <c r="A61" s="47" t="s">
        <v>842</v>
      </c>
      <c r="B61" s="68"/>
      <c r="C61" s="68"/>
      <c r="D61" s="68"/>
      <c r="E61" s="229"/>
      <c r="F61" s="229"/>
      <c r="G61" s="229"/>
      <c r="H61" s="229"/>
      <c r="I61" s="229"/>
    </row>
    <row r="62" spans="1:9" ht="15" customHeight="1" x14ac:dyDescent="0.2">
      <c r="A62" s="47" t="s">
        <v>841</v>
      </c>
      <c r="B62" s="68"/>
      <c r="C62" s="68"/>
      <c r="D62" s="68"/>
      <c r="E62" s="229"/>
      <c r="F62" s="229"/>
      <c r="G62" s="229"/>
      <c r="H62" s="229"/>
      <c r="I62" s="229"/>
    </row>
    <row r="63" spans="1:9" ht="15" customHeight="1" x14ac:dyDescent="0.2">
      <c r="A63" s="66"/>
      <c r="B63" s="66"/>
      <c r="C63" s="66"/>
    </row>
    <row r="64" spans="1:9" ht="15" customHeight="1" x14ac:dyDescent="0.2">
      <c r="A64" s="98" t="s">
        <v>0</v>
      </c>
      <c r="B64" s="99"/>
      <c r="C64" s="99"/>
      <c r="E64" s="454" t="s">
        <v>386</v>
      </c>
      <c r="F64" s="98"/>
      <c r="G64" s="454" t="s">
        <v>840</v>
      </c>
      <c r="H64" s="454"/>
      <c r="I64" s="454" t="s">
        <v>467</v>
      </c>
    </row>
    <row r="65" spans="1:9" ht="15" customHeight="1" x14ac:dyDescent="0.2">
      <c r="A65" s="100" t="s">
        <v>468</v>
      </c>
      <c r="B65" s="99"/>
      <c r="C65" s="101" t="s">
        <v>33</v>
      </c>
      <c r="E65" s="534" t="s">
        <v>469</v>
      </c>
      <c r="F65" s="98"/>
      <c r="G65" s="534" t="s">
        <v>98</v>
      </c>
      <c r="H65" s="454"/>
      <c r="I65" s="534" t="s">
        <v>470</v>
      </c>
    </row>
    <row r="66" spans="1:9" ht="15" customHeight="1" x14ac:dyDescent="0.2">
      <c r="A66" s="98"/>
      <c r="B66" s="99"/>
      <c r="C66" s="99"/>
      <c r="E66" s="77" t="s">
        <v>3</v>
      </c>
      <c r="F66" s="454"/>
      <c r="G66" s="77" t="s">
        <v>4</v>
      </c>
      <c r="H66" s="454"/>
      <c r="I66" s="77" t="s">
        <v>119</v>
      </c>
    </row>
    <row r="67" spans="1:9" ht="15" customHeight="1" x14ac:dyDescent="0.2">
      <c r="A67" s="98"/>
      <c r="B67" s="99"/>
      <c r="C67" s="99"/>
      <c r="E67" s="454"/>
      <c r="F67" s="454"/>
      <c r="G67" s="454"/>
      <c r="H67" s="454"/>
      <c r="I67" s="454"/>
    </row>
    <row r="68" spans="1:9" ht="15" customHeight="1" x14ac:dyDescent="0.2">
      <c r="A68" s="98"/>
      <c r="B68" s="99"/>
      <c r="C68" s="102" t="s">
        <v>839</v>
      </c>
      <c r="E68" s="454"/>
      <c r="F68" s="454"/>
      <c r="G68" s="454"/>
      <c r="H68" s="454"/>
      <c r="I68" s="454"/>
    </row>
    <row r="69" spans="1:9" ht="15" customHeight="1" x14ac:dyDescent="0.2">
      <c r="A69" s="103">
        <v>1</v>
      </c>
      <c r="B69" s="99"/>
      <c r="C69" s="181" t="s">
        <v>330</v>
      </c>
      <c r="E69" s="293">
        <v>738612</v>
      </c>
      <c r="F69" s="105"/>
      <c r="G69" s="115">
        <v>4.428930490011751E-2</v>
      </c>
      <c r="H69" s="105"/>
      <c r="I69" s="106">
        <f>E69*G69</f>
        <v>32712.612070885592</v>
      </c>
    </row>
    <row r="70" spans="1:9" ht="15" customHeight="1" x14ac:dyDescent="0.2">
      <c r="A70" s="107">
        <f>A69+1</f>
        <v>2</v>
      </c>
      <c r="B70" s="66"/>
      <c r="C70" s="181" t="s">
        <v>334</v>
      </c>
      <c r="E70" s="293">
        <v>738612</v>
      </c>
      <c r="F70" s="105"/>
      <c r="G70" s="115">
        <v>2.568728230135613E-2</v>
      </c>
      <c r="H70" s="105"/>
      <c r="I70" s="106">
        <f>E70*G70</f>
        <v>18972.934955169254</v>
      </c>
    </row>
    <row r="71" spans="1:9" ht="15" customHeight="1" x14ac:dyDescent="0.2">
      <c r="A71" s="107">
        <f>A70+1</f>
        <v>3</v>
      </c>
      <c r="B71" s="66"/>
      <c r="C71" s="181" t="s">
        <v>335</v>
      </c>
      <c r="E71" s="293">
        <v>738612</v>
      </c>
      <c r="F71" s="105"/>
      <c r="G71" s="115">
        <v>5.5612100870745453E-2</v>
      </c>
      <c r="H71" s="105"/>
      <c r="I71" s="108">
        <f>E71*G71</f>
        <v>41075.765048343041</v>
      </c>
    </row>
    <row r="72" spans="1:9" ht="15" customHeight="1" thickBot="1" x14ac:dyDescent="0.25">
      <c r="A72" s="109">
        <f>A71+1</f>
        <v>4</v>
      </c>
      <c r="B72" s="66"/>
      <c r="C72" s="99" t="s">
        <v>450</v>
      </c>
      <c r="E72" s="110"/>
      <c r="F72" s="105"/>
      <c r="G72" s="111"/>
      <c r="H72" s="105"/>
      <c r="I72" s="112">
        <f>SUM(I69:I71)</f>
        <v>92761.312074397894</v>
      </c>
    </row>
    <row r="73" spans="1:9" ht="15" customHeight="1" thickTop="1" x14ac:dyDescent="0.2">
      <c r="A73" s="66"/>
      <c r="B73" s="66"/>
      <c r="C73" s="99"/>
      <c r="E73" s="110"/>
      <c r="F73" s="105"/>
      <c r="G73" s="111"/>
      <c r="H73" s="105"/>
      <c r="I73" s="105"/>
    </row>
    <row r="74" spans="1:9" ht="15" customHeight="1" x14ac:dyDescent="0.2">
      <c r="A74" s="98"/>
      <c r="B74" s="99"/>
      <c r="C74" s="102" t="s">
        <v>838</v>
      </c>
      <c r="E74" s="106"/>
      <c r="F74" s="113"/>
      <c r="G74" s="114"/>
      <c r="H74" s="113"/>
      <c r="I74" s="113"/>
    </row>
    <row r="75" spans="1:9" ht="15" customHeight="1" x14ac:dyDescent="0.2">
      <c r="A75" s="103">
        <f>A72+1</f>
        <v>5</v>
      </c>
      <c r="B75" s="99"/>
      <c r="C75" s="181" t="s">
        <v>330</v>
      </c>
      <c r="E75" s="293">
        <v>418156</v>
      </c>
      <c r="F75" s="105"/>
      <c r="G75" s="115">
        <f>+G69</f>
        <v>4.428930490011751E-2</v>
      </c>
      <c r="H75" s="105"/>
      <c r="I75" s="106">
        <f>E75*G75</f>
        <v>18519.838579813539</v>
      </c>
    </row>
    <row r="76" spans="1:9" ht="15" customHeight="1" x14ac:dyDescent="0.2">
      <c r="A76" s="109">
        <f>A75+1</f>
        <v>6</v>
      </c>
      <c r="B76" s="116"/>
      <c r="C76" s="181" t="s">
        <v>334</v>
      </c>
      <c r="E76" s="293">
        <v>418156</v>
      </c>
      <c r="F76" s="105"/>
      <c r="G76" s="115">
        <v>2.568728230135613E-2</v>
      </c>
      <c r="H76" s="105"/>
      <c r="I76" s="106">
        <f>E76*G76</f>
        <v>10741.291218005874</v>
      </c>
    </row>
    <row r="77" spans="1:9" ht="15" customHeight="1" x14ac:dyDescent="0.2">
      <c r="A77" s="109">
        <f>A76+1</f>
        <v>7</v>
      </c>
      <c r="B77" s="116"/>
      <c r="C77" s="181" t="s">
        <v>335</v>
      </c>
      <c r="E77" s="293">
        <v>418156</v>
      </c>
      <c r="F77" s="105"/>
      <c r="G77" s="115">
        <v>2.568728230135613E-2</v>
      </c>
      <c r="H77" s="105"/>
      <c r="I77" s="108">
        <f>E77*G77</f>
        <v>10741.291218005874</v>
      </c>
    </row>
    <row r="78" spans="1:9" ht="15" customHeight="1" thickBot="1" x14ac:dyDescent="0.25">
      <c r="A78" s="109">
        <f>A77+1</f>
        <v>8</v>
      </c>
      <c r="B78" s="116"/>
      <c r="C78" s="116" t="s">
        <v>452</v>
      </c>
      <c r="E78" s="105"/>
      <c r="F78" s="105"/>
      <c r="G78" s="117"/>
      <c r="H78" s="105"/>
      <c r="I78" s="118">
        <f>SUM(I75:I77)</f>
        <v>40002.421015825283</v>
      </c>
    </row>
    <row r="79" spans="1:9" ht="15" customHeight="1" thickTop="1" x14ac:dyDescent="0.2">
      <c r="A79" s="109"/>
      <c r="B79" s="116"/>
      <c r="C79" s="116"/>
      <c r="E79" s="105"/>
      <c r="F79" s="105"/>
      <c r="G79" s="117"/>
      <c r="H79" s="105"/>
      <c r="I79" s="119"/>
    </row>
    <row r="80" spans="1:9" ht="15" customHeight="1" x14ac:dyDescent="0.2">
      <c r="A80" s="98"/>
      <c r="B80" s="99"/>
      <c r="C80" s="102" t="s">
        <v>837</v>
      </c>
      <c r="E80" s="113"/>
      <c r="F80" s="113"/>
      <c r="G80" s="115"/>
      <c r="H80" s="113"/>
      <c r="I80" s="106"/>
    </row>
    <row r="81" spans="1:9" ht="15" customHeight="1" x14ac:dyDescent="0.2">
      <c r="A81" s="103">
        <f>A78+1</f>
        <v>9</v>
      </c>
      <c r="B81" s="99"/>
      <c r="C81" s="181" t="s">
        <v>471</v>
      </c>
      <c r="E81" s="293">
        <v>6330960</v>
      </c>
      <c r="F81" s="105"/>
      <c r="G81" s="115">
        <v>9.0889241635057055E-3</v>
      </c>
      <c r="H81" s="105"/>
      <c r="I81" s="106">
        <f>E81*G81*12</f>
        <v>690499.38386625703</v>
      </c>
    </row>
    <row r="82" spans="1:9" ht="15" customHeight="1" x14ac:dyDescent="0.2">
      <c r="A82" s="103">
        <f>A81+1</f>
        <v>10</v>
      </c>
      <c r="B82" s="99"/>
      <c r="C82" s="181" t="s">
        <v>472</v>
      </c>
      <c r="E82" s="293">
        <v>110791.79999999999</v>
      </c>
      <c r="F82" s="105"/>
      <c r="G82" s="115">
        <v>0.96728599267556625</v>
      </c>
      <c r="H82" s="105"/>
      <c r="I82" s="106">
        <f>E82*G82*12</f>
        <v>1286008.2749197534</v>
      </c>
    </row>
    <row r="83" spans="1:9" ht="15" customHeight="1" x14ac:dyDescent="0.2">
      <c r="A83" s="103">
        <f>A82+1</f>
        <v>11</v>
      </c>
      <c r="B83" s="99"/>
      <c r="C83" s="181" t="s">
        <v>456</v>
      </c>
      <c r="E83" s="293">
        <v>12661920</v>
      </c>
      <c r="F83" s="105"/>
      <c r="G83" s="115">
        <v>4.4263773931520103E-2</v>
      </c>
      <c r="H83" s="105"/>
      <c r="I83" s="108">
        <f>E83*G83</f>
        <v>560464.36441899301</v>
      </c>
    </row>
    <row r="84" spans="1:9" ht="15" customHeight="1" x14ac:dyDescent="0.2">
      <c r="A84" s="103">
        <f>A83+1</f>
        <v>12</v>
      </c>
      <c r="B84" s="116"/>
      <c r="C84" s="181" t="s">
        <v>457</v>
      </c>
      <c r="E84" s="293"/>
      <c r="F84" s="105"/>
      <c r="G84" s="115"/>
      <c r="H84" s="105"/>
      <c r="I84" s="106">
        <f>SUM(I81:I83)</f>
        <v>2536972.0232050037</v>
      </c>
    </row>
    <row r="85" spans="1:9" ht="15" customHeight="1" x14ac:dyDescent="0.2">
      <c r="A85" s="103">
        <f>A84+1</f>
        <v>13</v>
      </c>
      <c r="B85" s="116"/>
      <c r="C85" s="181" t="s">
        <v>458</v>
      </c>
      <c r="E85" s="116"/>
      <c r="F85" s="105"/>
      <c r="G85" s="115"/>
      <c r="H85" s="105"/>
      <c r="I85" s="120">
        <v>0.40083538794946261</v>
      </c>
    </row>
    <row r="86" spans="1:9" ht="15" customHeight="1" thickBot="1" x14ac:dyDescent="0.25">
      <c r="A86" s="103">
        <f>A85+1</f>
        <v>14</v>
      </c>
      <c r="B86" s="116"/>
      <c r="C86" s="116" t="s">
        <v>459</v>
      </c>
      <c r="E86" s="105"/>
      <c r="F86" s="105"/>
      <c r="G86" s="117"/>
      <c r="H86" s="105"/>
      <c r="I86" s="118">
        <f>I84*I85</f>
        <v>1016908.1651383108</v>
      </c>
    </row>
    <row r="87" spans="1:9" ht="15" customHeight="1" thickTop="1" x14ac:dyDescent="0.2">
      <c r="A87" s="109"/>
      <c r="B87" s="116"/>
      <c r="C87" s="99"/>
      <c r="E87" s="105"/>
      <c r="F87" s="105"/>
      <c r="G87" s="115"/>
      <c r="H87" s="105"/>
      <c r="I87" s="106"/>
    </row>
    <row r="88" spans="1:9" ht="15" customHeight="1" x14ac:dyDescent="0.2">
      <c r="A88" s="98"/>
      <c r="B88" s="99"/>
      <c r="C88" s="102" t="s">
        <v>836</v>
      </c>
      <c r="E88" s="113"/>
      <c r="F88" s="113"/>
      <c r="G88" s="115"/>
      <c r="H88" s="113"/>
      <c r="I88" s="106"/>
    </row>
    <row r="89" spans="1:9" ht="15" customHeight="1" x14ac:dyDescent="0.2">
      <c r="A89" s="98">
        <f>A86+1</f>
        <v>15</v>
      </c>
      <c r="B89" s="99"/>
      <c r="C89" s="181" t="s">
        <v>471</v>
      </c>
      <c r="E89" s="293">
        <v>1105964</v>
      </c>
      <c r="F89" s="105"/>
      <c r="G89" s="115">
        <f>+G81</f>
        <v>9.0889241635057055E-3</v>
      </c>
      <c r="H89" s="105"/>
      <c r="I89" s="106">
        <f>E89*G89*12</f>
        <v>120624.27508280908</v>
      </c>
    </row>
    <row r="90" spans="1:9" ht="15" customHeight="1" x14ac:dyDescent="0.2">
      <c r="A90" s="98">
        <f>A89+1</f>
        <v>16</v>
      </c>
      <c r="B90" s="99"/>
      <c r="C90" s="181" t="s">
        <v>472</v>
      </c>
      <c r="E90" s="293">
        <v>11059.64</v>
      </c>
      <c r="F90" s="105"/>
      <c r="G90" s="115">
        <f>+G82</f>
        <v>0.96728599267556625</v>
      </c>
      <c r="H90" s="105"/>
      <c r="I90" s="106">
        <f>E90*G90*12</f>
        <v>128374.01827241278</v>
      </c>
    </row>
    <row r="91" spans="1:9" ht="15" customHeight="1" x14ac:dyDescent="0.2">
      <c r="A91" s="98">
        <f>A90+1</f>
        <v>17</v>
      </c>
      <c r="B91" s="99"/>
      <c r="C91" s="181" t="s">
        <v>456</v>
      </c>
      <c r="E91" s="293">
        <v>2211928</v>
      </c>
      <c r="F91" s="105"/>
      <c r="G91" s="115">
        <f>+G83</f>
        <v>4.4263773931520103E-2</v>
      </c>
      <c r="H91" s="105"/>
      <c r="I91" s="108">
        <f>E91*G91</f>
        <v>97908.280944799393</v>
      </c>
    </row>
    <row r="92" spans="1:9" ht="15" customHeight="1" x14ac:dyDescent="0.2">
      <c r="A92" s="98">
        <f>A91+1</f>
        <v>18</v>
      </c>
      <c r="B92" s="116"/>
      <c r="C92" s="181" t="s">
        <v>457</v>
      </c>
      <c r="E92" s="116"/>
      <c r="F92" s="105"/>
      <c r="G92" s="114"/>
      <c r="H92" s="105"/>
      <c r="I92" s="106">
        <f>SUM(I89:I91)</f>
        <v>346906.57430002128</v>
      </c>
    </row>
    <row r="93" spans="1:9" ht="15" customHeight="1" x14ac:dyDescent="0.2">
      <c r="A93" s="98">
        <f>A92+1</f>
        <v>19</v>
      </c>
      <c r="B93" s="116"/>
      <c r="C93" s="181" t="s">
        <v>458</v>
      </c>
      <c r="E93" s="116"/>
      <c r="F93" s="105"/>
      <c r="G93" s="114"/>
      <c r="H93" s="105"/>
      <c r="I93" s="120">
        <v>0.40083538794946261</v>
      </c>
    </row>
    <row r="94" spans="1:9" ht="15" customHeight="1" thickBot="1" x14ac:dyDescent="0.25">
      <c r="A94" s="98">
        <f>A93+1</f>
        <v>20</v>
      </c>
      <c r="B94" s="116"/>
      <c r="C94" s="116" t="s">
        <v>461</v>
      </c>
      <c r="E94" s="105"/>
      <c r="F94" s="105"/>
      <c r="G94" s="111"/>
      <c r="H94" s="105"/>
      <c r="I94" s="118">
        <f>I92*I93</f>
        <v>139052.43129176809</v>
      </c>
    </row>
    <row r="95" spans="1:9" ht="15" customHeight="1" thickTop="1" x14ac:dyDescent="0.2">
      <c r="A95" s="109"/>
      <c r="B95" s="116"/>
      <c r="C95" s="99"/>
      <c r="E95" s="105"/>
      <c r="F95" s="105"/>
      <c r="G95" s="114"/>
      <c r="H95" s="105"/>
      <c r="I95" s="106"/>
    </row>
    <row r="96" spans="1:9" ht="15" customHeight="1" x14ac:dyDescent="0.2">
      <c r="A96" s="98"/>
      <c r="B96" s="99"/>
      <c r="C96" s="102" t="s">
        <v>835</v>
      </c>
      <c r="E96" s="113"/>
      <c r="F96" s="113"/>
      <c r="G96" s="114"/>
      <c r="H96" s="113"/>
      <c r="I96" s="106"/>
    </row>
    <row r="97" spans="1:9" ht="15" customHeight="1" x14ac:dyDescent="0.2">
      <c r="A97" s="103">
        <f>A94+1</f>
        <v>21</v>
      </c>
      <c r="B97" s="99"/>
      <c r="C97" s="181" t="s">
        <v>462</v>
      </c>
      <c r="E97" s="105">
        <v>210443.7923858515</v>
      </c>
      <c r="F97" s="105"/>
      <c r="G97" s="115">
        <v>0.45835129797816565</v>
      </c>
      <c r="H97" s="105"/>
      <c r="I97" s="119">
        <f>E97*G97</f>
        <v>96457.185391502644</v>
      </c>
    </row>
    <row r="98" spans="1:9" ht="15" customHeight="1" x14ac:dyDescent="0.2">
      <c r="A98" s="103">
        <f>A97+1</f>
        <v>22</v>
      </c>
      <c r="B98" s="116"/>
      <c r="C98" s="181" t="s">
        <v>464</v>
      </c>
      <c r="E98" s="105">
        <v>726145.89829701511</v>
      </c>
      <c r="F98" s="105"/>
      <c r="G98" s="115">
        <v>0.45835129797816565</v>
      </c>
      <c r="H98" s="105"/>
      <c r="I98" s="108">
        <f>E98*G98</f>
        <v>332829.91500595794</v>
      </c>
    </row>
    <row r="99" spans="1:9" ht="15" customHeight="1" thickBot="1" x14ac:dyDescent="0.25">
      <c r="A99" s="103">
        <f>A98+1</f>
        <v>23</v>
      </c>
      <c r="B99" s="116"/>
      <c r="C99" s="116" t="s">
        <v>834</v>
      </c>
      <c r="E99" s="105"/>
      <c r="F99" s="105"/>
      <c r="G99" s="110"/>
      <c r="H99" s="105"/>
      <c r="I99" s="118">
        <f>SUM(I97:I98)</f>
        <v>429287.10039746057</v>
      </c>
    </row>
    <row r="100" spans="1:9" ht="15" customHeight="1" thickTop="1" x14ac:dyDescent="0.2">
      <c r="A100" s="109"/>
      <c r="B100" s="116"/>
      <c r="C100" s="99"/>
      <c r="E100" s="105"/>
      <c r="F100" s="105"/>
      <c r="G100" s="113"/>
      <c r="H100" s="105"/>
      <c r="I100" s="106"/>
    </row>
    <row r="101" spans="1:9" ht="15" customHeight="1" thickBot="1" x14ac:dyDescent="0.25">
      <c r="A101" s="109">
        <f>A99+1</f>
        <v>24</v>
      </c>
      <c r="B101" s="116"/>
      <c r="C101" s="116" t="s">
        <v>466</v>
      </c>
      <c r="E101" s="105"/>
      <c r="F101" s="105"/>
      <c r="G101" s="105"/>
      <c r="H101" s="105"/>
      <c r="I101" s="118">
        <f>I72+I78+I86+I94+I99</f>
        <v>1718011.4299177628</v>
      </c>
    </row>
    <row r="102" spans="1:9" ht="15" customHeight="1" thickTop="1" x14ac:dyDescent="0.2"/>
    <row r="103" spans="1:9" ht="15" customHeight="1" x14ac:dyDescent="0.2">
      <c r="A103" s="292" t="s">
        <v>29</v>
      </c>
      <c r="B103" s="116"/>
      <c r="C103" s="116"/>
      <c r="D103" s="116"/>
      <c r="E103" s="116"/>
      <c r="F103" s="116"/>
      <c r="G103" s="116"/>
      <c r="H103" s="116"/>
    </row>
    <row r="104" spans="1:9" ht="12.75" customHeight="1" x14ac:dyDescent="0.2">
      <c r="A104" s="291" t="s">
        <v>30</v>
      </c>
      <c r="B104" s="530"/>
      <c r="C104" s="575" t="s">
        <v>1119</v>
      </c>
      <c r="D104" s="575"/>
      <c r="E104" s="575"/>
      <c r="F104" s="575"/>
      <c r="G104" s="575"/>
      <c r="H104" s="575"/>
      <c r="I104" s="575"/>
    </row>
    <row r="105" spans="1:9" ht="12.75" customHeight="1" x14ac:dyDescent="0.2">
      <c r="A105" s="291"/>
      <c r="B105" s="530"/>
      <c r="C105" s="575"/>
      <c r="D105" s="575"/>
      <c r="E105" s="575"/>
      <c r="F105" s="575"/>
      <c r="G105" s="575"/>
      <c r="H105" s="575"/>
      <c r="I105" s="575"/>
    </row>
    <row r="106" spans="1:9" ht="12.75" customHeight="1" x14ac:dyDescent="0.2">
      <c r="A106" s="291" t="s">
        <v>268</v>
      </c>
      <c r="B106" s="530"/>
      <c r="C106" s="569" t="s">
        <v>1140</v>
      </c>
      <c r="D106" s="569"/>
      <c r="E106" s="569"/>
      <c r="F106" s="569"/>
      <c r="G106" s="569"/>
      <c r="H106" s="569"/>
      <c r="I106" s="569"/>
    </row>
    <row r="107" spans="1:9" ht="12.75" customHeight="1" x14ac:dyDescent="0.2">
      <c r="A107" s="291"/>
      <c r="B107" s="530"/>
      <c r="C107" s="569"/>
      <c r="D107" s="569"/>
      <c r="E107" s="569"/>
      <c r="F107" s="569"/>
      <c r="G107" s="569"/>
      <c r="H107" s="569"/>
      <c r="I107" s="569"/>
    </row>
    <row r="108" spans="1:9" ht="12.75" customHeight="1" x14ac:dyDescent="0.2">
      <c r="A108" s="50"/>
      <c r="B108" s="66"/>
      <c r="C108" s="569"/>
      <c r="D108" s="569"/>
      <c r="E108" s="569"/>
      <c r="F108" s="569"/>
      <c r="G108" s="569"/>
      <c r="H108" s="569"/>
      <c r="I108" s="569"/>
    </row>
    <row r="109" spans="1:9" ht="12.75" customHeight="1" x14ac:dyDescent="0.2">
      <c r="A109" s="50" t="s">
        <v>269</v>
      </c>
      <c r="B109" s="66"/>
      <c r="C109" s="66" t="s">
        <v>954</v>
      </c>
      <c r="D109" s="66"/>
    </row>
    <row r="110" spans="1:9" ht="15" customHeight="1" x14ac:dyDescent="0.2">
      <c r="A110" s="50"/>
      <c r="B110" s="66"/>
      <c r="C110" s="66"/>
      <c r="D110" s="66"/>
    </row>
    <row r="111" spans="1:9" ht="15" customHeight="1" x14ac:dyDescent="0.2">
      <c r="A111" s="50"/>
      <c r="B111" s="66"/>
      <c r="C111" s="66"/>
      <c r="D111" s="66"/>
    </row>
  </sheetData>
  <mergeCells count="4">
    <mergeCell ref="C51:I52"/>
    <mergeCell ref="C54:I55"/>
    <mergeCell ref="C104:I105"/>
    <mergeCell ref="C106:I108"/>
  </mergeCells>
  <printOptions horizontalCentered="1"/>
  <pageMargins left="0.7" right="0.7" top="0.75" bottom="0.75" header="0.3" footer="0.3"/>
  <pageSetup scale="86" fitToHeight="0" orientation="portrait" horizontalDpi="1200" verticalDpi="1200" r:id="rId1"/>
  <headerFooter>
    <oddHeader>&amp;R&amp;"Arial,Regular"&amp;10Filed: 2022-11-30
EB-2022-0200
Exhibit 8
Tab 2
Schedule 8
Attachment 17
Page &amp;P of &amp;N</oddHeader>
  </headerFooter>
  <rowBreaks count="1" manualBreakCount="1">
    <brk id="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15780-5885-439E-A524-4A0014D5501C}">
  <sheetPr codeName="Sheet4">
    <pageSetUpPr fitToPage="1"/>
  </sheetPr>
  <dimension ref="A2:WVG77"/>
  <sheetViews>
    <sheetView showGridLines="0" view="pageLayout" zoomScale="70" zoomScaleNormal="90" zoomScaleSheetLayoutView="70" zoomScalePageLayoutView="70" workbookViewId="0">
      <selection activeCell="B1" sqref="B1"/>
    </sheetView>
  </sheetViews>
  <sheetFormatPr defaultColWidth="0" defaultRowHeight="12.75" x14ac:dyDescent="0.2"/>
  <cols>
    <col min="1" max="1" width="1.7109375" style="28" customWidth="1"/>
    <col min="2" max="2" width="4.7109375" style="63" customWidth="1"/>
    <col min="3" max="3" width="1.7109375" style="28" customWidth="1"/>
    <col min="4" max="4" width="36.85546875" style="28" customWidth="1"/>
    <col min="5" max="5" width="1.7109375" style="28" customWidth="1"/>
    <col min="6" max="6" width="11.28515625" style="28" customWidth="1"/>
    <col min="7" max="7" width="1.7109375" style="28" customWidth="1"/>
    <col min="8" max="9" width="10" style="28" bestFit="1" customWidth="1"/>
    <col min="10" max="10" width="8.5703125" style="28" bestFit="1" customWidth="1"/>
    <col min="11" max="11" width="9.7109375" style="28" bestFit="1" customWidth="1"/>
    <col min="12" max="15" width="8.5703125" style="28" bestFit="1" customWidth="1"/>
    <col min="16" max="16" width="8.85546875" style="28" bestFit="1" customWidth="1"/>
    <col min="17" max="17" width="8.7109375" style="28" bestFit="1" customWidth="1"/>
    <col min="18" max="19" width="8.5703125" style="28" bestFit="1" customWidth="1"/>
    <col min="20" max="20" width="8.7109375" style="28" bestFit="1" customWidth="1"/>
    <col min="21" max="21" width="11.140625" style="28" bestFit="1" customWidth="1"/>
    <col min="22" max="22" width="10" style="28" bestFit="1" customWidth="1"/>
    <col min="23" max="23" width="9.7109375" style="28" bestFit="1" customWidth="1"/>
    <col min="24" max="27" width="8.7109375" style="28" bestFit="1" customWidth="1"/>
    <col min="28" max="28" width="3.42578125" style="28" customWidth="1"/>
    <col min="29" max="29" width="8.7109375" style="28" customWidth="1"/>
    <col min="30" max="16125" width="8.7109375" style="28" hidden="1"/>
    <col min="16126" max="16127" width="0" style="28" hidden="1"/>
    <col min="16128" max="16384" width="8.7109375" style="28" hidden="1"/>
  </cols>
  <sheetData>
    <row r="2" spans="2:27" x14ac:dyDescent="0.2">
      <c r="B2" s="550" t="s">
        <v>713</v>
      </c>
      <c r="C2" s="550"/>
      <c r="D2" s="550"/>
      <c r="E2" s="550"/>
      <c r="F2" s="550"/>
      <c r="G2" s="550"/>
      <c r="H2" s="550"/>
      <c r="I2" s="550"/>
      <c r="J2" s="550"/>
      <c r="K2" s="550"/>
      <c r="L2" s="550"/>
      <c r="M2" s="550"/>
      <c r="N2" s="550"/>
      <c r="O2" s="550"/>
      <c r="P2" s="550"/>
      <c r="Q2" s="550"/>
      <c r="R2" s="550"/>
      <c r="S2" s="550"/>
      <c r="T2" s="550"/>
      <c r="U2" s="550"/>
      <c r="V2" s="550"/>
      <c r="W2" s="550"/>
      <c r="X2" s="550"/>
      <c r="Y2" s="550"/>
      <c r="Z2" s="550"/>
      <c r="AA2" s="550"/>
    </row>
    <row r="3" spans="2:27" ht="25.5" customHeight="1" x14ac:dyDescent="0.2">
      <c r="B3" s="551" t="s">
        <v>483</v>
      </c>
      <c r="C3" s="168"/>
      <c r="D3" s="168"/>
      <c r="E3" s="168"/>
      <c r="F3" s="551" t="s">
        <v>601</v>
      </c>
      <c r="G3" s="168"/>
      <c r="H3" s="548" t="s">
        <v>394</v>
      </c>
      <c r="I3" s="548"/>
      <c r="J3" s="548"/>
      <c r="K3" s="548"/>
      <c r="L3" s="548"/>
      <c r="M3" s="548"/>
      <c r="N3" s="548"/>
      <c r="O3" s="548"/>
      <c r="P3" s="548"/>
      <c r="Q3" s="548" t="s">
        <v>395</v>
      </c>
      <c r="R3" s="548"/>
      <c r="S3" s="548"/>
      <c r="T3" s="548"/>
      <c r="U3" s="548"/>
      <c r="V3" s="548" t="s">
        <v>474</v>
      </c>
      <c r="W3" s="548"/>
      <c r="X3" s="548"/>
      <c r="Y3" s="548"/>
      <c r="Z3" s="548"/>
      <c r="AA3" s="548"/>
    </row>
    <row r="4" spans="2:27" s="45" customFormat="1" ht="12" customHeight="1" x14ac:dyDescent="0.2">
      <c r="B4" s="552"/>
      <c r="C4" s="154"/>
      <c r="D4" s="397" t="s">
        <v>33</v>
      </c>
      <c r="E4" s="154"/>
      <c r="F4" s="552"/>
      <c r="G4" s="154"/>
      <c r="H4" s="522" t="s">
        <v>5</v>
      </c>
      <c r="I4" s="522" t="s">
        <v>6</v>
      </c>
      <c r="J4" s="522" t="s">
        <v>692</v>
      </c>
      <c r="K4" s="522" t="s">
        <v>8</v>
      </c>
      <c r="L4" s="522" t="s">
        <v>9</v>
      </c>
      <c r="M4" s="522" t="s">
        <v>11</v>
      </c>
      <c r="N4" s="522" t="s">
        <v>12</v>
      </c>
      <c r="O4" s="522" t="s">
        <v>13</v>
      </c>
      <c r="P4" s="398" t="s">
        <v>14</v>
      </c>
      <c r="Q4" s="522" t="s">
        <v>16</v>
      </c>
      <c r="R4" s="522" t="s">
        <v>17</v>
      </c>
      <c r="S4" s="522" t="s">
        <v>18</v>
      </c>
      <c r="T4" s="522" t="s">
        <v>19</v>
      </c>
      <c r="U4" s="398" t="s">
        <v>696</v>
      </c>
      <c r="V4" s="522" t="s">
        <v>20</v>
      </c>
      <c r="W4" s="522" t="s">
        <v>21</v>
      </c>
      <c r="X4" s="522" t="s">
        <v>22</v>
      </c>
      <c r="Y4" s="522" t="s">
        <v>23</v>
      </c>
      <c r="Z4" s="522" t="s">
        <v>24</v>
      </c>
      <c r="AA4" s="522" t="s">
        <v>25</v>
      </c>
    </row>
    <row r="5" spans="2:27" x14ac:dyDescent="0.2">
      <c r="B5" s="64"/>
      <c r="C5" s="33"/>
      <c r="D5" s="33"/>
      <c r="E5" s="64"/>
      <c r="F5" s="64" t="s">
        <v>936</v>
      </c>
      <c r="G5" s="64"/>
      <c r="H5" s="64" t="s">
        <v>4</v>
      </c>
      <c r="I5" s="64" t="s">
        <v>119</v>
      </c>
      <c r="J5" s="64" t="s">
        <v>263</v>
      </c>
      <c r="K5" s="64" t="s">
        <v>63</v>
      </c>
      <c r="L5" s="64" t="s">
        <v>264</v>
      </c>
      <c r="M5" s="64" t="s">
        <v>38</v>
      </c>
      <c r="N5" s="64" t="s">
        <v>70</v>
      </c>
      <c r="O5" s="64" t="s">
        <v>484</v>
      </c>
      <c r="P5" s="64" t="s">
        <v>485</v>
      </c>
      <c r="Q5" s="64" t="s">
        <v>486</v>
      </c>
      <c r="R5" s="64" t="s">
        <v>487</v>
      </c>
      <c r="S5" s="64" t="s">
        <v>488</v>
      </c>
      <c r="T5" s="64" t="s">
        <v>489</v>
      </c>
      <c r="U5" s="64" t="s">
        <v>490</v>
      </c>
      <c r="V5" s="64" t="s">
        <v>491</v>
      </c>
      <c r="W5" s="64" t="s">
        <v>492</v>
      </c>
      <c r="X5" s="64" t="s">
        <v>493</v>
      </c>
      <c r="Y5" s="64" t="s">
        <v>494</v>
      </c>
      <c r="Z5" s="64" t="s">
        <v>495</v>
      </c>
      <c r="AA5" s="64" t="s">
        <v>496</v>
      </c>
    </row>
    <row r="6" spans="2:27" x14ac:dyDescent="0.2">
      <c r="B6" s="64"/>
      <c r="C6" s="33"/>
      <c r="D6" s="33"/>
      <c r="E6" s="64"/>
      <c r="F6" s="186"/>
      <c r="G6" s="64"/>
      <c r="H6" s="186"/>
      <c r="I6" s="186"/>
      <c r="J6" s="186"/>
      <c r="K6" s="186"/>
      <c r="L6" s="186"/>
      <c r="M6" s="186"/>
      <c r="N6" s="186"/>
      <c r="O6" s="186"/>
      <c r="P6" s="186"/>
      <c r="Q6" s="186"/>
      <c r="R6" s="186"/>
      <c r="S6" s="186"/>
      <c r="T6" s="186"/>
      <c r="U6" s="186"/>
      <c r="V6" s="186"/>
      <c r="W6" s="186"/>
      <c r="X6" s="186"/>
      <c r="Y6" s="186"/>
      <c r="Z6" s="186"/>
      <c r="AA6" s="186"/>
    </row>
    <row r="7" spans="2:27" x14ac:dyDescent="0.2">
      <c r="B7" s="64"/>
      <c r="C7" s="33"/>
      <c r="D7" s="36" t="s">
        <v>191</v>
      </c>
      <c r="E7" s="64"/>
      <c r="F7" s="16"/>
      <c r="G7" s="64"/>
      <c r="H7" s="16"/>
      <c r="I7" s="16"/>
      <c r="J7" s="16"/>
      <c r="K7" s="16"/>
      <c r="L7" s="16"/>
      <c r="M7" s="16"/>
      <c r="N7" s="16"/>
      <c r="O7" s="16"/>
      <c r="P7" s="16"/>
      <c r="Q7" s="16"/>
      <c r="R7" s="16"/>
      <c r="S7" s="16"/>
      <c r="T7" s="16"/>
      <c r="U7" s="16"/>
      <c r="V7" s="16"/>
      <c r="W7" s="16"/>
      <c r="X7" s="16"/>
      <c r="Y7" s="16"/>
      <c r="Z7" s="16"/>
      <c r="AA7" s="16"/>
    </row>
    <row r="8" spans="2:27" x14ac:dyDescent="0.2">
      <c r="B8" s="64"/>
      <c r="C8" s="33"/>
      <c r="D8" s="36"/>
      <c r="E8" s="64"/>
      <c r="F8" s="16"/>
      <c r="G8" s="64"/>
      <c r="H8" s="16"/>
      <c r="I8" s="16"/>
      <c r="J8" s="16"/>
      <c r="K8" s="16"/>
      <c r="L8" s="16"/>
      <c r="M8" s="16"/>
      <c r="N8" s="16"/>
      <c r="O8" s="16"/>
      <c r="P8" s="16"/>
      <c r="Q8" s="16"/>
      <c r="R8" s="16"/>
      <c r="S8" s="16"/>
      <c r="T8" s="16"/>
      <c r="U8" s="16"/>
      <c r="V8" s="16"/>
      <c r="W8" s="16"/>
      <c r="X8" s="16"/>
      <c r="Y8" s="16"/>
      <c r="Z8" s="16"/>
      <c r="AA8" s="16"/>
    </row>
    <row r="9" spans="2:27" x14ac:dyDescent="0.2">
      <c r="B9" s="64"/>
      <c r="C9" s="33"/>
      <c r="D9" s="36" t="s">
        <v>684</v>
      </c>
      <c r="E9" s="64"/>
      <c r="F9" s="16"/>
      <c r="G9" s="64"/>
      <c r="H9" s="16"/>
      <c r="I9" s="16"/>
      <c r="J9" s="16"/>
      <c r="K9" s="16"/>
      <c r="L9" s="16"/>
      <c r="M9" s="16"/>
      <c r="N9" s="16"/>
      <c r="O9" s="16"/>
      <c r="P9" s="16"/>
      <c r="Q9" s="16"/>
      <c r="R9" s="16"/>
      <c r="S9" s="16"/>
      <c r="T9" s="16"/>
      <c r="U9" s="16"/>
      <c r="V9" s="16"/>
      <c r="W9" s="16"/>
      <c r="X9" s="16"/>
      <c r="Y9" s="16"/>
      <c r="Z9" s="16"/>
      <c r="AA9" s="16"/>
    </row>
    <row r="10" spans="2:27" x14ac:dyDescent="0.2">
      <c r="B10" s="64">
        <v>1</v>
      </c>
      <c r="C10" s="33"/>
      <c r="D10" s="26" t="s">
        <v>231</v>
      </c>
      <c r="E10" s="64"/>
      <c r="F10" s="122">
        <f>SUM(H10:AA10)</f>
        <v>-7886.2983457805831</v>
      </c>
      <c r="G10" s="341"/>
      <c r="H10" s="122">
        <v>-2512.7661998169042</v>
      </c>
      <c r="I10" s="122">
        <v>-2183.896087376163</v>
      </c>
      <c r="J10" s="122">
        <v>-5.8555257247104926</v>
      </c>
      <c r="K10" s="122">
        <v>-159.56945143847452</v>
      </c>
      <c r="L10" s="122">
        <v>-5.8851023796617881</v>
      </c>
      <c r="M10" s="122">
        <v>0</v>
      </c>
      <c r="N10" s="122">
        <v>0</v>
      </c>
      <c r="O10" s="122">
        <v>0</v>
      </c>
      <c r="P10" s="122">
        <v>-47.338483746883732</v>
      </c>
      <c r="Q10" s="122">
        <v>-450.54396290826264</v>
      </c>
      <c r="R10" s="122">
        <v>-127.36490401500005</v>
      </c>
      <c r="S10" s="122">
        <v>-18.011819022310892</v>
      </c>
      <c r="T10" s="122">
        <v>0</v>
      </c>
      <c r="U10" s="122">
        <v>0</v>
      </c>
      <c r="V10" s="122">
        <v>-1425.6834715553241</v>
      </c>
      <c r="W10" s="122">
        <v>-508.35760991538979</v>
      </c>
      <c r="X10" s="122">
        <v>-159.16989271621605</v>
      </c>
      <c r="Y10" s="122">
        <v>-1.5404612917552192</v>
      </c>
      <c r="Z10" s="122">
        <v>-264.3252601254494</v>
      </c>
      <c r="AA10" s="122">
        <v>-15.990113748076254</v>
      </c>
    </row>
    <row r="11" spans="2:27" x14ac:dyDescent="0.2">
      <c r="B11" s="64">
        <f>MAX(B$10:B10)+1</f>
        <v>2</v>
      </c>
      <c r="C11" s="33"/>
      <c r="D11" s="26" t="s">
        <v>228</v>
      </c>
      <c r="E11" s="64"/>
      <c r="F11" s="122">
        <f t="shared" ref="F11:F13" si="0">SUM(H11:AA11)</f>
        <v>-7324.9937368648707</v>
      </c>
      <c r="G11" s="341"/>
      <c r="H11" s="122">
        <v>-1886.6577500672288</v>
      </c>
      <c r="I11" s="122">
        <v>-1809.1948919779502</v>
      </c>
      <c r="J11" s="122">
        <v>-10.347758471711291</v>
      </c>
      <c r="K11" s="122">
        <v>-403.01342623743017</v>
      </c>
      <c r="L11" s="122">
        <v>-144.06312934275209</v>
      </c>
      <c r="M11" s="122">
        <v>-19.861105920575159</v>
      </c>
      <c r="N11" s="122">
        <v>-5.9280426586213393</v>
      </c>
      <c r="O11" s="122">
        <v>-121.9487924346745</v>
      </c>
      <c r="P11" s="122">
        <v>-71.245225544134968</v>
      </c>
      <c r="Q11" s="122">
        <v>-373.10602977418108</v>
      </c>
      <c r="R11" s="122">
        <v>-122.26545910295191</v>
      </c>
      <c r="S11" s="122">
        <v>-51.051866269954537</v>
      </c>
      <c r="T11" s="122">
        <v>-2.1513883321357223</v>
      </c>
      <c r="U11" s="122">
        <v>0</v>
      </c>
      <c r="V11" s="122">
        <v>-1228.0118803454718</v>
      </c>
      <c r="W11" s="122">
        <v>-497.7401318087613</v>
      </c>
      <c r="X11" s="122">
        <v>-224.05096895738222</v>
      </c>
      <c r="Y11" s="122">
        <v>-22.443939747464569</v>
      </c>
      <c r="Z11" s="122">
        <v>-297.93138234455216</v>
      </c>
      <c r="AA11" s="122">
        <v>-33.98056752693725</v>
      </c>
    </row>
    <row r="12" spans="2:27" x14ac:dyDescent="0.2">
      <c r="B12" s="64">
        <f>MAX(B$10:B11)+1</f>
        <v>3</v>
      </c>
      <c r="C12" s="33"/>
      <c r="D12" s="26" t="s">
        <v>229</v>
      </c>
      <c r="E12" s="64"/>
      <c r="F12" s="122">
        <f t="shared" si="0"/>
        <v>0</v>
      </c>
      <c r="G12" s="341"/>
      <c r="H12" s="122">
        <v>0</v>
      </c>
      <c r="I12" s="122">
        <v>0</v>
      </c>
      <c r="J12" s="122">
        <v>0</v>
      </c>
      <c r="K12" s="122">
        <v>0</v>
      </c>
      <c r="L12" s="122">
        <v>0</v>
      </c>
      <c r="M12" s="122">
        <v>0</v>
      </c>
      <c r="N12" s="122">
        <v>0</v>
      </c>
      <c r="O12" s="122">
        <v>0</v>
      </c>
      <c r="P12" s="122">
        <v>0</v>
      </c>
      <c r="Q12" s="122">
        <v>0</v>
      </c>
      <c r="R12" s="122">
        <v>0</v>
      </c>
      <c r="S12" s="122">
        <v>0</v>
      </c>
      <c r="T12" s="122">
        <v>0</v>
      </c>
      <c r="U12" s="122">
        <v>0</v>
      </c>
      <c r="V12" s="122">
        <v>0</v>
      </c>
      <c r="W12" s="122">
        <v>0</v>
      </c>
      <c r="X12" s="122">
        <v>0</v>
      </c>
      <c r="Y12" s="122">
        <v>0</v>
      </c>
      <c r="Z12" s="122">
        <v>0</v>
      </c>
      <c r="AA12" s="122">
        <v>0</v>
      </c>
    </row>
    <row r="13" spans="2:27" x14ac:dyDescent="0.2">
      <c r="B13" s="64">
        <f>MAX(B$10:B12)+1</f>
        <v>4</v>
      </c>
      <c r="C13" s="33"/>
      <c r="D13" s="26" t="s">
        <v>686</v>
      </c>
      <c r="E13" s="64"/>
      <c r="F13" s="176">
        <f t="shared" si="0"/>
        <v>17989.158271805303</v>
      </c>
      <c r="G13" s="341"/>
      <c r="H13" s="176">
        <v>0</v>
      </c>
      <c r="I13" s="176">
        <v>0</v>
      </c>
      <c r="J13" s="176">
        <v>0</v>
      </c>
      <c r="K13" s="176">
        <v>0</v>
      </c>
      <c r="L13" s="176">
        <v>0</v>
      </c>
      <c r="M13" s="176">
        <v>0</v>
      </c>
      <c r="N13" s="176">
        <v>0</v>
      </c>
      <c r="O13" s="176">
        <v>0</v>
      </c>
      <c r="P13" s="176">
        <v>0</v>
      </c>
      <c r="Q13" s="176">
        <v>13888.901358464827</v>
      </c>
      <c r="R13" s="176">
        <v>4100.2569133404759</v>
      </c>
      <c r="S13" s="176">
        <v>0</v>
      </c>
      <c r="T13" s="176">
        <v>0</v>
      </c>
      <c r="U13" s="176">
        <v>0</v>
      </c>
      <c r="V13" s="176">
        <v>0</v>
      </c>
      <c r="W13" s="176">
        <v>0</v>
      </c>
      <c r="X13" s="176">
        <v>0</v>
      </c>
      <c r="Y13" s="176">
        <v>0</v>
      </c>
      <c r="Z13" s="176">
        <v>0</v>
      </c>
      <c r="AA13" s="176">
        <v>0</v>
      </c>
    </row>
    <row r="14" spans="2:27" x14ac:dyDescent="0.2">
      <c r="B14" s="64">
        <f>MAX(B$10:B13)+1</f>
        <v>5</v>
      </c>
      <c r="D14" s="35" t="s">
        <v>94</v>
      </c>
      <c r="E14" s="64"/>
      <c r="F14" s="122">
        <f>SUM(F10:F13)</f>
        <v>2777.8661891598495</v>
      </c>
      <c r="G14" s="341"/>
      <c r="H14" s="122">
        <f>SUM(H10:H13)</f>
        <v>-4399.4239498841325</v>
      </c>
      <c r="I14" s="122">
        <f t="shared" ref="I14:AA14" si="1">SUM(I10:I13)</f>
        <v>-3993.0909793541132</v>
      </c>
      <c r="J14" s="122">
        <f t="shared" si="1"/>
        <v>-16.203284196421784</v>
      </c>
      <c r="K14" s="122">
        <f t="shared" si="1"/>
        <v>-562.58287767590468</v>
      </c>
      <c r="L14" s="122">
        <f t="shared" si="1"/>
        <v>-149.94823172241388</v>
      </c>
      <c r="M14" s="122">
        <f t="shared" si="1"/>
        <v>-19.861105920575159</v>
      </c>
      <c r="N14" s="122">
        <f t="shared" si="1"/>
        <v>-5.9280426586213393</v>
      </c>
      <c r="O14" s="122">
        <f t="shared" si="1"/>
        <v>-121.9487924346745</v>
      </c>
      <c r="P14" s="122">
        <f t="shared" si="1"/>
        <v>-118.58370929101869</v>
      </c>
      <c r="Q14" s="122">
        <f t="shared" si="1"/>
        <v>13065.251365782384</v>
      </c>
      <c r="R14" s="122">
        <f t="shared" si="1"/>
        <v>3850.6265502225237</v>
      </c>
      <c r="S14" s="122">
        <f t="shared" si="1"/>
        <v>-69.063685292265433</v>
      </c>
      <c r="T14" s="122">
        <f t="shared" si="1"/>
        <v>-2.1513883321357223</v>
      </c>
      <c r="U14" s="122">
        <f t="shared" si="1"/>
        <v>0</v>
      </c>
      <c r="V14" s="122">
        <f t="shared" si="1"/>
        <v>-2653.6953519007957</v>
      </c>
      <c r="W14" s="122">
        <f t="shared" si="1"/>
        <v>-1006.0977417241511</v>
      </c>
      <c r="X14" s="122">
        <f t="shared" si="1"/>
        <v>-383.22086167359828</v>
      </c>
      <c r="Y14" s="122">
        <f t="shared" si="1"/>
        <v>-23.984401039219787</v>
      </c>
      <c r="Z14" s="122">
        <f t="shared" si="1"/>
        <v>-562.25664247000157</v>
      </c>
      <c r="AA14" s="122">
        <f t="shared" si="1"/>
        <v>-49.970681275013504</v>
      </c>
    </row>
    <row r="15" spans="2:27" x14ac:dyDescent="0.2">
      <c r="B15" s="64"/>
      <c r="C15" s="33"/>
      <c r="D15" s="35"/>
      <c r="E15" s="64"/>
      <c r="F15" s="122"/>
      <c r="G15" s="341"/>
      <c r="H15" s="122"/>
      <c r="I15" s="122"/>
      <c r="J15" s="122"/>
      <c r="K15" s="122"/>
      <c r="L15" s="122"/>
      <c r="M15" s="122"/>
      <c r="N15" s="122"/>
      <c r="O15" s="122"/>
      <c r="P15" s="122"/>
      <c r="Q15" s="122"/>
      <c r="R15" s="122"/>
      <c r="S15" s="122"/>
      <c r="T15" s="122"/>
      <c r="U15" s="122"/>
      <c r="V15" s="122"/>
      <c r="W15" s="122"/>
      <c r="X15" s="122"/>
      <c r="Y15" s="122"/>
      <c r="Z15" s="122"/>
      <c r="AA15" s="122"/>
    </row>
    <row r="16" spans="2:27" x14ac:dyDescent="0.2">
      <c r="B16" s="64"/>
      <c r="C16" s="33"/>
      <c r="D16" s="36" t="s">
        <v>685</v>
      </c>
      <c r="E16" s="64"/>
      <c r="F16" s="122"/>
      <c r="G16" s="341"/>
      <c r="H16" s="122"/>
      <c r="I16" s="122"/>
      <c r="J16" s="122"/>
      <c r="K16" s="122"/>
      <c r="L16" s="122"/>
      <c r="M16" s="122"/>
      <c r="N16" s="122"/>
      <c r="O16" s="122"/>
      <c r="P16" s="122"/>
      <c r="Q16" s="122"/>
      <c r="R16" s="122"/>
      <c r="S16" s="122"/>
      <c r="T16" s="122"/>
      <c r="U16" s="122"/>
      <c r="V16" s="122"/>
      <c r="W16" s="122"/>
      <c r="X16" s="122"/>
      <c r="Y16" s="122"/>
      <c r="Z16" s="122"/>
      <c r="AA16" s="122"/>
    </row>
    <row r="17" spans="2:27" x14ac:dyDescent="0.2">
      <c r="B17" s="64">
        <f>MAX(B$10:B16)+1</f>
        <v>6</v>
      </c>
      <c r="C17" s="33"/>
      <c r="D17" s="26" t="s">
        <v>231</v>
      </c>
      <c r="E17" s="64"/>
      <c r="F17" s="122">
        <f>SUM(H17:AA17)</f>
        <v>173437.62958622936</v>
      </c>
      <c r="G17" s="341"/>
      <c r="H17" s="122">
        <v>55261.44133689953</v>
      </c>
      <c r="I17" s="122">
        <v>48028.839900511281</v>
      </c>
      <c r="J17" s="122">
        <v>128.77632282556704</v>
      </c>
      <c r="K17" s="122">
        <v>3509.2950074189293</v>
      </c>
      <c r="L17" s="122">
        <v>129.42678070845795</v>
      </c>
      <c r="M17" s="122">
        <v>0</v>
      </c>
      <c r="N17" s="122">
        <v>0</v>
      </c>
      <c r="O17" s="122">
        <v>0</v>
      </c>
      <c r="P17" s="122">
        <v>1041.0808784147146</v>
      </c>
      <c r="Q17" s="122">
        <v>9908.4860253864426</v>
      </c>
      <c r="R17" s="122">
        <v>2801.0437947301357</v>
      </c>
      <c r="S17" s="122">
        <v>396.12084894520325</v>
      </c>
      <c r="T17" s="122">
        <v>0</v>
      </c>
      <c r="U17" s="122">
        <v>0</v>
      </c>
      <c r="V17" s="122">
        <v>31354.020733836118</v>
      </c>
      <c r="W17" s="122">
        <v>11179.939558464597</v>
      </c>
      <c r="X17" s="122">
        <v>3500.5078027469058</v>
      </c>
      <c r="Y17" s="122">
        <v>33.878245939593775</v>
      </c>
      <c r="Z17" s="122">
        <v>5813.1133956464337</v>
      </c>
      <c r="AA17" s="122">
        <v>351.65895375544835</v>
      </c>
    </row>
    <row r="18" spans="2:27" x14ac:dyDescent="0.2">
      <c r="B18" s="64">
        <f>MAX(B$10:B17)+1</f>
        <v>7</v>
      </c>
      <c r="C18" s="33"/>
      <c r="D18" s="26" t="s">
        <v>228</v>
      </c>
      <c r="E18" s="64"/>
      <c r="F18" s="122">
        <f t="shared" ref="F18:F20" si="2">SUM(H18:AA18)</f>
        <v>161093.26514834914</v>
      </c>
      <c r="G18" s="341"/>
      <c r="H18" s="122">
        <v>40424.90321575581</v>
      </c>
      <c r="I18" s="122">
        <v>41798.158078949709</v>
      </c>
      <c r="J18" s="122">
        <v>220.18361997490831</v>
      </c>
      <c r="K18" s="122">
        <v>8783.6318982213306</v>
      </c>
      <c r="L18" s="122">
        <v>3065.4311665968694</v>
      </c>
      <c r="M18" s="122">
        <v>422.61231843132771</v>
      </c>
      <c r="N18" s="122">
        <v>126.13919193313612</v>
      </c>
      <c r="O18" s="122">
        <v>2594.8737248980988</v>
      </c>
      <c r="P18" s="122">
        <v>1516.0207935659805</v>
      </c>
      <c r="Q18" s="122">
        <v>8177.3803873951783</v>
      </c>
      <c r="R18" s="122">
        <v>3258.8679196701123</v>
      </c>
      <c r="S18" s="122">
        <v>1630.4982290425596</v>
      </c>
      <c r="T18" s="122">
        <v>45.778075728808922</v>
      </c>
      <c r="U18" s="122">
        <v>0</v>
      </c>
      <c r="V18" s="122">
        <v>26130.1132922504</v>
      </c>
      <c r="W18" s="122">
        <v>10591.107661436998</v>
      </c>
      <c r="X18" s="122">
        <v>4767.4434553905603</v>
      </c>
      <c r="Y18" s="122">
        <v>477.57085881018003</v>
      </c>
      <c r="Z18" s="122">
        <v>6339.4995590676217</v>
      </c>
      <c r="AA18" s="122">
        <v>723.05170122950381</v>
      </c>
    </row>
    <row r="19" spans="2:27" x14ac:dyDescent="0.2">
      <c r="B19" s="64">
        <f>MAX(B$10:B18)+1</f>
        <v>8</v>
      </c>
      <c r="C19" s="33"/>
      <c r="D19" s="26" t="s">
        <v>229</v>
      </c>
      <c r="E19" s="64"/>
      <c r="F19" s="122">
        <f t="shared" si="2"/>
        <v>23783.374604849039</v>
      </c>
      <c r="G19" s="341"/>
      <c r="H19" s="122">
        <v>6125.7510426480694</v>
      </c>
      <c r="I19" s="122">
        <v>5874.2384491795456</v>
      </c>
      <c r="J19" s="122">
        <v>33.597928529908032</v>
      </c>
      <c r="K19" s="122">
        <v>1308.5361750890627</v>
      </c>
      <c r="L19" s="122">
        <v>467.75567256279555</v>
      </c>
      <c r="M19" s="122">
        <v>64.486624718644208</v>
      </c>
      <c r="N19" s="122">
        <v>19.247642289979677</v>
      </c>
      <c r="O19" s="122">
        <v>395.95307754136155</v>
      </c>
      <c r="P19" s="122">
        <v>231.32468760967902</v>
      </c>
      <c r="Q19" s="122">
        <v>1211.4304519863383</v>
      </c>
      <c r="R19" s="122">
        <v>396.98125616745489</v>
      </c>
      <c r="S19" s="122">
        <v>165.75927617033878</v>
      </c>
      <c r="T19" s="122">
        <v>6.9852994366634213</v>
      </c>
      <c r="U19" s="122">
        <v>0</v>
      </c>
      <c r="V19" s="122">
        <v>3987.2070364338383</v>
      </c>
      <c r="W19" s="122">
        <v>1616.102407173033</v>
      </c>
      <c r="X19" s="122">
        <v>727.46657768113346</v>
      </c>
      <c r="Y19" s="122">
        <v>72.872775840908275</v>
      </c>
      <c r="Z19" s="122">
        <v>967.347403613447</v>
      </c>
      <c r="AA19" s="122">
        <v>110.33082017684001</v>
      </c>
    </row>
    <row r="20" spans="2:27" x14ac:dyDescent="0.2">
      <c r="B20" s="64">
        <f>MAX(B$10:B19)+1</f>
        <v>9</v>
      </c>
      <c r="C20" s="33"/>
      <c r="D20" s="26" t="s">
        <v>686</v>
      </c>
      <c r="E20" s="64"/>
      <c r="F20" s="176">
        <f t="shared" si="2"/>
        <v>751.28190105363944</v>
      </c>
      <c r="G20" s="341"/>
      <c r="H20" s="176">
        <v>0</v>
      </c>
      <c r="I20" s="176">
        <v>0</v>
      </c>
      <c r="J20" s="176">
        <v>0</v>
      </c>
      <c r="K20" s="176">
        <v>0</v>
      </c>
      <c r="L20" s="176">
        <v>0</v>
      </c>
      <c r="M20" s="176">
        <v>0</v>
      </c>
      <c r="N20" s="176">
        <v>0</v>
      </c>
      <c r="O20" s="176">
        <v>0</v>
      </c>
      <c r="P20" s="176">
        <v>0</v>
      </c>
      <c r="Q20" s="176">
        <v>566.96225483586204</v>
      </c>
      <c r="R20" s="176">
        <v>184.31964621777743</v>
      </c>
      <c r="S20" s="176">
        <v>0</v>
      </c>
      <c r="T20" s="176">
        <v>0</v>
      </c>
      <c r="U20" s="176">
        <v>0</v>
      </c>
      <c r="V20" s="176">
        <v>0</v>
      </c>
      <c r="W20" s="176">
        <v>0</v>
      </c>
      <c r="X20" s="176">
        <v>0</v>
      </c>
      <c r="Y20" s="176">
        <v>0</v>
      </c>
      <c r="Z20" s="176">
        <v>0</v>
      </c>
      <c r="AA20" s="176">
        <v>0</v>
      </c>
    </row>
    <row r="21" spans="2:27" x14ac:dyDescent="0.2">
      <c r="B21" s="64">
        <f>MAX(B$10:B20)+1</f>
        <v>10</v>
      </c>
      <c r="D21" s="35" t="s">
        <v>94</v>
      </c>
      <c r="E21" s="64"/>
      <c r="F21" s="122">
        <f>SUM(F17:F20)</f>
        <v>359065.55124048115</v>
      </c>
      <c r="G21" s="341"/>
      <c r="H21" s="122">
        <f>SUM(H17:H20)</f>
        <v>101812.09559530341</v>
      </c>
      <c r="I21" s="122">
        <f t="shared" ref="I21" si="3">SUM(I17:I20)</f>
        <v>95701.236428640521</v>
      </c>
      <c r="J21" s="122">
        <f t="shared" ref="J21" si="4">SUM(J17:J20)</f>
        <v>382.55787133038336</v>
      </c>
      <c r="K21" s="122">
        <f t="shared" ref="K21" si="5">SUM(K17:K20)</f>
        <v>13601.463080729322</v>
      </c>
      <c r="L21" s="122">
        <f t="shared" ref="L21" si="6">SUM(L17:L20)</f>
        <v>3662.6136198681229</v>
      </c>
      <c r="M21" s="122">
        <f t="shared" ref="M21" si="7">SUM(M17:M20)</f>
        <v>487.09894314997189</v>
      </c>
      <c r="N21" s="122">
        <f t="shared" ref="N21" si="8">SUM(N17:N20)</f>
        <v>145.38683422311578</v>
      </c>
      <c r="O21" s="122">
        <f t="shared" ref="O21" si="9">SUM(O17:O20)</f>
        <v>2990.8268024394602</v>
      </c>
      <c r="P21" s="122">
        <f t="shared" ref="P21" si="10">SUM(P17:P20)</f>
        <v>2788.426359590374</v>
      </c>
      <c r="Q21" s="122">
        <f t="shared" ref="Q21" si="11">SUM(Q17:Q20)</f>
        <v>19864.259119603827</v>
      </c>
      <c r="R21" s="122">
        <f t="shared" ref="R21" si="12">SUM(R17:R20)</f>
        <v>6641.2126167854813</v>
      </c>
      <c r="S21" s="122">
        <f t="shared" ref="S21" si="13">SUM(S17:S20)</f>
        <v>2192.3783541581015</v>
      </c>
      <c r="T21" s="122">
        <f t="shared" ref="T21" si="14">SUM(T17:T20)</f>
        <v>52.76337516547234</v>
      </c>
      <c r="U21" s="122">
        <f t="shared" ref="U21" si="15">SUM(U17:U20)</f>
        <v>0</v>
      </c>
      <c r="V21" s="122">
        <f t="shared" ref="V21" si="16">SUM(V17:V20)</f>
        <v>61471.341062520354</v>
      </c>
      <c r="W21" s="122">
        <f t="shared" ref="W21" si="17">SUM(W17:W20)</f>
        <v>23387.149627074625</v>
      </c>
      <c r="X21" s="122">
        <f t="shared" ref="X21" si="18">SUM(X17:X20)</f>
        <v>8995.4178358186</v>
      </c>
      <c r="Y21" s="122">
        <f t="shared" ref="Y21" si="19">SUM(Y17:Y20)</f>
        <v>584.3218805906821</v>
      </c>
      <c r="Z21" s="122">
        <f t="shared" ref="Z21" si="20">SUM(Z17:Z20)</f>
        <v>13119.960358327502</v>
      </c>
      <c r="AA21" s="122">
        <f t="shared" ref="AA21" si="21">SUM(AA17:AA20)</f>
        <v>1185.0414751617923</v>
      </c>
    </row>
    <row r="22" spans="2:27" x14ac:dyDescent="0.2">
      <c r="B22" s="64"/>
      <c r="C22" s="33"/>
      <c r="D22" s="35"/>
      <c r="E22" s="64"/>
      <c r="F22" s="122"/>
      <c r="G22" s="341"/>
      <c r="H22" s="122"/>
      <c r="I22" s="122"/>
      <c r="J22" s="122"/>
      <c r="K22" s="122"/>
      <c r="L22" s="122"/>
      <c r="M22" s="122"/>
      <c r="N22" s="122"/>
      <c r="O22" s="122"/>
      <c r="P22" s="122"/>
      <c r="Q22" s="122"/>
      <c r="R22" s="122"/>
      <c r="S22" s="122"/>
      <c r="T22" s="122"/>
      <c r="U22" s="122"/>
      <c r="V22" s="122"/>
      <c r="W22" s="122"/>
      <c r="X22" s="122"/>
      <c r="Y22" s="122"/>
      <c r="Z22" s="122"/>
      <c r="AA22" s="122"/>
    </row>
    <row r="23" spans="2:27" x14ac:dyDescent="0.2">
      <c r="B23" s="64">
        <f>MAX(B$10:B22)+1</f>
        <v>11</v>
      </c>
      <c r="C23" s="33"/>
      <c r="D23" s="35" t="s">
        <v>690</v>
      </c>
      <c r="E23" s="64"/>
      <c r="F23" s="147">
        <v>1.8619669054930092</v>
      </c>
      <c r="G23" s="341"/>
      <c r="H23" s="122"/>
      <c r="I23" s="122"/>
      <c r="J23" s="122"/>
      <c r="K23" s="122"/>
      <c r="L23" s="122"/>
      <c r="M23" s="122"/>
      <c r="N23" s="122"/>
      <c r="O23" s="122"/>
      <c r="P23" s="122"/>
      <c r="Q23" s="122"/>
      <c r="R23" s="122"/>
      <c r="S23" s="122"/>
      <c r="T23" s="122"/>
      <c r="U23" s="122"/>
      <c r="V23" s="122"/>
      <c r="W23" s="122"/>
      <c r="X23" s="122"/>
      <c r="Y23" s="122"/>
      <c r="Z23" s="122"/>
      <c r="AA23" s="122"/>
    </row>
    <row r="24" spans="2:27" x14ac:dyDescent="0.2">
      <c r="B24" s="64"/>
      <c r="C24" s="33"/>
      <c r="D24" s="35"/>
      <c r="E24" s="64"/>
      <c r="F24" s="147"/>
      <c r="G24" s="341"/>
      <c r="H24" s="122"/>
      <c r="I24" s="122"/>
      <c r="J24" s="122"/>
      <c r="K24" s="122"/>
      <c r="L24" s="122"/>
      <c r="M24" s="122"/>
      <c r="N24" s="122"/>
      <c r="O24" s="122"/>
      <c r="P24" s="122"/>
      <c r="Q24" s="122"/>
      <c r="R24" s="122"/>
      <c r="S24" s="122"/>
      <c r="T24" s="122"/>
      <c r="U24" s="122"/>
      <c r="V24" s="122"/>
      <c r="W24" s="122"/>
      <c r="X24" s="122"/>
      <c r="Y24" s="122"/>
      <c r="Z24" s="122"/>
      <c r="AA24" s="122"/>
    </row>
    <row r="25" spans="2:27" x14ac:dyDescent="0.2">
      <c r="B25" s="64">
        <f>MAX(B$10:B24)+1</f>
        <v>12</v>
      </c>
      <c r="C25" s="33"/>
      <c r="D25" s="26" t="s">
        <v>693</v>
      </c>
      <c r="E25" s="64"/>
      <c r="F25" s="122">
        <f>SUM(H25:AA25)</f>
        <v>5229.2061170496017</v>
      </c>
      <c r="G25" s="341"/>
      <c r="H25" s="122">
        <f t="shared" ref="H25:AA25" si="22">H31*$F$23/100</f>
        <v>279.86753492025184</v>
      </c>
      <c r="I25" s="122">
        <f t="shared" si="22"/>
        <v>3301.4071502493912</v>
      </c>
      <c r="J25" s="122">
        <f t="shared" si="22"/>
        <v>0</v>
      </c>
      <c r="K25" s="122">
        <f t="shared" si="22"/>
        <v>208.15583448857083</v>
      </c>
      <c r="L25" s="122">
        <f t="shared" si="22"/>
        <v>0</v>
      </c>
      <c r="M25" s="122">
        <f t="shared" si="22"/>
        <v>0</v>
      </c>
      <c r="N25" s="122">
        <f t="shared" si="22"/>
        <v>0</v>
      </c>
      <c r="O25" s="122">
        <f t="shared" si="22"/>
        <v>0</v>
      </c>
      <c r="P25" s="122">
        <f t="shared" si="22"/>
        <v>3.7239338109860187E-2</v>
      </c>
      <c r="Q25" s="122">
        <f t="shared" si="22"/>
        <v>238.28551049678157</v>
      </c>
      <c r="R25" s="122">
        <f t="shared" si="22"/>
        <v>657.25603852906181</v>
      </c>
      <c r="S25" s="122">
        <f t="shared" si="22"/>
        <v>544.19680902743539</v>
      </c>
      <c r="T25" s="122">
        <f t="shared" si="22"/>
        <v>0</v>
      </c>
      <c r="U25" s="122">
        <f t="shared" si="22"/>
        <v>0</v>
      </c>
      <c r="V25" s="122">
        <f t="shared" si="22"/>
        <v>0</v>
      </c>
      <c r="W25" s="122">
        <f t="shared" si="22"/>
        <v>0</v>
      </c>
      <c r="X25" s="122">
        <f t="shared" si="22"/>
        <v>0</v>
      </c>
      <c r="Y25" s="122">
        <f t="shared" si="22"/>
        <v>0</v>
      </c>
      <c r="Z25" s="122">
        <f t="shared" si="22"/>
        <v>0</v>
      </c>
      <c r="AA25" s="122">
        <f t="shared" si="22"/>
        <v>0</v>
      </c>
    </row>
    <row r="26" spans="2:27" x14ac:dyDescent="0.2">
      <c r="B26" s="64">
        <f>MAX(B$10:B25)+1</f>
        <v>13</v>
      </c>
      <c r="C26" s="33"/>
      <c r="D26" s="61" t="s">
        <v>230</v>
      </c>
      <c r="E26" s="64"/>
      <c r="F26" s="176">
        <f>SUM(H26:AA26)</f>
        <v>353836.34512343147</v>
      </c>
      <c r="G26" s="341"/>
      <c r="H26" s="176">
        <f t="shared" ref="H26:AA26" si="23">H21-H25</f>
        <v>101532.22806038316</v>
      </c>
      <c r="I26" s="176">
        <f t="shared" si="23"/>
        <v>92399.829278391131</v>
      </c>
      <c r="J26" s="176">
        <f t="shared" si="23"/>
        <v>382.55787133038336</v>
      </c>
      <c r="K26" s="176">
        <f t="shared" si="23"/>
        <v>13393.307246240751</v>
      </c>
      <c r="L26" s="176">
        <f t="shared" si="23"/>
        <v>3662.6136198681229</v>
      </c>
      <c r="M26" s="176">
        <f t="shared" si="23"/>
        <v>487.09894314997189</v>
      </c>
      <c r="N26" s="176">
        <f t="shared" si="23"/>
        <v>145.38683422311578</v>
      </c>
      <c r="O26" s="176">
        <f t="shared" si="23"/>
        <v>2990.8268024394602</v>
      </c>
      <c r="P26" s="176">
        <f t="shared" si="23"/>
        <v>2788.3891202522641</v>
      </c>
      <c r="Q26" s="176">
        <f t="shared" si="23"/>
        <v>19625.973609107044</v>
      </c>
      <c r="R26" s="176">
        <f t="shared" si="23"/>
        <v>5983.9565782564196</v>
      </c>
      <c r="S26" s="176">
        <f t="shared" si="23"/>
        <v>1648.1815451306661</v>
      </c>
      <c r="T26" s="176">
        <f t="shared" si="23"/>
        <v>52.76337516547234</v>
      </c>
      <c r="U26" s="176">
        <f t="shared" si="23"/>
        <v>0</v>
      </c>
      <c r="V26" s="176">
        <f t="shared" si="23"/>
        <v>61471.341062520354</v>
      </c>
      <c r="W26" s="176">
        <f t="shared" si="23"/>
        <v>23387.149627074625</v>
      </c>
      <c r="X26" s="176">
        <f t="shared" si="23"/>
        <v>8995.4178358186</v>
      </c>
      <c r="Y26" s="176">
        <f t="shared" si="23"/>
        <v>584.3218805906821</v>
      </c>
      <c r="Z26" s="176">
        <f t="shared" si="23"/>
        <v>13119.960358327502</v>
      </c>
      <c r="AA26" s="176">
        <f t="shared" si="23"/>
        <v>1185.0414751617923</v>
      </c>
    </row>
    <row r="27" spans="2:27" x14ac:dyDescent="0.2">
      <c r="B27" s="64">
        <f>MAX(B$10:B26)+1</f>
        <v>14</v>
      </c>
      <c r="C27" s="33"/>
      <c r="D27" s="35" t="s">
        <v>94</v>
      </c>
      <c r="E27" s="64"/>
      <c r="F27" s="122">
        <f>SUM(F24:F26)</f>
        <v>359065.55124048109</v>
      </c>
      <c r="G27" s="341"/>
      <c r="H27" s="122">
        <f>SUM(H24:H26)</f>
        <v>101812.09559530341</v>
      </c>
      <c r="I27" s="122">
        <f t="shared" ref="I27:AA27" si="24">SUM(I24:I26)</f>
        <v>95701.236428640521</v>
      </c>
      <c r="J27" s="122">
        <f t="shared" si="24"/>
        <v>382.55787133038336</v>
      </c>
      <c r="K27" s="122">
        <f t="shared" si="24"/>
        <v>13601.463080729322</v>
      </c>
      <c r="L27" s="122">
        <f t="shared" si="24"/>
        <v>3662.6136198681229</v>
      </c>
      <c r="M27" s="122">
        <f t="shared" si="24"/>
        <v>487.09894314997189</v>
      </c>
      <c r="N27" s="122">
        <f t="shared" si="24"/>
        <v>145.38683422311578</v>
      </c>
      <c r="O27" s="122">
        <f t="shared" si="24"/>
        <v>2990.8268024394602</v>
      </c>
      <c r="P27" s="122">
        <f t="shared" si="24"/>
        <v>2788.426359590374</v>
      </c>
      <c r="Q27" s="122">
        <f t="shared" si="24"/>
        <v>19864.259119603827</v>
      </c>
      <c r="R27" s="122">
        <f t="shared" si="24"/>
        <v>6641.2126167854813</v>
      </c>
      <c r="S27" s="122">
        <f t="shared" si="24"/>
        <v>2192.3783541581015</v>
      </c>
      <c r="T27" s="122">
        <f t="shared" si="24"/>
        <v>52.76337516547234</v>
      </c>
      <c r="U27" s="122">
        <f t="shared" si="24"/>
        <v>0</v>
      </c>
      <c r="V27" s="122">
        <f t="shared" si="24"/>
        <v>61471.341062520354</v>
      </c>
      <c r="W27" s="122">
        <f t="shared" si="24"/>
        <v>23387.149627074625</v>
      </c>
      <c r="X27" s="122">
        <f t="shared" si="24"/>
        <v>8995.4178358186</v>
      </c>
      <c r="Y27" s="122">
        <f t="shared" si="24"/>
        <v>584.3218805906821</v>
      </c>
      <c r="Z27" s="122">
        <f t="shared" si="24"/>
        <v>13119.960358327502</v>
      </c>
      <c r="AA27" s="122">
        <f t="shared" si="24"/>
        <v>1185.0414751617923</v>
      </c>
    </row>
    <row r="28" spans="2:27" x14ac:dyDescent="0.2">
      <c r="B28" s="64"/>
      <c r="C28" s="33"/>
      <c r="D28" s="35"/>
      <c r="E28" s="64"/>
      <c r="F28" s="122"/>
      <c r="G28" s="341"/>
      <c r="H28" s="122"/>
      <c r="I28" s="122"/>
      <c r="J28" s="122"/>
      <c r="K28" s="122"/>
      <c r="L28" s="122"/>
      <c r="M28" s="122"/>
      <c r="N28" s="122"/>
      <c r="O28" s="122"/>
      <c r="P28" s="122"/>
      <c r="Q28" s="122"/>
      <c r="R28" s="122"/>
      <c r="S28" s="122"/>
      <c r="T28" s="122"/>
      <c r="U28" s="122"/>
      <c r="V28" s="122"/>
      <c r="W28" s="122"/>
      <c r="X28" s="122"/>
      <c r="Y28" s="122"/>
      <c r="Z28" s="122"/>
      <c r="AA28" s="122"/>
    </row>
    <row r="29" spans="2:27" ht="14.25" x14ac:dyDescent="0.2">
      <c r="B29" s="64"/>
      <c r="C29" s="33"/>
      <c r="D29" s="36" t="s">
        <v>694</v>
      </c>
      <c r="E29" s="64"/>
      <c r="F29" s="122"/>
      <c r="G29" s="341"/>
      <c r="H29" s="122"/>
      <c r="I29" s="122"/>
      <c r="J29" s="122"/>
      <c r="K29" s="122"/>
      <c r="L29" s="122"/>
      <c r="M29" s="122"/>
      <c r="N29" s="122"/>
      <c r="O29" s="122"/>
      <c r="P29" s="122"/>
      <c r="Q29" s="122"/>
      <c r="R29" s="122"/>
      <c r="S29" s="122"/>
      <c r="T29" s="122"/>
      <c r="U29" s="122"/>
      <c r="V29" s="122"/>
      <c r="W29" s="122"/>
      <c r="X29" s="122"/>
      <c r="Y29" s="122"/>
      <c r="Z29" s="122"/>
      <c r="AA29" s="122"/>
    </row>
    <row r="30" spans="2:27" x14ac:dyDescent="0.2">
      <c r="B30" s="64">
        <f>MAX(B$10:B29)+1</f>
        <v>15</v>
      </c>
      <c r="C30" s="33"/>
      <c r="D30" s="156" t="s">
        <v>508</v>
      </c>
      <c r="E30" s="64"/>
      <c r="F30" s="122">
        <f>SUM(H30:AA30)</f>
        <v>19135762.537588023</v>
      </c>
      <c r="G30" s="341"/>
      <c r="H30" s="122">
        <v>4985995.9935251819</v>
      </c>
      <c r="I30" s="122">
        <v>4618385.8445542622</v>
      </c>
      <c r="J30" s="122">
        <v>27429.148000000001</v>
      </c>
      <c r="K30" s="122">
        <v>1057101.8149999999</v>
      </c>
      <c r="L30" s="122">
        <v>381872.95299999998</v>
      </c>
      <c r="M30" s="122">
        <v>52646.499000000003</v>
      </c>
      <c r="N30" s="122">
        <v>15713.662</v>
      </c>
      <c r="O30" s="122">
        <v>323253.728</v>
      </c>
      <c r="P30" s="122">
        <v>188850.1</v>
      </c>
      <c r="Q30" s="122">
        <v>976207.10452839418</v>
      </c>
      <c r="R30" s="122">
        <v>288794.11963869265</v>
      </c>
      <c r="S30" s="122">
        <v>106097.90170999996</v>
      </c>
      <c r="T30" s="122">
        <v>5702.7569299999996</v>
      </c>
      <c r="U30" s="122">
        <v>0</v>
      </c>
      <c r="V30" s="122">
        <v>3255132.1250927327</v>
      </c>
      <c r="W30" s="122">
        <v>1319376.3993087611</v>
      </c>
      <c r="X30" s="122">
        <v>593899.3899299996</v>
      </c>
      <c r="Y30" s="122">
        <v>59492.90105</v>
      </c>
      <c r="Z30" s="122">
        <v>789736.67051999993</v>
      </c>
      <c r="AA30" s="122">
        <v>90073.425800000012</v>
      </c>
    </row>
    <row r="31" spans="2:27" x14ac:dyDescent="0.2">
      <c r="B31" s="64">
        <f>MAX(B$10:B30)+1</f>
        <v>16</v>
      </c>
      <c r="C31" s="33"/>
      <c r="D31" s="61" t="s">
        <v>507</v>
      </c>
      <c r="E31" s="64"/>
      <c r="F31" s="176">
        <f>SUM(H31:AA31)</f>
        <v>280843.1289311783</v>
      </c>
      <c r="G31" s="341"/>
      <c r="H31" s="176">
        <v>15030.747007082216</v>
      </c>
      <c r="I31" s="176">
        <v>177307.5096291923</v>
      </c>
      <c r="J31" s="176">
        <v>0</v>
      </c>
      <c r="K31" s="176">
        <v>11179.351999999999</v>
      </c>
      <c r="L31" s="176">
        <v>0</v>
      </c>
      <c r="M31" s="176">
        <v>0</v>
      </c>
      <c r="N31" s="176">
        <v>0</v>
      </c>
      <c r="O31" s="176">
        <v>0</v>
      </c>
      <c r="P31" s="176">
        <v>2</v>
      </c>
      <c r="Q31" s="176">
        <v>12797.515884617113</v>
      </c>
      <c r="R31" s="176">
        <v>35299.018290286658</v>
      </c>
      <c r="S31" s="176">
        <v>29226.986120000001</v>
      </c>
      <c r="T31" s="176">
        <v>0</v>
      </c>
      <c r="U31" s="176">
        <v>0</v>
      </c>
      <c r="V31" s="176">
        <v>0</v>
      </c>
      <c r="W31" s="176">
        <v>0</v>
      </c>
      <c r="X31" s="176">
        <v>0</v>
      </c>
      <c r="Y31" s="176">
        <v>0</v>
      </c>
      <c r="Z31" s="176">
        <v>0</v>
      </c>
      <c r="AA31" s="176">
        <v>0</v>
      </c>
    </row>
    <row r="32" spans="2:27" x14ac:dyDescent="0.2">
      <c r="B32" s="64">
        <f>MAX(B$10:B31)+1</f>
        <v>17</v>
      </c>
      <c r="D32" s="35" t="s">
        <v>94</v>
      </c>
      <c r="E32" s="64"/>
      <c r="F32" s="122">
        <f>SUM(F30:F31)</f>
        <v>19416605.666519202</v>
      </c>
      <c r="G32" s="341"/>
      <c r="H32" s="122">
        <f>SUM(H30:H31)</f>
        <v>5001026.7405322641</v>
      </c>
      <c r="I32" s="122">
        <f t="shared" ref="I32:AA32" si="25">SUM(I30:I31)</f>
        <v>4795693.3541834541</v>
      </c>
      <c r="J32" s="122">
        <f t="shared" si="25"/>
        <v>27429.148000000001</v>
      </c>
      <c r="K32" s="122">
        <f t="shared" si="25"/>
        <v>1068281.1669999999</v>
      </c>
      <c r="L32" s="122">
        <f t="shared" si="25"/>
        <v>381872.95299999998</v>
      </c>
      <c r="M32" s="122">
        <f t="shared" si="25"/>
        <v>52646.499000000003</v>
      </c>
      <c r="N32" s="122">
        <f t="shared" si="25"/>
        <v>15713.662</v>
      </c>
      <c r="O32" s="122">
        <f t="shared" si="25"/>
        <v>323253.728</v>
      </c>
      <c r="P32" s="122">
        <f t="shared" si="25"/>
        <v>188852.1</v>
      </c>
      <c r="Q32" s="122">
        <f t="shared" si="25"/>
        <v>989004.62041301129</v>
      </c>
      <c r="R32" s="122">
        <f t="shared" si="25"/>
        <v>324093.1379289793</v>
      </c>
      <c r="S32" s="122">
        <f t="shared" si="25"/>
        <v>135324.88782999996</v>
      </c>
      <c r="T32" s="122">
        <f t="shared" si="25"/>
        <v>5702.7569299999996</v>
      </c>
      <c r="U32" s="122">
        <f t="shared" si="25"/>
        <v>0</v>
      </c>
      <c r="V32" s="122">
        <f t="shared" si="25"/>
        <v>3255132.1250927327</v>
      </c>
      <c r="W32" s="122">
        <f t="shared" si="25"/>
        <v>1319376.3993087611</v>
      </c>
      <c r="X32" s="122">
        <f t="shared" si="25"/>
        <v>593899.3899299996</v>
      </c>
      <c r="Y32" s="122">
        <f t="shared" si="25"/>
        <v>59492.90105</v>
      </c>
      <c r="Z32" s="122">
        <f t="shared" si="25"/>
        <v>789736.67051999993</v>
      </c>
      <c r="AA32" s="122">
        <f t="shared" si="25"/>
        <v>90073.425800000012</v>
      </c>
    </row>
    <row r="33" spans="2:27" x14ac:dyDescent="0.2">
      <c r="B33" s="64"/>
      <c r="C33" s="33"/>
      <c r="D33" s="35"/>
      <c r="E33" s="64"/>
      <c r="F33" s="122"/>
      <c r="G33" s="341"/>
      <c r="H33" s="122"/>
      <c r="I33" s="122"/>
      <c r="J33" s="122"/>
      <c r="K33" s="122"/>
      <c r="L33" s="122"/>
      <c r="M33" s="122"/>
      <c r="N33" s="122"/>
      <c r="O33" s="122"/>
      <c r="P33" s="122"/>
      <c r="Q33" s="122"/>
      <c r="R33" s="122"/>
      <c r="S33" s="122"/>
      <c r="T33" s="122"/>
      <c r="U33" s="122"/>
      <c r="V33" s="122"/>
      <c r="W33" s="122"/>
      <c r="X33" s="122"/>
      <c r="Y33" s="122"/>
      <c r="Z33" s="122"/>
      <c r="AA33" s="122"/>
    </row>
    <row r="34" spans="2:27" ht="14.25" x14ac:dyDescent="0.2">
      <c r="B34" s="64"/>
      <c r="C34" s="33"/>
      <c r="D34" s="36" t="s">
        <v>514</v>
      </c>
      <c r="E34" s="64"/>
      <c r="F34" s="122"/>
      <c r="G34" s="341"/>
      <c r="H34" s="122"/>
      <c r="I34" s="122"/>
      <c r="J34" s="122"/>
      <c r="K34" s="122"/>
      <c r="L34" s="122"/>
      <c r="M34" s="122"/>
      <c r="N34" s="122"/>
      <c r="O34" s="122"/>
      <c r="P34" s="122"/>
      <c r="Q34" s="122"/>
      <c r="R34" s="122"/>
      <c r="S34" s="122"/>
      <c r="T34" s="122"/>
      <c r="U34" s="122"/>
      <c r="V34" s="122"/>
      <c r="W34" s="122"/>
      <c r="X34" s="122"/>
      <c r="Y34" s="122"/>
      <c r="Z34" s="122"/>
      <c r="AA34" s="122"/>
    </row>
    <row r="35" spans="2:27" x14ac:dyDescent="0.2">
      <c r="B35" s="64">
        <f>MAX(B$10:B34)+1</f>
        <v>18</v>
      </c>
      <c r="C35" s="33"/>
      <c r="D35" s="35" t="s">
        <v>525</v>
      </c>
      <c r="E35" s="64"/>
      <c r="F35" s="122"/>
      <c r="G35" s="341"/>
      <c r="H35" s="147">
        <f t="shared" ref="H35:T35" si="26">H14/H32*100</f>
        <v>-8.7970414439653602E-2</v>
      </c>
      <c r="I35" s="147">
        <f t="shared" si="26"/>
        <v>-8.326410144365877E-2</v>
      </c>
      <c r="J35" s="147">
        <f t="shared" si="26"/>
        <v>-5.9073231864226271E-2</v>
      </c>
      <c r="K35" s="147">
        <f t="shared" si="26"/>
        <v>-5.2662435232830859E-2</v>
      </c>
      <c r="L35" s="147">
        <f t="shared" si="26"/>
        <v>-3.9266523209988607E-2</v>
      </c>
      <c r="M35" s="147">
        <f t="shared" si="26"/>
        <v>-3.7725406813044031E-2</v>
      </c>
      <c r="N35" s="147">
        <f t="shared" si="26"/>
        <v>-3.7725405183217882E-2</v>
      </c>
      <c r="O35" s="147">
        <f t="shared" si="26"/>
        <v>-3.7725409445138552E-2</v>
      </c>
      <c r="P35" s="147">
        <f t="shared" si="26"/>
        <v>-6.2791840435461765E-2</v>
      </c>
      <c r="Q35" s="147">
        <f t="shared" si="26"/>
        <v>1.3210505892607758</v>
      </c>
      <c r="R35" s="147">
        <f t="shared" si="26"/>
        <v>1.1881234434116088</v>
      </c>
      <c r="S35" s="147">
        <f t="shared" si="26"/>
        <v>-5.1035464650837727E-2</v>
      </c>
      <c r="T35" s="147">
        <f t="shared" si="26"/>
        <v>-3.7725408228748099E-2</v>
      </c>
      <c r="U35" s="147">
        <f>S35</f>
        <v>-5.1035464650837727E-2</v>
      </c>
      <c r="V35" s="147">
        <f t="shared" ref="V35:AA35" si="27">V14/V32*100</f>
        <v>-8.1523429769389061E-2</v>
      </c>
      <c r="W35" s="147">
        <f t="shared" si="27"/>
        <v>-7.6255550898989791E-2</v>
      </c>
      <c r="X35" s="147">
        <f t="shared" si="27"/>
        <v>-6.4526225850942004E-2</v>
      </c>
      <c r="Y35" s="147">
        <f t="shared" si="27"/>
        <v>-4.0314727666520112E-2</v>
      </c>
      <c r="Z35" s="147">
        <f t="shared" si="27"/>
        <v>-7.1195458367127012E-2</v>
      </c>
      <c r="AA35" s="147">
        <f t="shared" si="27"/>
        <v>-5.5477718129616757E-2</v>
      </c>
    </row>
    <row r="36" spans="2:27" x14ac:dyDescent="0.2">
      <c r="B36" s="64">
        <f>MAX(B$10:B35)+1</f>
        <v>19</v>
      </c>
      <c r="C36" s="33"/>
      <c r="D36" s="35" t="s">
        <v>527</v>
      </c>
      <c r="E36" s="64"/>
      <c r="F36" s="122"/>
      <c r="G36" s="341"/>
      <c r="H36" s="147">
        <f>H35</f>
        <v>-8.7970414439653602E-2</v>
      </c>
      <c r="I36" s="147">
        <f t="shared" ref="I36:T36" si="28">I35</f>
        <v>-8.326410144365877E-2</v>
      </c>
      <c r="J36" s="147">
        <f t="shared" si="28"/>
        <v>-5.9073231864226271E-2</v>
      </c>
      <c r="K36" s="147">
        <f t="shared" si="28"/>
        <v>-5.2662435232830859E-2</v>
      </c>
      <c r="L36" s="147">
        <f t="shared" si="28"/>
        <v>-3.9266523209988607E-2</v>
      </c>
      <c r="M36" s="147">
        <f t="shared" si="28"/>
        <v>-3.7725406813044031E-2</v>
      </c>
      <c r="N36" s="147">
        <f t="shared" si="28"/>
        <v>-3.7725405183217882E-2</v>
      </c>
      <c r="O36" s="147">
        <f t="shared" si="28"/>
        <v>-3.7725409445138552E-2</v>
      </c>
      <c r="P36" s="147">
        <f t="shared" si="28"/>
        <v>-6.2791840435461765E-2</v>
      </c>
      <c r="Q36" s="147">
        <f t="shared" si="28"/>
        <v>1.3210505892607758</v>
      </c>
      <c r="R36" s="147">
        <f t="shared" si="28"/>
        <v>1.1881234434116088</v>
      </c>
      <c r="S36" s="147">
        <f t="shared" si="28"/>
        <v>-5.1035464650837727E-2</v>
      </c>
      <c r="T36" s="147">
        <f t="shared" si="28"/>
        <v>-3.7725408228748099E-2</v>
      </c>
      <c r="U36" s="147">
        <f>S36</f>
        <v>-5.1035464650837727E-2</v>
      </c>
      <c r="V36" s="147"/>
      <c r="W36" s="147"/>
      <c r="X36" s="147"/>
      <c r="Y36" s="147"/>
      <c r="Z36" s="147"/>
      <c r="AA36" s="147"/>
    </row>
    <row r="37" spans="2:27" x14ac:dyDescent="0.2">
      <c r="B37" s="64"/>
      <c r="C37" s="33"/>
      <c r="D37" s="35"/>
      <c r="E37" s="64"/>
      <c r="F37" s="122"/>
      <c r="G37" s="341"/>
      <c r="H37" s="122"/>
      <c r="I37" s="122"/>
      <c r="J37" s="122"/>
      <c r="K37" s="122"/>
      <c r="L37" s="122"/>
      <c r="M37" s="122"/>
      <c r="N37" s="122"/>
      <c r="O37" s="122"/>
      <c r="P37" s="122"/>
      <c r="Q37" s="122"/>
      <c r="R37" s="122"/>
      <c r="S37" s="122"/>
      <c r="T37" s="122"/>
      <c r="U37" s="122"/>
      <c r="V37" s="122"/>
      <c r="W37" s="122"/>
      <c r="X37" s="122"/>
      <c r="Y37" s="122"/>
      <c r="Z37" s="122"/>
      <c r="AA37" s="122"/>
    </row>
    <row r="38" spans="2:27" ht="14.25" x14ac:dyDescent="0.2">
      <c r="B38" s="64"/>
      <c r="C38" s="33"/>
      <c r="D38" s="36" t="s">
        <v>512</v>
      </c>
      <c r="E38" s="64"/>
      <c r="F38" s="122"/>
      <c r="G38" s="341"/>
      <c r="H38" s="122"/>
      <c r="I38" s="122"/>
      <c r="J38" s="122"/>
      <c r="K38" s="122"/>
      <c r="L38" s="122"/>
      <c r="M38" s="122"/>
      <c r="N38" s="122"/>
      <c r="O38" s="122"/>
      <c r="P38" s="122"/>
      <c r="Q38" s="122"/>
      <c r="R38" s="122"/>
      <c r="S38" s="122"/>
      <c r="T38" s="122"/>
      <c r="U38" s="122"/>
      <c r="V38" s="122"/>
      <c r="W38" s="122"/>
      <c r="X38" s="122"/>
      <c r="Y38" s="122"/>
      <c r="Z38" s="122"/>
      <c r="AA38" s="122"/>
    </row>
    <row r="39" spans="2:27" x14ac:dyDescent="0.2">
      <c r="B39" s="64">
        <f>MAX(B$10:B38)+1</f>
        <v>20</v>
      </c>
      <c r="C39" s="33"/>
      <c r="D39" s="35" t="s">
        <v>528</v>
      </c>
      <c r="E39" s="64"/>
      <c r="F39" s="122"/>
      <c r="G39" s="341"/>
      <c r="H39" s="147">
        <f t="shared" ref="H39:T39" si="29">H26/H32*100</f>
        <v>2.0302276578024654</v>
      </c>
      <c r="I39" s="147">
        <f t="shared" si="29"/>
        <v>1.9267251355382737</v>
      </c>
      <c r="J39" s="147">
        <f t="shared" si="29"/>
        <v>1.3947129211974916</v>
      </c>
      <c r="K39" s="147">
        <f t="shared" si="29"/>
        <v>1.2537249237344978</v>
      </c>
      <c r="L39" s="147">
        <f t="shared" si="29"/>
        <v>0.95911836412989515</v>
      </c>
      <c r="M39" s="147">
        <f t="shared" si="29"/>
        <v>0.92522570807599536</v>
      </c>
      <c r="N39" s="147">
        <f t="shared" si="29"/>
        <v>0.92522566810407258</v>
      </c>
      <c r="O39" s="147">
        <f t="shared" si="29"/>
        <v>0.92522577262881878</v>
      </c>
      <c r="P39" s="147">
        <f t="shared" si="29"/>
        <v>1.4764935736760481</v>
      </c>
      <c r="Q39" s="147">
        <f t="shared" si="29"/>
        <v>1.9844167766285237</v>
      </c>
      <c r="R39" s="147">
        <f t="shared" si="29"/>
        <v>1.8463694160558635</v>
      </c>
      <c r="S39" s="147">
        <f t="shared" si="29"/>
        <v>1.217944142840282</v>
      </c>
      <c r="T39" s="147">
        <f t="shared" si="29"/>
        <v>0.92522574279651681</v>
      </c>
      <c r="U39" s="147">
        <f>S39</f>
        <v>1.217944142840282</v>
      </c>
      <c r="V39" s="147">
        <f t="shared" ref="V39:AA39" si="30">V26/V32*100</f>
        <v>1.888443808122509</v>
      </c>
      <c r="W39" s="147">
        <f t="shared" si="30"/>
        <v>1.772591175598371</v>
      </c>
      <c r="X39" s="147">
        <f t="shared" si="30"/>
        <v>1.5146366519889594</v>
      </c>
      <c r="Y39" s="147">
        <f t="shared" si="30"/>
        <v>0.9821707637010284</v>
      </c>
      <c r="Z39" s="147">
        <f t="shared" si="30"/>
        <v>1.6613082370467487</v>
      </c>
      <c r="AA39" s="147">
        <f t="shared" si="30"/>
        <v>1.315639396011284</v>
      </c>
    </row>
    <row r="40" spans="2:27" x14ac:dyDescent="0.2">
      <c r="B40" s="64">
        <f>MAX(B$10:B39)+1</f>
        <v>21</v>
      </c>
      <c r="C40" s="33"/>
      <c r="D40" s="35" t="s">
        <v>526</v>
      </c>
      <c r="E40" s="64"/>
      <c r="F40" s="122"/>
      <c r="G40" s="341"/>
      <c r="H40" s="147">
        <f>H39+$F$23</f>
        <v>3.8921945632954746</v>
      </c>
      <c r="I40" s="147">
        <f t="shared" ref="I40:T40" si="31">I39+$F$23</f>
        <v>3.788692041031283</v>
      </c>
      <c r="J40" s="147">
        <f t="shared" si="31"/>
        <v>3.256679826690501</v>
      </c>
      <c r="K40" s="147">
        <f t="shared" si="31"/>
        <v>3.1156918292275071</v>
      </c>
      <c r="L40" s="147">
        <f t="shared" si="31"/>
        <v>2.8210852696229045</v>
      </c>
      <c r="M40" s="147">
        <f t="shared" si="31"/>
        <v>2.7871926135690046</v>
      </c>
      <c r="N40" s="147">
        <f t="shared" si="31"/>
        <v>2.7871925735970819</v>
      </c>
      <c r="O40" s="147">
        <f t="shared" si="31"/>
        <v>2.7871926781218281</v>
      </c>
      <c r="P40" s="147">
        <f t="shared" si="31"/>
        <v>3.3384604791690573</v>
      </c>
      <c r="Q40" s="147">
        <f t="shared" si="31"/>
        <v>3.8463836821215329</v>
      </c>
      <c r="R40" s="147">
        <f t="shared" si="31"/>
        <v>3.7083363215488729</v>
      </c>
      <c r="S40" s="147">
        <f t="shared" si="31"/>
        <v>3.0799110483332912</v>
      </c>
      <c r="T40" s="147">
        <f t="shared" si="31"/>
        <v>2.7871926482895262</v>
      </c>
      <c r="U40" s="147">
        <f>S40</f>
        <v>3.0799110483332912</v>
      </c>
      <c r="V40" s="147"/>
      <c r="W40" s="147"/>
      <c r="X40" s="147"/>
      <c r="Y40" s="147"/>
      <c r="Z40" s="147"/>
      <c r="AA40" s="147"/>
    </row>
    <row r="41" spans="2:27" x14ac:dyDescent="0.2">
      <c r="B41" s="64"/>
      <c r="C41" s="33"/>
      <c r="D41" s="35"/>
      <c r="E41" s="64"/>
      <c r="F41" s="122"/>
      <c r="G41" s="341"/>
      <c r="H41" s="122"/>
      <c r="I41" s="122"/>
      <c r="J41" s="122"/>
      <c r="K41" s="122"/>
      <c r="L41" s="122"/>
      <c r="M41" s="122"/>
      <c r="N41" s="122"/>
      <c r="O41" s="122"/>
      <c r="P41" s="122"/>
      <c r="Q41" s="122"/>
      <c r="R41" s="122"/>
      <c r="S41" s="122"/>
      <c r="T41" s="122"/>
      <c r="U41" s="122"/>
      <c r="V41" s="122"/>
      <c r="W41" s="122"/>
      <c r="X41" s="122"/>
      <c r="Y41" s="122"/>
      <c r="Z41" s="122"/>
      <c r="AA41" s="122"/>
    </row>
    <row r="42" spans="2:27" ht="14.25" x14ac:dyDescent="0.2">
      <c r="B42" s="64"/>
      <c r="C42" s="33"/>
      <c r="D42" s="36" t="s">
        <v>513</v>
      </c>
      <c r="E42" s="64"/>
      <c r="F42" s="122"/>
      <c r="G42" s="341"/>
      <c r="H42" s="122"/>
      <c r="I42" s="122"/>
      <c r="J42" s="122"/>
      <c r="K42" s="122"/>
      <c r="L42" s="122"/>
      <c r="M42" s="122"/>
      <c r="N42" s="122"/>
      <c r="O42" s="122"/>
      <c r="P42" s="122"/>
      <c r="Q42" s="122"/>
      <c r="R42" s="122"/>
      <c r="S42" s="122"/>
      <c r="T42" s="122"/>
      <c r="U42" s="122"/>
      <c r="V42" s="122"/>
      <c r="W42" s="122"/>
      <c r="X42" s="122"/>
      <c r="Y42" s="122"/>
      <c r="Z42" s="122"/>
      <c r="AA42" s="122"/>
    </row>
    <row r="43" spans="2:27" x14ac:dyDescent="0.2">
      <c r="B43" s="64">
        <f>MAX(B$10:B42)+1</f>
        <v>22</v>
      </c>
      <c r="C43" s="33"/>
      <c r="D43" s="35" t="s">
        <v>87</v>
      </c>
      <c r="E43" s="64"/>
      <c r="F43" s="122"/>
      <c r="G43" s="341"/>
      <c r="H43" s="147">
        <f t="shared" ref="H43:AA43" si="32">H35+H39</f>
        <v>1.9422572433628118</v>
      </c>
      <c r="I43" s="147">
        <f t="shared" si="32"/>
        <v>1.8434610340946149</v>
      </c>
      <c r="J43" s="147">
        <f t="shared" si="32"/>
        <v>1.3356396893332654</v>
      </c>
      <c r="K43" s="147">
        <f t="shared" si="32"/>
        <v>1.201062488501667</v>
      </c>
      <c r="L43" s="147">
        <f t="shared" si="32"/>
        <v>0.91985184091990657</v>
      </c>
      <c r="M43" s="147">
        <f t="shared" si="32"/>
        <v>0.88750030126295132</v>
      </c>
      <c r="N43" s="147">
        <f t="shared" si="32"/>
        <v>0.88750026292085471</v>
      </c>
      <c r="O43" s="147">
        <f t="shared" si="32"/>
        <v>0.8875003631836802</v>
      </c>
      <c r="P43" s="147">
        <f t="shared" si="32"/>
        <v>1.4137017332405863</v>
      </c>
      <c r="Q43" s="147">
        <f t="shared" si="32"/>
        <v>3.3054673658892995</v>
      </c>
      <c r="R43" s="147">
        <f t="shared" si="32"/>
        <v>3.0344928594674725</v>
      </c>
      <c r="S43" s="147">
        <f t="shared" si="32"/>
        <v>1.1669086781894442</v>
      </c>
      <c r="T43" s="147">
        <f t="shared" si="32"/>
        <v>0.88750033456776867</v>
      </c>
      <c r="U43" s="147">
        <f t="shared" si="32"/>
        <v>1.1669086781894442</v>
      </c>
      <c r="V43" s="147">
        <f t="shared" si="32"/>
        <v>1.80692037835312</v>
      </c>
      <c r="W43" s="147">
        <f t="shared" si="32"/>
        <v>1.6963356246993813</v>
      </c>
      <c r="X43" s="147">
        <f t="shared" si="32"/>
        <v>1.4501104261380173</v>
      </c>
      <c r="Y43" s="147">
        <f t="shared" si="32"/>
        <v>0.94185603603450829</v>
      </c>
      <c r="Z43" s="147">
        <f t="shared" si="32"/>
        <v>1.5901127786796216</v>
      </c>
      <c r="AA43" s="147">
        <f t="shared" si="32"/>
        <v>1.2601616778816673</v>
      </c>
    </row>
    <row r="44" spans="2:27" x14ac:dyDescent="0.2">
      <c r="B44" s="64">
        <f>MAX(B$10:B43)+1</f>
        <v>23</v>
      </c>
      <c r="C44" s="33"/>
      <c r="D44" s="35" t="s">
        <v>529</v>
      </c>
      <c r="E44" s="64"/>
      <c r="F44" s="122"/>
      <c r="G44" s="341"/>
      <c r="H44" s="147">
        <f t="shared" ref="H44:U44" si="33">H36+H40</f>
        <v>3.8042241488558211</v>
      </c>
      <c r="I44" s="147">
        <f t="shared" si="33"/>
        <v>3.7054279395876244</v>
      </c>
      <c r="J44" s="147">
        <f t="shared" si="33"/>
        <v>3.1976065948262749</v>
      </c>
      <c r="K44" s="147">
        <f t="shared" si="33"/>
        <v>3.0630293939946762</v>
      </c>
      <c r="L44" s="147">
        <f t="shared" si="33"/>
        <v>2.7818187464129158</v>
      </c>
      <c r="M44" s="147">
        <f t="shared" si="33"/>
        <v>2.7494672067559605</v>
      </c>
      <c r="N44" s="147">
        <f t="shared" si="33"/>
        <v>2.7494671684138638</v>
      </c>
      <c r="O44" s="147">
        <f t="shared" si="33"/>
        <v>2.7494672686766894</v>
      </c>
      <c r="P44" s="147">
        <f t="shared" si="33"/>
        <v>3.2756686387335954</v>
      </c>
      <c r="Q44" s="147">
        <f t="shared" si="33"/>
        <v>5.1674342713823087</v>
      </c>
      <c r="R44" s="147">
        <f t="shared" si="33"/>
        <v>4.8964597649604817</v>
      </c>
      <c r="S44" s="147">
        <f t="shared" si="33"/>
        <v>3.0288755836824537</v>
      </c>
      <c r="T44" s="147">
        <f t="shared" si="33"/>
        <v>2.749467240060778</v>
      </c>
      <c r="U44" s="147">
        <f t="shared" si="33"/>
        <v>3.0288755836824537</v>
      </c>
      <c r="V44" s="147"/>
      <c r="W44" s="147"/>
      <c r="X44" s="147"/>
      <c r="Y44" s="147"/>
      <c r="Z44" s="147"/>
      <c r="AA44" s="147"/>
    </row>
    <row r="45" spans="2:27" x14ac:dyDescent="0.2">
      <c r="B45" s="64"/>
      <c r="C45" s="33"/>
      <c r="F45" s="148"/>
      <c r="G45" s="148"/>
      <c r="H45" s="148"/>
      <c r="I45" s="148"/>
      <c r="J45" s="148"/>
      <c r="K45" s="148"/>
      <c r="L45" s="148"/>
      <c r="M45" s="148"/>
      <c r="N45" s="148"/>
      <c r="O45" s="148"/>
      <c r="P45" s="148"/>
      <c r="Q45" s="148"/>
      <c r="R45" s="148"/>
      <c r="S45" s="148"/>
      <c r="T45" s="148"/>
      <c r="U45" s="148"/>
      <c r="V45" s="148"/>
      <c r="W45" s="148"/>
      <c r="X45" s="148"/>
      <c r="Y45" s="148"/>
      <c r="Z45" s="148"/>
      <c r="AA45" s="148"/>
    </row>
    <row r="46" spans="2:27" x14ac:dyDescent="0.2">
      <c r="B46" s="64"/>
      <c r="C46" s="33"/>
      <c r="D46" s="36" t="s">
        <v>629</v>
      </c>
      <c r="E46" s="64"/>
      <c r="F46" s="122"/>
      <c r="G46" s="341"/>
      <c r="H46" s="122"/>
      <c r="I46" s="122"/>
      <c r="J46" s="122"/>
      <c r="K46" s="122"/>
      <c r="L46" s="122"/>
      <c r="M46" s="122"/>
      <c r="N46" s="122"/>
      <c r="O46" s="122"/>
      <c r="P46" s="122"/>
      <c r="Q46" s="122"/>
      <c r="R46" s="122"/>
      <c r="S46" s="122"/>
      <c r="T46" s="122"/>
      <c r="U46" s="122"/>
      <c r="V46" s="122"/>
      <c r="W46" s="122"/>
      <c r="X46" s="122"/>
      <c r="Y46" s="122"/>
      <c r="Z46" s="122"/>
      <c r="AA46" s="122"/>
    </row>
    <row r="47" spans="2:27" x14ac:dyDescent="0.2">
      <c r="B47" s="64"/>
      <c r="C47" s="33"/>
      <c r="D47" s="36"/>
      <c r="E47" s="64"/>
      <c r="F47" s="122"/>
      <c r="G47" s="341"/>
      <c r="H47" s="122"/>
      <c r="I47" s="122"/>
      <c r="J47" s="122"/>
      <c r="K47" s="122"/>
      <c r="L47" s="122"/>
      <c r="M47" s="122"/>
      <c r="N47" s="122"/>
      <c r="O47" s="122"/>
      <c r="P47" s="122"/>
      <c r="Q47" s="122"/>
      <c r="R47" s="122"/>
      <c r="S47" s="122"/>
      <c r="T47" s="122"/>
      <c r="U47" s="122"/>
      <c r="V47" s="122"/>
      <c r="W47" s="122"/>
      <c r="X47" s="122"/>
      <c r="Y47" s="122"/>
      <c r="Z47" s="122"/>
      <c r="AA47" s="122"/>
    </row>
    <row r="48" spans="2:27" x14ac:dyDescent="0.2">
      <c r="B48" s="64"/>
      <c r="C48" s="33"/>
      <c r="D48" s="36" t="s">
        <v>684</v>
      </c>
      <c r="E48" s="64"/>
      <c r="F48" s="122"/>
      <c r="G48" s="341"/>
      <c r="H48" s="122"/>
      <c r="I48" s="122"/>
      <c r="J48" s="122"/>
      <c r="K48" s="122"/>
      <c r="L48" s="122"/>
      <c r="M48" s="122"/>
      <c r="N48" s="122"/>
      <c r="O48" s="122"/>
      <c r="P48" s="122"/>
      <c r="Q48" s="122"/>
      <c r="R48" s="122"/>
      <c r="S48" s="122"/>
      <c r="T48" s="122"/>
      <c r="U48" s="122"/>
      <c r="V48" s="122"/>
      <c r="W48" s="122"/>
      <c r="X48" s="122"/>
      <c r="Y48" s="122"/>
      <c r="Z48" s="122"/>
      <c r="AA48" s="122"/>
    </row>
    <row r="49" spans="2:27" x14ac:dyDescent="0.2">
      <c r="B49" s="64">
        <f>MAX(B$10:B48)+1</f>
        <v>24</v>
      </c>
      <c r="C49" s="33"/>
      <c r="D49" s="26" t="s">
        <v>233</v>
      </c>
      <c r="E49" s="64"/>
      <c r="F49" s="122">
        <f>SUM(H49:AA49)</f>
        <v>0</v>
      </c>
      <c r="G49" s="341"/>
      <c r="H49" s="122">
        <v>0</v>
      </c>
      <c r="I49" s="122">
        <v>0</v>
      </c>
      <c r="J49" s="122">
        <v>0</v>
      </c>
      <c r="K49" s="122">
        <v>0</v>
      </c>
      <c r="L49" s="122">
        <v>0</v>
      </c>
      <c r="M49" s="122">
        <v>0</v>
      </c>
      <c r="N49" s="122">
        <v>0</v>
      </c>
      <c r="O49" s="122">
        <v>0</v>
      </c>
      <c r="P49" s="122">
        <v>0</v>
      </c>
      <c r="Q49" s="122">
        <v>0</v>
      </c>
      <c r="R49" s="122">
        <v>0</v>
      </c>
      <c r="S49" s="122">
        <v>0</v>
      </c>
      <c r="T49" s="122">
        <v>0</v>
      </c>
      <c r="U49" s="122">
        <v>0</v>
      </c>
      <c r="V49" s="122">
        <v>0</v>
      </c>
      <c r="W49" s="122">
        <v>0</v>
      </c>
      <c r="X49" s="122">
        <v>0</v>
      </c>
      <c r="Y49" s="122">
        <v>0</v>
      </c>
      <c r="Z49" s="122">
        <v>0</v>
      </c>
      <c r="AA49" s="122">
        <v>0</v>
      </c>
    </row>
    <row r="50" spans="2:27" x14ac:dyDescent="0.2">
      <c r="B50" s="64">
        <f>MAX(B$10:B49)+1</f>
        <v>25</v>
      </c>
      <c r="C50" s="33"/>
      <c r="D50" s="26" t="s">
        <v>232</v>
      </c>
      <c r="E50" s="64"/>
      <c r="F50" s="122">
        <f>SUM(H50:AA50)</f>
        <v>15491.673000000006</v>
      </c>
      <c r="G50" s="341"/>
      <c r="H50" s="122">
        <v>5792.196697682868</v>
      </c>
      <c r="I50" s="122">
        <v>3500.5325871986133</v>
      </c>
      <c r="J50" s="122">
        <v>17.387569098364541</v>
      </c>
      <c r="K50" s="122">
        <v>120.41737988861283</v>
      </c>
      <c r="L50" s="122">
        <v>1.9455147761352789</v>
      </c>
      <c r="M50" s="122">
        <v>5.1744596480492007</v>
      </c>
      <c r="N50" s="122">
        <v>0.67589527369546609</v>
      </c>
      <c r="O50" s="122">
        <v>6.3158620327133219</v>
      </c>
      <c r="P50" s="122">
        <v>165.32037512142145</v>
      </c>
      <c r="Q50" s="122">
        <v>1097.2370031330313</v>
      </c>
      <c r="R50" s="122">
        <v>193.93460501358385</v>
      </c>
      <c r="S50" s="122">
        <v>18.417885892049657</v>
      </c>
      <c r="T50" s="122">
        <v>6.7194888629292411</v>
      </c>
      <c r="U50" s="122">
        <v>0</v>
      </c>
      <c r="V50" s="122">
        <v>3621.2135080982716</v>
      </c>
      <c r="W50" s="122">
        <v>811.10889932591101</v>
      </c>
      <c r="X50" s="122">
        <v>69.944996934692512</v>
      </c>
      <c r="Y50" s="122">
        <v>2.5497745944421633</v>
      </c>
      <c r="Z50" s="122">
        <v>41.969062751965161</v>
      </c>
      <c r="AA50" s="122">
        <v>18.611434672654038</v>
      </c>
    </row>
    <row r="51" spans="2:27" x14ac:dyDescent="0.2">
      <c r="B51" s="64">
        <f>MAX(B$10:B50)+1</f>
        <v>26</v>
      </c>
      <c r="C51" s="33"/>
      <c r="D51" s="61" t="s">
        <v>691</v>
      </c>
      <c r="E51" s="64"/>
      <c r="F51" s="176">
        <f>SUM(H51:AA51)</f>
        <v>4766.3813808033174</v>
      </c>
      <c r="G51" s="341"/>
      <c r="H51" s="176">
        <v>1782.1069741006077</v>
      </c>
      <c r="I51" s="176">
        <v>1077.0220457479793</v>
      </c>
      <c r="J51" s="176">
        <v>5.3496988742194524</v>
      </c>
      <c r="K51" s="176">
        <v>37.049268818558467</v>
      </c>
      <c r="L51" s="176">
        <v>0.59858385889302768</v>
      </c>
      <c r="M51" s="176">
        <v>1.5920454893528797</v>
      </c>
      <c r="N51" s="176">
        <v>0.20795524459592146</v>
      </c>
      <c r="O51" s="176">
        <v>1.9432250600982457</v>
      </c>
      <c r="P51" s="176">
        <v>50.864742487539154</v>
      </c>
      <c r="Q51" s="176">
        <v>337.59104146219141</v>
      </c>
      <c r="R51" s="176">
        <v>59.668590373046982</v>
      </c>
      <c r="S51" s="176">
        <v>5.666700322787964</v>
      </c>
      <c r="T51" s="176">
        <v>2.0674104471983878</v>
      </c>
      <c r="U51" s="176">
        <v>0</v>
      </c>
      <c r="V51" s="176">
        <v>1114.152399222025</v>
      </c>
      <c r="W51" s="176">
        <v>249.55693007145805</v>
      </c>
      <c r="X51" s="176">
        <v>21.520240652501734</v>
      </c>
      <c r="Y51" s="176">
        <v>0.78449875311688133</v>
      </c>
      <c r="Z51" s="176">
        <v>12.912779612036273</v>
      </c>
      <c r="AA51" s="176">
        <v>5.7262502051118362</v>
      </c>
    </row>
    <row r="52" spans="2:27" x14ac:dyDescent="0.2">
      <c r="B52" s="64">
        <f>MAX(B$10:B51)+1</f>
        <v>27</v>
      </c>
      <c r="D52" s="35" t="s">
        <v>94</v>
      </c>
      <c r="E52" s="64"/>
      <c r="F52" s="122">
        <f>SUM(F49:F51)</f>
        <v>20258.054380803325</v>
      </c>
      <c r="G52" s="341"/>
      <c r="H52" s="122">
        <f t="shared" ref="H52:AA52" si="34">SUM(H49:H51)</f>
        <v>7574.3036717834757</v>
      </c>
      <c r="I52" s="122">
        <f t="shared" si="34"/>
        <v>4577.5546329465924</v>
      </c>
      <c r="J52" s="122">
        <f t="shared" si="34"/>
        <v>22.737267972583993</v>
      </c>
      <c r="K52" s="122">
        <f t="shared" si="34"/>
        <v>157.46664870717129</v>
      </c>
      <c r="L52" s="122">
        <f t="shared" si="34"/>
        <v>2.5440986350283064</v>
      </c>
      <c r="M52" s="122">
        <f t="shared" si="34"/>
        <v>6.7665051374020804</v>
      </c>
      <c r="N52" s="122">
        <f t="shared" si="34"/>
        <v>0.88385051829138761</v>
      </c>
      <c r="O52" s="122">
        <f t="shared" si="34"/>
        <v>8.2590870928115674</v>
      </c>
      <c r="P52" s="122">
        <f t="shared" si="34"/>
        <v>216.18511760896061</v>
      </c>
      <c r="Q52" s="122">
        <f t="shared" si="34"/>
        <v>1434.8280445952228</v>
      </c>
      <c r="R52" s="122">
        <f t="shared" si="34"/>
        <v>253.60319538663083</v>
      </c>
      <c r="S52" s="122">
        <f t="shared" si="34"/>
        <v>24.084586214837621</v>
      </c>
      <c r="T52" s="122">
        <f t="shared" si="34"/>
        <v>8.7868993101276285</v>
      </c>
      <c r="U52" s="122">
        <f t="shared" si="34"/>
        <v>0</v>
      </c>
      <c r="V52" s="122">
        <f t="shared" si="34"/>
        <v>4735.3659073202962</v>
      </c>
      <c r="W52" s="122">
        <f t="shared" si="34"/>
        <v>1060.6658293973692</v>
      </c>
      <c r="X52" s="122">
        <f t="shared" si="34"/>
        <v>91.465237587194252</v>
      </c>
      <c r="Y52" s="122">
        <f t="shared" si="34"/>
        <v>3.3342733475590447</v>
      </c>
      <c r="Z52" s="122">
        <f t="shared" si="34"/>
        <v>54.881842364001436</v>
      </c>
      <c r="AA52" s="122">
        <f t="shared" si="34"/>
        <v>24.337684877765874</v>
      </c>
    </row>
    <row r="53" spans="2:27" x14ac:dyDescent="0.2">
      <c r="B53" s="64"/>
      <c r="C53" s="33"/>
      <c r="D53" s="35"/>
      <c r="E53" s="64"/>
      <c r="F53" s="122"/>
      <c r="G53" s="341"/>
      <c r="H53" s="122"/>
      <c r="I53" s="122"/>
      <c r="J53" s="122"/>
      <c r="K53" s="122"/>
      <c r="L53" s="122"/>
      <c r="M53" s="122"/>
      <c r="N53" s="122"/>
      <c r="O53" s="122"/>
      <c r="P53" s="122"/>
      <c r="Q53" s="122"/>
      <c r="R53" s="122"/>
      <c r="S53" s="122"/>
      <c r="T53" s="122"/>
      <c r="U53" s="122"/>
      <c r="V53" s="122"/>
      <c r="W53" s="122"/>
      <c r="X53" s="122"/>
      <c r="Y53" s="122"/>
      <c r="Z53" s="122"/>
      <c r="AA53" s="122"/>
    </row>
    <row r="54" spans="2:27" x14ac:dyDescent="0.2">
      <c r="B54" s="64"/>
      <c r="C54" s="33"/>
      <c r="D54" s="36" t="s">
        <v>685</v>
      </c>
      <c r="E54" s="64"/>
      <c r="F54" s="122"/>
      <c r="G54" s="341"/>
      <c r="H54" s="122"/>
      <c r="I54" s="122"/>
      <c r="J54" s="122"/>
      <c r="K54" s="122"/>
      <c r="L54" s="122"/>
      <c r="M54" s="122"/>
      <c r="N54" s="122"/>
      <c r="O54" s="122"/>
      <c r="P54" s="122"/>
      <c r="Q54" s="122"/>
      <c r="R54" s="122"/>
      <c r="S54" s="122"/>
      <c r="T54" s="122"/>
      <c r="U54" s="122"/>
      <c r="V54" s="122"/>
      <c r="W54" s="122"/>
      <c r="X54" s="122"/>
      <c r="Y54" s="122"/>
      <c r="Z54" s="122"/>
      <c r="AA54" s="122"/>
    </row>
    <row r="55" spans="2:27" x14ac:dyDescent="0.2">
      <c r="B55" s="64">
        <f>MAX(B$10:B54)+1</f>
        <v>28</v>
      </c>
      <c r="C55" s="33"/>
      <c r="D55" s="26" t="s">
        <v>233</v>
      </c>
      <c r="E55" s="64"/>
      <c r="F55" s="122">
        <f>SUM(H55:AA55)</f>
        <v>2728040.5732561187</v>
      </c>
      <c r="G55" s="341"/>
      <c r="H55" s="122">
        <v>1019989.7454302686</v>
      </c>
      <c r="I55" s="122">
        <v>616434.06273054087</v>
      </c>
      <c r="J55" s="122">
        <v>3061.9026086228887</v>
      </c>
      <c r="K55" s="122">
        <v>21205.166030894859</v>
      </c>
      <c r="L55" s="122">
        <v>342.5997466617282</v>
      </c>
      <c r="M55" s="122">
        <v>911.20796730958568</v>
      </c>
      <c r="N55" s="122">
        <v>119.02327979123238</v>
      </c>
      <c r="O55" s="122">
        <v>1112.2057559780535</v>
      </c>
      <c r="P55" s="122">
        <v>29112.458732969579</v>
      </c>
      <c r="Q55" s="122">
        <v>193220.38768988085</v>
      </c>
      <c r="R55" s="122">
        <v>34151.345115240692</v>
      </c>
      <c r="S55" s="122">
        <v>3243.3385333600131</v>
      </c>
      <c r="T55" s="122">
        <v>1183.283319342823</v>
      </c>
      <c r="U55" s="122">
        <v>0</v>
      </c>
      <c r="V55" s="122">
        <v>637685.63760125893</v>
      </c>
      <c r="W55" s="122">
        <v>142834.02358739416</v>
      </c>
      <c r="X55" s="122">
        <v>12317.119625111889</v>
      </c>
      <c r="Y55" s="122">
        <v>449.0082217908863</v>
      </c>
      <c r="Z55" s="122">
        <v>7390.6353438323313</v>
      </c>
      <c r="AA55" s="122">
        <v>3277.4219358687674</v>
      </c>
    </row>
    <row r="56" spans="2:27" x14ac:dyDescent="0.2">
      <c r="B56" s="64">
        <f>MAX(B$10:B55)+1</f>
        <v>29</v>
      </c>
      <c r="C56" s="33"/>
      <c r="D56" s="26" t="s">
        <v>232</v>
      </c>
      <c r="E56" s="64"/>
      <c r="F56" s="122">
        <f>SUM(H56:AA56)</f>
        <v>0</v>
      </c>
      <c r="G56" s="341"/>
      <c r="H56" s="122">
        <v>0</v>
      </c>
      <c r="I56" s="122">
        <v>0</v>
      </c>
      <c r="J56" s="122">
        <v>0</v>
      </c>
      <c r="K56" s="122">
        <v>0</v>
      </c>
      <c r="L56" s="122">
        <v>0</v>
      </c>
      <c r="M56" s="122">
        <v>0</v>
      </c>
      <c r="N56" s="122">
        <v>0</v>
      </c>
      <c r="O56" s="122">
        <v>0</v>
      </c>
      <c r="P56" s="122">
        <v>0</v>
      </c>
      <c r="Q56" s="122">
        <v>0</v>
      </c>
      <c r="R56" s="122">
        <v>0</v>
      </c>
      <c r="S56" s="122">
        <v>0</v>
      </c>
      <c r="T56" s="122">
        <v>0</v>
      </c>
      <c r="U56" s="122">
        <v>0</v>
      </c>
      <c r="V56" s="122">
        <v>0</v>
      </c>
      <c r="W56" s="122">
        <v>0</v>
      </c>
      <c r="X56" s="122">
        <v>0</v>
      </c>
      <c r="Y56" s="122">
        <v>0</v>
      </c>
      <c r="Z56" s="122">
        <v>0</v>
      </c>
      <c r="AA56" s="122">
        <v>0</v>
      </c>
    </row>
    <row r="57" spans="2:27" x14ac:dyDescent="0.2">
      <c r="B57" s="64">
        <f>MAX(B$10:B56)+1</f>
        <v>30</v>
      </c>
      <c r="C57" s="33"/>
      <c r="D57" s="61" t="s">
        <v>691</v>
      </c>
      <c r="E57" s="64"/>
      <c r="F57" s="176">
        <f>SUM(H57:AA57)</f>
        <v>0</v>
      </c>
      <c r="G57" s="341"/>
      <c r="H57" s="176">
        <v>0</v>
      </c>
      <c r="I57" s="176">
        <v>0</v>
      </c>
      <c r="J57" s="176">
        <v>0</v>
      </c>
      <c r="K57" s="176">
        <v>0</v>
      </c>
      <c r="L57" s="176">
        <v>0</v>
      </c>
      <c r="M57" s="176">
        <v>0</v>
      </c>
      <c r="N57" s="176">
        <v>0</v>
      </c>
      <c r="O57" s="176">
        <v>0</v>
      </c>
      <c r="P57" s="176">
        <v>0</v>
      </c>
      <c r="Q57" s="176">
        <v>0</v>
      </c>
      <c r="R57" s="176">
        <v>0</v>
      </c>
      <c r="S57" s="176">
        <v>0</v>
      </c>
      <c r="T57" s="176">
        <v>0</v>
      </c>
      <c r="U57" s="176">
        <v>0</v>
      </c>
      <c r="V57" s="176">
        <v>0</v>
      </c>
      <c r="W57" s="176">
        <v>0</v>
      </c>
      <c r="X57" s="176">
        <v>0</v>
      </c>
      <c r="Y57" s="176">
        <v>0</v>
      </c>
      <c r="Z57" s="176">
        <v>0</v>
      </c>
      <c r="AA57" s="176">
        <v>0</v>
      </c>
    </row>
    <row r="58" spans="2:27" x14ac:dyDescent="0.2">
      <c r="B58" s="64">
        <f>MAX(B$10:B57)+1</f>
        <v>31</v>
      </c>
      <c r="D58" s="35" t="s">
        <v>94</v>
      </c>
      <c r="E58" s="64"/>
      <c r="F58" s="122">
        <f>SUM(F55:F57)</f>
        <v>2728040.5732561187</v>
      </c>
      <c r="G58" s="341"/>
      <c r="H58" s="122">
        <f t="shared" ref="H58:AA58" si="35">SUM(H55:H57)</f>
        <v>1019989.7454302686</v>
      </c>
      <c r="I58" s="122">
        <f t="shared" si="35"/>
        <v>616434.06273054087</v>
      </c>
      <c r="J58" s="122">
        <f t="shared" si="35"/>
        <v>3061.9026086228887</v>
      </c>
      <c r="K58" s="122">
        <f t="shared" si="35"/>
        <v>21205.166030894859</v>
      </c>
      <c r="L58" s="122">
        <f t="shared" si="35"/>
        <v>342.5997466617282</v>
      </c>
      <c r="M58" s="122">
        <f t="shared" si="35"/>
        <v>911.20796730958568</v>
      </c>
      <c r="N58" s="122">
        <f t="shared" si="35"/>
        <v>119.02327979123238</v>
      </c>
      <c r="O58" s="122">
        <f t="shared" si="35"/>
        <v>1112.2057559780535</v>
      </c>
      <c r="P58" s="122">
        <f t="shared" si="35"/>
        <v>29112.458732969579</v>
      </c>
      <c r="Q58" s="122">
        <f t="shared" si="35"/>
        <v>193220.38768988085</v>
      </c>
      <c r="R58" s="122">
        <f t="shared" si="35"/>
        <v>34151.345115240692</v>
      </c>
      <c r="S58" s="122">
        <f t="shared" si="35"/>
        <v>3243.3385333600131</v>
      </c>
      <c r="T58" s="122">
        <f t="shared" si="35"/>
        <v>1183.283319342823</v>
      </c>
      <c r="U58" s="122">
        <f t="shared" si="35"/>
        <v>0</v>
      </c>
      <c r="V58" s="122">
        <f t="shared" si="35"/>
        <v>637685.63760125893</v>
      </c>
      <c r="W58" s="122">
        <f t="shared" si="35"/>
        <v>142834.02358739416</v>
      </c>
      <c r="X58" s="122">
        <f t="shared" si="35"/>
        <v>12317.119625111889</v>
      </c>
      <c r="Y58" s="122">
        <f t="shared" si="35"/>
        <v>449.0082217908863</v>
      </c>
      <c r="Z58" s="122">
        <f t="shared" si="35"/>
        <v>7390.6353438323313</v>
      </c>
      <c r="AA58" s="122">
        <f t="shared" si="35"/>
        <v>3277.4219358687674</v>
      </c>
    </row>
    <row r="59" spans="2:27" x14ac:dyDescent="0.2">
      <c r="B59" s="64"/>
      <c r="C59" s="33"/>
      <c r="D59" s="35"/>
      <c r="E59" s="64"/>
      <c r="F59" s="122"/>
      <c r="G59" s="341"/>
      <c r="H59" s="122"/>
      <c r="I59" s="122"/>
      <c r="J59" s="122"/>
      <c r="K59" s="122"/>
      <c r="L59" s="122"/>
      <c r="M59" s="122"/>
      <c r="N59" s="122"/>
      <c r="O59" s="122"/>
      <c r="P59" s="122"/>
      <c r="Q59" s="122"/>
      <c r="R59" s="122"/>
      <c r="S59" s="122"/>
      <c r="T59" s="122"/>
      <c r="U59" s="122"/>
      <c r="V59" s="122"/>
      <c r="W59" s="122"/>
      <c r="X59" s="122"/>
      <c r="Y59" s="122"/>
      <c r="Z59" s="122"/>
      <c r="AA59" s="122"/>
    </row>
    <row r="60" spans="2:27" ht="14.25" x14ac:dyDescent="0.2">
      <c r="B60" s="64">
        <f>MAX(B$10:B59)+1</f>
        <v>32</v>
      </c>
      <c r="C60" s="33"/>
      <c r="D60" s="35" t="s">
        <v>695</v>
      </c>
      <c r="E60" s="64"/>
      <c r="F60" s="122">
        <f>SUM(H60:AA60)</f>
        <v>13147613.980868349</v>
      </c>
      <c r="G60" s="341"/>
      <c r="H60" s="122">
        <v>4915774.1892947741</v>
      </c>
      <c r="I60" s="122">
        <v>2970863.8430424999</v>
      </c>
      <c r="J60" s="122">
        <v>14756.64033</v>
      </c>
      <c r="K60" s="122">
        <v>102196.91749000001</v>
      </c>
      <c r="L60" s="122">
        <v>1651.1371800000002</v>
      </c>
      <c r="M60" s="122">
        <v>4391.50749</v>
      </c>
      <c r="N60" s="122">
        <v>573.6249499999999</v>
      </c>
      <c r="O60" s="122">
        <v>5360.2032499999996</v>
      </c>
      <c r="P60" s="122">
        <v>140305.60000000001</v>
      </c>
      <c r="Q60" s="122">
        <v>931213.08219699236</v>
      </c>
      <c r="R60" s="122">
        <v>164590.18494973239</v>
      </c>
      <c r="S60" s="122">
        <v>15631.058960020002</v>
      </c>
      <c r="T60" s="122">
        <v>5702.756940360001</v>
      </c>
      <c r="U60" s="122">
        <v>0</v>
      </c>
      <c r="V60" s="122">
        <v>3073284.4249153817</v>
      </c>
      <c r="W60" s="122">
        <v>688379.2799385892</v>
      </c>
      <c r="X60" s="122">
        <v>59361.556340000003</v>
      </c>
      <c r="Y60" s="122">
        <v>2163.9659000000001</v>
      </c>
      <c r="Z60" s="122">
        <v>35618.686000000009</v>
      </c>
      <c r="AA60" s="122">
        <v>15795.3217</v>
      </c>
    </row>
    <row r="61" spans="2:27" x14ac:dyDescent="0.2">
      <c r="B61" s="64"/>
      <c r="C61" s="33"/>
      <c r="D61" s="35"/>
      <c r="E61" s="64"/>
      <c r="F61" s="122"/>
      <c r="G61" s="341"/>
      <c r="H61" s="122"/>
      <c r="I61" s="122"/>
      <c r="J61" s="122"/>
      <c r="K61" s="122"/>
      <c r="L61" s="122"/>
      <c r="M61" s="122"/>
      <c r="N61" s="122"/>
      <c r="O61" s="122"/>
      <c r="P61" s="122"/>
      <c r="Q61" s="122"/>
      <c r="R61" s="122"/>
      <c r="S61" s="122"/>
      <c r="T61" s="122"/>
      <c r="U61" s="122"/>
      <c r="V61" s="122"/>
      <c r="W61" s="122"/>
      <c r="X61" s="122"/>
      <c r="Y61" s="122"/>
      <c r="Z61" s="122"/>
      <c r="AA61" s="122"/>
    </row>
    <row r="62" spans="2:27" ht="14.25" x14ac:dyDescent="0.2">
      <c r="B62" s="64">
        <f>MAX(B$10:B61)+1</f>
        <v>33</v>
      </c>
      <c r="C62" s="33"/>
      <c r="D62" s="35" t="s">
        <v>509</v>
      </c>
      <c r="E62" s="64"/>
      <c r="F62" s="122"/>
      <c r="G62" s="341"/>
      <c r="H62" s="147">
        <f>H52/H60*100</f>
        <v>0.15408160302151916</v>
      </c>
      <c r="I62" s="147">
        <f t="shared" ref="I62:T62" si="36">I52/I60*100</f>
        <v>0.15408160302151913</v>
      </c>
      <c r="J62" s="147">
        <f t="shared" si="36"/>
        <v>0.15408160302151913</v>
      </c>
      <c r="K62" s="147">
        <f t="shared" si="36"/>
        <v>0.15408160302151916</v>
      </c>
      <c r="L62" s="147">
        <f t="shared" si="36"/>
        <v>0.15408160302151913</v>
      </c>
      <c r="M62" s="147">
        <f t="shared" si="36"/>
        <v>0.15408160302151916</v>
      </c>
      <c r="N62" s="147">
        <f t="shared" si="36"/>
        <v>0.15408160302151916</v>
      </c>
      <c r="O62" s="147">
        <f t="shared" si="36"/>
        <v>0.15408160302151916</v>
      </c>
      <c r="P62" s="147">
        <f t="shared" si="36"/>
        <v>0.15408160302151916</v>
      </c>
      <c r="Q62" s="147">
        <f t="shared" si="36"/>
        <v>0.15408160302151916</v>
      </c>
      <c r="R62" s="147">
        <f t="shared" si="36"/>
        <v>0.15408160302151916</v>
      </c>
      <c r="S62" s="147">
        <f t="shared" si="36"/>
        <v>0.15408160302151916</v>
      </c>
      <c r="T62" s="147">
        <f t="shared" si="36"/>
        <v>0.15408160302151913</v>
      </c>
      <c r="U62" s="147">
        <f>S62</f>
        <v>0.15408160302151916</v>
      </c>
      <c r="V62" s="147">
        <f t="shared" ref="V62:AA62" si="37">V52/V60*100</f>
        <v>0.15408160302151913</v>
      </c>
      <c r="W62" s="147">
        <f t="shared" si="37"/>
        <v>0.15408160302151916</v>
      </c>
      <c r="X62" s="147">
        <f t="shared" si="37"/>
        <v>0.15408160302151919</v>
      </c>
      <c r="Y62" s="147">
        <f t="shared" si="37"/>
        <v>0.15408160302151916</v>
      </c>
      <c r="Z62" s="147">
        <f t="shared" si="37"/>
        <v>0.15408160302151916</v>
      </c>
      <c r="AA62" s="147">
        <f t="shared" si="37"/>
        <v>0.15408160302151916</v>
      </c>
    </row>
    <row r="63" spans="2:27" x14ac:dyDescent="0.2">
      <c r="B63" s="64"/>
      <c r="C63" s="33"/>
      <c r="D63" s="35"/>
      <c r="E63" s="64"/>
      <c r="F63" s="122"/>
      <c r="G63" s="341"/>
      <c r="H63" s="122"/>
      <c r="I63" s="122"/>
      <c r="J63" s="122"/>
      <c r="K63" s="122"/>
      <c r="L63" s="122"/>
      <c r="M63" s="122"/>
      <c r="N63" s="122"/>
      <c r="O63" s="122"/>
      <c r="P63" s="122"/>
      <c r="Q63" s="122"/>
      <c r="R63" s="122"/>
      <c r="S63" s="122"/>
      <c r="T63" s="122"/>
      <c r="U63" s="122"/>
      <c r="V63" s="122"/>
      <c r="W63" s="122"/>
      <c r="X63" s="122"/>
      <c r="Y63" s="122"/>
      <c r="Z63" s="122"/>
      <c r="AA63" s="122"/>
    </row>
    <row r="64" spans="2:27" ht="14.25" x14ac:dyDescent="0.2">
      <c r="B64" s="64">
        <f>MAX(B$10:B63)+1</f>
        <v>34</v>
      </c>
      <c r="C64" s="33"/>
      <c r="D64" s="35" t="s">
        <v>510</v>
      </c>
      <c r="E64" s="64"/>
      <c r="F64" s="122"/>
      <c r="G64" s="341"/>
      <c r="H64" s="147">
        <f>H58/H60*100</f>
        <v>20.749320578059304</v>
      </c>
      <c r="I64" s="147">
        <f t="shared" ref="I64:T64" si="38">I58/I60*100</f>
        <v>20.749320578059304</v>
      </c>
      <c r="J64" s="147">
        <f t="shared" si="38"/>
        <v>20.749320578059304</v>
      </c>
      <c r="K64" s="147">
        <f t="shared" si="38"/>
        <v>20.749320578059304</v>
      </c>
      <c r="L64" s="147">
        <f t="shared" si="38"/>
        <v>20.749320578059308</v>
      </c>
      <c r="M64" s="147">
        <f t="shared" si="38"/>
        <v>20.749320578059304</v>
      </c>
      <c r="N64" s="147">
        <f t="shared" si="38"/>
        <v>20.749320578059304</v>
      </c>
      <c r="O64" s="147">
        <f t="shared" si="38"/>
        <v>20.749320578059304</v>
      </c>
      <c r="P64" s="147">
        <f t="shared" si="38"/>
        <v>20.749320578059304</v>
      </c>
      <c r="Q64" s="147">
        <f t="shared" si="38"/>
        <v>20.749320578059304</v>
      </c>
      <c r="R64" s="147">
        <f t="shared" si="38"/>
        <v>20.749320578059304</v>
      </c>
      <c r="S64" s="147">
        <f t="shared" si="38"/>
        <v>20.749320578059304</v>
      </c>
      <c r="T64" s="147">
        <f t="shared" si="38"/>
        <v>20.749320578059308</v>
      </c>
      <c r="U64" s="147">
        <f>S64</f>
        <v>20.749320578059304</v>
      </c>
      <c r="V64" s="147">
        <f t="shared" ref="V64:AA64" si="39">V58/V60*100</f>
        <v>20.749320578059308</v>
      </c>
      <c r="W64" s="147">
        <f t="shared" si="39"/>
        <v>20.749320578059304</v>
      </c>
      <c r="X64" s="147">
        <f t="shared" si="39"/>
        <v>20.749320578059304</v>
      </c>
      <c r="Y64" s="147">
        <f t="shared" si="39"/>
        <v>20.749320578059304</v>
      </c>
      <c r="Z64" s="147">
        <f t="shared" si="39"/>
        <v>20.749320578059308</v>
      </c>
      <c r="AA64" s="147">
        <f t="shared" si="39"/>
        <v>20.749320578059308</v>
      </c>
    </row>
    <row r="65" spans="2:27" x14ac:dyDescent="0.2">
      <c r="B65" s="64"/>
      <c r="C65" s="33"/>
      <c r="D65" s="35"/>
      <c r="E65" s="64"/>
      <c r="F65" s="122"/>
      <c r="G65" s="341"/>
      <c r="H65" s="122"/>
      <c r="I65" s="122"/>
      <c r="J65" s="122"/>
      <c r="K65" s="122"/>
      <c r="L65" s="122"/>
      <c r="M65" s="122"/>
      <c r="N65" s="122"/>
      <c r="O65" s="122"/>
      <c r="P65" s="122"/>
      <c r="Q65" s="122"/>
      <c r="R65" s="122"/>
      <c r="S65" s="122"/>
      <c r="T65" s="122"/>
      <c r="U65" s="122"/>
      <c r="V65" s="122"/>
      <c r="W65" s="122"/>
      <c r="X65" s="122"/>
      <c r="Y65" s="122"/>
      <c r="Z65" s="122"/>
      <c r="AA65" s="122"/>
    </row>
    <row r="66" spans="2:27" ht="14.25" x14ac:dyDescent="0.2">
      <c r="B66" s="64">
        <f>MAX(B$10:B65)+1</f>
        <v>35</v>
      </c>
      <c r="C66" s="33"/>
      <c r="D66" s="35" t="s">
        <v>511</v>
      </c>
      <c r="E66" s="64"/>
      <c r="F66" s="122"/>
      <c r="G66" s="341"/>
      <c r="H66" s="147">
        <f>H62+H64</f>
        <v>20.903402181080825</v>
      </c>
      <c r="I66" s="147">
        <f t="shared" ref="I66:AA66" si="40">I62+I64</f>
        <v>20.903402181080825</v>
      </c>
      <c r="J66" s="147">
        <f t="shared" si="40"/>
        <v>20.903402181080825</v>
      </c>
      <c r="K66" s="147">
        <f t="shared" si="40"/>
        <v>20.903402181080825</v>
      </c>
      <c r="L66" s="147">
        <f t="shared" si="40"/>
        <v>20.903402181080828</v>
      </c>
      <c r="M66" s="147">
        <f t="shared" si="40"/>
        <v>20.903402181080825</v>
      </c>
      <c r="N66" s="147">
        <f t="shared" si="40"/>
        <v>20.903402181080825</v>
      </c>
      <c r="O66" s="147">
        <f t="shared" si="40"/>
        <v>20.903402181080825</v>
      </c>
      <c r="P66" s="147">
        <f t="shared" si="40"/>
        <v>20.903402181080825</v>
      </c>
      <c r="Q66" s="147">
        <f t="shared" si="40"/>
        <v>20.903402181080825</v>
      </c>
      <c r="R66" s="147">
        <f t="shared" si="40"/>
        <v>20.903402181080825</v>
      </c>
      <c r="S66" s="147">
        <f t="shared" si="40"/>
        <v>20.903402181080825</v>
      </c>
      <c r="T66" s="147">
        <f t="shared" si="40"/>
        <v>20.903402181080828</v>
      </c>
      <c r="U66" s="147">
        <f t="shared" si="40"/>
        <v>20.903402181080825</v>
      </c>
      <c r="V66" s="147">
        <f t="shared" si="40"/>
        <v>20.903402181080828</v>
      </c>
      <c r="W66" s="147">
        <f t="shared" si="40"/>
        <v>20.903402181080825</v>
      </c>
      <c r="X66" s="147">
        <f t="shared" si="40"/>
        <v>20.903402181080825</v>
      </c>
      <c r="Y66" s="147">
        <f t="shared" si="40"/>
        <v>20.903402181080825</v>
      </c>
      <c r="Z66" s="147">
        <f t="shared" si="40"/>
        <v>20.903402181080828</v>
      </c>
      <c r="AA66" s="147">
        <f t="shared" si="40"/>
        <v>20.903402181080828</v>
      </c>
    </row>
    <row r="67" spans="2:27" x14ac:dyDescent="0.2">
      <c r="B67" s="64"/>
      <c r="C67" s="33"/>
      <c r="D67" s="35"/>
      <c r="E67" s="64"/>
      <c r="F67" s="16"/>
      <c r="G67" s="64"/>
      <c r="H67" s="16"/>
      <c r="I67" s="16"/>
      <c r="J67" s="16"/>
      <c r="K67" s="16"/>
      <c r="L67" s="16"/>
      <c r="M67" s="16"/>
      <c r="N67" s="16"/>
      <c r="O67" s="16"/>
      <c r="P67" s="16"/>
      <c r="Q67" s="16"/>
      <c r="R67" s="16"/>
      <c r="S67" s="16"/>
      <c r="T67" s="16"/>
      <c r="U67" s="16"/>
      <c r="V67" s="16"/>
      <c r="W67" s="16"/>
      <c r="X67" s="16"/>
      <c r="Y67" s="16"/>
      <c r="Z67" s="16"/>
      <c r="AA67" s="16"/>
    </row>
    <row r="68" spans="2:27" ht="11.65" customHeight="1" x14ac:dyDescent="0.2">
      <c r="B68" s="171" t="s">
        <v>29</v>
      </c>
      <c r="C68" s="33"/>
      <c r="D68" s="33"/>
      <c r="E68" s="33"/>
      <c r="F68" s="33"/>
      <c r="G68" s="33"/>
      <c r="H68" s="33"/>
      <c r="I68" s="33"/>
      <c r="J68" s="33"/>
      <c r="K68" s="33"/>
      <c r="L68" s="33"/>
      <c r="M68" s="33"/>
      <c r="N68" s="33"/>
      <c r="O68" s="33"/>
      <c r="P68" s="33"/>
      <c r="Q68" s="33"/>
      <c r="R68" s="33"/>
      <c r="S68" s="33"/>
      <c r="T68" s="33"/>
      <c r="U68" s="33"/>
      <c r="V68" s="33"/>
      <c r="W68" s="33"/>
      <c r="X68" s="33"/>
      <c r="Y68" s="33"/>
      <c r="Z68" s="33"/>
      <c r="AA68" s="33"/>
    </row>
    <row r="69" spans="2:27" ht="11.25" customHeight="1" x14ac:dyDescent="0.2">
      <c r="B69" s="167" t="s">
        <v>267</v>
      </c>
      <c r="C69" s="35"/>
      <c r="D69" s="28" t="s">
        <v>687</v>
      </c>
    </row>
    <row r="70" spans="2:27" ht="11.65" customHeight="1" x14ac:dyDescent="0.2">
      <c r="B70" s="167" t="s">
        <v>268</v>
      </c>
      <c r="C70" s="35"/>
      <c r="D70" s="28" t="s">
        <v>1064</v>
      </c>
    </row>
    <row r="71" spans="2:27" ht="11.65" customHeight="1" x14ac:dyDescent="0.2">
      <c r="B71" s="167" t="s">
        <v>269</v>
      </c>
      <c r="C71" s="35"/>
      <c r="D71" s="28" t="s">
        <v>688</v>
      </c>
    </row>
    <row r="72" spans="2:27" x14ac:dyDescent="0.2">
      <c r="B72" s="167" t="s">
        <v>277</v>
      </c>
      <c r="D72" s="28" t="s">
        <v>689</v>
      </c>
    </row>
    <row r="73" spans="2:27" x14ac:dyDescent="0.2">
      <c r="B73" s="167" t="s">
        <v>278</v>
      </c>
      <c r="D73" s="28" t="s">
        <v>1082</v>
      </c>
    </row>
    <row r="74" spans="2:27" ht="11.65" customHeight="1" x14ac:dyDescent="0.2">
      <c r="B74" s="167" t="s">
        <v>279</v>
      </c>
      <c r="C74" s="35"/>
      <c r="D74" s="35" t="s">
        <v>978</v>
      </c>
      <c r="E74" s="35"/>
      <c r="F74" s="35"/>
      <c r="G74" s="35"/>
      <c r="H74" s="35"/>
      <c r="I74" s="35"/>
      <c r="J74" s="35"/>
      <c r="K74" s="35"/>
      <c r="L74" s="35"/>
      <c r="M74" s="35"/>
      <c r="N74" s="35"/>
      <c r="O74" s="35"/>
      <c r="P74" s="35"/>
      <c r="R74" s="35"/>
      <c r="S74" s="35"/>
      <c r="T74" s="35"/>
      <c r="U74" s="35"/>
      <c r="V74" s="35"/>
      <c r="W74" s="35"/>
      <c r="X74" s="35"/>
      <c r="Y74" s="35"/>
      <c r="Z74" s="35"/>
      <c r="AA74" s="35"/>
    </row>
    <row r="75" spans="2:27" ht="11.65" customHeight="1" x14ac:dyDescent="0.2">
      <c r="B75" s="167" t="s">
        <v>434</v>
      </c>
      <c r="D75" s="35" t="s">
        <v>979</v>
      </c>
      <c r="E75" s="35"/>
      <c r="F75" s="35"/>
      <c r="G75" s="35"/>
      <c r="H75" s="35"/>
      <c r="I75" s="35"/>
      <c r="J75" s="35"/>
      <c r="K75" s="35"/>
      <c r="L75" s="35"/>
      <c r="M75" s="35"/>
      <c r="N75" s="35"/>
      <c r="O75" s="35"/>
      <c r="P75" s="35"/>
      <c r="R75" s="35"/>
      <c r="S75" s="35"/>
      <c r="T75" s="35"/>
      <c r="U75" s="35"/>
      <c r="V75" s="35"/>
      <c r="W75" s="35"/>
      <c r="X75" s="35"/>
      <c r="Y75" s="35"/>
      <c r="Z75" s="35"/>
      <c r="AA75" s="35"/>
    </row>
    <row r="76" spans="2:27" x14ac:dyDescent="0.2">
      <c r="B76" s="167" t="s">
        <v>681</v>
      </c>
      <c r="C76" s="35"/>
      <c r="D76" s="35" t="s">
        <v>962</v>
      </c>
    </row>
    <row r="77" spans="2:27" x14ac:dyDescent="0.2">
      <c r="B77" s="167" t="s">
        <v>682</v>
      </c>
      <c r="C77" s="35"/>
      <c r="D77" s="28" t="s">
        <v>683</v>
      </c>
    </row>
  </sheetData>
  <mergeCells count="6">
    <mergeCell ref="B2:AA2"/>
    <mergeCell ref="F3:F4"/>
    <mergeCell ref="H3:P3"/>
    <mergeCell ref="Q3:U3"/>
    <mergeCell ref="V3:AA3"/>
    <mergeCell ref="B3:B4"/>
  </mergeCells>
  <pageMargins left="0.7" right="0.7" top="0.75" bottom="0.75" header="0.3" footer="0.3"/>
  <pageSetup scale="51" fitToHeight="0" orientation="landscape" blackAndWhite="1" r:id="rId1"/>
  <headerFooter>
    <oddHeader>&amp;R&amp;"Arial,Regular"&amp;10Filed: 2022-11-30
EB-2022-0200
Exhibit 8
Tab 2
Schedule 8
Attachment 3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353FC-E03A-47C3-A7F3-A57DA7C16BA8}">
  <sheetPr>
    <pageSetUpPr fitToPage="1"/>
  </sheetPr>
  <dimension ref="A2:R634"/>
  <sheetViews>
    <sheetView view="pageLayout" zoomScale="80" zoomScaleNormal="80" zoomScaleSheetLayoutView="80" zoomScalePageLayoutView="80" workbookViewId="0"/>
  </sheetViews>
  <sheetFormatPr defaultRowHeight="12.75" x14ac:dyDescent="0.2"/>
  <cols>
    <col min="1" max="1" width="4.7109375" style="8" customWidth="1"/>
    <col min="2" max="2" width="1.7109375" style="1" customWidth="1"/>
    <col min="3" max="3" width="8.85546875" style="1" customWidth="1"/>
    <col min="4" max="4" width="1.7109375" style="1" customWidth="1"/>
    <col min="5" max="5" width="55.28515625" style="1" customWidth="1"/>
    <col min="6" max="6" width="1.7109375" style="1" customWidth="1"/>
    <col min="7" max="7" width="9.85546875" style="1" bestFit="1" customWidth="1"/>
    <col min="8" max="8" width="1.7109375" style="1" customWidth="1"/>
    <col min="9" max="9" width="12.5703125" style="1" customWidth="1"/>
    <col min="10" max="10" width="3" style="1" customWidth="1"/>
    <col min="11" max="11" width="13" style="1" bestFit="1" customWidth="1"/>
    <col min="12" max="12" width="1.7109375" style="1" customWidth="1"/>
    <col min="13" max="13" width="12.5703125" style="1" customWidth="1"/>
    <col min="14" max="14" width="3" style="1" customWidth="1"/>
    <col min="15" max="15" width="12.28515625" style="8" customWidth="1"/>
    <col min="16" max="16" width="1.7109375" style="8" customWidth="1"/>
    <col min="17" max="17" width="11.140625" style="8" customWidth="1"/>
    <col min="18" max="214" width="9.140625" style="1"/>
    <col min="215" max="215" width="4.5703125" style="1" customWidth="1"/>
    <col min="216" max="216" width="1" style="1" customWidth="1"/>
    <col min="217" max="217" width="18" style="1" customWidth="1"/>
    <col min="218" max="218" width="1.85546875" style="1" customWidth="1"/>
    <col min="219" max="219" width="12.5703125" style="1" customWidth="1"/>
    <col min="220" max="220" width="1.5703125" style="1" customWidth="1"/>
    <col min="221" max="221" width="9.5703125" style="1" customWidth="1"/>
    <col min="222" max="222" width="1.85546875" style="1" customWidth="1"/>
    <col min="223" max="223" width="11.85546875" style="1" customWidth="1"/>
    <col min="224" max="224" width="1.5703125" style="1" customWidth="1"/>
    <col min="225" max="225" width="10.140625" style="1" customWidth="1"/>
    <col min="226" max="226" width="2" style="1" customWidth="1"/>
    <col min="227" max="227" width="9.5703125" style="1" customWidth="1"/>
    <col min="228" max="470" width="9.140625" style="1"/>
    <col min="471" max="471" width="4.5703125" style="1" customWidth="1"/>
    <col min="472" max="472" width="1" style="1" customWidth="1"/>
    <col min="473" max="473" width="18" style="1" customWidth="1"/>
    <col min="474" max="474" width="1.85546875" style="1" customWidth="1"/>
    <col min="475" max="475" width="12.5703125" style="1" customWidth="1"/>
    <col min="476" max="476" width="1.5703125" style="1" customWidth="1"/>
    <col min="477" max="477" width="9.5703125" style="1" customWidth="1"/>
    <col min="478" max="478" width="1.85546875" style="1" customWidth="1"/>
    <col min="479" max="479" width="11.85546875" style="1" customWidth="1"/>
    <col min="480" max="480" width="1.5703125" style="1" customWidth="1"/>
    <col min="481" max="481" width="10.140625" style="1" customWidth="1"/>
    <col min="482" max="482" width="2" style="1" customWidth="1"/>
    <col min="483" max="483" width="9.5703125" style="1" customWidth="1"/>
    <col min="484" max="726" width="9.140625" style="1"/>
    <col min="727" max="727" width="4.5703125" style="1" customWidth="1"/>
    <col min="728" max="728" width="1" style="1" customWidth="1"/>
    <col min="729" max="729" width="18" style="1" customWidth="1"/>
    <col min="730" max="730" width="1.85546875" style="1" customWidth="1"/>
    <col min="731" max="731" width="12.5703125" style="1" customWidth="1"/>
    <col min="732" max="732" width="1.5703125" style="1" customWidth="1"/>
    <col min="733" max="733" width="9.5703125" style="1" customWidth="1"/>
    <col min="734" max="734" width="1.85546875" style="1" customWidth="1"/>
    <col min="735" max="735" width="11.85546875" style="1" customWidth="1"/>
    <col min="736" max="736" width="1.5703125" style="1" customWidth="1"/>
    <col min="737" max="737" width="10.140625" style="1" customWidth="1"/>
    <col min="738" max="738" width="2" style="1" customWidth="1"/>
    <col min="739" max="739" width="9.5703125" style="1" customWidth="1"/>
    <col min="740" max="982" width="9.140625" style="1"/>
    <col min="983" max="983" width="4.5703125" style="1" customWidth="1"/>
    <col min="984" max="984" width="1" style="1" customWidth="1"/>
    <col min="985" max="985" width="18" style="1" customWidth="1"/>
    <col min="986" max="986" width="1.85546875" style="1" customWidth="1"/>
    <col min="987" max="987" width="12.5703125" style="1" customWidth="1"/>
    <col min="988" max="988" width="1.5703125" style="1" customWidth="1"/>
    <col min="989" max="989" width="9.5703125" style="1" customWidth="1"/>
    <col min="990" max="990" width="1.85546875" style="1" customWidth="1"/>
    <col min="991" max="991" width="11.85546875" style="1" customWidth="1"/>
    <col min="992" max="992" width="1.5703125" style="1" customWidth="1"/>
    <col min="993" max="993" width="10.140625" style="1" customWidth="1"/>
    <col min="994" max="994" width="2" style="1" customWidth="1"/>
    <col min="995" max="995" width="9.5703125" style="1" customWidth="1"/>
    <col min="996" max="1238" width="9.140625" style="1"/>
    <col min="1239" max="1239" width="4.5703125" style="1" customWidth="1"/>
    <col min="1240" max="1240" width="1" style="1" customWidth="1"/>
    <col min="1241" max="1241" width="18" style="1" customWidth="1"/>
    <col min="1242" max="1242" width="1.85546875" style="1" customWidth="1"/>
    <col min="1243" max="1243" width="12.5703125" style="1" customWidth="1"/>
    <col min="1244" max="1244" width="1.5703125" style="1" customWidth="1"/>
    <col min="1245" max="1245" width="9.5703125" style="1" customWidth="1"/>
    <col min="1246" max="1246" width="1.85546875" style="1" customWidth="1"/>
    <col min="1247" max="1247" width="11.85546875" style="1" customWidth="1"/>
    <col min="1248" max="1248" width="1.5703125" style="1" customWidth="1"/>
    <col min="1249" max="1249" width="10.140625" style="1" customWidth="1"/>
    <col min="1250" max="1250" width="2" style="1" customWidth="1"/>
    <col min="1251" max="1251" width="9.5703125" style="1" customWidth="1"/>
    <col min="1252" max="1494" width="9.140625" style="1"/>
    <col min="1495" max="1495" width="4.5703125" style="1" customWidth="1"/>
    <col min="1496" max="1496" width="1" style="1" customWidth="1"/>
    <col min="1497" max="1497" width="18" style="1" customWidth="1"/>
    <col min="1498" max="1498" width="1.85546875" style="1" customWidth="1"/>
    <col min="1499" max="1499" width="12.5703125" style="1" customWidth="1"/>
    <col min="1500" max="1500" width="1.5703125" style="1" customWidth="1"/>
    <col min="1501" max="1501" width="9.5703125" style="1" customWidth="1"/>
    <col min="1502" max="1502" width="1.85546875" style="1" customWidth="1"/>
    <col min="1503" max="1503" width="11.85546875" style="1" customWidth="1"/>
    <col min="1504" max="1504" width="1.5703125" style="1" customWidth="1"/>
    <col min="1505" max="1505" width="10.140625" style="1" customWidth="1"/>
    <col min="1506" max="1506" width="2" style="1" customWidth="1"/>
    <col min="1507" max="1507" width="9.5703125" style="1" customWidth="1"/>
    <col min="1508" max="1750" width="9.140625" style="1"/>
    <col min="1751" max="1751" width="4.5703125" style="1" customWidth="1"/>
    <col min="1752" max="1752" width="1" style="1" customWidth="1"/>
    <col min="1753" max="1753" width="18" style="1" customWidth="1"/>
    <col min="1754" max="1754" width="1.85546875" style="1" customWidth="1"/>
    <col min="1755" max="1755" width="12.5703125" style="1" customWidth="1"/>
    <col min="1756" max="1756" width="1.5703125" style="1" customWidth="1"/>
    <col min="1757" max="1757" width="9.5703125" style="1" customWidth="1"/>
    <col min="1758" max="1758" width="1.85546875" style="1" customWidth="1"/>
    <col min="1759" max="1759" width="11.85546875" style="1" customWidth="1"/>
    <col min="1760" max="1760" width="1.5703125" style="1" customWidth="1"/>
    <col min="1761" max="1761" width="10.140625" style="1" customWidth="1"/>
    <col min="1762" max="1762" width="2" style="1" customWidth="1"/>
    <col min="1763" max="1763" width="9.5703125" style="1" customWidth="1"/>
    <col min="1764" max="2006" width="9.140625" style="1"/>
    <col min="2007" max="2007" width="4.5703125" style="1" customWidth="1"/>
    <col min="2008" max="2008" width="1" style="1" customWidth="1"/>
    <col min="2009" max="2009" width="18" style="1" customWidth="1"/>
    <col min="2010" max="2010" width="1.85546875" style="1" customWidth="1"/>
    <col min="2011" max="2011" width="12.5703125" style="1" customWidth="1"/>
    <col min="2012" max="2012" width="1.5703125" style="1" customWidth="1"/>
    <col min="2013" max="2013" width="9.5703125" style="1" customWidth="1"/>
    <col min="2014" max="2014" width="1.85546875" style="1" customWidth="1"/>
    <col min="2015" max="2015" width="11.85546875" style="1" customWidth="1"/>
    <col min="2016" max="2016" width="1.5703125" style="1" customWidth="1"/>
    <col min="2017" max="2017" width="10.140625" style="1" customWidth="1"/>
    <col min="2018" max="2018" width="2" style="1" customWidth="1"/>
    <col min="2019" max="2019" width="9.5703125" style="1" customWidth="1"/>
    <col min="2020" max="2262" width="9.140625" style="1"/>
    <col min="2263" max="2263" width="4.5703125" style="1" customWidth="1"/>
    <col min="2264" max="2264" width="1" style="1" customWidth="1"/>
    <col min="2265" max="2265" width="18" style="1" customWidth="1"/>
    <col min="2266" max="2266" width="1.85546875" style="1" customWidth="1"/>
    <col min="2267" max="2267" width="12.5703125" style="1" customWidth="1"/>
    <col min="2268" max="2268" width="1.5703125" style="1" customWidth="1"/>
    <col min="2269" max="2269" width="9.5703125" style="1" customWidth="1"/>
    <col min="2270" max="2270" width="1.85546875" style="1" customWidth="1"/>
    <col min="2271" max="2271" width="11.85546875" style="1" customWidth="1"/>
    <col min="2272" max="2272" width="1.5703125" style="1" customWidth="1"/>
    <col min="2273" max="2273" width="10.140625" style="1" customWidth="1"/>
    <col min="2274" max="2274" width="2" style="1" customWidth="1"/>
    <col min="2275" max="2275" width="9.5703125" style="1" customWidth="1"/>
    <col min="2276" max="2518" width="9.140625" style="1"/>
    <col min="2519" max="2519" width="4.5703125" style="1" customWidth="1"/>
    <col min="2520" max="2520" width="1" style="1" customWidth="1"/>
    <col min="2521" max="2521" width="18" style="1" customWidth="1"/>
    <col min="2522" max="2522" width="1.85546875" style="1" customWidth="1"/>
    <col min="2523" max="2523" width="12.5703125" style="1" customWidth="1"/>
    <col min="2524" max="2524" width="1.5703125" style="1" customWidth="1"/>
    <col min="2525" max="2525" width="9.5703125" style="1" customWidth="1"/>
    <col min="2526" max="2526" width="1.85546875" style="1" customWidth="1"/>
    <col min="2527" max="2527" width="11.85546875" style="1" customWidth="1"/>
    <col min="2528" max="2528" width="1.5703125" style="1" customWidth="1"/>
    <col min="2529" max="2529" width="10.140625" style="1" customWidth="1"/>
    <col min="2530" max="2530" width="2" style="1" customWidth="1"/>
    <col min="2531" max="2531" width="9.5703125" style="1" customWidth="1"/>
    <col min="2532" max="2774" width="9.140625" style="1"/>
    <col min="2775" max="2775" width="4.5703125" style="1" customWidth="1"/>
    <col min="2776" max="2776" width="1" style="1" customWidth="1"/>
    <col min="2777" max="2777" width="18" style="1" customWidth="1"/>
    <col min="2778" max="2778" width="1.85546875" style="1" customWidth="1"/>
    <col min="2779" max="2779" width="12.5703125" style="1" customWidth="1"/>
    <col min="2780" max="2780" width="1.5703125" style="1" customWidth="1"/>
    <col min="2781" max="2781" width="9.5703125" style="1" customWidth="1"/>
    <col min="2782" max="2782" width="1.85546875" style="1" customWidth="1"/>
    <col min="2783" max="2783" width="11.85546875" style="1" customWidth="1"/>
    <col min="2784" max="2784" width="1.5703125" style="1" customWidth="1"/>
    <col min="2785" max="2785" width="10.140625" style="1" customWidth="1"/>
    <col min="2786" max="2786" width="2" style="1" customWidth="1"/>
    <col min="2787" max="2787" width="9.5703125" style="1" customWidth="1"/>
    <col min="2788" max="3030" width="9.140625" style="1"/>
    <col min="3031" max="3031" width="4.5703125" style="1" customWidth="1"/>
    <col min="3032" max="3032" width="1" style="1" customWidth="1"/>
    <col min="3033" max="3033" width="18" style="1" customWidth="1"/>
    <col min="3034" max="3034" width="1.85546875" style="1" customWidth="1"/>
    <col min="3035" max="3035" width="12.5703125" style="1" customWidth="1"/>
    <col min="3036" max="3036" width="1.5703125" style="1" customWidth="1"/>
    <col min="3037" max="3037" width="9.5703125" style="1" customWidth="1"/>
    <col min="3038" max="3038" width="1.85546875" style="1" customWidth="1"/>
    <col min="3039" max="3039" width="11.85546875" style="1" customWidth="1"/>
    <col min="3040" max="3040" width="1.5703125" style="1" customWidth="1"/>
    <col min="3041" max="3041" width="10.140625" style="1" customWidth="1"/>
    <col min="3042" max="3042" width="2" style="1" customWidth="1"/>
    <col min="3043" max="3043" width="9.5703125" style="1" customWidth="1"/>
    <col min="3044" max="3286" width="9.140625" style="1"/>
    <col min="3287" max="3287" width="4.5703125" style="1" customWidth="1"/>
    <col min="3288" max="3288" width="1" style="1" customWidth="1"/>
    <col min="3289" max="3289" width="18" style="1" customWidth="1"/>
    <col min="3290" max="3290" width="1.85546875" style="1" customWidth="1"/>
    <col min="3291" max="3291" width="12.5703125" style="1" customWidth="1"/>
    <col min="3292" max="3292" width="1.5703125" style="1" customWidth="1"/>
    <col min="3293" max="3293" width="9.5703125" style="1" customWidth="1"/>
    <col min="3294" max="3294" width="1.85546875" style="1" customWidth="1"/>
    <col min="3295" max="3295" width="11.85546875" style="1" customWidth="1"/>
    <col min="3296" max="3296" width="1.5703125" style="1" customWidth="1"/>
    <col min="3297" max="3297" width="10.140625" style="1" customWidth="1"/>
    <col min="3298" max="3298" width="2" style="1" customWidth="1"/>
    <col min="3299" max="3299" width="9.5703125" style="1" customWidth="1"/>
    <col min="3300" max="3542" width="9.140625" style="1"/>
    <col min="3543" max="3543" width="4.5703125" style="1" customWidth="1"/>
    <col min="3544" max="3544" width="1" style="1" customWidth="1"/>
    <col min="3545" max="3545" width="18" style="1" customWidth="1"/>
    <col min="3546" max="3546" width="1.85546875" style="1" customWidth="1"/>
    <col min="3547" max="3547" width="12.5703125" style="1" customWidth="1"/>
    <col min="3548" max="3548" width="1.5703125" style="1" customWidth="1"/>
    <col min="3549" max="3549" width="9.5703125" style="1" customWidth="1"/>
    <col min="3550" max="3550" width="1.85546875" style="1" customWidth="1"/>
    <col min="3551" max="3551" width="11.85546875" style="1" customWidth="1"/>
    <col min="3552" max="3552" width="1.5703125" style="1" customWidth="1"/>
    <col min="3553" max="3553" width="10.140625" style="1" customWidth="1"/>
    <col min="3554" max="3554" width="2" style="1" customWidth="1"/>
    <col min="3555" max="3555" width="9.5703125" style="1" customWidth="1"/>
    <col min="3556" max="3798" width="9.140625" style="1"/>
    <col min="3799" max="3799" width="4.5703125" style="1" customWidth="1"/>
    <col min="3800" max="3800" width="1" style="1" customWidth="1"/>
    <col min="3801" max="3801" width="18" style="1" customWidth="1"/>
    <col min="3802" max="3802" width="1.85546875" style="1" customWidth="1"/>
    <col min="3803" max="3803" width="12.5703125" style="1" customWidth="1"/>
    <col min="3804" max="3804" width="1.5703125" style="1" customWidth="1"/>
    <col min="3805" max="3805" width="9.5703125" style="1" customWidth="1"/>
    <col min="3806" max="3806" width="1.85546875" style="1" customWidth="1"/>
    <col min="3807" max="3807" width="11.85546875" style="1" customWidth="1"/>
    <col min="3808" max="3808" width="1.5703125" style="1" customWidth="1"/>
    <col min="3809" max="3809" width="10.140625" style="1" customWidth="1"/>
    <col min="3810" max="3810" width="2" style="1" customWidth="1"/>
    <col min="3811" max="3811" width="9.5703125" style="1" customWidth="1"/>
    <col min="3812" max="4054" width="9.140625" style="1"/>
    <col min="4055" max="4055" width="4.5703125" style="1" customWidth="1"/>
    <col min="4056" max="4056" width="1" style="1" customWidth="1"/>
    <col min="4057" max="4057" width="18" style="1" customWidth="1"/>
    <col min="4058" max="4058" width="1.85546875" style="1" customWidth="1"/>
    <col min="4059" max="4059" width="12.5703125" style="1" customWidth="1"/>
    <col min="4060" max="4060" width="1.5703125" style="1" customWidth="1"/>
    <col min="4061" max="4061" width="9.5703125" style="1" customWidth="1"/>
    <col min="4062" max="4062" width="1.85546875" style="1" customWidth="1"/>
    <col min="4063" max="4063" width="11.85546875" style="1" customWidth="1"/>
    <col min="4064" max="4064" width="1.5703125" style="1" customWidth="1"/>
    <col min="4065" max="4065" width="10.140625" style="1" customWidth="1"/>
    <col min="4066" max="4066" width="2" style="1" customWidth="1"/>
    <col min="4067" max="4067" width="9.5703125" style="1" customWidth="1"/>
    <col min="4068" max="4310" width="9.140625" style="1"/>
    <col min="4311" max="4311" width="4.5703125" style="1" customWidth="1"/>
    <col min="4312" max="4312" width="1" style="1" customWidth="1"/>
    <col min="4313" max="4313" width="18" style="1" customWidth="1"/>
    <col min="4314" max="4314" width="1.85546875" style="1" customWidth="1"/>
    <col min="4315" max="4315" width="12.5703125" style="1" customWidth="1"/>
    <col min="4316" max="4316" width="1.5703125" style="1" customWidth="1"/>
    <col min="4317" max="4317" width="9.5703125" style="1" customWidth="1"/>
    <col min="4318" max="4318" width="1.85546875" style="1" customWidth="1"/>
    <col min="4319" max="4319" width="11.85546875" style="1" customWidth="1"/>
    <col min="4320" max="4320" width="1.5703125" style="1" customWidth="1"/>
    <col min="4321" max="4321" width="10.140625" style="1" customWidth="1"/>
    <col min="4322" max="4322" width="2" style="1" customWidth="1"/>
    <col min="4323" max="4323" width="9.5703125" style="1" customWidth="1"/>
    <col min="4324" max="4566" width="9.140625" style="1"/>
    <col min="4567" max="4567" width="4.5703125" style="1" customWidth="1"/>
    <col min="4568" max="4568" width="1" style="1" customWidth="1"/>
    <col min="4569" max="4569" width="18" style="1" customWidth="1"/>
    <col min="4570" max="4570" width="1.85546875" style="1" customWidth="1"/>
    <col min="4571" max="4571" width="12.5703125" style="1" customWidth="1"/>
    <col min="4572" max="4572" width="1.5703125" style="1" customWidth="1"/>
    <col min="4573" max="4573" width="9.5703125" style="1" customWidth="1"/>
    <col min="4574" max="4574" width="1.85546875" style="1" customWidth="1"/>
    <col min="4575" max="4575" width="11.85546875" style="1" customWidth="1"/>
    <col min="4576" max="4576" width="1.5703125" style="1" customWidth="1"/>
    <col min="4577" max="4577" width="10.140625" style="1" customWidth="1"/>
    <col min="4578" max="4578" width="2" style="1" customWidth="1"/>
    <col min="4579" max="4579" width="9.5703125" style="1" customWidth="1"/>
    <col min="4580" max="4822" width="9.140625" style="1"/>
    <col min="4823" max="4823" width="4.5703125" style="1" customWidth="1"/>
    <col min="4824" max="4824" width="1" style="1" customWidth="1"/>
    <col min="4825" max="4825" width="18" style="1" customWidth="1"/>
    <col min="4826" max="4826" width="1.85546875" style="1" customWidth="1"/>
    <col min="4827" max="4827" width="12.5703125" style="1" customWidth="1"/>
    <col min="4828" max="4828" width="1.5703125" style="1" customWidth="1"/>
    <col min="4829" max="4829" width="9.5703125" style="1" customWidth="1"/>
    <col min="4830" max="4830" width="1.85546875" style="1" customWidth="1"/>
    <col min="4831" max="4831" width="11.85546875" style="1" customWidth="1"/>
    <col min="4832" max="4832" width="1.5703125" style="1" customWidth="1"/>
    <col min="4833" max="4833" width="10.140625" style="1" customWidth="1"/>
    <col min="4834" max="4834" width="2" style="1" customWidth="1"/>
    <col min="4835" max="4835" width="9.5703125" style="1" customWidth="1"/>
    <col min="4836" max="5078" width="9.140625" style="1"/>
    <col min="5079" max="5079" width="4.5703125" style="1" customWidth="1"/>
    <col min="5080" max="5080" width="1" style="1" customWidth="1"/>
    <col min="5081" max="5081" width="18" style="1" customWidth="1"/>
    <col min="5082" max="5082" width="1.85546875" style="1" customWidth="1"/>
    <col min="5083" max="5083" width="12.5703125" style="1" customWidth="1"/>
    <col min="5084" max="5084" width="1.5703125" style="1" customWidth="1"/>
    <col min="5085" max="5085" width="9.5703125" style="1" customWidth="1"/>
    <col min="5086" max="5086" width="1.85546875" style="1" customWidth="1"/>
    <col min="5087" max="5087" width="11.85546875" style="1" customWidth="1"/>
    <col min="5088" max="5088" width="1.5703125" style="1" customWidth="1"/>
    <col min="5089" max="5089" width="10.140625" style="1" customWidth="1"/>
    <col min="5090" max="5090" width="2" style="1" customWidth="1"/>
    <col min="5091" max="5091" width="9.5703125" style="1" customWidth="1"/>
    <col min="5092" max="5334" width="9.140625" style="1"/>
    <col min="5335" max="5335" width="4.5703125" style="1" customWidth="1"/>
    <col min="5336" max="5336" width="1" style="1" customWidth="1"/>
    <col min="5337" max="5337" width="18" style="1" customWidth="1"/>
    <col min="5338" max="5338" width="1.85546875" style="1" customWidth="1"/>
    <col min="5339" max="5339" width="12.5703125" style="1" customWidth="1"/>
    <col min="5340" max="5340" width="1.5703125" style="1" customWidth="1"/>
    <col min="5341" max="5341" width="9.5703125" style="1" customWidth="1"/>
    <col min="5342" max="5342" width="1.85546875" style="1" customWidth="1"/>
    <col min="5343" max="5343" width="11.85546875" style="1" customWidth="1"/>
    <col min="5344" max="5344" width="1.5703125" style="1" customWidth="1"/>
    <col min="5345" max="5345" width="10.140625" style="1" customWidth="1"/>
    <col min="5346" max="5346" width="2" style="1" customWidth="1"/>
    <col min="5347" max="5347" width="9.5703125" style="1" customWidth="1"/>
    <col min="5348" max="5590" width="9.140625" style="1"/>
    <col min="5591" max="5591" width="4.5703125" style="1" customWidth="1"/>
    <col min="5592" max="5592" width="1" style="1" customWidth="1"/>
    <col min="5593" max="5593" width="18" style="1" customWidth="1"/>
    <col min="5594" max="5594" width="1.85546875" style="1" customWidth="1"/>
    <col min="5595" max="5595" width="12.5703125" style="1" customWidth="1"/>
    <col min="5596" max="5596" width="1.5703125" style="1" customWidth="1"/>
    <col min="5597" max="5597" width="9.5703125" style="1" customWidth="1"/>
    <col min="5598" max="5598" width="1.85546875" style="1" customWidth="1"/>
    <col min="5599" max="5599" width="11.85546875" style="1" customWidth="1"/>
    <col min="5600" max="5600" width="1.5703125" style="1" customWidth="1"/>
    <col min="5601" max="5601" width="10.140625" style="1" customWidth="1"/>
    <col min="5602" max="5602" width="2" style="1" customWidth="1"/>
    <col min="5603" max="5603" width="9.5703125" style="1" customWidth="1"/>
    <col min="5604" max="5846" width="9.140625" style="1"/>
    <col min="5847" max="5847" width="4.5703125" style="1" customWidth="1"/>
    <col min="5848" max="5848" width="1" style="1" customWidth="1"/>
    <col min="5849" max="5849" width="18" style="1" customWidth="1"/>
    <col min="5850" max="5850" width="1.85546875" style="1" customWidth="1"/>
    <col min="5851" max="5851" width="12.5703125" style="1" customWidth="1"/>
    <col min="5852" max="5852" width="1.5703125" style="1" customWidth="1"/>
    <col min="5853" max="5853" width="9.5703125" style="1" customWidth="1"/>
    <col min="5854" max="5854" width="1.85546875" style="1" customWidth="1"/>
    <col min="5855" max="5855" width="11.85546875" style="1" customWidth="1"/>
    <col min="5856" max="5856" width="1.5703125" style="1" customWidth="1"/>
    <col min="5857" max="5857" width="10.140625" style="1" customWidth="1"/>
    <col min="5858" max="5858" width="2" style="1" customWidth="1"/>
    <col min="5859" max="5859" width="9.5703125" style="1" customWidth="1"/>
    <col min="5860" max="6102" width="9.140625" style="1"/>
    <col min="6103" max="6103" width="4.5703125" style="1" customWidth="1"/>
    <col min="6104" max="6104" width="1" style="1" customWidth="1"/>
    <col min="6105" max="6105" width="18" style="1" customWidth="1"/>
    <col min="6106" max="6106" width="1.85546875" style="1" customWidth="1"/>
    <col min="6107" max="6107" width="12.5703125" style="1" customWidth="1"/>
    <col min="6108" max="6108" width="1.5703125" style="1" customWidth="1"/>
    <col min="6109" max="6109" width="9.5703125" style="1" customWidth="1"/>
    <col min="6110" max="6110" width="1.85546875" style="1" customWidth="1"/>
    <col min="6111" max="6111" width="11.85546875" style="1" customWidth="1"/>
    <col min="6112" max="6112" width="1.5703125" style="1" customWidth="1"/>
    <col min="6113" max="6113" width="10.140625" style="1" customWidth="1"/>
    <col min="6114" max="6114" width="2" style="1" customWidth="1"/>
    <col min="6115" max="6115" width="9.5703125" style="1" customWidth="1"/>
    <col min="6116" max="6358" width="9.140625" style="1"/>
    <col min="6359" max="6359" width="4.5703125" style="1" customWidth="1"/>
    <col min="6360" max="6360" width="1" style="1" customWidth="1"/>
    <col min="6361" max="6361" width="18" style="1" customWidth="1"/>
    <col min="6362" max="6362" width="1.85546875" style="1" customWidth="1"/>
    <col min="6363" max="6363" width="12.5703125" style="1" customWidth="1"/>
    <col min="6364" max="6364" width="1.5703125" style="1" customWidth="1"/>
    <col min="6365" max="6365" width="9.5703125" style="1" customWidth="1"/>
    <col min="6366" max="6366" width="1.85546875" style="1" customWidth="1"/>
    <col min="6367" max="6367" width="11.85546875" style="1" customWidth="1"/>
    <col min="6368" max="6368" width="1.5703125" style="1" customWidth="1"/>
    <col min="6369" max="6369" width="10.140625" style="1" customWidth="1"/>
    <col min="6370" max="6370" width="2" style="1" customWidth="1"/>
    <col min="6371" max="6371" width="9.5703125" style="1" customWidth="1"/>
    <col min="6372" max="6614" width="9.140625" style="1"/>
    <col min="6615" max="6615" width="4.5703125" style="1" customWidth="1"/>
    <col min="6616" max="6616" width="1" style="1" customWidth="1"/>
    <col min="6617" max="6617" width="18" style="1" customWidth="1"/>
    <col min="6618" max="6618" width="1.85546875" style="1" customWidth="1"/>
    <col min="6619" max="6619" width="12.5703125" style="1" customWidth="1"/>
    <col min="6620" max="6620" width="1.5703125" style="1" customWidth="1"/>
    <col min="6621" max="6621" width="9.5703125" style="1" customWidth="1"/>
    <col min="6622" max="6622" width="1.85546875" style="1" customWidth="1"/>
    <col min="6623" max="6623" width="11.85546875" style="1" customWidth="1"/>
    <col min="6624" max="6624" width="1.5703125" style="1" customWidth="1"/>
    <col min="6625" max="6625" width="10.140625" style="1" customWidth="1"/>
    <col min="6626" max="6626" width="2" style="1" customWidth="1"/>
    <col min="6627" max="6627" width="9.5703125" style="1" customWidth="1"/>
    <col min="6628" max="6870" width="9.140625" style="1"/>
    <col min="6871" max="6871" width="4.5703125" style="1" customWidth="1"/>
    <col min="6872" max="6872" width="1" style="1" customWidth="1"/>
    <col min="6873" max="6873" width="18" style="1" customWidth="1"/>
    <col min="6874" max="6874" width="1.85546875" style="1" customWidth="1"/>
    <col min="6875" max="6875" width="12.5703125" style="1" customWidth="1"/>
    <col min="6876" max="6876" width="1.5703125" style="1" customWidth="1"/>
    <col min="6877" max="6877" width="9.5703125" style="1" customWidth="1"/>
    <col min="6878" max="6878" width="1.85546875" style="1" customWidth="1"/>
    <col min="6879" max="6879" width="11.85546875" style="1" customWidth="1"/>
    <col min="6880" max="6880" width="1.5703125" style="1" customWidth="1"/>
    <col min="6881" max="6881" width="10.140625" style="1" customWidth="1"/>
    <col min="6882" max="6882" width="2" style="1" customWidth="1"/>
    <col min="6883" max="6883" width="9.5703125" style="1" customWidth="1"/>
    <col min="6884" max="7126" width="9.140625" style="1"/>
    <col min="7127" max="7127" width="4.5703125" style="1" customWidth="1"/>
    <col min="7128" max="7128" width="1" style="1" customWidth="1"/>
    <col min="7129" max="7129" width="18" style="1" customWidth="1"/>
    <col min="7130" max="7130" width="1.85546875" style="1" customWidth="1"/>
    <col min="7131" max="7131" width="12.5703125" style="1" customWidth="1"/>
    <col min="7132" max="7132" width="1.5703125" style="1" customWidth="1"/>
    <col min="7133" max="7133" width="9.5703125" style="1" customWidth="1"/>
    <col min="7134" max="7134" width="1.85546875" style="1" customWidth="1"/>
    <col min="7135" max="7135" width="11.85546875" style="1" customWidth="1"/>
    <col min="7136" max="7136" width="1.5703125" style="1" customWidth="1"/>
    <col min="7137" max="7137" width="10.140625" style="1" customWidth="1"/>
    <col min="7138" max="7138" width="2" style="1" customWidth="1"/>
    <col min="7139" max="7139" width="9.5703125" style="1" customWidth="1"/>
    <col min="7140" max="7382" width="9.140625" style="1"/>
    <col min="7383" max="7383" width="4.5703125" style="1" customWidth="1"/>
    <col min="7384" max="7384" width="1" style="1" customWidth="1"/>
    <col min="7385" max="7385" width="18" style="1" customWidth="1"/>
    <col min="7386" max="7386" width="1.85546875" style="1" customWidth="1"/>
    <col min="7387" max="7387" width="12.5703125" style="1" customWidth="1"/>
    <col min="7388" max="7388" width="1.5703125" style="1" customWidth="1"/>
    <col min="7389" max="7389" width="9.5703125" style="1" customWidth="1"/>
    <col min="7390" max="7390" width="1.85546875" style="1" customWidth="1"/>
    <col min="7391" max="7391" width="11.85546875" style="1" customWidth="1"/>
    <col min="7392" max="7392" width="1.5703125" style="1" customWidth="1"/>
    <col min="7393" max="7393" width="10.140625" style="1" customWidth="1"/>
    <col min="7394" max="7394" width="2" style="1" customWidth="1"/>
    <col min="7395" max="7395" width="9.5703125" style="1" customWidth="1"/>
    <col min="7396" max="7638" width="9.140625" style="1"/>
    <col min="7639" max="7639" width="4.5703125" style="1" customWidth="1"/>
    <col min="7640" max="7640" width="1" style="1" customWidth="1"/>
    <col min="7641" max="7641" width="18" style="1" customWidth="1"/>
    <col min="7642" max="7642" width="1.85546875" style="1" customWidth="1"/>
    <col min="7643" max="7643" width="12.5703125" style="1" customWidth="1"/>
    <col min="7644" max="7644" width="1.5703125" style="1" customWidth="1"/>
    <col min="7645" max="7645" width="9.5703125" style="1" customWidth="1"/>
    <col min="7646" max="7646" width="1.85546875" style="1" customWidth="1"/>
    <col min="7647" max="7647" width="11.85546875" style="1" customWidth="1"/>
    <col min="7648" max="7648" width="1.5703125" style="1" customWidth="1"/>
    <col min="7649" max="7649" width="10.140625" style="1" customWidth="1"/>
    <col min="7650" max="7650" width="2" style="1" customWidth="1"/>
    <col min="7651" max="7651" width="9.5703125" style="1" customWidth="1"/>
    <col min="7652" max="7894" width="9.140625" style="1"/>
    <col min="7895" max="7895" width="4.5703125" style="1" customWidth="1"/>
    <col min="7896" max="7896" width="1" style="1" customWidth="1"/>
    <col min="7897" max="7897" width="18" style="1" customWidth="1"/>
    <col min="7898" max="7898" width="1.85546875" style="1" customWidth="1"/>
    <col min="7899" max="7899" width="12.5703125" style="1" customWidth="1"/>
    <col min="7900" max="7900" width="1.5703125" style="1" customWidth="1"/>
    <col min="7901" max="7901" width="9.5703125" style="1" customWidth="1"/>
    <col min="7902" max="7902" width="1.85546875" style="1" customWidth="1"/>
    <col min="7903" max="7903" width="11.85546875" style="1" customWidth="1"/>
    <col min="7904" max="7904" width="1.5703125" style="1" customWidth="1"/>
    <col min="7905" max="7905" width="10.140625" style="1" customWidth="1"/>
    <col min="7906" max="7906" width="2" style="1" customWidth="1"/>
    <col min="7907" max="7907" width="9.5703125" style="1" customWidth="1"/>
    <col min="7908" max="8150" width="9.140625" style="1"/>
    <col min="8151" max="8151" width="4.5703125" style="1" customWidth="1"/>
    <col min="8152" max="8152" width="1" style="1" customWidth="1"/>
    <col min="8153" max="8153" width="18" style="1" customWidth="1"/>
    <col min="8154" max="8154" width="1.85546875" style="1" customWidth="1"/>
    <col min="8155" max="8155" width="12.5703125" style="1" customWidth="1"/>
    <col min="8156" max="8156" width="1.5703125" style="1" customWidth="1"/>
    <col min="8157" max="8157" width="9.5703125" style="1" customWidth="1"/>
    <col min="8158" max="8158" width="1.85546875" style="1" customWidth="1"/>
    <col min="8159" max="8159" width="11.85546875" style="1" customWidth="1"/>
    <col min="8160" max="8160" width="1.5703125" style="1" customWidth="1"/>
    <col min="8161" max="8161" width="10.140625" style="1" customWidth="1"/>
    <col min="8162" max="8162" width="2" style="1" customWidth="1"/>
    <col min="8163" max="8163" width="9.5703125" style="1" customWidth="1"/>
    <col min="8164" max="8406" width="9.140625" style="1"/>
    <col min="8407" max="8407" width="4.5703125" style="1" customWidth="1"/>
    <col min="8408" max="8408" width="1" style="1" customWidth="1"/>
    <col min="8409" max="8409" width="18" style="1" customWidth="1"/>
    <col min="8410" max="8410" width="1.85546875" style="1" customWidth="1"/>
    <col min="8411" max="8411" width="12.5703125" style="1" customWidth="1"/>
    <col min="8412" max="8412" width="1.5703125" style="1" customWidth="1"/>
    <col min="8413" max="8413" width="9.5703125" style="1" customWidth="1"/>
    <col min="8414" max="8414" width="1.85546875" style="1" customWidth="1"/>
    <col min="8415" max="8415" width="11.85546875" style="1" customWidth="1"/>
    <col min="8416" max="8416" width="1.5703125" style="1" customWidth="1"/>
    <col min="8417" max="8417" width="10.140625" style="1" customWidth="1"/>
    <col min="8418" max="8418" width="2" style="1" customWidth="1"/>
    <col min="8419" max="8419" width="9.5703125" style="1" customWidth="1"/>
    <col min="8420" max="8662" width="9.140625" style="1"/>
    <col min="8663" max="8663" width="4.5703125" style="1" customWidth="1"/>
    <col min="8664" max="8664" width="1" style="1" customWidth="1"/>
    <col min="8665" max="8665" width="18" style="1" customWidth="1"/>
    <col min="8666" max="8666" width="1.85546875" style="1" customWidth="1"/>
    <col min="8667" max="8667" width="12.5703125" style="1" customWidth="1"/>
    <col min="8668" max="8668" width="1.5703125" style="1" customWidth="1"/>
    <col min="8669" max="8669" width="9.5703125" style="1" customWidth="1"/>
    <col min="8670" max="8670" width="1.85546875" style="1" customWidth="1"/>
    <col min="8671" max="8671" width="11.85546875" style="1" customWidth="1"/>
    <col min="8672" max="8672" width="1.5703125" style="1" customWidth="1"/>
    <col min="8673" max="8673" width="10.140625" style="1" customWidth="1"/>
    <col min="8674" max="8674" width="2" style="1" customWidth="1"/>
    <col min="8675" max="8675" width="9.5703125" style="1" customWidth="1"/>
    <col min="8676" max="8918" width="9.140625" style="1"/>
    <col min="8919" max="8919" width="4.5703125" style="1" customWidth="1"/>
    <col min="8920" max="8920" width="1" style="1" customWidth="1"/>
    <col min="8921" max="8921" width="18" style="1" customWidth="1"/>
    <col min="8922" max="8922" width="1.85546875" style="1" customWidth="1"/>
    <col min="8923" max="8923" width="12.5703125" style="1" customWidth="1"/>
    <col min="8924" max="8924" width="1.5703125" style="1" customWidth="1"/>
    <col min="8925" max="8925" width="9.5703125" style="1" customWidth="1"/>
    <col min="8926" max="8926" width="1.85546875" style="1" customWidth="1"/>
    <col min="8927" max="8927" width="11.85546875" style="1" customWidth="1"/>
    <col min="8928" max="8928" width="1.5703125" style="1" customWidth="1"/>
    <col min="8929" max="8929" width="10.140625" style="1" customWidth="1"/>
    <col min="8930" max="8930" width="2" style="1" customWidth="1"/>
    <col min="8931" max="8931" width="9.5703125" style="1" customWidth="1"/>
    <col min="8932" max="9174" width="9.140625" style="1"/>
    <col min="9175" max="9175" width="4.5703125" style="1" customWidth="1"/>
    <col min="9176" max="9176" width="1" style="1" customWidth="1"/>
    <col min="9177" max="9177" width="18" style="1" customWidth="1"/>
    <col min="9178" max="9178" width="1.85546875" style="1" customWidth="1"/>
    <col min="9179" max="9179" width="12.5703125" style="1" customWidth="1"/>
    <col min="9180" max="9180" width="1.5703125" style="1" customWidth="1"/>
    <col min="9181" max="9181" width="9.5703125" style="1" customWidth="1"/>
    <col min="9182" max="9182" width="1.85546875" style="1" customWidth="1"/>
    <col min="9183" max="9183" width="11.85546875" style="1" customWidth="1"/>
    <col min="9184" max="9184" width="1.5703125" style="1" customWidth="1"/>
    <col min="9185" max="9185" width="10.140625" style="1" customWidth="1"/>
    <col min="9186" max="9186" width="2" style="1" customWidth="1"/>
    <col min="9187" max="9187" width="9.5703125" style="1" customWidth="1"/>
    <col min="9188" max="9430" width="9.140625" style="1"/>
    <col min="9431" max="9431" width="4.5703125" style="1" customWidth="1"/>
    <col min="9432" max="9432" width="1" style="1" customWidth="1"/>
    <col min="9433" max="9433" width="18" style="1" customWidth="1"/>
    <col min="9434" max="9434" width="1.85546875" style="1" customWidth="1"/>
    <col min="9435" max="9435" width="12.5703125" style="1" customWidth="1"/>
    <col min="9436" max="9436" width="1.5703125" style="1" customWidth="1"/>
    <col min="9437" max="9437" width="9.5703125" style="1" customWidth="1"/>
    <col min="9438" max="9438" width="1.85546875" style="1" customWidth="1"/>
    <col min="9439" max="9439" width="11.85546875" style="1" customWidth="1"/>
    <col min="9440" max="9440" width="1.5703125" style="1" customWidth="1"/>
    <col min="9441" max="9441" width="10.140625" style="1" customWidth="1"/>
    <col min="9442" max="9442" width="2" style="1" customWidth="1"/>
    <col min="9443" max="9443" width="9.5703125" style="1" customWidth="1"/>
    <col min="9444" max="9686" width="9.140625" style="1"/>
    <col min="9687" max="9687" width="4.5703125" style="1" customWidth="1"/>
    <col min="9688" max="9688" width="1" style="1" customWidth="1"/>
    <col min="9689" max="9689" width="18" style="1" customWidth="1"/>
    <col min="9690" max="9690" width="1.85546875" style="1" customWidth="1"/>
    <col min="9691" max="9691" width="12.5703125" style="1" customWidth="1"/>
    <col min="9692" max="9692" width="1.5703125" style="1" customWidth="1"/>
    <col min="9693" max="9693" width="9.5703125" style="1" customWidth="1"/>
    <col min="9694" max="9694" width="1.85546875" style="1" customWidth="1"/>
    <col min="9695" max="9695" width="11.85546875" style="1" customWidth="1"/>
    <col min="9696" max="9696" width="1.5703125" style="1" customWidth="1"/>
    <col min="9697" max="9697" width="10.140625" style="1" customWidth="1"/>
    <col min="9698" max="9698" width="2" style="1" customWidth="1"/>
    <col min="9699" max="9699" width="9.5703125" style="1" customWidth="1"/>
    <col min="9700" max="9942" width="9.140625" style="1"/>
    <col min="9943" max="9943" width="4.5703125" style="1" customWidth="1"/>
    <col min="9944" max="9944" width="1" style="1" customWidth="1"/>
    <col min="9945" max="9945" width="18" style="1" customWidth="1"/>
    <col min="9946" max="9946" width="1.85546875" style="1" customWidth="1"/>
    <col min="9947" max="9947" width="12.5703125" style="1" customWidth="1"/>
    <col min="9948" max="9948" width="1.5703125" style="1" customWidth="1"/>
    <col min="9949" max="9949" width="9.5703125" style="1" customWidth="1"/>
    <col min="9950" max="9950" width="1.85546875" style="1" customWidth="1"/>
    <col min="9951" max="9951" width="11.85546875" style="1" customWidth="1"/>
    <col min="9952" max="9952" width="1.5703125" style="1" customWidth="1"/>
    <col min="9953" max="9953" width="10.140625" style="1" customWidth="1"/>
    <col min="9954" max="9954" width="2" style="1" customWidth="1"/>
    <col min="9955" max="9955" width="9.5703125" style="1" customWidth="1"/>
    <col min="9956" max="10198" width="9.140625" style="1"/>
    <col min="10199" max="10199" width="4.5703125" style="1" customWidth="1"/>
    <col min="10200" max="10200" width="1" style="1" customWidth="1"/>
    <col min="10201" max="10201" width="18" style="1" customWidth="1"/>
    <col min="10202" max="10202" width="1.85546875" style="1" customWidth="1"/>
    <col min="10203" max="10203" width="12.5703125" style="1" customWidth="1"/>
    <col min="10204" max="10204" width="1.5703125" style="1" customWidth="1"/>
    <col min="10205" max="10205" width="9.5703125" style="1" customWidth="1"/>
    <col min="10206" max="10206" width="1.85546875" style="1" customWidth="1"/>
    <col min="10207" max="10207" width="11.85546875" style="1" customWidth="1"/>
    <col min="10208" max="10208" width="1.5703125" style="1" customWidth="1"/>
    <col min="10209" max="10209" width="10.140625" style="1" customWidth="1"/>
    <col min="10210" max="10210" width="2" style="1" customWidth="1"/>
    <col min="10211" max="10211" width="9.5703125" style="1" customWidth="1"/>
    <col min="10212" max="10454" width="9.140625" style="1"/>
    <col min="10455" max="10455" width="4.5703125" style="1" customWidth="1"/>
    <col min="10456" max="10456" width="1" style="1" customWidth="1"/>
    <col min="10457" max="10457" width="18" style="1" customWidth="1"/>
    <col min="10458" max="10458" width="1.85546875" style="1" customWidth="1"/>
    <col min="10459" max="10459" width="12.5703125" style="1" customWidth="1"/>
    <col min="10460" max="10460" width="1.5703125" style="1" customWidth="1"/>
    <col min="10461" max="10461" width="9.5703125" style="1" customWidth="1"/>
    <col min="10462" max="10462" width="1.85546875" style="1" customWidth="1"/>
    <col min="10463" max="10463" width="11.85546875" style="1" customWidth="1"/>
    <col min="10464" max="10464" width="1.5703125" style="1" customWidth="1"/>
    <col min="10465" max="10465" width="10.140625" style="1" customWidth="1"/>
    <col min="10466" max="10466" width="2" style="1" customWidth="1"/>
    <col min="10467" max="10467" width="9.5703125" style="1" customWidth="1"/>
    <col min="10468" max="10710" width="9.140625" style="1"/>
    <col min="10711" max="10711" width="4.5703125" style="1" customWidth="1"/>
    <col min="10712" max="10712" width="1" style="1" customWidth="1"/>
    <col min="10713" max="10713" width="18" style="1" customWidth="1"/>
    <col min="10714" max="10714" width="1.85546875" style="1" customWidth="1"/>
    <col min="10715" max="10715" width="12.5703125" style="1" customWidth="1"/>
    <col min="10716" max="10716" width="1.5703125" style="1" customWidth="1"/>
    <col min="10717" max="10717" width="9.5703125" style="1" customWidth="1"/>
    <col min="10718" max="10718" width="1.85546875" style="1" customWidth="1"/>
    <col min="10719" max="10719" width="11.85546875" style="1" customWidth="1"/>
    <col min="10720" max="10720" width="1.5703125" style="1" customWidth="1"/>
    <col min="10721" max="10721" width="10.140625" style="1" customWidth="1"/>
    <col min="10722" max="10722" width="2" style="1" customWidth="1"/>
    <col min="10723" max="10723" width="9.5703125" style="1" customWidth="1"/>
    <col min="10724" max="10966" width="9.140625" style="1"/>
    <col min="10967" max="10967" width="4.5703125" style="1" customWidth="1"/>
    <col min="10968" max="10968" width="1" style="1" customWidth="1"/>
    <col min="10969" max="10969" width="18" style="1" customWidth="1"/>
    <col min="10970" max="10970" width="1.85546875" style="1" customWidth="1"/>
    <col min="10971" max="10971" width="12.5703125" style="1" customWidth="1"/>
    <col min="10972" max="10972" width="1.5703125" style="1" customWidth="1"/>
    <col min="10973" max="10973" width="9.5703125" style="1" customWidth="1"/>
    <col min="10974" max="10974" width="1.85546875" style="1" customWidth="1"/>
    <col min="10975" max="10975" width="11.85546875" style="1" customWidth="1"/>
    <col min="10976" max="10976" width="1.5703125" style="1" customWidth="1"/>
    <col min="10977" max="10977" width="10.140625" style="1" customWidth="1"/>
    <col min="10978" max="10978" width="2" style="1" customWidth="1"/>
    <col min="10979" max="10979" width="9.5703125" style="1" customWidth="1"/>
    <col min="10980" max="11222" width="9.140625" style="1"/>
    <col min="11223" max="11223" width="4.5703125" style="1" customWidth="1"/>
    <col min="11224" max="11224" width="1" style="1" customWidth="1"/>
    <col min="11225" max="11225" width="18" style="1" customWidth="1"/>
    <col min="11226" max="11226" width="1.85546875" style="1" customWidth="1"/>
    <col min="11227" max="11227" width="12.5703125" style="1" customWidth="1"/>
    <col min="11228" max="11228" width="1.5703125" style="1" customWidth="1"/>
    <col min="11229" max="11229" width="9.5703125" style="1" customWidth="1"/>
    <col min="11230" max="11230" width="1.85546875" style="1" customWidth="1"/>
    <col min="11231" max="11231" width="11.85546875" style="1" customWidth="1"/>
    <col min="11232" max="11232" width="1.5703125" style="1" customWidth="1"/>
    <col min="11233" max="11233" width="10.140625" style="1" customWidth="1"/>
    <col min="11234" max="11234" width="2" style="1" customWidth="1"/>
    <col min="11235" max="11235" width="9.5703125" style="1" customWidth="1"/>
    <col min="11236" max="11478" width="9.140625" style="1"/>
    <col min="11479" max="11479" width="4.5703125" style="1" customWidth="1"/>
    <col min="11480" max="11480" width="1" style="1" customWidth="1"/>
    <col min="11481" max="11481" width="18" style="1" customWidth="1"/>
    <col min="11482" max="11482" width="1.85546875" style="1" customWidth="1"/>
    <col min="11483" max="11483" width="12.5703125" style="1" customWidth="1"/>
    <col min="11484" max="11484" width="1.5703125" style="1" customWidth="1"/>
    <col min="11485" max="11485" width="9.5703125" style="1" customWidth="1"/>
    <col min="11486" max="11486" width="1.85546875" style="1" customWidth="1"/>
    <col min="11487" max="11487" width="11.85546875" style="1" customWidth="1"/>
    <col min="11488" max="11488" width="1.5703125" style="1" customWidth="1"/>
    <col min="11489" max="11489" width="10.140625" style="1" customWidth="1"/>
    <col min="11490" max="11490" width="2" style="1" customWidth="1"/>
    <col min="11491" max="11491" width="9.5703125" style="1" customWidth="1"/>
    <col min="11492" max="11734" width="9.140625" style="1"/>
    <col min="11735" max="11735" width="4.5703125" style="1" customWidth="1"/>
    <col min="11736" max="11736" width="1" style="1" customWidth="1"/>
    <col min="11737" max="11737" width="18" style="1" customWidth="1"/>
    <col min="11738" max="11738" width="1.85546875" style="1" customWidth="1"/>
    <col min="11739" max="11739" width="12.5703125" style="1" customWidth="1"/>
    <col min="11740" max="11740" width="1.5703125" style="1" customWidth="1"/>
    <col min="11741" max="11741" width="9.5703125" style="1" customWidth="1"/>
    <col min="11742" max="11742" width="1.85546875" style="1" customWidth="1"/>
    <col min="11743" max="11743" width="11.85546875" style="1" customWidth="1"/>
    <col min="11744" max="11744" width="1.5703125" style="1" customWidth="1"/>
    <col min="11745" max="11745" width="10.140625" style="1" customWidth="1"/>
    <col min="11746" max="11746" width="2" style="1" customWidth="1"/>
    <col min="11747" max="11747" width="9.5703125" style="1" customWidth="1"/>
    <col min="11748" max="11990" width="9.140625" style="1"/>
    <col min="11991" max="11991" width="4.5703125" style="1" customWidth="1"/>
    <col min="11992" max="11992" width="1" style="1" customWidth="1"/>
    <col min="11993" max="11993" width="18" style="1" customWidth="1"/>
    <col min="11994" max="11994" width="1.85546875" style="1" customWidth="1"/>
    <col min="11995" max="11995" width="12.5703125" style="1" customWidth="1"/>
    <col min="11996" max="11996" width="1.5703125" style="1" customWidth="1"/>
    <col min="11997" max="11997" width="9.5703125" style="1" customWidth="1"/>
    <col min="11998" max="11998" width="1.85546875" style="1" customWidth="1"/>
    <col min="11999" max="11999" width="11.85546875" style="1" customWidth="1"/>
    <col min="12000" max="12000" width="1.5703125" style="1" customWidth="1"/>
    <col min="12001" max="12001" width="10.140625" style="1" customWidth="1"/>
    <col min="12002" max="12002" width="2" style="1" customWidth="1"/>
    <col min="12003" max="12003" width="9.5703125" style="1" customWidth="1"/>
    <col min="12004" max="12246" width="9.140625" style="1"/>
    <col min="12247" max="12247" width="4.5703125" style="1" customWidth="1"/>
    <col min="12248" max="12248" width="1" style="1" customWidth="1"/>
    <col min="12249" max="12249" width="18" style="1" customWidth="1"/>
    <col min="12250" max="12250" width="1.85546875" style="1" customWidth="1"/>
    <col min="12251" max="12251" width="12.5703125" style="1" customWidth="1"/>
    <col min="12252" max="12252" width="1.5703125" style="1" customWidth="1"/>
    <col min="12253" max="12253" width="9.5703125" style="1" customWidth="1"/>
    <col min="12254" max="12254" width="1.85546875" style="1" customWidth="1"/>
    <col min="12255" max="12255" width="11.85546875" style="1" customWidth="1"/>
    <col min="12256" max="12256" width="1.5703125" style="1" customWidth="1"/>
    <col min="12257" max="12257" width="10.140625" style="1" customWidth="1"/>
    <col min="12258" max="12258" width="2" style="1" customWidth="1"/>
    <col min="12259" max="12259" width="9.5703125" style="1" customWidth="1"/>
    <col min="12260" max="12502" width="9.140625" style="1"/>
    <col min="12503" max="12503" width="4.5703125" style="1" customWidth="1"/>
    <col min="12504" max="12504" width="1" style="1" customWidth="1"/>
    <col min="12505" max="12505" width="18" style="1" customWidth="1"/>
    <col min="12506" max="12506" width="1.85546875" style="1" customWidth="1"/>
    <col min="12507" max="12507" width="12.5703125" style="1" customWidth="1"/>
    <col min="12508" max="12508" width="1.5703125" style="1" customWidth="1"/>
    <col min="12509" max="12509" width="9.5703125" style="1" customWidth="1"/>
    <col min="12510" max="12510" width="1.85546875" style="1" customWidth="1"/>
    <col min="12511" max="12511" width="11.85546875" style="1" customWidth="1"/>
    <col min="12512" max="12512" width="1.5703125" style="1" customWidth="1"/>
    <col min="12513" max="12513" width="10.140625" style="1" customWidth="1"/>
    <col min="12514" max="12514" width="2" style="1" customWidth="1"/>
    <col min="12515" max="12515" width="9.5703125" style="1" customWidth="1"/>
    <col min="12516" max="12758" width="9.140625" style="1"/>
    <col min="12759" max="12759" width="4.5703125" style="1" customWidth="1"/>
    <col min="12760" max="12760" width="1" style="1" customWidth="1"/>
    <col min="12761" max="12761" width="18" style="1" customWidth="1"/>
    <col min="12762" max="12762" width="1.85546875" style="1" customWidth="1"/>
    <col min="12763" max="12763" width="12.5703125" style="1" customWidth="1"/>
    <col min="12764" max="12764" width="1.5703125" style="1" customWidth="1"/>
    <col min="12765" max="12765" width="9.5703125" style="1" customWidth="1"/>
    <col min="12766" max="12766" width="1.85546875" style="1" customWidth="1"/>
    <col min="12767" max="12767" width="11.85546875" style="1" customWidth="1"/>
    <col min="12768" max="12768" width="1.5703125" style="1" customWidth="1"/>
    <col min="12769" max="12769" width="10.140625" style="1" customWidth="1"/>
    <col min="12770" max="12770" width="2" style="1" customWidth="1"/>
    <col min="12771" max="12771" width="9.5703125" style="1" customWidth="1"/>
    <col min="12772" max="13014" width="9.140625" style="1"/>
    <col min="13015" max="13015" width="4.5703125" style="1" customWidth="1"/>
    <col min="13016" max="13016" width="1" style="1" customWidth="1"/>
    <col min="13017" max="13017" width="18" style="1" customWidth="1"/>
    <col min="13018" max="13018" width="1.85546875" style="1" customWidth="1"/>
    <col min="13019" max="13019" width="12.5703125" style="1" customWidth="1"/>
    <col min="13020" max="13020" width="1.5703125" style="1" customWidth="1"/>
    <col min="13021" max="13021" width="9.5703125" style="1" customWidth="1"/>
    <col min="13022" max="13022" width="1.85546875" style="1" customWidth="1"/>
    <col min="13023" max="13023" width="11.85546875" style="1" customWidth="1"/>
    <col min="13024" max="13024" width="1.5703125" style="1" customWidth="1"/>
    <col min="13025" max="13025" width="10.140625" style="1" customWidth="1"/>
    <col min="13026" max="13026" width="2" style="1" customWidth="1"/>
    <col min="13027" max="13027" width="9.5703125" style="1" customWidth="1"/>
    <col min="13028" max="13270" width="9.140625" style="1"/>
    <col min="13271" max="13271" width="4.5703125" style="1" customWidth="1"/>
    <col min="13272" max="13272" width="1" style="1" customWidth="1"/>
    <col min="13273" max="13273" width="18" style="1" customWidth="1"/>
    <col min="13274" max="13274" width="1.85546875" style="1" customWidth="1"/>
    <col min="13275" max="13275" width="12.5703125" style="1" customWidth="1"/>
    <col min="13276" max="13276" width="1.5703125" style="1" customWidth="1"/>
    <col min="13277" max="13277" width="9.5703125" style="1" customWidth="1"/>
    <col min="13278" max="13278" width="1.85546875" style="1" customWidth="1"/>
    <col min="13279" max="13279" width="11.85546875" style="1" customWidth="1"/>
    <col min="13280" max="13280" width="1.5703125" style="1" customWidth="1"/>
    <col min="13281" max="13281" width="10.140625" style="1" customWidth="1"/>
    <col min="13282" max="13282" width="2" style="1" customWidth="1"/>
    <col min="13283" max="13283" width="9.5703125" style="1" customWidth="1"/>
    <col min="13284" max="13526" width="9.140625" style="1"/>
    <col min="13527" max="13527" width="4.5703125" style="1" customWidth="1"/>
    <col min="13528" max="13528" width="1" style="1" customWidth="1"/>
    <col min="13529" max="13529" width="18" style="1" customWidth="1"/>
    <col min="13530" max="13530" width="1.85546875" style="1" customWidth="1"/>
    <col min="13531" max="13531" width="12.5703125" style="1" customWidth="1"/>
    <col min="13532" max="13532" width="1.5703125" style="1" customWidth="1"/>
    <col min="13533" max="13533" width="9.5703125" style="1" customWidth="1"/>
    <col min="13534" max="13534" width="1.85546875" style="1" customWidth="1"/>
    <col min="13535" max="13535" width="11.85546875" style="1" customWidth="1"/>
    <col min="13536" max="13536" width="1.5703125" style="1" customWidth="1"/>
    <col min="13537" max="13537" width="10.140625" style="1" customWidth="1"/>
    <col min="13538" max="13538" width="2" style="1" customWidth="1"/>
    <col min="13539" max="13539" width="9.5703125" style="1" customWidth="1"/>
    <col min="13540" max="13782" width="9.140625" style="1"/>
    <col min="13783" max="13783" width="4.5703125" style="1" customWidth="1"/>
    <col min="13784" max="13784" width="1" style="1" customWidth="1"/>
    <col min="13785" max="13785" width="18" style="1" customWidth="1"/>
    <col min="13786" max="13786" width="1.85546875" style="1" customWidth="1"/>
    <col min="13787" max="13787" width="12.5703125" style="1" customWidth="1"/>
    <col min="13788" max="13788" width="1.5703125" style="1" customWidth="1"/>
    <col min="13789" max="13789" width="9.5703125" style="1" customWidth="1"/>
    <col min="13790" max="13790" width="1.85546875" style="1" customWidth="1"/>
    <col min="13791" max="13791" width="11.85546875" style="1" customWidth="1"/>
    <col min="13792" max="13792" width="1.5703125" style="1" customWidth="1"/>
    <col min="13793" max="13793" width="10.140625" style="1" customWidth="1"/>
    <col min="13794" max="13794" width="2" style="1" customWidth="1"/>
    <col min="13795" max="13795" width="9.5703125" style="1" customWidth="1"/>
    <col min="13796" max="14038" width="9.140625" style="1"/>
    <col min="14039" max="14039" width="4.5703125" style="1" customWidth="1"/>
    <col min="14040" max="14040" width="1" style="1" customWidth="1"/>
    <col min="14041" max="14041" width="18" style="1" customWidth="1"/>
    <col min="14042" max="14042" width="1.85546875" style="1" customWidth="1"/>
    <col min="14043" max="14043" width="12.5703125" style="1" customWidth="1"/>
    <col min="14044" max="14044" width="1.5703125" style="1" customWidth="1"/>
    <col min="14045" max="14045" width="9.5703125" style="1" customWidth="1"/>
    <col min="14046" max="14046" width="1.85546875" style="1" customWidth="1"/>
    <col min="14047" max="14047" width="11.85546875" style="1" customWidth="1"/>
    <col min="14048" max="14048" width="1.5703125" style="1" customWidth="1"/>
    <col min="14049" max="14049" width="10.140625" style="1" customWidth="1"/>
    <col min="14050" max="14050" width="2" style="1" customWidth="1"/>
    <col min="14051" max="14051" width="9.5703125" style="1" customWidth="1"/>
    <col min="14052" max="14294" width="9.140625" style="1"/>
    <col min="14295" max="14295" width="4.5703125" style="1" customWidth="1"/>
    <col min="14296" max="14296" width="1" style="1" customWidth="1"/>
    <col min="14297" max="14297" width="18" style="1" customWidth="1"/>
    <col min="14298" max="14298" width="1.85546875" style="1" customWidth="1"/>
    <col min="14299" max="14299" width="12.5703125" style="1" customWidth="1"/>
    <col min="14300" max="14300" width="1.5703125" style="1" customWidth="1"/>
    <col min="14301" max="14301" width="9.5703125" style="1" customWidth="1"/>
    <col min="14302" max="14302" width="1.85546875" style="1" customWidth="1"/>
    <col min="14303" max="14303" width="11.85546875" style="1" customWidth="1"/>
    <col min="14304" max="14304" width="1.5703125" style="1" customWidth="1"/>
    <col min="14305" max="14305" width="10.140625" style="1" customWidth="1"/>
    <col min="14306" max="14306" width="2" style="1" customWidth="1"/>
    <col min="14307" max="14307" width="9.5703125" style="1" customWidth="1"/>
    <col min="14308" max="14550" width="9.140625" style="1"/>
    <col min="14551" max="14551" width="4.5703125" style="1" customWidth="1"/>
    <col min="14552" max="14552" width="1" style="1" customWidth="1"/>
    <col min="14553" max="14553" width="18" style="1" customWidth="1"/>
    <col min="14554" max="14554" width="1.85546875" style="1" customWidth="1"/>
    <col min="14555" max="14555" width="12.5703125" style="1" customWidth="1"/>
    <col min="14556" max="14556" width="1.5703125" style="1" customWidth="1"/>
    <col min="14557" max="14557" width="9.5703125" style="1" customWidth="1"/>
    <col min="14558" max="14558" width="1.85546875" style="1" customWidth="1"/>
    <col min="14559" max="14559" width="11.85546875" style="1" customWidth="1"/>
    <col min="14560" max="14560" width="1.5703125" style="1" customWidth="1"/>
    <col min="14561" max="14561" width="10.140625" style="1" customWidth="1"/>
    <col min="14562" max="14562" width="2" style="1" customWidth="1"/>
    <col min="14563" max="14563" width="9.5703125" style="1" customWidth="1"/>
    <col min="14564" max="14806" width="9.140625" style="1"/>
    <col min="14807" max="14807" width="4.5703125" style="1" customWidth="1"/>
    <col min="14808" max="14808" width="1" style="1" customWidth="1"/>
    <col min="14809" max="14809" width="18" style="1" customWidth="1"/>
    <col min="14810" max="14810" width="1.85546875" style="1" customWidth="1"/>
    <col min="14811" max="14811" width="12.5703125" style="1" customWidth="1"/>
    <col min="14812" max="14812" width="1.5703125" style="1" customWidth="1"/>
    <col min="14813" max="14813" width="9.5703125" style="1" customWidth="1"/>
    <col min="14814" max="14814" width="1.85546875" style="1" customWidth="1"/>
    <col min="14815" max="14815" width="11.85546875" style="1" customWidth="1"/>
    <col min="14816" max="14816" width="1.5703125" style="1" customWidth="1"/>
    <col min="14817" max="14817" width="10.140625" style="1" customWidth="1"/>
    <col min="14818" max="14818" width="2" style="1" customWidth="1"/>
    <col min="14819" max="14819" width="9.5703125" style="1" customWidth="1"/>
    <col min="14820" max="15062" width="9.140625" style="1"/>
    <col min="15063" max="15063" width="4.5703125" style="1" customWidth="1"/>
    <col min="15064" max="15064" width="1" style="1" customWidth="1"/>
    <col min="15065" max="15065" width="18" style="1" customWidth="1"/>
    <col min="15066" max="15066" width="1.85546875" style="1" customWidth="1"/>
    <col min="15067" max="15067" width="12.5703125" style="1" customWidth="1"/>
    <col min="15068" max="15068" width="1.5703125" style="1" customWidth="1"/>
    <col min="15069" max="15069" width="9.5703125" style="1" customWidth="1"/>
    <col min="15070" max="15070" width="1.85546875" style="1" customWidth="1"/>
    <col min="15071" max="15071" width="11.85546875" style="1" customWidth="1"/>
    <col min="15072" max="15072" width="1.5703125" style="1" customWidth="1"/>
    <col min="15073" max="15073" width="10.140625" style="1" customWidth="1"/>
    <col min="15074" max="15074" width="2" style="1" customWidth="1"/>
    <col min="15075" max="15075" width="9.5703125" style="1" customWidth="1"/>
    <col min="15076" max="15318" width="9.140625" style="1"/>
    <col min="15319" max="15319" width="4.5703125" style="1" customWidth="1"/>
    <col min="15320" max="15320" width="1" style="1" customWidth="1"/>
    <col min="15321" max="15321" width="18" style="1" customWidth="1"/>
    <col min="15322" max="15322" width="1.85546875" style="1" customWidth="1"/>
    <col min="15323" max="15323" width="12.5703125" style="1" customWidth="1"/>
    <col min="15324" max="15324" width="1.5703125" style="1" customWidth="1"/>
    <col min="15325" max="15325" width="9.5703125" style="1" customWidth="1"/>
    <col min="15326" max="15326" width="1.85546875" style="1" customWidth="1"/>
    <col min="15327" max="15327" width="11.85546875" style="1" customWidth="1"/>
    <col min="15328" max="15328" width="1.5703125" style="1" customWidth="1"/>
    <col min="15329" max="15329" width="10.140625" style="1" customWidth="1"/>
    <col min="15330" max="15330" width="2" style="1" customWidth="1"/>
    <col min="15331" max="15331" width="9.5703125" style="1" customWidth="1"/>
    <col min="15332" max="15574" width="9.140625" style="1"/>
    <col min="15575" max="15575" width="4.5703125" style="1" customWidth="1"/>
    <col min="15576" max="15576" width="1" style="1" customWidth="1"/>
    <col min="15577" max="15577" width="18" style="1" customWidth="1"/>
    <col min="15578" max="15578" width="1.85546875" style="1" customWidth="1"/>
    <col min="15579" max="15579" width="12.5703125" style="1" customWidth="1"/>
    <col min="15580" max="15580" width="1.5703125" style="1" customWidth="1"/>
    <col min="15581" max="15581" width="9.5703125" style="1" customWidth="1"/>
    <col min="15582" max="15582" width="1.85546875" style="1" customWidth="1"/>
    <col min="15583" max="15583" width="11.85546875" style="1" customWidth="1"/>
    <col min="15584" max="15584" width="1.5703125" style="1" customWidth="1"/>
    <col min="15585" max="15585" width="10.140625" style="1" customWidth="1"/>
    <col min="15586" max="15586" width="2" style="1" customWidth="1"/>
    <col min="15587" max="15587" width="9.5703125" style="1" customWidth="1"/>
    <col min="15588" max="15830" width="9.140625" style="1"/>
    <col min="15831" max="15831" width="4.5703125" style="1" customWidth="1"/>
    <col min="15832" max="15832" width="1" style="1" customWidth="1"/>
    <col min="15833" max="15833" width="18" style="1" customWidth="1"/>
    <col min="15834" max="15834" width="1.85546875" style="1" customWidth="1"/>
    <col min="15835" max="15835" width="12.5703125" style="1" customWidth="1"/>
    <col min="15836" max="15836" width="1.5703125" style="1" customWidth="1"/>
    <col min="15837" max="15837" width="9.5703125" style="1" customWidth="1"/>
    <col min="15838" max="15838" width="1.85546875" style="1" customWidth="1"/>
    <col min="15839" max="15839" width="11.85546875" style="1" customWidth="1"/>
    <col min="15840" max="15840" width="1.5703125" style="1" customWidth="1"/>
    <col min="15841" max="15841" width="10.140625" style="1" customWidth="1"/>
    <col min="15842" max="15842" width="2" style="1" customWidth="1"/>
    <col min="15843" max="15843" width="9.5703125" style="1" customWidth="1"/>
    <col min="15844" max="16086" width="9.140625" style="1"/>
    <col min="16087" max="16087" width="4.5703125" style="1" customWidth="1"/>
    <col min="16088" max="16088" width="1" style="1" customWidth="1"/>
    <col min="16089" max="16089" width="18" style="1" customWidth="1"/>
    <col min="16090" max="16090" width="1.85546875" style="1" customWidth="1"/>
    <col min="16091" max="16091" width="12.5703125" style="1" customWidth="1"/>
    <col min="16092" max="16092" width="1.5703125" style="1" customWidth="1"/>
    <col min="16093" max="16093" width="9.5703125" style="1" customWidth="1"/>
    <col min="16094" max="16094" width="1.85546875" style="1" customWidth="1"/>
    <col min="16095" max="16095" width="11.85546875" style="1" customWidth="1"/>
    <col min="16096" max="16096" width="1.5703125" style="1" customWidth="1"/>
    <col min="16097" max="16097" width="10.140625" style="1" customWidth="1"/>
    <col min="16098" max="16098" width="2" style="1" customWidth="1"/>
    <col min="16099" max="16099" width="9.5703125" style="1" customWidth="1"/>
    <col min="16100" max="16373" width="9.140625" style="1"/>
    <col min="16374" max="16384" width="8.85546875" style="1" customWidth="1"/>
  </cols>
  <sheetData>
    <row r="2" spans="1:18" x14ac:dyDescent="0.2">
      <c r="A2" s="555" t="s">
        <v>781</v>
      </c>
      <c r="B2" s="555"/>
      <c r="C2" s="555"/>
      <c r="D2" s="555"/>
      <c r="E2" s="555"/>
      <c r="F2" s="555"/>
      <c r="G2" s="555"/>
      <c r="H2" s="555"/>
      <c r="I2" s="555"/>
      <c r="J2" s="555"/>
      <c r="K2" s="555"/>
      <c r="L2" s="555"/>
      <c r="M2" s="555"/>
      <c r="N2" s="555"/>
      <c r="O2" s="555"/>
      <c r="P2" s="555"/>
      <c r="Q2" s="555"/>
    </row>
    <row r="3" spans="1:18" x14ac:dyDescent="0.2">
      <c r="A3" s="555" t="s">
        <v>394</v>
      </c>
      <c r="B3" s="555"/>
      <c r="C3" s="555"/>
      <c r="D3" s="555"/>
      <c r="E3" s="555"/>
      <c r="F3" s="555"/>
      <c r="G3" s="555"/>
      <c r="H3" s="555"/>
      <c r="I3" s="555"/>
      <c r="J3" s="555"/>
      <c r="K3" s="555"/>
      <c r="L3" s="555"/>
      <c r="M3" s="555"/>
      <c r="N3" s="555"/>
      <c r="O3" s="555"/>
      <c r="P3" s="555"/>
      <c r="Q3" s="555"/>
    </row>
    <row r="4" spans="1:18" x14ac:dyDescent="0.2">
      <c r="A4" s="525"/>
      <c r="B4" s="525"/>
      <c r="C4" s="525"/>
      <c r="D4" s="525"/>
      <c r="E4" s="525"/>
      <c r="F4" s="525"/>
      <c r="G4" s="525"/>
      <c r="H4" s="525"/>
      <c r="I4" s="525"/>
      <c r="J4" s="525"/>
      <c r="K4" s="525"/>
      <c r="L4" s="525"/>
      <c r="M4" s="525"/>
      <c r="N4" s="525"/>
      <c r="O4" s="525"/>
      <c r="P4" s="525"/>
      <c r="Q4" s="525"/>
    </row>
    <row r="5" spans="1:18" ht="15" customHeight="1" x14ac:dyDescent="0.2">
      <c r="A5" s="21"/>
      <c r="B5" s="21"/>
      <c r="C5" s="21"/>
      <c r="D5" s="21"/>
      <c r="E5" s="21"/>
      <c r="F5" s="21"/>
      <c r="G5" s="21"/>
      <c r="H5" s="21"/>
      <c r="O5" s="553" t="s">
        <v>780</v>
      </c>
      <c r="P5" s="553"/>
      <c r="Q5" s="553"/>
    </row>
    <row r="6" spans="1:18" x14ac:dyDescent="0.2">
      <c r="A6" s="2"/>
      <c r="B6" s="2"/>
      <c r="C6" s="2"/>
      <c r="D6" s="2"/>
      <c r="E6" s="2"/>
      <c r="F6" s="2"/>
      <c r="G6" s="2"/>
      <c r="H6" s="2"/>
      <c r="I6" s="2"/>
      <c r="J6" s="21"/>
      <c r="K6" s="3"/>
      <c r="O6" s="554" t="s">
        <v>779</v>
      </c>
      <c r="P6" s="554"/>
      <c r="Q6" s="554"/>
    </row>
    <row r="7" spans="1:18" s="523" customFormat="1" x14ac:dyDescent="0.2">
      <c r="A7" s="24" t="s">
        <v>0</v>
      </c>
      <c r="B7" s="24"/>
      <c r="C7" s="24" t="s">
        <v>770</v>
      </c>
      <c r="D7" s="24"/>
      <c r="E7" s="24"/>
      <c r="F7" s="24"/>
      <c r="G7" s="24"/>
      <c r="H7" s="24"/>
      <c r="I7" s="2" t="s">
        <v>238</v>
      </c>
      <c r="J7" s="24"/>
      <c r="K7" s="24" t="s">
        <v>349</v>
      </c>
      <c r="L7" s="24"/>
      <c r="M7" s="6" t="s">
        <v>80</v>
      </c>
      <c r="R7" s="1"/>
    </row>
    <row r="8" spans="1:18" x14ac:dyDescent="0.2">
      <c r="A8" s="519" t="s">
        <v>1</v>
      </c>
      <c r="B8" s="9"/>
      <c r="C8" s="519" t="s">
        <v>778</v>
      </c>
      <c r="D8" s="9"/>
      <c r="E8" s="10" t="s">
        <v>33</v>
      </c>
      <c r="F8" s="9"/>
      <c r="G8" s="519" t="s">
        <v>48</v>
      </c>
      <c r="H8" s="9"/>
      <c r="I8" s="524" t="s">
        <v>236</v>
      </c>
      <c r="J8" s="6"/>
      <c r="K8" s="37" t="s">
        <v>361</v>
      </c>
      <c r="L8" s="6"/>
      <c r="M8" s="524" t="s">
        <v>62</v>
      </c>
      <c r="O8" s="210" t="s">
        <v>397</v>
      </c>
      <c r="Q8" s="210" t="s">
        <v>262</v>
      </c>
    </row>
    <row r="9" spans="1:18" x14ac:dyDescent="0.2">
      <c r="A9" s="6"/>
      <c r="B9" s="9"/>
      <c r="C9" s="9"/>
      <c r="D9" s="9"/>
      <c r="E9" s="9"/>
      <c r="F9" s="9"/>
      <c r="G9" s="9"/>
      <c r="H9" s="9"/>
      <c r="I9" s="6" t="s">
        <v>234</v>
      </c>
      <c r="J9" s="6"/>
      <c r="K9" s="11" t="s">
        <v>235</v>
      </c>
      <c r="L9" s="6"/>
      <c r="M9" s="6" t="s">
        <v>58</v>
      </c>
      <c r="O9" s="211" t="s">
        <v>263</v>
      </c>
      <c r="Q9" s="211" t="s">
        <v>63</v>
      </c>
    </row>
    <row r="10" spans="1:18" x14ac:dyDescent="0.2">
      <c r="A10" s="6"/>
      <c r="B10" s="9"/>
      <c r="C10" s="9"/>
      <c r="D10" s="9"/>
      <c r="E10" s="9"/>
      <c r="F10" s="9"/>
      <c r="G10" s="9"/>
      <c r="H10" s="9"/>
      <c r="I10" s="6"/>
      <c r="J10" s="6"/>
      <c r="K10" s="6"/>
      <c r="L10" s="6"/>
      <c r="M10" s="6"/>
    </row>
    <row r="11" spans="1:18" x14ac:dyDescent="0.2">
      <c r="A11" s="6"/>
      <c r="B11" s="9"/>
      <c r="C11" s="1" t="s">
        <v>5</v>
      </c>
      <c r="D11" s="9"/>
      <c r="F11" s="5"/>
      <c r="G11" s="5"/>
      <c r="H11" s="5"/>
      <c r="I11" s="6"/>
      <c r="J11" s="6"/>
      <c r="K11" s="6"/>
      <c r="L11" s="6"/>
      <c r="M11" s="6"/>
    </row>
    <row r="12" spans="1:18" x14ac:dyDescent="0.2">
      <c r="A12" s="6">
        <v>1</v>
      </c>
      <c r="B12" s="9"/>
      <c r="C12" s="9"/>
      <c r="D12" s="9"/>
      <c r="E12" s="14" t="s">
        <v>85</v>
      </c>
      <c r="F12" s="14"/>
      <c r="G12" s="252" t="s">
        <v>767</v>
      </c>
      <c r="H12" s="14"/>
      <c r="I12" s="253">
        <v>21.878786989991127</v>
      </c>
      <c r="J12" s="121"/>
      <c r="K12" s="253">
        <f>M12-I12</f>
        <v>1.1212130100088729</v>
      </c>
      <c r="L12" s="125"/>
      <c r="M12" s="253">
        <v>23</v>
      </c>
      <c r="N12" s="125"/>
      <c r="O12" s="253">
        <v>23</v>
      </c>
      <c r="P12" s="399"/>
      <c r="Q12" s="253">
        <v>0</v>
      </c>
    </row>
    <row r="13" spans="1:18" x14ac:dyDescent="0.2">
      <c r="A13" s="6"/>
      <c r="B13" s="9"/>
      <c r="C13" s="9"/>
      <c r="D13" s="9"/>
      <c r="E13" s="14" t="s">
        <v>239</v>
      </c>
      <c r="F13" s="14"/>
      <c r="H13" s="14"/>
      <c r="I13" s="147"/>
      <c r="J13" s="121"/>
      <c r="K13" s="147"/>
      <c r="L13" s="125"/>
      <c r="M13" s="147"/>
      <c r="N13" s="125"/>
      <c r="O13" s="147"/>
      <c r="P13" s="125"/>
      <c r="Q13" s="147"/>
    </row>
    <row r="14" spans="1:18" x14ac:dyDescent="0.2">
      <c r="A14" s="6">
        <f>MAX(A$12:A13)+1</f>
        <v>2</v>
      </c>
      <c r="B14" s="9"/>
      <c r="C14" s="9"/>
      <c r="D14" s="9"/>
      <c r="E14" s="38" t="s">
        <v>50</v>
      </c>
      <c r="F14" s="38"/>
      <c r="G14" s="252" t="s">
        <v>760</v>
      </c>
      <c r="H14" s="38"/>
      <c r="I14" s="147">
        <v>11.918857380675554</v>
      </c>
      <c r="J14" s="121"/>
      <c r="K14" s="147">
        <f>M14-I14</f>
        <v>1.1084290205732241</v>
      </c>
      <c r="L14" s="125"/>
      <c r="M14" s="147">
        <v>13.027286401248778</v>
      </c>
      <c r="N14" s="125"/>
      <c r="O14" s="147">
        <v>12.489921846711232</v>
      </c>
      <c r="P14" s="125"/>
      <c r="Q14" s="147">
        <v>0.53736455453754606</v>
      </c>
    </row>
    <row r="15" spans="1:18" x14ac:dyDescent="0.2">
      <c r="A15" s="6">
        <f>MAX(A$12:A14)+1</f>
        <v>3</v>
      </c>
      <c r="B15" s="9"/>
      <c r="C15" s="9"/>
      <c r="D15" s="9"/>
      <c r="E15" s="38" t="s">
        <v>51</v>
      </c>
      <c r="F15" s="38"/>
      <c r="G15" s="252" t="s">
        <v>760</v>
      </c>
      <c r="H15" s="38"/>
      <c r="I15" s="147">
        <v>11.238869487448605</v>
      </c>
      <c r="J15" s="121"/>
      <c r="K15" s="147">
        <f>M15-I15</f>
        <v>0.90586111706772598</v>
      </c>
      <c r="L15" s="125"/>
      <c r="M15" s="147">
        <v>12.144730604516331</v>
      </c>
      <c r="N15" s="125"/>
      <c r="O15" s="147">
        <v>11.607366049978785</v>
      </c>
      <c r="P15" s="125"/>
      <c r="Q15" s="147">
        <v>0.53736455453754606</v>
      </c>
    </row>
    <row r="16" spans="1:18" x14ac:dyDescent="0.2">
      <c r="A16" s="6">
        <f>MAX(A$12:A15)+1</f>
        <v>4</v>
      </c>
      <c r="B16" s="9"/>
      <c r="C16" s="9"/>
      <c r="D16" s="9"/>
      <c r="E16" s="38" t="s">
        <v>52</v>
      </c>
      <c r="F16" s="38"/>
      <c r="G16" s="252" t="s">
        <v>760</v>
      </c>
      <c r="H16" s="38"/>
      <c r="I16" s="147">
        <v>10.706406073237655</v>
      </c>
      <c r="J16" s="121"/>
      <c r="K16" s="147">
        <f>M16-I16</f>
        <v>0.7472422640595866</v>
      </c>
      <c r="L16" s="125"/>
      <c r="M16" s="147">
        <v>11.453648337297242</v>
      </c>
      <c r="N16" s="125"/>
      <c r="O16" s="147">
        <v>10.916283782759695</v>
      </c>
      <c r="P16" s="125"/>
      <c r="Q16" s="147">
        <v>0.53736455453754606</v>
      </c>
    </row>
    <row r="17" spans="1:17" x14ac:dyDescent="0.2">
      <c r="A17" s="6">
        <f>MAX(A$12:A16)+1</f>
        <v>5</v>
      </c>
      <c r="B17" s="9"/>
      <c r="C17" s="9"/>
      <c r="D17" s="9"/>
      <c r="E17" s="38" t="s">
        <v>53</v>
      </c>
      <c r="F17" s="38"/>
      <c r="G17" s="252" t="s">
        <v>760</v>
      </c>
      <c r="H17" s="38"/>
      <c r="I17" s="147">
        <v>10.309480313558556</v>
      </c>
      <c r="J17" s="121"/>
      <c r="K17" s="147">
        <f>M17-I17</f>
        <v>0.62899816295640498</v>
      </c>
      <c r="L17" s="125"/>
      <c r="M17" s="147">
        <v>10.938478476514961</v>
      </c>
      <c r="N17" s="125"/>
      <c r="O17" s="147">
        <v>10.401113921977414</v>
      </c>
      <c r="P17" s="125"/>
      <c r="Q17" s="147">
        <v>0.53736455453754606</v>
      </c>
    </row>
    <row r="18" spans="1:17" x14ac:dyDescent="0.2">
      <c r="A18" s="6"/>
      <c r="B18" s="9"/>
      <c r="C18" s="9"/>
      <c r="D18" s="9"/>
      <c r="E18" s="14"/>
      <c r="F18" s="14"/>
      <c r="G18" s="252"/>
      <c r="H18" s="14"/>
      <c r="I18" s="147"/>
      <c r="J18" s="121"/>
      <c r="K18" s="147"/>
      <c r="L18" s="125"/>
      <c r="M18" s="147"/>
      <c r="N18" s="125"/>
      <c r="O18" s="147"/>
      <c r="P18" s="125"/>
      <c r="Q18" s="147"/>
    </row>
    <row r="19" spans="1:17" x14ac:dyDescent="0.2">
      <c r="A19" s="6"/>
      <c r="B19" s="9"/>
      <c r="C19" s="9"/>
      <c r="D19" s="9"/>
      <c r="E19" s="14" t="s">
        <v>87</v>
      </c>
      <c r="F19" s="14"/>
      <c r="G19" s="6"/>
      <c r="H19" s="14"/>
      <c r="I19" s="147"/>
      <c r="J19" s="121"/>
      <c r="K19" s="126"/>
      <c r="L19" s="125"/>
      <c r="M19" s="126"/>
      <c r="N19" s="125"/>
      <c r="O19" s="126"/>
      <c r="P19" s="125"/>
      <c r="Q19" s="126"/>
    </row>
    <row r="20" spans="1:17" x14ac:dyDescent="0.2">
      <c r="A20" s="6">
        <f>MAX(A$12:A19)+1</f>
        <v>6</v>
      </c>
      <c r="B20" s="9"/>
      <c r="C20" s="9"/>
      <c r="D20" s="9"/>
      <c r="E20" s="38" t="s">
        <v>64</v>
      </c>
      <c r="F20" s="38"/>
      <c r="G20" s="252" t="s">
        <v>760</v>
      </c>
      <c r="H20" s="38"/>
      <c r="I20" s="147">
        <v>3.9267443870173873</v>
      </c>
      <c r="J20" s="121"/>
      <c r="K20" s="147">
        <f>M20-I20</f>
        <v>-1.9844871436545755</v>
      </c>
      <c r="L20" s="125"/>
      <c r="M20" s="147">
        <v>1.9422572433628118</v>
      </c>
      <c r="N20" s="125"/>
      <c r="O20" s="147">
        <v>-8.7970414439653602E-2</v>
      </c>
      <c r="P20" s="267"/>
      <c r="Q20" s="147">
        <v>2.0302276578024654</v>
      </c>
    </row>
    <row r="21" spans="1:17" x14ac:dyDescent="0.2">
      <c r="A21" s="6">
        <f>MAX(A$12:A20)+1</f>
        <v>7</v>
      </c>
      <c r="B21" s="9"/>
      <c r="C21" s="9"/>
      <c r="D21" s="9"/>
      <c r="E21" s="38" t="s">
        <v>65</v>
      </c>
      <c r="F21" s="38"/>
      <c r="G21" s="252" t="s">
        <v>760</v>
      </c>
      <c r="H21" s="38"/>
      <c r="I21" s="147">
        <v>0.96972012770460903</v>
      </c>
      <c r="J21" s="121"/>
      <c r="K21" s="147">
        <f>M21-I21</f>
        <v>0.97253711565820278</v>
      </c>
      <c r="L21" s="137"/>
      <c r="M21" s="147">
        <v>1.9422572433628118</v>
      </c>
      <c r="N21" s="125"/>
      <c r="O21" s="147">
        <v>-8.7970414439653602E-2</v>
      </c>
      <c r="P21" s="267"/>
      <c r="Q21" s="147">
        <v>2.0302276578024654</v>
      </c>
    </row>
    <row r="22" spans="1:17" x14ac:dyDescent="0.2">
      <c r="A22" s="6">
        <f>MAX(A$12:A21)+1</f>
        <v>8</v>
      </c>
      <c r="B22" s="9"/>
      <c r="C22" s="9"/>
      <c r="D22" s="9"/>
      <c r="E22" s="38" t="s">
        <v>66</v>
      </c>
      <c r="F22" s="38"/>
      <c r="G22" s="252" t="s">
        <v>760</v>
      </c>
      <c r="H22" s="38"/>
      <c r="I22" s="147">
        <v>3.9267443870173873</v>
      </c>
      <c r="J22" s="121"/>
      <c r="K22" s="147">
        <f>M22-I22</f>
        <v>-0.12252023816156621</v>
      </c>
      <c r="L22" s="137"/>
      <c r="M22" s="147">
        <v>3.8042241488558211</v>
      </c>
      <c r="N22" s="125"/>
      <c r="O22" s="147">
        <v>-8.7970414439653602E-2</v>
      </c>
      <c r="P22" s="267"/>
      <c r="Q22" s="147">
        <v>3.8921945632954746</v>
      </c>
    </row>
    <row r="23" spans="1:17" x14ac:dyDescent="0.2">
      <c r="A23" s="6">
        <f>MAX(A$12:A22)+1</f>
        <v>9</v>
      </c>
      <c r="B23" s="9"/>
      <c r="C23" s="9"/>
      <c r="D23" s="9"/>
      <c r="E23" s="38" t="s">
        <v>67</v>
      </c>
      <c r="F23" s="38"/>
      <c r="G23" s="252" t="s">
        <v>760</v>
      </c>
      <c r="H23" s="38"/>
      <c r="I23" s="147">
        <v>0</v>
      </c>
      <c r="J23" s="121"/>
      <c r="K23" s="147">
        <f>M23-I23</f>
        <v>1.9422572433628118</v>
      </c>
      <c r="L23" s="137"/>
      <c r="M23" s="147">
        <v>1.9422572433628118</v>
      </c>
      <c r="N23" s="125"/>
      <c r="O23" s="147">
        <v>-8.7970414439653602E-2</v>
      </c>
      <c r="P23" s="267"/>
      <c r="Q23" s="147">
        <v>2.0302276578024654</v>
      </c>
    </row>
    <row r="24" spans="1:17" x14ac:dyDescent="0.2">
      <c r="A24" s="6"/>
      <c r="B24" s="9"/>
      <c r="C24" s="9"/>
      <c r="D24" s="9"/>
      <c r="E24" s="14"/>
      <c r="F24" s="14"/>
      <c r="G24" s="6"/>
      <c r="H24" s="14"/>
      <c r="I24" s="147"/>
      <c r="J24" s="121"/>
      <c r="K24" s="147"/>
      <c r="L24" s="125"/>
      <c r="M24" s="147"/>
      <c r="N24" s="125"/>
      <c r="O24" s="147"/>
      <c r="P24" s="125"/>
      <c r="Q24" s="147"/>
    </row>
    <row r="25" spans="1:17" x14ac:dyDescent="0.2">
      <c r="A25" s="6">
        <f>MAX(A$12:A24)+1</f>
        <v>10</v>
      </c>
      <c r="E25" s="14" t="s">
        <v>167</v>
      </c>
      <c r="F25" s="14"/>
      <c r="G25" s="252" t="s">
        <v>760</v>
      </c>
      <c r="H25" s="14"/>
      <c r="I25" s="147">
        <v>18.377497019556195</v>
      </c>
      <c r="J25" s="121"/>
      <c r="K25" s="147">
        <f>M25-I25</f>
        <v>2.5259051615246264</v>
      </c>
      <c r="L25" s="125"/>
      <c r="M25" s="147">
        <v>20.903402181080821</v>
      </c>
      <c r="N25" s="125"/>
      <c r="O25" s="147">
        <v>0.15408160302151921</v>
      </c>
      <c r="P25" s="267"/>
      <c r="Q25" s="147">
        <v>20.749320578059301</v>
      </c>
    </row>
    <row r="26" spans="1:17" x14ac:dyDescent="0.2">
      <c r="A26" s="6"/>
      <c r="B26" s="9"/>
      <c r="C26" s="9"/>
      <c r="D26" s="9"/>
      <c r="I26" s="125"/>
      <c r="J26" s="125"/>
      <c r="K26" s="125"/>
      <c r="L26" s="125"/>
      <c r="M26" s="125"/>
      <c r="N26" s="125"/>
      <c r="O26" s="125"/>
      <c r="P26" s="125"/>
      <c r="Q26" s="125"/>
    </row>
    <row r="27" spans="1:17" x14ac:dyDescent="0.2">
      <c r="A27" s="6"/>
      <c r="B27" s="9"/>
      <c r="C27" s="1" t="s">
        <v>6</v>
      </c>
      <c r="D27" s="9"/>
      <c r="F27" s="5"/>
      <c r="G27" s="6"/>
      <c r="H27" s="5"/>
      <c r="I27" s="137"/>
      <c r="J27" s="137"/>
      <c r="K27" s="137"/>
      <c r="L27" s="137"/>
      <c r="M27" s="137"/>
      <c r="N27" s="125"/>
      <c r="O27" s="137"/>
      <c r="P27" s="125"/>
      <c r="Q27" s="137"/>
    </row>
    <row r="28" spans="1:17" x14ac:dyDescent="0.2">
      <c r="A28" s="6">
        <f>MAX(A$12:A27)+1</f>
        <v>11</v>
      </c>
      <c r="B28" s="9"/>
      <c r="C28" s="9"/>
      <c r="D28" s="9"/>
      <c r="E28" s="14" t="s">
        <v>85</v>
      </c>
      <c r="F28" s="14"/>
      <c r="G28" s="252" t="s">
        <v>767</v>
      </c>
      <c r="H28" s="14"/>
      <c r="I28" s="253">
        <v>76.575754464968981</v>
      </c>
      <c r="J28" s="253"/>
      <c r="K28" s="253">
        <f>M28-I28</f>
        <v>3.4242455350310195</v>
      </c>
      <c r="L28" s="253"/>
      <c r="M28" s="253">
        <v>80</v>
      </c>
      <c r="N28" s="253"/>
      <c r="O28" s="253">
        <v>80</v>
      </c>
      <c r="P28" s="125"/>
      <c r="Q28" s="253">
        <v>0</v>
      </c>
    </row>
    <row r="29" spans="1:17" x14ac:dyDescent="0.2">
      <c r="A29" s="6"/>
      <c r="B29" s="9"/>
      <c r="C29" s="9"/>
      <c r="D29" s="9"/>
      <c r="E29" s="14" t="s">
        <v>239</v>
      </c>
      <c r="F29" s="14"/>
      <c r="G29" s="6"/>
      <c r="H29" s="14"/>
      <c r="I29" s="147"/>
      <c r="J29" s="121"/>
      <c r="K29" s="147"/>
      <c r="L29" s="137"/>
      <c r="M29" s="147"/>
      <c r="N29" s="125"/>
      <c r="O29" s="147"/>
      <c r="P29" s="125"/>
      <c r="Q29" s="147"/>
    </row>
    <row r="30" spans="1:17" x14ac:dyDescent="0.2">
      <c r="A30" s="6">
        <f>MAX(A$12:A29)+1</f>
        <v>12</v>
      </c>
      <c r="B30" s="9"/>
      <c r="C30" s="9"/>
      <c r="D30" s="9"/>
      <c r="E30" s="38" t="s">
        <v>73</v>
      </c>
      <c r="F30" s="38"/>
      <c r="G30" s="252" t="s">
        <v>760</v>
      </c>
      <c r="H30" s="38"/>
      <c r="I30" s="147">
        <v>11.229882367134465</v>
      </c>
      <c r="J30" s="121"/>
      <c r="K30" s="147">
        <f t="shared" ref="K30:K35" si="0">M30-I30</f>
        <v>0.56086116146548193</v>
      </c>
      <c r="L30" s="137"/>
      <c r="M30" s="147">
        <v>11.790743528599947</v>
      </c>
      <c r="N30" s="125"/>
      <c r="O30" s="147">
        <v>11.279161343579828</v>
      </c>
      <c r="P30" s="125"/>
      <c r="Q30" s="147">
        <v>0.51158218502011887</v>
      </c>
    </row>
    <row r="31" spans="1:17" x14ac:dyDescent="0.2">
      <c r="A31" s="6">
        <f>MAX(A$12:A30)+1</f>
        <v>13</v>
      </c>
      <c r="B31" s="9"/>
      <c r="C31" s="9"/>
      <c r="D31" s="9"/>
      <c r="E31" s="38" t="s">
        <v>74</v>
      </c>
      <c r="F31" s="38"/>
      <c r="G31" s="252" t="s">
        <v>760</v>
      </c>
      <c r="H31" s="38"/>
      <c r="I31" s="147">
        <v>8.8636919289442755</v>
      </c>
      <c r="J31" s="121"/>
      <c r="K31" s="147">
        <f t="shared" si="0"/>
        <v>1.3650018789832075E-2</v>
      </c>
      <c r="L31" s="137"/>
      <c r="M31" s="147">
        <v>8.8773419477341076</v>
      </c>
      <c r="N31" s="125"/>
      <c r="O31" s="147">
        <v>8.3657597627139886</v>
      </c>
      <c r="P31" s="125"/>
      <c r="Q31" s="147">
        <v>0.51158218502011887</v>
      </c>
    </row>
    <row r="32" spans="1:17" x14ac:dyDescent="0.2">
      <c r="A32" s="6">
        <f>MAX(A$12:A31)+1</f>
        <v>14</v>
      </c>
      <c r="B32" s="9"/>
      <c r="E32" s="38" t="s">
        <v>75</v>
      </c>
      <c r="F32" s="38"/>
      <c r="G32" s="252" t="s">
        <v>760</v>
      </c>
      <c r="H32" s="38"/>
      <c r="I32" s="147">
        <v>7.206693763785581</v>
      </c>
      <c r="J32" s="125"/>
      <c r="K32" s="147">
        <f t="shared" si="0"/>
        <v>-0.36954920034796679</v>
      </c>
      <c r="L32" s="137"/>
      <c r="M32" s="147">
        <v>6.8371445634376142</v>
      </c>
      <c r="N32" s="125"/>
      <c r="O32" s="147">
        <v>6.3255623784174952</v>
      </c>
      <c r="P32" s="125"/>
      <c r="Q32" s="147">
        <v>0.51158218502011887</v>
      </c>
    </row>
    <row r="33" spans="1:17" x14ac:dyDescent="0.2">
      <c r="A33" s="6">
        <f>MAX(A$12:A32)+1</f>
        <v>15</v>
      </c>
      <c r="B33" s="9"/>
      <c r="E33" s="38" t="s">
        <v>76</v>
      </c>
      <c r="F33" s="38"/>
      <c r="G33" s="252" t="s">
        <v>760</v>
      </c>
      <c r="H33" s="38"/>
      <c r="I33" s="147">
        <v>6.1421140258986346</v>
      </c>
      <c r="J33" s="125"/>
      <c r="K33" s="147">
        <f t="shared" si="0"/>
        <v>-0.61574604074916284</v>
      </c>
      <c r="L33" s="137"/>
      <c r="M33" s="147">
        <v>5.5263679851494718</v>
      </c>
      <c r="N33" s="125"/>
      <c r="O33" s="147">
        <v>5.0147858001293528</v>
      </c>
      <c r="P33" s="125"/>
      <c r="Q33" s="147">
        <v>0.51158218502011887</v>
      </c>
    </row>
    <row r="34" spans="1:17" x14ac:dyDescent="0.2">
      <c r="A34" s="6">
        <f>MAX(A$12:A33)+1</f>
        <v>16</v>
      </c>
      <c r="B34" s="9"/>
      <c r="C34" s="9"/>
      <c r="D34" s="9"/>
      <c r="E34" s="38" t="s">
        <v>77</v>
      </c>
      <c r="F34" s="38"/>
      <c r="G34" s="252" t="s">
        <v>760</v>
      </c>
      <c r="H34" s="38"/>
      <c r="I34" s="147">
        <v>5.6690538016789072</v>
      </c>
      <c r="J34" s="121"/>
      <c r="K34" s="147">
        <f t="shared" si="0"/>
        <v>-0.72514623411055279</v>
      </c>
      <c r="L34" s="137"/>
      <c r="M34" s="147">
        <v>4.9439075675683544</v>
      </c>
      <c r="N34" s="125"/>
      <c r="O34" s="147">
        <v>4.4323253825482354</v>
      </c>
      <c r="P34" s="125"/>
      <c r="Q34" s="147">
        <v>0.51158218502011887</v>
      </c>
    </row>
    <row r="35" spans="1:17" x14ac:dyDescent="0.2">
      <c r="A35" s="6">
        <f>MAX(A$12:A34)+1</f>
        <v>17</v>
      </c>
      <c r="B35" s="9"/>
      <c r="C35" s="9"/>
      <c r="D35" s="9"/>
      <c r="E35" s="38" t="s">
        <v>78</v>
      </c>
      <c r="F35" s="38"/>
      <c r="G35" s="252" t="s">
        <v>760</v>
      </c>
      <c r="H35" s="38"/>
      <c r="I35" s="147">
        <v>5.550258796153428</v>
      </c>
      <c r="J35" s="121"/>
      <c r="K35" s="147">
        <f t="shared" si="0"/>
        <v>-0.75261973521383396</v>
      </c>
      <c r="L35" s="137"/>
      <c r="M35" s="147">
        <v>4.797639060939594</v>
      </c>
      <c r="N35" s="125"/>
      <c r="O35" s="147">
        <v>4.286056875919475</v>
      </c>
      <c r="P35" s="125"/>
      <c r="Q35" s="147">
        <v>0.51158218502011887</v>
      </c>
    </row>
    <row r="36" spans="1:17" x14ac:dyDescent="0.2">
      <c r="A36" s="6"/>
      <c r="C36" s="9"/>
      <c r="D36" s="9"/>
      <c r="E36" s="14"/>
      <c r="F36" s="14"/>
      <c r="G36" s="6"/>
      <c r="H36" s="14"/>
      <c r="I36" s="147"/>
      <c r="J36" s="121"/>
      <c r="K36" s="147"/>
      <c r="L36" s="125"/>
      <c r="M36" s="147"/>
      <c r="N36" s="125"/>
      <c r="O36" s="147"/>
      <c r="P36" s="125"/>
      <c r="Q36" s="147"/>
    </row>
    <row r="37" spans="1:17" x14ac:dyDescent="0.2">
      <c r="A37" s="6"/>
      <c r="C37" s="9"/>
      <c r="D37" s="9"/>
      <c r="E37" s="14" t="s">
        <v>87</v>
      </c>
      <c r="F37" s="14"/>
      <c r="G37" s="6"/>
      <c r="H37" s="14"/>
      <c r="I37" s="147"/>
      <c r="J37" s="121"/>
      <c r="K37" s="126"/>
      <c r="L37" s="137"/>
      <c r="M37" s="126"/>
      <c r="N37" s="125"/>
      <c r="O37" s="126"/>
      <c r="P37" s="125"/>
      <c r="Q37" s="126"/>
    </row>
    <row r="38" spans="1:17" x14ac:dyDescent="0.2">
      <c r="A38" s="6">
        <f>MAX(A$12:A37)+1</f>
        <v>18</v>
      </c>
      <c r="B38" s="9"/>
      <c r="C38" s="9"/>
      <c r="D38" s="9"/>
      <c r="E38" s="38" t="s">
        <v>64</v>
      </c>
      <c r="F38" s="38"/>
      <c r="G38" s="252" t="s">
        <v>760</v>
      </c>
      <c r="H38" s="38"/>
      <c r="I38" s="147">
        <v>3.9267443846006143</v>
      </c>
      <c r="J38" s="121"/>
      <c r="K38" s="147">
        <f>M38-I38</f>
        <v>-2.0832833505059991</v>
      </c>
      <c r="L38" s="137"/>
      <c r="M38" s="147">
        <v>1.8434610340946149</v>
      </c>
      <c r="N38" s="125"/>
      <c r="O38" s="147">
        <v>-8.326410144365877E-2</v>
      </c>
      <c r="P38" s="267"/>
      <c r="Q38" s="147">
        <v>1.9267251355382737</v>
      </c>
    </row>
    <row r="39" spans="1:17" x14ac:dyDescent="0.2">
      <c r="A39" s="6">
        <f>MAX(A$12:A38)+1</f>
        <v>19</v>
      </c>
      <c r="B39" s="9"/>
      <c r="E39" s="38" t="s">
        <v>65</v>
      </c>
      <c r="F39" s="38"/>
      <c r="G39" s="252" t="s">
        <v>760</v>
      </c>
      <c r="H39" s="38"/>
      <c r="I39" s="147">
        <v>0.96972040643947122</v>
      </c>
      <c r="J39" s="121"/>
      <c r="K39" s="147">
        <f>M39-I39</f>
        <v>0.87374062765514371</v>
      </c>
      <c r="L39" s="137"/>
      <c r="M39" s="147">
        <v>1.8434610340946149</v>
      </c>
      <c r="N39" s="125"/>
      <c r="O39" s="147">
        <v>-8.326410144365877E-2</v>
      </c>
      <c r="P39" s="267"/>
      <c r="Q39" s="147">
        <v>1.9267251355382737</v>
      </c>
    </row>
    <row r="40" spans="1:17" x14ac:dyDescent="0.2">
      <c r="A40" s="6">
        <f>MAX(A$12:A39)+1</f>
        <v>20</v>
      </c>
      <c r="B40" s="9"/>
      <c r="C40" s="9"/>
      <c r="D40" s="9"/>
      <c r="E40" s="38" t="s">
        <v>66</v>
      </c>
      <c r="F40" s="38"/>
      <c r="G40" s="252" t="s">
        <v>760</v>
      </c>
      <c r="H40" s="38"/>
      <c r="I40" s="147">
        <v>3.9267443846006143</v>
      </c>
      <c r="J40" s="121"/>
      <c r="K40" s="147">
        <f>M40-I40</f>
        <v>-0.22131644501298986</v>
      </c>
      <c r="L40" s="137"/>
      <c r="M40" s="147">
        <v>3.7054279395876244</v>
      </c>
      <c r="N40" s="125"/>
      <c r="O40" s="147">
        <v>-8.326410144365877E-2</v>
      </c>
      <c r="P40" s="267"/>
      <c r="Q40" s="147">
        <v>3.788692041031283</v>
      </c>
    </row>
    <row r="41" spans="1:17" x14ac:dyDescent="0.2">
      <c r="A41" s="6">
        <f>MAX(A$12:A40)+1</f>
        <v>21</v>
      </c>
      <c r="B41" s="9"/>
      <c r="C41" s="9"/>
      <c r="D41" s="9"/>
      <c r="E41" s="38" t="s">
        <v>67</v>
      </c>
      <c r="F41" s="38"/>
      <c r="G41" s="6"/>
      <c r="H41" s="38"/>
      <c r="I41" s="147">
        <v>0</v>
      </c>
      <c r="J41" s="121"/>
      <c r="K41" s="147">
        <f>M41-I41</f>
        <v>1.8434610340946149</v>
      </c>
      <c r="L41" s="137"/>
      <c r="M41" s="147">
        <v>1.8434610340946149</v>
      </c>
      <c r="N41" s="125"/>
      <c r="O41" s="147">
        <v>-8.326410144365877E-2</v>
      </c>
      <c r="P41" s="267"/>
      <c r="Q41" s="147">
        <v>1.9267251355382737</v>
      </c>
    </row>
    <row r="42" spans="1:17" x14ac:dyDescent="0.2">
      <c r="A42" s="6"/>
      <c r="B42" s="9"/>
      <c r="C42" s="9"/>
      <c r="D42" s="9"/>
      <c r="I42" s="125"/>
      <c r="J42" s="125"/>
      <c r="K42" s="125"/>
      <c r="L42" s="125"/>
      <c r="M42" s="125"/>
      <c r="N42" s="125"/>
      <c r="O42" s="125"/>
      <c r="P42" s="125"/>
      <c r="Q42" s="125"/>
    </row>
    <row r="43" spans="1:17" x14ac:dyDescent="0.2">
      <c r="A43" s="6">
        <f>MAX(A$12:A42)+1</f>
        <v>22</v>
      </c>
      <c r="C43" s="9"/>
      <c r="D43" s="9"/>
      <c r="E43" s="14" t="s">
        <v>167</v>
      </c>
      <c r="F43" s="14"/>
      <c r="G43" s="252" t="s">
        <v>760</v>
      </c>
      <c r="H43" s="14"/>
      <c r="I43" s="147">
        <v>18.400798940142568</v>
      </c>
      <c r="J43" s="121"/>
      <c r="K43" s="147">
        <f>M43-I43</f>
        <v>2.502603240938253</v>
      </c>
      <c r="L43" s="137"/>
      <c r="M43" s="147">
        <v>20.903402181080821</v>
      </c>
      <c r="N43" s="125"/>
      <c r="O43" s="147">
        <v>0.15408160302151921</v>
      </c>
      <c r="P43" s="267"/>
      <c r="Q43" s="147">
        <v>20.749320578059301</v>
      </c>
    </row>
    <row r="44" spans="1:17" x14ac:dyDescent="0.2">
      <c r="A44" s="6"/>
      <c r="B44" s="9"/>
      <c r="C44" s="9"/>
      <c r="D44" s="9"/>
      <c r="I44" s="125"/>
      <c r="J44" s="125"/>
      <c r="K44" s="125"/>
      <c r="L44" s="125"/>
      <c r="M44" s="125"/>
      <c r="N44" s="125"/>
      <c r="O44" s="125"/>
      <c r="P44" s="125"/>
      <c r="Q44" s="125"/>
    </row>
    <row r="45" spans="1:17" x14ac:dyDescent="0.2">
      <c r="A45" s="6"/>
      <c r="B45" s="9"/>
      <c r="C45" s="1" t="s">
        <v>7</v>
      </c>
      <c r="D45" s="9"/>
      <c r="F45" s="5"/>
      <c r="G45" s="6"/>
      <c r="H45" s="5"/>
      <c r="I45" s="137"/>
      <c r="J45" s="137"/>
      <c r="K45" s="137"/>
      <c r="L45" s="137"/>
      <c r="M45" s="137"/>
      <c r="N45" s="125"/>
      <c r="O45" s="137"/>
      <c r="P45" s="125"/>
      <c r="Q45" s="137"/>
    </row>
    <row r="46" spans="1:17" x14ac:dyDescent="0.2">
      <c r="A46" s="6">
        <f>MAX(A$12:A45)+1</f>
        <v>23</v>
      </c>
      <c r="B46" s="9"/>
      <c r="C46" s="9"/>
      <c r="D46" s="9"/>
      <c r="E46" s="14" t="s">
        <v>85</v>
      </c>
      <c r="F46" s="14"/>
      <c r="G46" s="252" t="s">
        <v>767</v>
      </c>
      <c r="H46" s="14"/>
      <c r="I46" s="253">
        <v>133.47154003244088</v>
      </c>
      <c r="J46" s="253"/>
      <c r="K46" s="253">
        <f>M46-I46</f>
        <v>366.52845996755912</v>
      </c>
      <c r="L46" s="253"/>
      <c r="M46" s="253">
        <v>500</v>
      </c>
      <c r="N46" s="253"/>
      <c r="O46" s="253">
        <v>500</v>
      </c>
      <c r="P46" s="125"/>
      <c r="Q46" s="253">
        <v>0</v>
      </c>
    </row>
    <row r="47" spans="1:17" x14ac:dyDescent="0.2">
      <c r="A47" s="6">
        <f>MAX(A$12:A46)+1</f>
        <v>24</v>
      </c>
      <c r="B47" s="9"/>
      <c r="C47" s="9"/>
      <c r="D47" s="9"/>
      <c r="E47" s="14" t="s">
        <v>240</v>
      </c>
      <c r="F47" s="14"/>
      <c r="G47" s="252" t="s">
        <v>760</v>
      </c>
      <c r="H47" s="14"/>
      <c r="I47" s="147">
        <v>39.612916581984031</v>
      </c>
      <c r="J47" s="121"/>
      <c r="K47" s="147">
        <f>M47-I47</f>
        <v>3.4399827949434538</v>
      </c>
      <c r="L47" s="125"/>
      <c r="M47" s="147">
        <v>43.052899376927485</v>
      </c>
      <c r="N47" s="125"/>
      <c r="O47" s="147">
        <v>43.052899376927485</v>
      </c>
      <c r="P47" s="125"/>
      <c r="Q47" s="147">
        <v>0</v>
      </c>
    </row>
    <row r="48" spans="1:17" x14ac:dyDescent="0.2">
      <c r="A48" s="6">
        <f>MAX(A$12:A47)+1</f>
        <v>25</v>
      </c>
      <c r="B48" s="9"/>
      <c r="C48" s="9"/>
      <c r="D48" s="9"/>
      <c r="E48" s="14" t="s">
        <v>239</v>
      </c>
      <c r="F48" s="14"/>
      <c r="G48" s="252" t="s">
        <v>760</v>
      </c>
      <c r="H48" s="14"/>
      <c r="I48" s="147">
        <v>1.3911865832852905</v>
      </c>
      <c r="J48" s="121"/>
      <c r="K48" s="147">
        <f>M48-I48</f>
        <v>-1.0014077713915146</v>
      </c>
      <c r="L48" s="125"/>
      <c r="M48" s="147">
        <v>0.38977881189377589</v>
      </c>
      <c r="N48" s="125"/>
      <c r="O48" s="147">
        <v>0</v>
      </c>
      <c r="P48" s="125"/>
      <c r="Q48" s="147">
        <v>0.38977881189377589</v>
      </c>
    </row>
    <row r="49" spans="1:17" x14ac:dyDescent="0.2">
      <c r="A49" s="6"/>
      <c r="B49" s="9"/>
      <c r="C49" s="9"/>
      <c r="D49" s="9"/>
      <c r="E49" s="14"/>
      <c r="F49" s="14"/>
      <c r="G49" s="6"/>
      <c r="H49" s="14"/>
      <c r="I49" s="147"/>
      <c r="J49" s="121"/>
      <c r="K49" s="147"/>
      <c r="L49" s="125"/>
      <c r="M49" s="147"/>
      <c r="N49" s="125"/>
      <c r="O49" s="147"/>
      <c r="P49" s="125"/>
      <c r="Q49" s="147"/>
    </row>
    <row r="50" spans="1:17" x14ac:dyDescent="0.2">
      <c r="C50" s="9"/>
      <c r="D50" s="9"/>
      <c r="E50" s="14" t="s">
        <v>87</v>
      </c>
      <c r="F50" s="14"/>
      <c r="G50" s="6"/>
      <c r="H50" s="14"/>
      <c r="I50" s="147"/>
      <c r="J50" s="121"/>
      <c r="K50" s="126"/>
      <c r="L50" s="125"/>
      <c r="M50" s="126"/>
      <c r="N50" s="125"/>
      <c r="O50" s="126"/>
      <c r="P50" s="125"/>
      <c r="Q50" s="126"/>
    </row>
    <row r="51" spans="1:17" x14ac:dyDescent="0.2">
      <c r="A51" s="6">
        <f>MAX(A$12:A50)+1</f>
        <v>26</v>
      </c>
      <c r="B51" s="9"/>
      <c r="E51" s="38" t="s">
        <v>64</v>
      </c>
      <c r="F51" s="38"/>
      <c r="G51" s="252" t="s">
        <v>760</v>
      </c>
      <c r="H51" s="38"/>
      <c r="I51" s="147">
        <v>3.9267459704927896</v>
      </c>
      <c r="J51" s="121"/>
      <c r="K51" s="147">
        <f>M51-I51</f>
        <v>-2.591106281159524</v>
      </c>
      <c r="L51" s="125"/>
      <c r="M51" s="147">
        <v>1.3356396893332654</v>
      </c>
      <c r="N51" s="125"/>
      <c r="O51" s="147">
        <v>-5.9073231864226271E-2</v>
      </c>
      <c r="P51" s="267"/>
      <c r="Q51" s="147">
        <v>1.3947129211974916</v>
      </c>
    </row>
    <row r="52" spans="1:17" x14ac:dyDescent="0.2">
      <c r="A52" s="6">
        <f>MAX(A$12:A51)+1</f>
        <v>27</v>
      </c>
      <c r="B52" s="9"/>
      <c r="C52" s="9"/>
      <c r="D52" s="9"/>
      <c r="E52" s="38" t="s">
        <v>65</v>
      </c>
      <c r="F52" s="38"/>
      <c r="G52" s="252" t="s">
        <v>760</v>
      </c>
      <c r="H52" s="38"/>
      <c r="I52" s="147">
        <v>0.96971998004937487</v>
      </c>
      <c r="J52" s="121"/>
      <c r="K52" s="147">
        <f>M52-I52</f>
        <v>0.3659197092838905</v>
      </c>
      <c r="L52" s="137"/>
      <c r="M52" s="147">
        <v>1.3356396893332654</v>
      </c>
      <c r="N52" s="125"/>
      <c r="O52" s="147">
        <v>-5.9073231864226271E-2</v>
      </c>
      <c r="P52" s="267"/>
      <c r="Q52" s="147">
        <v>1.3947129211974916</v>
      </c>
    </row>
    <row r="53" spans="1:17" x14ac:dyDescent="0.2">
      <c r="A53" s="6">
        <f>MAX(A$12:A52)+1</f>
        <v>28</v>
      </c>
      <c r="B53" s="9"/>
      <c r="C53" s="9"/>
      <c r="D53" s="9"/>
      <c r="E53" s="38" t="s">
        <v>66</v>
      </c>
      <c r="F53" s="38"/>
      <c r="G53" s="252" t="s">
        <v>760</v>
      </c>
      <c r="H53" s="38"/>
      <c r="I53" s="147">
        <v>3.9267459704927896</v>
      </c>
      <c r="J53" s="121"/>
      <c r="K53" s="147">
        <f>M53-I53</f>
        <v>-0.72913937566651477</v>
      </c>
      <c r="L53" s="137"/>
      <c r="M53" s="147">
        <v>3.1976065948262749</v>
      </c>
      <c r="N53" s="125"/>
      <c r="O53" s="147">
        <v>-5.9073231864226271E-2</v>
      </c>
      <c r="P53" s="267"/>
      <c r="Q53" s="147">
        <v>3.256679826690501</v>
      </c>
    </row>
    <row r="54" spans="1:17" x14ac:dyDescent="0.2">
      <c r="A54" s="6">
        <f>MAX(A$12:A53)+1</f>
        <v>29</v>
      </c>
      <c r="B54" s="9"/>
      <c r="C54" s="9"/>
      <c r="D54" s="9"/>
      <c r="E54" s="38" t="s">
        <v>67</v>
      </c>
      <c r="F54" s="38"/>
      <c r="G54" s="252" t="s">
        <v>760</v>
      </c>
      <c r="H54" s="38"/>
      <c r="I54" s="147">
        <v>0</v>
      </c>
      <c r="J54" s="121"/>
      <c r="K54" s="147">
        <f>M54-I54</f>
        <v>1.3356396893332654</v>
      </c>
      <c r="L54" s="137"/>
      <c r="M54" s="147">
        <v>1.3356396893332654</v>
      </c>
      <c r="N54" s="125"/>
      <c r="O54" s="147">
        <v>-5.9073231864226271E-2</v>
      </c>
      <c r="P54" s="267"/>
      <c r="Q54" s="147">
        <v>1.3947129211974916</v>
      </c>
    </row>
    <row r="55" spans="1:17" x14ac:dyDescent="0.2">
      <c r="A55" s="6"/>
      <c r="B55" s="9"/>
      <c r="C55" s="9"/>
      <c r="D55" s="9"/>
      <c r="E55" s="14"/>
      <c r="F55" s="14"/>
      <c r="G55" s="6"/>
      <c r="H55" s="14"/>
      <c r="I55" s="147"/>
      <c r="J55" s="121"/>
      <c r="K55" s="147"/>
      <c r="L55" s="125"/>
      <c r="M55" s="147"/>
      <c r="N55" s="125"/>
      <c r="O55" s="147"/>
      <c r="P55" s="267"/>
      <c r="Q55" s="147"/>
    </row>
    <row r="56" spans="1:17" x14ac:dyDescent="0.2">
      <c r="A56" s="6">
        <f>MAX(A$12:A55)+1</f>
        <v>30</v>
      </c>
      <c r="B56" s="9"/>
      <c r="C56" s="9"/>
      <c r="D56" s="9"/>
      <c r="E56" s="14" t="s">
        <v>167</v>
      </c>
      <c r="F56" s="14"/>
      <c r="G56" s="252" t="s">
        <v>760</v>
      </c>
      <c r="H56" s="14"/>
      <c r="I56" s="147">
        <v>18.400811234906183</v>
      </c>
      <c r="J56" s="121"/>
      <c r="K56" s="147">
        <f>M56-I56</f>
        <v>2.5025909461746387</v>
      </c>
      <c r="L56" s="125"/>
      <c r="M56" s="147">
        <v>20.903402181080821</v>
      </c>
      <c r="N56" s="125"/>
      <c r="O56" s="147">
        <v>0.15408160302151921</v>
      </c>
      <c r="P56" s="267"/>
      <c r="Q56" s="147">
        <v>20.749320578059301</v>
      </c>
    </row>
    <row r="57" spans="1:17" x14ac:dyDescent="0.2">
      <c r="A57" s="6"/>
      <c r="B57" s="9"/>
      <c r="C57" s="9"/>
      <c r="D57" s="9"/>
      <c r="E57" s="14"/>
      <c r="F57" s="14"/>
      <c r="G57" s="6"/>
      <c r="H57" s="14"/>
      <c r="I57" s="43"/>
      <c r="J57" s="15"/>
      <c r="K57" s="43"/>
      <c r="M57" s="43"/>
      <c r="O57" s="43"/>
      <c r="Q57" s="43"/>
    </row>
    <row r="58" spans="1:17" x14ac:dyDescent="0.2">
      <c r="A58" s="6"/>
      <c r="B58" s="9"/>
      <c r="C58" s="1" t="s">
        <v>8</v>
      </c>
      <c r="D58" s="9"/>
      <c r="F58" s="5"/>
      <c r="G58" s="6"/>
      <c r="H58" s="5"/>
      <c r="I58" s="137"/>
      <c r="J58" s="137"/>
      <c r="K58" s="137"/>
      <c r="L58" s="137"/>
      <c r="M58" s="137"/>
      <c r="O58" s="6"/>
      <c r="Q58" s="6"/>
    </row>
    <row r="59" spans="1:17" x14ac:dyDescent="0.2">
      <c r="A59" s="6">
        <f>MAX(A$12:A58)+1</f>
        <v>31</v>
      </c>
      <c r="C59" s="9"/>
      <c r="D59" s="9"/>
      <c r="E59" s="14" t="s">
        <v>85</v>
      </c>
      <c r="F59" s="14"/>
      <c r="G59" s="252" t="s">
        <v>767</v>
      </c>
      <c r="H59" s="14"/>
      <c r="I59" s="253">
        <v>642.54715571555448</v>
      </c>
      <c r="J59" s="253"/>
      <c r="K59" s="253">
        <f>M59-I59</f>
        <v>-142.54715571555448</v>
      </c>
      <c r="L59" s="253"/>
      <c r="M59" s="253">
        <v>500</v>
      </c>
      <c r="N59" s="253"/>
      <c r="O59" s="253">
        <v>500</v>
      </c>
      <c r="P59" s="125"/>
      <c r="Q59" s="253">
        <v>0</v>
      </c>
    </row>
    <row r="60" spans="1:17" x14ac:dyDescent="0.2">
      <c r="A60" s="6">
        <f>MAX(A$12:A59)+1</f>
        <v>32</v>
      </c>
      <c r="C60" s="9"/>
      <c r="D60" s="9"/>
      <c r="E60" s="14" t="s">
        <v>240</v>
      </c>
      <c r="F60" s="14"/>
      <c r="G60" s="252" t="s">
        <v>766</v>
      </c>
      <c r="H60" s="14"/>
      <c r="I60" s="147">
        <v>25.39395049703483</v>
      </c>
      <c r="J60" s="121"/>
      <c r="K60" s="147">
        <f>M60-I60</f>
        <v>21.525667795736283</v>
      </c>
      <c r="L60" s="125"/>
      <c r="M60" s="147">
        <v>46.919618292771112</v>
      </c>
      <c r="O60" s="147">
        <v>46.919618292771112</v>
      </c>
      <c r="P60" s="125"/>
      <c r="Q60" s="147">
        <v>0</v>
      </c>
    </row>
    <row r="61" spans="1:17" x14ac:dyDescent="0.2">
      <c r="A61" s="6"/>
      <c r="B61" s="9"/>
      <c r="C61" s="9"/>
      <c r="D61" s="9"/>
      <c r="E61" s="14" t="s">
        <v>239</v>
      </c>
      <c r="F61" s="14"/>
      <c r="G61" s="6"/>
      <c r="H61" s="14"/>
      <c r="I61" s="147"/>
      <c r="J61" s="121"/>
      <c r="K61" s="147"/>
      <c r="L61" s="137"/>
      <c r="M61" s="147"/>
      <c r="O61" s="147"/>
      <c r="P61" s="125"/>
      <c r="Q61" s="147"/>
    </row>
    <row r="62" spans="1:17" x14ac:dyDescent="0.2">
      <c r="A62" s="6">
        <f>MAX(A$12:A61)+1</f>
        <v>33</v>
      </c>
      <c r="B62" s="9"/>
      <c r="C62" s="9"/>
      <c r="D62" s="9"/>
      <c r="E62" s="38" t="s">
        <v>84</v>
      </c>
      <c r="F62" s="38"/>
      <c r="G62" s="252" t="s">
        <v>760</v>
      </c>
      <c r="H62" s="38"/>
      <c r="I62" s="147">
        <v>1.2849074991112632</v>
      </c>
      <c r="J62" s="121"/>
      <c r="K62" s="147">
        <f>M62-I62</f>
        <v>-0.93125447336118716</v>
      </c>
      <c r="L62" s="137"/>
      <c r="M62" s="147">
        <v>0.35365302575007607</v>
      </c>
      <c r="O62" s="147">
        <v>0</v>
      </c>
      <c r="P62" s="125"/>
      <c r="Q62" s="147">
        <v>0.35365302575007607</v>
      </c>
    </row>
    <row r="63" spans="1:17" x14ac:dyDescent="0.2">
      <c r="A63" s="6">
        <f>MAX(A$12:A62)+1</f>
        <v>34</v>
      </c>
      <c r="B63" s="9"/>
      <c r="C63" s="9"/>
      <c r="D63" s="9"/>
      <c r="E63" s="38" t="s">
        <v>83</v>
      </c>
      <c r="F63" s="38"/>
      <c r="G63" s="252" t="s">
        <v>760</v>
      </c>
      <c r="H63" s="38"/>
      <c r="I63" s="147">
        <v>1.1169335548991728</v>
      </c>
      <c r="J63" s="121"/>
      <c r="K63" s="147">
        <f>M63-I63</f>
        <v>-0.76328052914909672</v>
      </c>
      <c r="L63" s="137"/>
      <c r="M63" s="147">
        <v>0.35365302575007607</v>
      </c>
      <c r="O63" s="147">
        <v>0</v>
      </c>
      <c r="P63" s="125"/>
      <c r="Q63" s="147">
        <v>0.35365302575007607</v>
      </c>
    </row>
    <row r="64" spans="1:17" x14ac:dyDescent="0.2">
      <c r="A64" s="6"/>
      <c r="B64" s="9"/>
      <c r="G64" s="6"/>
      <c r="I64" s="147"/>
      <c r="J64" s="121"/>
      <c r="K64" s="147"/>
      <c r="L64" s="125"/>
      <c r="M64" s="147"/>
      <c r="O64" s="147"/>
      <c r="P64" s="125"/>
      <c r="Q64" s="147"/>
    </row>
    <row r="65" spans="1:17" x14ac:dyDescent="0.2">
      <c r="A65" s="6"/>
      <c r="B65" s="9"/>
      <c r="C65" s="9"/>
      <c r="D65" s="9"/>
      <c r="E65" s="14" t="s">
        <v>87</v>
      </c>
      <c r="F65" s="14"/>
      <c r="G65" s="6"/>
      <c r="H65" s="14"/>
      <c r="I65" s="147"/>
      <c r="J65" s="121"/>
      <c r="K65" s="126"/>
      <c r="L65" s="125"/>
      <c r="M65" s="126"/>
      <c r="O65" s="126"/>
      <c r="P65" s="125"/>
      <c r="Q65" s="126"/>
    </row>
    <row r="66" spans="1:17" x14ac:dyDescent="0.2">
      <c r="A66" s="6">
        <f>MAX(A$12:A65)+1</f>
        <v>35</v>
      </c>
      <c r="B66" s="9"/>
      <c r="C66" s="9"/>
      <c r="D66" s="9"/>
      <c r="E66" s="38" t="s">
        <v>64</v>
      </c>
      <c r="F66" s="38"/>
      <c r="G66" s="252" t="s">
        <v>760</v>
      </c>
      <c r="H66" s="38"/>
      <c r="I66" s="147">
        <v>3.9267443867607112</v>
      </c>
      <c r="J66" s="121"/>
      <c r="K66" s="147">
        <f>M66-I66</f>
        <v>-2.7256818982590443</v>
      </c>
      <c r="L66" s="125"/>
      <c r="M66" s="147">
        <v>1.201062488501667</v>
      </c>
      <c r="O66" s="147">
        <v>-5.2662435232830859E-2</v>
      </c>
      <c r="P66" s="267"/>
      <c r="Q66" s="147">
        <v>1.2537249237344978</v>
      </c>
    </row>
    <row r="67" spans="1:17" x14ac:dyDescent="0.2">
      <c r="A67" s="6">
        <f>MAX(A$12:A66)+1</f>
        <v>36</v>
      </c>
      <c r="B67" s="9"/>
      <c r="C67" s="9"/>
      <c r="D67" s="9"/>
      <c r="E67" s="38" t="s">
        <v>65</v>
      </c>
      <c r="F67" s="38"/>
      <c r="G67" s="252" t="s">
        <v>760</v>
      </c>
      <c r="H67" s="38"/>
      <c r="I67" s="147">
        <v>0.96972039724946102</v>
      </c>
      <c r="J67" s="121"/>
      <c r="K67" s="147">
        <f>M67-I67</f>
        <v>0.23134209125220595</v>
      </c>
      <c r="L67" s="137"/>
      <c r="M67" s="147">
        <v>1.201062488501667</v>
      </c>
      <c r="O67" s="147">
        <v>-5.2662435232830859E-2</v>
      </c>
      <c r="P67" s="267"/>
      <c r="Q67" s="147">
        <v>1.2537249237344978</v>
      </c>
    </row>
    <row r="68" spans="1:17" x14ac:dyDescent="0.2">
      <c r="A68" s="6">
        <f>MAX(A$12:A67)+1</f>
        <v>37</v>
      </c>
      <c r="B68" s="9"/>
      <c r="C68" s="9"/>
      <c r="D68" s="9"/>
      <c r="E68" s="38" t="s">
        <v>66</v>
      </c>
      <c r="F68" s="38"/>
      <c r="G68" s="252" t="s">
        <v>760</v>
      </c>
      <c r="H68" s="38"/>
      <c r="I68" s="147">
        <v>3.9267443867607112</v>
      </c>
      <c r="J68" s="121"/>
      <c r="K68" s="147">
        <f>M68-I68</f>
        <v>-0.86371499276603503</v>
      </c>
      <c r="L68" s="137"/>
      <c r="M68" s="147">
        <v>3.0630293939946762</v>
      </c>
      <c r="O68" s="147">
        <v>-5.2662435232830859E-2</v>
      </c>
      <c r="P68" s="267"/>
      <c r="Q68" s="147">
        <v>3.1156918292275071</v>
      </c>
    </row>
    <row r="69" spans="1:17" x14ac:dyDescent="0.2">
      <c r="A69" s="6">
        <f>MAX(A$12:A68)+1</f>
        <v>38</v>
      </c>
      <c r="B69" s="9"/>
      <c r="C69" s="9"/>
      <c r="D69" s="9"/>
      <c r="E69" s="38" t="s">
        <v>67</v>
      </c>
      <c r="F69" s="38"/>
      <c r="G69" s="252" t="s">
        <v>760</v>
      </c>
      <c r="H69" s="38"/>
      <c r="I69" s="147">
        <v>0</v>
      </c>
      <c r="J69" s="121"/>
      <c r="K69" s="147">
        <f>M69-I69</f>
        <v>1.201062488501667</v>
      </c>
      <c r="L69" s="137"/>
      <c r="M69" s="147">
        <v>1.201062488501667</v>
      </c>
      <c r="O69" s="147">
        <v>-5.2662435232830859E-2</v>
      </c>
      <c r="P69" s="267"/>
      <c r="Q69" s="147">
        <v>1.2537249237344978</v>
      </c>
    </row>
    <row r="70" spans="1:17" x14ac:dyDescent="0.2">
      <c r="C70" s="9"/>
      <c r="D70" s="9"/>
      <c r="E70" s="14"/>
      <c r="F70" s="14"/>
      <c r="G70" s="6"/>
      <c r="H70" s="14"/>
      <c r="I70" s="147"/>
      <c r="J70" s="121"/>
      <c r="K70" s="147"/>
      <c r="L70" s="125"/>
      <c r="M70" s="147"/>
      <c r="O70" s="147"/>
      <c r="P70" s="267"/>
      <c r="Q70" s="147"/>
    </row>
    <row r="71" spans="1:17" x14ac:dyDescent="0.2">
      <c r="A71" s="6">
        <f>MAX(A$12:A70)+1</f>
        <v>39</v>
      </c>
      <c r="B71" s="9"/>
      <c r="E71" s="14" t="s">
        <v>167</v>
      </c>
      <c r="F71" s="14"/>
      <c r="G71" s="252" t="s">
        <v>760</v>
      </c>
      <c r="H71" s="14"/>
      <c r="I71" s="147">
        <v>18.339431448884856</v>
      </c>
      <c r="J71" s="121"/>
      <c r="K71" s="147">
        <f>M71-I71</f>
        <v>2.5639707321959655</v>
      </c>
      <c r="L71" s="125"/>
      <c r="M71" s="147">
        <v>20.903402181080821</v>
      </c>
      <c r="O71" s="147">
        <v>0.15408160302151921</v>
      </c>
      <c r="P71" s="267"/>
      <c r="Q71" s="147">
        <v>20.749320578059301</v>
      </c>
    </row>
    <row r="72" spans="1:17" x14ac:dyDescent="0.2">
      <c r="A72" s="6"/>
      <c r="B72" s="9"/>
      <c r="C72" s="9"/>
      <c r="D72" s="9"/>
    </row>
    <row r="73" spans="1:17" x14ac:dyDescent="0.2">
      <c r="A73" s="6"/>
      <c r="B73" s="9"/>
      <c r="C73" s="1" t="s">
        <v>9</v>
      </c>
      <c r="D73" s="9"/>
      <c r="F73" s="5"/>
      <c r="G73" s="6"/>
      <c r="H73" s="5"/>
      <c r="I73" s="137"/>
      <c r="J73" s="137"/>
      <c r="K73" s="137"/>
      <c r="L73" s="137"/>
      <c r="M73" s="137"/>
      <c r="O73" s="137"/>
      <c r="P73" s="125"/>
      <c r="Q73" s="137"/>
    </row>
    <row r="74" spans="1:17" x14ac:dyDescent="0.2">
      <c r="A74" s="6">
        <f>MAX(A$12:A73)+1</f>
        <v>40</v>
      </c>
      <c r="B74" s="9"/>
      <c r="C74" s="9"/>
      <c r="D74" s="9"/>
      <c r="E74" s="14" t="s">
        <v>85</v>
      </c>
      <c r="F74" s="14"/>
      <c r="G74" s="252" t="s">
        <v>767</v>
      </c>
      <c r="H74" s="14"/>
      <c r="I74" s="253">
        <v>681.10851778541416</v>
      </c>
      <c r="J74" s="121"/>
      <c r="K74" s="253">
        <f>M74-I74</f>
        <v>-181.10851778541416</v>
      </c>
      <c r="L74" s="125"/>
      <c r="M74" s="253">
        <v>500</v>
      </c>
      <c r="N74" s="125"/>
      <c r="O74" s="253">
        <v>500</v>
      </c>
      <c r="P74" s="399"/>
      <c r="Q74" s="253">
        <v>0</v>
      </c>
    </row>
    <row r="75" spans="1:17" x14ac:dyDescent="0.2">
      <c r="A75" s="6">
        <f>MAX(A$12:A74)+1</f>
        <v>41</v>
      </c>
      <c r="B75" s="9"/>
      <c r="C75" s="9"/>
      <c r="D75" s="9"/>
      <c r="E75" s="14" t="s">
        <v>240</v>
      </c>
      <c r="F75" s="14"/>
      <c r="G75" s="252" t="s">
        <v>766</v>
      </c>
      <c r="H75" s="14"/>
      <c r="I75" s="147">
        <v>27.124262553809189</v>
      </c>
      <c r="J75" s="121"/>
      <c r="K75" s="147">
        <f>M75-I75</f>
        <v>9.8178429934163489</v>
      </c>
      <c r="L75" s="125"/>
      <c r="M75" s="147">
        <v>36.942105547225538</v>
      </c>
      <c r="O75" s="147">
        <v>36.942105547225538</v>
      </c>
      <c r="P75" s="125"/>
      <c r="Q75" s="147">
        <v>0</v>
      </c>
    </row>
    <row r="76" spans="1:17" x14ac:dyDescent="0.2">
      <c r="C76" s="9"/>
      <c r="D76" s="9"/>
      <c r="E76" s="14" t="s">
        <v>239</v>
      </c>
      <c r="F76" s="14"/>
      <c r="G76" s="6"/>
      <c r="H76" s="14"/>
      <c r="I76" s="147"/>
      <c r="J76" s="121"/>
      <c r="K76" s="147"/>
      <c r="L76" s="137"/>
      <c r="M76" s="147"/>
      <c r="O76" s="147"/>
      <c r="P76" s="125"/>
      <c r="Q76" s="147"/>
    </row>
    <row r="77" spans="1:17" x14ac:dyDescent="0.2">
      <c r="A77" s="6">
        <f>MAX(A$12:A76)+1</f>
        <v>42</v>
      </c>
      <c r="B77" s="9"/>
      <c r="C77" s="9"/>
      <c r="D77" s="9"/>
      <c r="E77" s="38" t="s">
        <v>84</v>
      </c>
      <c r="F77" s="38"/>
      <c r="G77" s="252" t="s">
        <v>760</v>
      </c>
      <c r="H77" s="38"/>
      <c r="I77" s="147">
        <v>0.76557096578015116</v>
      </c>
      <c r="J77" s="121"/>
      <c r="K77" s="147">
        <f>M77-I77</f>
        <v>-0.48056159393941444</v>
      </c>
      <c r="L77" s="137"/>
      <c r="M77" s="147">
        <v>0.28500937184073671</v>
      </c>
      <c r="O77" s="147">
        <v>0</v>
      </c>
      <c r="P77" s="267"/>
      <c r="Q77" s="147">
        <v>0.28500937184073671</v>
      </c>
    </row>
    <row r="78" spans="1:17" x14ac:dyDescent="0.2">
      <c r="A78" s="6">
        <f>MAX(A$12:A77)+1</f>
        <v>43</v>
      </c>
      <c r="B78" s="9"/>
      <c r="C78" s="9"/>
      <c r="D78" s="9"/>
      <c r="E78" s="38" t="s">
        <v>83</v>
      </c>
      <c r="F78" s="38"/>
      <c r="G78" s="252" t="s">
        <v>760</v>
      </c>
      <c r="H78" s="38"/>
      <c r="I78" s="147">
        <v>0.66308435905839858</v>
      </c>
      <c r="J78" s="121"/>
      <c r="K78" s="147">
        <f>M78-I78</f>
        <v>-0.37807498721766186</v>
      </c>
      <c r="L78" s="137"/>
      <c r="M78" s="147">
        <v>0.28500937184073671</v>
      </c>
      <c r="O78" s="147">
        <v>0</v>
      </c>
      <c r="P78" s="267"/>
      <c r="Q78" s="147">
        <v>0.28500937184073671</v>
      </c>
    </row>
    <row r="79" spans="1:17" x14ac:dyDescent="0.2">
      <c r="A79" s="6"/>
      <c r="B79" s="9"/>
      <c r="C79" s="9"/>
      <c r="D79" s="9"/>
      <c r="E79" s="14"/>
      <c r="F79" s="14"/>
      <c r="G79" s="6"/>
      <c r="H79" s="14"/>
      <c r="I79" s="147"/>
      <c r="J79" s="121"/>
      <c r="K79" s="147"/>
      <c r="L79" s="125"/>
      <c r="M79" s="147"/>
      <c r="O79" s="147"/>
      <c r="P79" s="125"/>
      <c r="Q79" s="147"/>
    </row>
    <row r="80" spans="1:17" x14ac:dyDescent="0.2">
      <c r="C80" s="9"/>
      <c r="D80" s="9"/>
      <c r="E80" s="14" t="s">
        <v>87</v>
      </c>
      <c r="F80" s="14"/>
      <c r="G80" s="6"/>
      <c r="H80" s="14"/>
      <c r="I80" s="147"/>
      <c r="J80" s="121"/>
      <c r="K80" s="126"/>
      <c r="L80" s="125"/>
      <c r="M80" s="126"/>
      <c r="O80" s="126"/>
      <c r="P80" s="125"/>
      <c r="Q80" s="126"/>
    </row>
    <row r="81" spans="1:17" x14ac:dyDescent="0.2">
      <c r="A81" s="6">
        <f>MAX(A$12:A80)+1</f>
        <v>44</v>
      </c>
      <c r="B81" s="9"/>
      <c r="C81" s="9"/>
      <c r="D81" s="9"/>
      <c r="E81" s="38" t="s">
        <v>64</v>
      </c>
      <c r="F81" s="38"/>
      <c r="G81" s="252" t="s">
        <v>760</v>
      </c>
      <c r="H81" s="38"/>
      <c r="I81" s="147">
        <v>3.9267453785808999</v>
      </c>
      <c r="J81" s="121"/>
      <c r="K81" s="147">
        <f>M81-I81</f>
        <v>-3.0068935376609933</v>
      </c>
      <c r="L81" s="125"/>
      <c r="M81" s="147">
        <v>0.91985184091990657</v>
      </c>
      <c r="O81" s="147">
        <v>-3.9266523209988607E-2</v>
      </c>
      <c r="P81" s="267"/>
      <c r="Q81" s="147">
        <v>0.95911836412989515</v>
      </c>
    </row>
    <row r="82" spans="1:17" x14ac:dyDescent="0.2">
      <c r="A82" s="6">
        <f>MAX(A$12:A81)+1</f>
        <v>45</v>
      </c>
      <c r="B82" s="9"/>
      <c r="E82" s="38" t="s">
        <v>65</v>
      </c>
      <c r="F82" s="38"/>
      <c r="G82" s="252" t="s">
        <v>760</v>
      </c>
      <c r="H82" s="38"/>
      <c r="I82" s="147">
        <v>0.96972045424185205</v>
      </c>
      <c r="J82" s="121"/>
      <c r="K82" s="147">
        <f>M82-I82</f>
        <v>-4.9868613321945476E-2</v>
      </c>
      <c r="L82" s="137"/>
      <c r="M82" s="147">
        <v>0.91985184091990657</v>
      </c>
      <c r="O82" s="147">
        <v>-3.9266523209988607E-2</v>
      </c>
      <c r="P82" s="267"/>
      <c r="Q82" s="147">
        <v>0.95911836412989515</v>
      </c>
    </row>
    <row r="83" spans="1:17" x14ac:dyDescent="0.2">
      <c r="A83" s="6">
        <f>MAX(A$12:A82)+1</f>
        <v>46</v>
      </c>
      <c r="B83" s="9"/>
      <c r="C83" s="9"/>
      <c r="D83" s="9"/>
      <c r="E83" s="38" t="s">
        <v>66</v>
      </c>
      <c r="F83" s="38"/>
      <c r="G83" s="252" t="s">
        <v>760</v>
      </c>
      <c r="H83" s="38"/>
      <c r="I83" s="147">
        <v>3.9267453785808999</v>
      </c>
      <c r="J83" s="121"/>
      <c r="K83" s="147">
        <f>M83-I83</f>
        <v>-1.1449266321679841</v>
      </c>
      <c r="L83" s="137"/>
      <c r="M83" s="147">
        <v>2.7818187464129158</v>
      </c>
      <c r="O83" s="147">
        <v>-3.9266523209988607E-2</v>
      </c>
      <c r="P83" s="267"/>
      <c r="Q83" s="147">
        <v>2.8210852696229045</v>
      </c>
    </row>
    <row r="84" spans="1:17" x14ac:dyDescent="0.2">
      <c r="A84" s="6">
        <f>MAX(A$12:A83)+1</f>
        <v>47</v>
      </c>
      <c r="B84" s="9"/>
      <c r="C84" s="9"/>
      <c r="D84" s="9"/>
      <c r="E84" s="38" t="s">
        <v>67</v>
      </c>
      <c r="F84" s="38"/>
      <c r="G84" s="252" t="s">
        <v>760</v>
      </c>
      <c r="H84" s="38"/>
      <c r="I84" s="147">
        <v>0</v>
      </c>
      <c r="J84" s="121"/>
      <c r="K84" s="147">
        <f>M84-I84</f>
        <v>0.91985184091990657</v>
      </c>
      <c r="L84" s="137"/>
      <c r="M84" s="147">
        <v>0.91985184091990657</v>
      </c>
      <c r="O84" s="147">
        <v>-3.9266523209988607E-2</v>
      </c>
      <c r="P84" s="267"/>
      <c r="Q84" s="147">
        <v>0.95911836412989515</v>
      </c>
    </row>
    <row r="85" spans="1:17" x14ac:dyDescent="0.2">
      <c r="A85" s="6"/>
      <c r="B85" s="9"/>
      <c r="C85" s="9"/>
      <c r="D85" s="9"/>
      <c r="E85" s="14"/>
      <c r="F85" s="14"/>
      <c r="G85" s="6"/>
      <c r="H85" s="14"/>
      <c r="I85" s="147"/>
      <c r="J85" s="121"/>
      <c r="K85" s="147"/>
      <c r="L85" s="125"/>
      <c r="M85" s="147"/>
      <c r="O85" s="147"/>
      <c r="P85" s="267"/>
      <c r="Q85" s="147"/>
    </row>
    <row r="86" spans="1:17" x14ac:dyDescent="0.2">
      <c r="A86" s="6">
        <f>MAX(A$12:A85)+1</f>
        <v>48</v>
      </c>
      <c r="B86" s="9"/>
      <c r="C86" s="9"/>
      <c r="D86" s="9"/>
      <c r="E86" s="14" t="s">
        <v>167</v>
      </c>
      <c r="F86" s="14"/>
      <c r="G86" s="252" t="s">
        <v>760</v>
      </c>
      <c r="H86" s="14"/>
      <c r="I86" s="147">
        <v>18.339431448884856</v>
      </c>
      <c r="J86" s="121"/>
      <c r="K86" s="147">
        <f>M86-I86</f>
        <v>2.5639707321959655</v>
      </c>
      <c r="L86" s="125"/>
      <c r="M86" s="147">
        <v>20.903402181080821</v>
      </c>
      <c r="O86" s="147">
        <v>0.15408160302151921</v>
      </c>
      <c r="P86" s="267"/>
      <c r="Q86" s="147">
        <v>20.749320578059301</v>
      </c>
    </row>
    <row r="87" spans="1:17" x14ac:dyDescent="0.2">
      <c r="A87" s="6"/>
      <c r="B87" s="9"/>
      <c r="C87" s="9"/>
      <c r="D87" s="9"/>
      <c r="I87" s="125"/>
      <c r="J87" s="125"/>
      <c r="K87" s="125"/>
      <c r="L87" s="125"/>
      <c r="M87" s="125"/>
      <c r="O87" s="125"/>
      <c r="P87" s="125"/>
      <c r="Q87" s="125"/>
    </row>
    <row r="88" spans="1:17" x14ac:dyDescent="0.2">
      <c r="A88" s="6"/>
      <c r="B88" s="9"/>
      <c r="C88" s="1" t="s">
        <v>10</v>
      </c>
      <c r="D88" s="9"/>
      <c r="F88" s="5"/>
      <c r="G88" s="6"/>
      <c r="H88" s="5"/>
      <c r="I88" s="137"/>
      <c r="J88" s="137"/>
      <c r="K88" s="137"/>
      <c r="L88" s="137"/>
      <c r="M88" s="137"/>
      <c r="O88" s="137"/>
      <c r="P88" s="125"/>
      <c r="Q88" s="137"/>
    </row>
    <row r="89" spans="1:17" x14ac:dyDescent="0.2">
      <c r="A89" s="6">
        <f>MAX(A$12:A88)+1</f>
        <v>49</v>
      </c>
      <c r="B89" s="9"/>
      <c r="C89" s="9"/>
      <c r="D89" s="9"/>
      <c r="E89" s="14" t="s">
        <v>85</v>
      </c>
      <c r="F89" s="14"/>
      <c r="G89" s="252" t="s">
        <v>767</v>
      </c>
      <c r="H89" s="14"/>
      <c r="I89" s="253">
        <v>546.96967474977816</v>
      </c>
      <c r="J89" s="121"/>
      <c r="K89" s="253">
        <f>M89-I89</f>
        <v>2453.0303252502217</v>
      </c>
      <c r="L89" s="125"/>
      <c r="M89" s="253">
        <v>3000</v>
      </c>
      <c r="N89" s="125"/>
      <c r="O89" s="253">
        <v>3000</v>
      </c>
      <c r="P89" s="399"/>
      <c r="Q89" s="253">
        <v>0</v>
      </c>
    </row>
    <row r="90" spans="1:17" x14ac:dyDescent="0.2">
      <c r="A90" s="6">
        <f>MAX(A$12:A89)+1</f>
        <v>50</v>
      </c>
      <c r="B90" s="9"/>
      <c r="C90" s="9"/>
      <c r="D90" s="9"/>
      <c r="E90" s="14" t="s">
        <v>240</v>
      </c>
      <c r="F90" s="14"/>
      <c r="G90" s="252" t="s">
        <v>760</v>
      </c>
      <c r="H90" s="14"/>
      <c r="I90" s="147">
        <v>11.212672899678186</v>
      </c>
      <c r="J90" s="121"/>
      <c r="K90" s="147">
        <f>M90-I90</f>
        <v>-0.66298571699260833</v>
      </c>
      <c r="L90" s="125"/>
      <c r="M90" s="147">
        <v>10.549687182685577</v>
      </c>
      <c r="O90" s="147">
        <v>10.118841510164545</v>
      </c>
      <c r="P90" s="125"/>
      <c r="Q90" s="147">
        <v>0.43084567252103179</v>
      </c>
    </row>
    <row r="91" spans="1:17" x14ac:dyDescent="0.2">
      <c r="A91" s="6">
        <f>MAX(A$12:A90)+1</f>
        <v>51</v>
      </c>
      <c r="C91" s="9"/>
      <c r="D91" s="9"/>
      <c r="E91" s="14" t="s">
        <v>247</v>
      </c>
      <c r="F91" s="14"/>
      <c r="G91" s="11" t="s">
        <v>763</v>
      </c>
      <c r="H91" s="14"/>
      <c r="I91" s="251">
        <v>8.9999999999999993E-3</v>
      </c>
      <c r="J91" s="121"/>
      <c r="K91" s="249">
        <f>M91-I91</f>
        <v>-4.2899999999999995E-3</v>
      </c>
      <c r="L91" s="125"/>
      <c r="M91" s="251">
        <v>4.7099999999999998E-3</v>
      </c>
      <c r="O91" s="249">
        <v>0</v>
      </c>
      <c r="P91" s="125"/>
      <c r="Q91" s="249">
        <f>M91</f>
        <v>4.7099999999999998E-3</v>
      </c>
    </row>
    <row r="92" spans="1:17" x14ac:dyDescent="0.2">
      <c r="A92" s="6"/>
      <c r="B92" s="9"/>
      <c r="C92" s="9"/>
      <c r="D92" s="9"/>
      <c r="I92" s="125"/>
      <c r="J92" s="125"/>
      <c r="K92" s="125"/>
      <c r="L92" s="125"/>
      <c r="M92" s="125"/>
      <c r="O92" s="125"/>
      <c r="P92" s="125"/>
      <c r="Q92" s="125"/>
    </row>
    <row r="93" spans="1:17" x14ac:dyDescent="0.2">
      <c r="A93" s="555" t="s">
        <v>781</v>
      </c>
      <c r="B93" s="555"/>
      <c r="C93" s="555"/>
      <c r="D93" s="555"/>
      <c r="E93" s="555"/>
      <c r="F93" s="555"/>
      <c r="G93" s="555"/>
      <c r="H93" s="555"/>
      <c r="I93" s="555"/>
      <c r="J93" s="555"/>
      <c r="K93" s="555"/>
      <c r="L93" s="555"/>
      <c r="M93" s="555"/>
      <c r="N93" s="555"/>
      <c r="O93" s="555"/>
      <c r="P93" s="555"/>
      <c r="Q93" s="555"/>
    </row>
    <row r="94" spans="1:17" x14ac:dyDescent="0.2">
      <c r="A94" s="4" t="s">
        <v>937</v>
      </c>
      <c r="B94" s="2"/>
      <c r="C94" s="3"/>
      <c r="D94" s="3"/>
      <c r="E94" s="3"/>
      <c r="F94" s="3"/>
      <c r="G94" s="3"/>
      <c r="H94" s="3"/>
      <c r="I94" s="3"/>
      <c r="J94" s="3"/>
      <c r="K94" s="3"/>
      <c r="L94" s="3"/>
      <c r="M94" s="3"/>
      <c r="N94" s="3"/>
      <c r="O94" s="3"/>
      <c r="P94" s="3"/>
      <c r="Q94" s="3"/>
    </row>
    <row r="95" spans="1:17" x14ac:dyDescent="0.2">
      <c r="A95" s="4"/>
      <c r="B95" s="4"/>
      <c r="C95" s="4"/>
      <c r="D95" s="4"/>
      <c r="E95" s="4"/>
      <c r="F95" s="4"/>
      <c r="G95" s="4"/>
      <c r="H95" s="4"/>
      <c r="I95" s="4"/>
      <c r="J95" s="4"/>
      <c r="K95" s="4"/>
      <c r="L95" s="4"/>
      <c r="M95" s="4"/>
      <c r="N95" s="3"/>
      <c r="O95" s="3"/>
      <c r="P95" s="3"/>
      <c r="Q95" s="3"/>
    </row>
    <row r="96" spans="1:17" x14ac:dyDescent="0.2">
      <c r="A96" s="21"/>
      <c r="B96" s="21"/>
      <c r="C96" s="21"/>
      <c r="D96" s="21"/>
      <c r="E96" s="21"/>
      <c r="F96" s="21"/>
      <c r="G96" s="21"/>
      <c r="H96" s="21"/>
      <c r="O96" s="553" t="s">
        <v>398</v>
      </c>
      <c r="P96" s="553"/>
      <c r="Q96" s="553"/>
    </row>
    <row r="97" spans="1:17" x14ac:dyDescent="0.2">
      <c r="A97" s="2"/>
      <c r="B97" s="2"/>
      <c r="C97" s="2"/>
      <c r="D97" s="2"/>
      <c r="E97" s="2"/>
      <c r="F97" s="2"/>
      <c r="G97" s="2"/>
      <c r="H97" s="2"/>
      <c r="I97" s="2"/>
      <c r="J97" s="21"/>
      <c r="K97" s="3"/>
      <c r="M97" s="6"/>
      <c r="O97" s="554"/>
      <c r="P97" s="554"/>
      <c r="Q97" s="554"/>
    </row>
    <row r="98" spans="1:17" x14ac:dyDescent="0.2">
      <c r="A98" s="24" t="s">
        <v>0</v>
      </c>
      <c r="B98" s="24"/>
      <c r="C98" s="400" t="s">
        <v>349</v>
      </c>
      <c r="D98" s="24"/>
      <c r="E98" s="24"/>
      <c r="F98" s="24"/>
      <c r="G98" s="24"/>
      <c r="H98" s="24"/>
      <c r="I98" s="2" t="s">
        <v>238</v>
      </c>
      <c r="J98" s="24"/>
      <c r="L98" s="24"/>
      <c r="M98" s="6" t="s">
        <v>80</v>
      </c>
      <c r="N98" s="523"/>
      <c r="O98" s="523"/>
      <c r="P98" s="523"/>
      <c r="Q98" s="523"/>
    </row>
    <row r="99" spans="1:17" x14ac:dyDescent="0.2">
      <c r="A99" s="519" t="s">
        <v>1</v>
      </c>
      <c r="B99" s="9"/>
      <c r="C99" s="401" t="s">
        <v>1</v>
      </c>
      <c r="D99" s="9"/>
      <c r="E99" s="10" t="s">
        <v>33</v>
      </c>
      <c r="F99" s="9"/>
      <c r="G99" s="519" t="s">
        <v>48</v>
      </c>
      <c r="H99" s="9"/>
      <c r="I99" s="524" t="s">
        <v>236</v>
      </c>
      <c r="J99" s="6"/>
      <c r="K99" s="266" t="s">
        <v>37</v>
      </c>
      <c r="L99" s="6"/>
      <c r="M99" s="524" t="s">
        <v>62</v>
      </c>
      <c r="O99" s="210" t="s">
        <v>397</v>
      </c>
      <c r="Q99" s="210" t="s">
        <v>262</v>
      </c>
    </row>
    <row r="100" spans="1:17" x14ac:dyDescent="0.2">
      <c r="A100" s="6"/>
      <c r="B100" s="9"/>
      <c r="C100" s="9"/>
      <c r="D100" s="9"/>
      <c r="E100" s="9"/>
      <c r="F100" s="9"/>
      <c r="G100" s="6"/>
      <c r="H100" s="9"/>
      <c r="I100" s="6" t="s">
        <v>234</v>
      </c>
      <c r="J100" s="6"/>
      <c r="K100" s="11" t="s">
        <v>235</v>
      </c>
      <c r="L100" s="6"/>
      <c r="M100" s="6" t="s">
        <v>58</v>
      </c>
      <c r="O100" s="211" t="s">
        <v>263</v>
      </c>
      <c r="Q100" s="211" t="s">
        <v>63</v>
      </c>
    </row>
    <row r="101" spans="1:17" x14ac:dyDescent="0.2">
      <c r="A101" s="6"/>
      <c r="B101" s="9"/>
      <c r="I101" s="125"/>
      <c r="J101" s="125"/>
      <c r="K101" s="125"/>
      <c r="L101" s="125"/>
      <c r="M101" s="125"/>
      <c r="O101" s="125"/>
      <c r="P101" s="125"/>
      <c r="Q101" s="125"/>
    </row>
    <row r="102" spans="1:17" x14ac:dyDescent="0.2">
      <c r="A102" s="6"/>
      <c r="B102" s="9"/>
      <c r="C102" s="1" t="s">
        <v>11</v>
      </c>
      <c r="D102" s="9"/>
      <c r="F102" s="5"/>
      <c r="G102" s="6"/>
      <c r="H102" s="5"/>
      <c r="I102" s="137"/>
      <c r="J102" s="137"/>
      <c r="K102" s="137"/>
      <c r="L102" s="137"/>
      <c r="M102" s="137"/>
      <c r="O102" s="137"/>
      <c r="P102" s="125"/>
      <c r="Q102" s="137"/>
    </row>
    <row r="103" spans="1:17" x14ac:dyDescent="0.2">
      <c r="A103" s="6">
        <f>MAX(A$12:A102)+1</f>
        <v>52</v>
      </c>
      <c r="B103" s="9"/>
      <c r="C103" s="9"/>
      <c r="D103" s="9"/>
      <c r="E103" s="14" t="s">
        <v>85</v>
      </c>
      <c r="F103" s="14"/>
      <c r="G103" s="252" t="s">
        <v>767</v>
      </c>
      <c r="H103" s="14"/>
      <c r="I103" s="253">
        <v>125.890540340409</v>
      </c>
      <c r="J103" s="121"/>
      <c r="K103" s="253">
        <f>M103-I103</f>
        <v>374.10945965959098</v>
      </c>
      <c r="L103" s="125"/>
      <c r="M103" s="253">
        <v>500</v>
      </c>
      <c r="N103" s="125"/>
      <c r="O103" s="253">
        <v>500</v>
      </c>
      <c r="P103" s="399"/>
      <c r="Q103" s="253">
        <v>0</v>
      </c>
    </row>
    <row r="104" spans="1:17" x14ac:dyDescent="0.2">
      <c r="A104" s="6"/>
      <c r="B104" s="9"/>
      <c r="C104" s="9"/>
      <c r="D104" s="9"/>
      <c r="E104" s="14" t="s">
        <v>148</v>
      </c>
      <c r="F104" s="14"/>
      <c r="G104" s="6"/>
      <c r="H104" s="14"/>
      <c r="I104" s="147"/>
      <c r="J104" s="121"/>
      <c r="K104" s="147"/>
      <c r="L104" s="125"/>
      <c r="M104" s="147"/>
      <c r="O104" s="147"/>
      <c r="P104" s="125"/>
      <c r="Q104" s="147"/>
    </row>
    <row r="105" spans="1:17" x14ac:dyDescent="0.2">
      <c r="A105" s="6"/>
      <c r="B105" s="9"/>
      <c r="C105" s="9"/>
      <c r="D105" s="9"/>
      <c r="E105" s="14" t="s">
        <v>239</v>
      </c>
      <c r="F105" s="14"/>
      <c r="G105" s="6"/>
      <c r="H105" s="14"/>
      <c r="I105" s="147"/>
      <c r="J105" s="121"/>
      <c r="K105" s="147"/>
      <c r="L105" s="137"/>
      <c r="M105" s="147"/>
      <c r="O105" s="147"/>
      <c r="P105" s="125"/>
      <c r="Q105" s="147"/>
    </row>
    <row r="106" spans="1:17" x14ac:dyDescent="0.2">
      <c r="A106" s="6">
        <f>MAX(A$12:A105)+1</f>
        <v>53</v>
      </c>
      <c r="B106" s="9"/>
      <c r="C106" s="9"/>
      <c r="D106" s="9"/>
      <c r="E106" s="269" t="s">
        <v>149</v>
      </c>
      <c r="F106" s="269"/>
      <c r="G106" s="252" t="s">
        <v>760</v>
      </c>
      <c r="H106" s="269"/>
      <c r="I106" s="147">
        <v>8.7071583280414799</v>
      </c>
      <c r="J106" s="121"/>
      <c r="K106" s="147">
        <f>M106-I106</f>
        <v>2.5646976073090055</v>
      </c>
      <c r="L106" s="137"/>
      <c r="M106" s="147">
        <v>11.271855935350485</v>
      </c>
      <c r="O106" s="147">
        <v>10.166738972339356</v>
      </c>
      <c r="P106" s="125"/>
      <c r="Q106" s="147">
        <v>1.1051169630111297</v>
      </c>
    </row>
    <row r="107" spans="1:17" x14ac:dyDescent="0.2">
      <c r="A107" s="6">
        <f>MAX(A$12:A106)+1</f>
        <v>54</v>
      </c>
      <c r="C107" s="9"/>
      <c r="D107" s="9"/>
      <c r="E107" s="269" t="s">
        <v>150</v>
      </c>
      <c r="F107" s="269"/>
      <c r="G107" s="252" t="s">
        <v>760</v>
      </c>
      <c r="H107" s="269"/>
      <c r="I107" s="147">
        <v>7.2307643883583737</v>
      </c>
      <c r="J107" s="121"/>
      <c r="K107" s="147">
        <f>M107-I107</f>
        <v>2.2618321047986694</v>
      </c>
      <c r="L107" s="137"/>
      <c r="M107" s="147">
        <v>9.492596493157043</v>
      </c>
      <c r="O107" s="147">
        <v>8.3874795301459137</v>
      </c>
      <c r="P107" s="125"/>
      <c r="Q107" s="147">
        <v>1.1051169630111297</v>
      </c>
    </row>
    <row r="108" spans="1:17" x14ac:dyDescent="0.2">
      <c r="A108" s="6">
        <f>MAX(A$12:A107)+1</f>
        <v>55</v>
      </c>
      <c r="B108" s="9"/>
      <c r="C108" s="9"/>
      <c r="D108" s="9"/>
      <c r="E108" s="269" t="s">
        <v>151</v>
      </c>
      <c r="F108" s="269"/>
      <c r="G108" s="252" t="s">
        <v>760</v>
      </c>
      <c r="H108" s="269"/>
      <c r="I108" s="147">
        <v>6.6456319318883716</v>
      </c>
      <c r="J108" s="121"/>
      <c r="K108" s="147">
        <f>M108-I108</f>
        <v>2.1420059555375319</v>
      </c>
      <c r="L108" s="137"/>
      <c r="M108" s="147">
        <v>8.7876378874259036</v>
      </c>
      <c r="O108" s="147">
        <v>7.6825209244147743</v>
      </c>
      <c r="P108" s="125"/>
      <c r="Q108" s="147">
        <v>1.1051169630111297</v>
      </c>
    </row>
    <row r="109" spans="1:17" x14ac:dyDescent="0.2">
      <c r="A109" s="6"/>
      <c r="B109" s="9"/>
      <c r="C109" s="9"/>
      <c r="D109" s="9"/>
      <c r="E109" s="14"/>
      <c r="F109" s="14"/>
      <c r="G109" s="6"/>
      <c r="H109" s="14"/>
      <c r="I109" s="147"/>
      <c r="J109" s="121"/>
      <c r="K109" s="147"/>
      <c r="L109" s="125"/>
      <c r="M109" s="147"/>
      <c r="O109" s="147"/>
      <c r="P109" s="125"/>
      <c r="Q109" s="147"/>
    </row>
    <row r="110" spans="1:17" x14ac:dyDescent="0.2">
      <c r="A110" s="6"/>
      <c r="B110" s="9"/>
      <c r="C110" s="9"/>
      <c r="D110" s="9"/>
      <c r="E110" s="14" t="s">
        <v>152</v>
      </c>
      <c r="F110" s="14"/>
      <c r="G110" s="6"/>
      <c r="H110" s="14"/>
      <c r="I110" s="147"/>
      <c r="J110" s="121"/>
      <c r="K110" s="147"/>
      <c r="L110" s="125"/>
      <c r="M110" s="147"/>
      <c r="O110" s="147"/>
      <c r="P110" s="125"/>
      <c r="Q110" s="147"/>
    </row>
    <row r="111" spans="1:17" x14ac:dyDescent="0.2">
      <c r="C111" s="9"/>
      <c r="D111" s="9"/>
      <c r="E111" s="14" t="s">
        <v>239</v>
      </c>
      <c r="F111" s="14"/>
      <c r="G111" s="6"/>
      <c r="H111" s="14"/>
      <c r="I111" s="147"/>
      <c r="J111" s="121"/>
      <c r="K111" s="147"/>
      <c r="L111" s="137"/>
      <c r="M111" s="147"/>
      <c r="O111" s="147"/>
      <c r="P111" s="125"/>
      <c r="Q111" s="147"/>
    </row>
    <row r="112" spans="1:17" x14ac:dyDescent="0.2">
      <c r="A112" s="6">
        <f>MAX(A$12:A111)+1</f>
        <v>56</v>
      </c>
      <c r="C112" s="9"/>
      <c r="D112" s="9"/>
      <c r="E112" s="269" t="s">
        <v>149</v>
      </c>
      <c r="F112" s="269"/>
      <c r="G112" s="252" t="s">
        <v>760</v>
      </c>
      <c r="H112" s="269"/>
      <c r="I112" s="147">
        <v>3.0187054350434206</v>
      </c>
      <c r="J112" s="121"/>
      <c r="K112" s="147">
        <f>M112-I112</f>
        <v>1.3988324156714507</v>
      </c>
      <c r="L112" s="137"/>
      <c r="M112" s="147">
        <v>4.4175378507148713</v>
      </c>
      <c r="O112" s="147">
        <v>3.312420887703742</v>
      </c>
      <c r="P112" s="125"/>
      <c r="Q112" s="147">
        <v>1.1051169630111295</v>
      </c>
    </row>
    <row r="113" spans="1:17" x14ac:dyDescent="0.2">
      <c r="A113" s="6">
        <f>MAX(A$12:A112)+1</f>
        <v>57</v>
      </c>
      <c r="B113" s="9"/>
      <c r="C113" s="9"/>
      <c r="D113" s="9"/>
      <c r="E113" s="269" t="s">
        <v>150</v>
      </c>
      <c r="F113" s="269"/>
      <c r="G113" s="252" t="s">
        <v>760</v>
      </c>
      <c r="H113" s="269"/>
      <c r="I113" s="147">
        <v>2.1834219027636586</v>
      </c>
      <c r="J113" s="121"/>
      <c r="K113" s="147">
        <f>M113-I113</f>
        <v>1.2276661451810931</v>
      </c>
      <c r="L113" s="137"/>
      <c r="M113" s="147">
        <v>3.4110880479447516</v>
      </c>
      <c r="O113" s="147">
        <v>2.3059710849336224</v>
      </c>
      <c r="P113" s="125"/>
      <c r="Q113" s="147">
        <v>1.1051169630111295</v>
      </c>
    </row>
    <row r="114" spans="1:17" x14ac:dyDescent="0.2">
      <c r="A114" s="6">
        <f>MAX(A$12:A113)+1</f>
        <v>58</v>
      </c>
      <c r="B114" s="9"/>
      <c r="C114" s="9"/>
      <c r="D114" s="9"/>
      <c r="E114" s="269" t="s">
        <v>151</v>
      </c>
      <c r="F114" s="269"/>
      <c r="G114" s="252" t="s">
        <v>760</v>
      </c>
      <c r="H114" s="269"/>
      <c r="I114" s="147">
        <v>1.9276317065247057</v>
      </c>
      <c r="J114" s="121"/>
      <c r="K114" s="147">
        <f>M114-I114</f>
        <v>1.1752430288508711</v>
      </c>
      <c r="L114" s="137"/>
      <c r="M114" s="147">
        <v>3.1028747353755768</v>
      </c>
      <c r="O114" s="147">
        <v>1.9977577723644473</v>
      </c>
      <c r="P114" s="125"/>
      <c r="Q114" s="147">
        <v>1.1051169630111295</v>
      </c>
    </row>
    <row r="115" spans="1:17" x14ac:dyDescent="0.2">
      <c r="A115" s="6"/>
      <c r="B115" s="9"/>
      <c r="C115" s="9"/>
      <c r="D115" s="9"/>
      <c r="I115" s="125"/>
      <c r="J115" s="125"/>
      <c r="K115" s="125"/>
      <c r="L115" s="125"/>
      <c r="M115" s="125"/>
      <c r="O115" s="125"/>
      <c r="P115" s="125"/>
      <c r="Q115" s="125"/>
    </row>
    <row r="116" spans="1:17" x14ac:dyDescent="0.2">
      <c r="A116" s="6"/>
      <c r="B116" s="9"/>
      <c r="E116" s="14" t="s">
        <v>87</v>
      </c>
      <c r="F116" s="14"/>
      <c r="G116" s="6"/>
      <c r="H116" s="14"/>
      <c r="I116" s="147"/>
      <c r="J116" s="121"/>
      <c r="K116" s="126"/>
      <c r="L116" s="125"/>
      <c r="M116" s="126"/>
      <c r="O116" s="126"/>
      <c r="P116" s="125"/>
      <c r="Q116" s="126"/>
    </row>
    <row r="117" spans="1:17" x14ac:dyDescent="0.2">
      <c r="A117" s="6">
        <f>MAX(A$12:A116)+1</f>
        <v>59</v>
      </c>
      <c r="E117" s="38" t="s">
        <v>64</v>
      </c>
      <c r="F117" s="38"/>
      <c r="G117" s="252" t="s">
        <v>760</v>
      </c>
      <c r="H117" s="38"/>
      <c r="I117" s="147">
        <v>3.9267447076426962</v>
      </c>
      <c r="J117" s="121"/>
      <c r="K117" s="147">
        <f>M117-I117</f>
        <v>-3.039244406379745</v>
      </c>
      <c r="L117" s="125"/>
      <c r="M117" s="147">
        <v>0.88750030126295132</v>
      </c>
      <c r="O117" s="147">
        <v>-3.7725406813044031E-2</v>
      </c>
      <c r="P117" s="267"/>
      <c r="Q117" s="147">
        <v>0.92522570807599536</v>
      </c>
    </row>
    <row r="118" spans="1:17" x14ac:dyDescent="0.2">
      <c r="A118" s="6">
        <f>MAX(A$12:A117)+1</f>
        <v>60</v>
      </c>
      <c r="B118" s="9"/>
      <c r="E118" s="38" t="s">
        <v>65</v>
      </c>
      <c r="F118" s="38"/>
      <c r="G118" s="252" t="s">
        <v>760</v>
      </c>
      <c r="H118" s="38"/>
      <c r="I118" s="147">
        <v>0.96972153366292246</v>
      </c>
      <c r="J118" s="121"/>
      <c r="K118" s="147">
        <f>M118-I118</f>
        <v>-8.2221232399971145E-2</v>
      </c>
      <c r="L118" s="137"/>
      <c r="M118" s="147">
        <v>0.88750030126295132</v>
      </c>
      <c r="O118" s="147">
        <v>-3.7725406813044031E-2</v>
      </c>
      <c r="P118" s="267"/>
      <c r="Q118" s="147">
        <v>0.92522570807599536</v>
      </c>
    </row>
    <row r="119" spans="1:17" x14ac:dyDescent="0.2">
      <c r="A119" s="6">
        <f>MAX(A$12:A118)+1</f>
        <v>61</v>
      </c>
      <c r="B119" s="9"/>
      <c r="E119" s="38" t="s">
        <v>66</v>
      </c>
      <c r="F119" s="38"/>
      <c r="G119" s="252" t="s">
        <v>760</v>
      </c>
      <c r="H119" s="38"/>
      <c r="I119" s="147">
        <v>3.9267447076426962</v>
      </c>
      <c r="J119" s="121"/>
      <c r="K119" s="147">
        <f>M119-I119</f>
        <v>-1.1772775008867358</v>
      </c>
      <c r="L119" s="137"/>
      <c r="M119" s="147">
        <v>2.7494672067559605</v>
      </c>
      <c r="O119" s="147">
        <v>-3.7725406813044031E-2</v>
      </c>
      <c r="P119" s="267"/>
      <c r="Q119" s="147">
        <v>2.7871926135690046</v>
      </c>
    </row>
    <row r="120" spans="1:17" x14ac:dyDescent="0.2">
      <c r="A120" s="6">
        <f>MAX(A$12:A119)+1</f>
        <v>62</v>
      </c>
      <c r="B120" s="9"/>
      <c r="E120" s="38" t="s">
        <v>67</v>
      </c>
      <c r="F120" s="38"/>
      <c r="G120" s="252" t="s">
        <v>760</v>
      </c>
      <c r="H120" s="38"/>
      <c r="I120" s="147">
        <v>0</v>
      </c>
      <c r="J120" s="121"/>
      <c r="K120" s="147">
        <f>M120-I120</f>
        <v>0.88750030126295132</v>
      </c>
      <c r="L120" s="137"/>
      <c r="M120" s="147">
        <v>0.88750030126295132</v>
      </c>
      <c r="O120" s="147">
        <v>-3.7725406813044031E-2</v>
      </c>
      <c r="P120" s="267"/>
      <c r="Q120" s="147">
        <v>0.92522570807599536</v>
      </c>
    </row>
    <row r="121" spans="1:17" x14ac:dyDescent="0.2">
      <c r="A121" s="6"/>
      <c r="B121" s="9"/>
      <c r="E121" s="14"/>
      <c r="F121" s="14"/>
      <c r="G121" s="6"/>
      <c r="H121" s="14"/>
      <c r="I121" s="147"/>
      <c r="J121" s="121"/>
      <c r="K121" s="147"/>
      <c r="L121" s="125"/>
      <c r="M121" s="147"/>
      <c r="O121" s="147"/>
      <c r="P121" s="267"/>
      <c r="Q121" s="147"/>
    </row>
    <row r="122" spans="1:17" x14ac:dyDescent="0.2">
      <c r="A122" s="6">
        <f>MAX(A$12:A121)+1</f>
        <v>63</v>
      </c>
      <c r="B122" s="9"/>
      <c r="E122" s="14" t="s">
        <v>167</v>
      </c>
      <c r="F122" s="14"/>
      <c r="G122" s="252" t="s">
        <v>760</v>
      </c>
      <c r="H122" s="14"/>
      <c r="I122" s="147">
        <v>18.34709332635693</v>
      </c>
      <c r="J122" s="121"/>
      <c r="K122" s="147">
        <f>M122-I122</f>
        <v>2.5563088547238912</v>
      </c>
      <c r="L122" s="125"/>
      <c r="M122" s="147">
        <v>20.903402181080821</v>
      </c>
      <c r="O122" s="147">
        <v>0.15408160302151921</v>
      </c>
      <c r="P122" s="267"/>
      <c r="Q122" s="147">
        <v>20.749320578059301</v>
      </c>
    </row>
    <row r="123" spans="1:17" x14ac:dyDescent="0.2">
      <c r="A123" s="6"/>
      <c r="B123" s="9"/>
    </row>
    <row r="124" spans="1:17" x14ac:dyDescent="0.2">
      <c r="A124" s="6"/>
      <c r="B124" s="9"/>
      <c r="C124" s="1" t="s">
        <v>12</v>
      </c>
      <c r="D124" s="9"/>
      <c r="F124" s="5"/>
      <c r="G124" s="5"/>
      <c r="H124" s="5"/>
      <c r="I124" s="6"/>
      <c r="J124" s="6"/>
      <c r="K124" s="6"/>
      <c r="L124" s="6"/>
      <c r="M124" s="6"/>
      <c r="O124" s="6"/>
      <c r="Q124" s="6"/>
    </row>
    <row r="125" spans="1:17" x14ac:dyDescent="0.2">
      <c r="A125" s="6">
        <f>MAX(A$12:A124)+1</f>
        <v>64</v>
      </c>
      <c r="B125" s="9"/>
      <c r="C125" s="9"/>
      <c r="D125" s="9"/>
      <c r="E125" s="14" t="s">
        <v>85</v>
      </c>
      <c r="F125" s="14"/>
      <c r="G125" s="252" t="s">
        <v>767</v>
      </c>
      <c r="H125" s="14"/>
      <c r="I125" s="253">
        <v>134.92647936727528</v>
      </c>
      <c r="J125" s="121"/>
      <c r="K125" s="253">
        <f>M125-I125</f>
        <v>0</v>
      </c>
      <c r="L125" s="125"/>
      <c r="M125" s="253">
        <v>134.92647936727528</v>
      </c>
      <c r="N125" s="125"/>
      <c r="O125" s="253">
        <v>134.92647936727528</v>
      </c>
      <c r="P125" s="399"/>
      <c r="Q125" s="253">
        <v>0</v>
      </c>
    </row>
    <row r="126" spans="1:17" x14ac:dyDescent="0.2">
      <c r="A126" s="6">
        <f>MAX(A$12:A125)+1</f>
        <v>65</v>
      </c>
      <c r="B126" s="9"/>
      <c r="C126" s="9"/>
      <c r="D126" s="9"/>
      <c r="E126" s="14" t="s">
        <v>240</v>
      </c>
      <c r="F126" s="14"/>
      <c r="G126" s="252" t="s">
        <v>766</v>
      </c>
      <c r="H126" s="14"/>
      <c r="I126" s="147">
        <v>9.0517208463813486</v>
      </c>
      <c r="J126" s="121"/>
      <c r="K126" s="147">
        <f>M126-I126</f>
        <v>2.5564206032100465</v>
      </c>
      <c r="L126" s="125"/>
      <c r="M126" s="147">
        <v>11.608141449591395</v>
      </c>
      <c r="O126" s="147">
        <v>11.608141449591395</v>
      </c>
      <c r="P126" s="125"/>
      <c r="Q126" s="147">
        <v>0</v>
      </c>
    </row>
    <row r="127" spans="1:17" x14ac:dyDescent="0.2">
      <c r="A127" s="6"/>
      <c r="B127" s="9"/>
      <c r="C127" s="9"/>
      <c r="D127" s="9"/>
      <c r="E127" s="14" t="s">
        <v>239</v>
      </c>
      <c r="F127" s="14"/>
      <c r="G127" s="14"/>
      <c r="H127" s="14"/>
      <c r="I127" s="147"/>
      <c r="J127" s="121"/>
      <c r="K127" s="147"/>
      <c r="L127" s="137"/>
      <c r="M127" s="147"/>
      <c r="O127" s="147"/>
      <c r="P127" s="125"/>
      <c r="Q127" s="147"/>
    </row>
    <row r="128" spans="1:17" x14ac:dyDescent="0.2">
      <c r="A128" s="6">
        <f>MAX(A$12:A127)+1</f>
        <v>66</v>
      </c>
      <c r="B128" s="9"/>
      <c r="C128" s="9"/>
      <c r="D128" s="9"/>
      <c r="E128" s="269" t="s">
        <v>149</v>
      </c>
      <c r="F128" s="269"/>
      <c r="G128" s="252" t="s">
        <v>760</v>
      </c>
      <c r="H128" s="269"/>
      <c r="I128" s="147">
        <v>8.0496059108547584</v>
      </c>
      <c r="J128" s="121"/>
      <c r="K128" s="147">
        <f>M128-I128</f>
        <v>-7.2304197258239382</v>
      </c>
      <c r="L128" s="137"/>
      <c r="M128" s="147">
        <v>0.81918618503082052</v>
      </c>
      <c r="O128" s="147">
        <v>0</v>
      </c>
      <c r="P128" s="125"/>
      <c r="Q128" s="147">
        <v>0.81918618503082052</v>
      </c>
    </row>
    <row r="129" spans="1:17" x14ac:dyDescent="0.2">
      <c r="A129" s="6">
        <f>MAX(A$12:A128)+1</f>
        <v>67</v>
      </c>
      <c r="C129" s="9"/>
      <c r="D129" s="9"/>
      <c r="E129" s="269" t="s">
        <v>150</v>
      </c>
      <c r="F129" s="269"/>
      <c r="G129" s="252" t="s">
        <v>760</v>
      </c>
      <c r="H129" s="269"/>
      <c r="I129" s="147">
        <v>6.6753768114209473</v>
      </c>
      <c r="J129" s="121"/>
      <c r="K129" s="147">
        <f>M129-I129</f>
        <v>-5.8561906263901271</v>
      </c>
      <c r="L129" s="137"/>
      <c r="M129" s="147">
        <v>0.81918618503082052</v>
      </c>
      <c r="O129" s="147">
        <v>0</v>
      </c>
      <c r="P129" s="125"/>
      <c r="Q129" s="147">
        <v>0.81918618503082052</v>
      </c>
    </row>
    <row r="130" spans="1:17" x14ac:dyDescent="0.2">
      <c r="A130" s="6">
        <f>MAX(A$12:A129)+1</f>
        <v>68</v>
      </c>
      <c r="B130" s="9"/>
      <c r="C130" s="9"/>
      <c r="D130" s="9"/>
      <c r="E130" s="269" t="s">
        <v>151</v>
      </c>
      <c r="F130" s="269"/>
      <c r="G130" s="252" t="s">
        <v>760</v>
      </c>
      <c r="H130" s="269"/>
      <c r="I130" s="147">
        <v>6.1099038286207117</v>
      </c>
      <c r="J130" s="121"/>
      <c r="K130" s="147">
        <f>M130-I130</f>
        <v>-5.2907176435898915</v>
      </c>
      <c r="L130" s="137"/>
      <c r="M130" s="147">
        <v>0.81918618503082052</v>
      </c>
      <c r="O130" s="147">
        <v>0</v>
      </c>
      <c r="P130" s="125"/>
      <c r="Q130" s="147">
        <v>0.81918618503082052</v>
      </c>
    </row>
    <row r="131" spans="1:17" x14ac:dyDescent="0.2">
      <c r="A131" s="6"/>
      <c r="B131" s="9"/>
      <c r="C131" s="9"/>
      <c r="D131" s="9"/>
      <c r="E131" s="14"/>
      <c r="F131" s="14"/>
      <c r="G131" s="14"/>
      <c r="H131" s="14"/>
      <c r="I131" s="147"/>
      <c r="J131" s="121"/>
      <c r="K131" s="147"/>
      <c r="L131" s="125"/>
      <c r="M131" s="147"/>
      <c r="O131" s="147"/>
      <c r="P131" s="125"/>
      <c r="Q131" s="147"/>
    </row>
    <row r="132" spans="1:17" x14ac:dyDescent="0.2">
      <c r="A132" s="6"/>
      <c r="B132" s="9"/>
      <c r="C132" s="9"/>
      <c r="D132" s="9"/>
      <c r="E132" s="14" t="s">
        <v>87</v>
      </c>
      <c r="F132" s="14"/>
      <c r="G132" s="14"/>
      <c r="H132" s="14"/>
      <c r="I132" s="147"/>
      <c r="J132" s="121"/>
      <c r="K132" s="126"/>
      <c r="L132" s="125"/>
      <c r="M132" s="126"/>
      <c r="O132" s="126"/>
      <c r="P132" s="125"/>
      <c r="Q132" s="126"/>
    </row>
    <row r="133" spans="1:17" x14ac:dyDescent="0.2">
      <c r="A133" s="6">
        <f>MAX(A$12:A132)+1</f>
        <v>69</v>
      </c>
      <c r="B133" s="9"/>
      <c r="C133" s="9"/>
      <c r="D133" s="9"/>
      <c r="E133" s="38" t="s">
        <v>64</v>
      </c>
      <c r="F133" s="38"/>
      <c r="G133" s="252" t="s">
        <v>760</v>
      </c>
      <c r="H133" s="38"/>
      <c r="I133" s="147">
        <v>3.9267458432309148</v>
      </c>
      <c r="J133" s="121"/>
      <c r="K133" s="147">
        <f>M133-I133</f>
        <v>-3.0392455803100602</v>
      </c>
      <c r="L133" s="125"/>
      <c r="M133" s="147">
        <v>0.88750026292085471</v>
      </c>
      <c r="O133" s="147">
        <v>-3.7725405183217882E-2</v>
      </c>
      <c r="P133" s="267"/>
      <c r="Q133" s="147">
        <v>0.92522566810407258</v>
      </c>
    </row>
    <row r="134" spans="1:17" x14ac:dyDescent="0.2">
      <c r="A134" s="6">
        <f>MAX(A$12:A133)+1</f>
        <v>70</v>
      </c>
      <c r="B134" s="9"/>
      <c r="C134" s="9"/>
      <c r="D134" s="9"/>
      <c r="E134" s="38" t="s">
        <v>65</v>
      </c>
      <c r="F134" s="38"/>
      <c r="G134" s="252" t="s">
        <v>760</v>
      </c>
      <c r="H134" s="38"/>
      <c r="I134" s="147">
        <v>0.96971985302412911</v>
      </c>
      <c r="J134" s="121"/>
      <c r="K134" s="147">
        <f>M134-I134</f>
        <v>-8.2219590103274398E-2</v>
      </c>
      <c r="L134" s="137"/>
      <c r="M134" s="147">
        <v>0.88750026292085471</v>
      </c>
      <c r="O134" s="147">
        <v>-3.7725405183217882E-2</v>
      </c>
      <c r="P134" s="267"/>
      <c r="Q134" s="147">
        <v>0.92522566810407258</v>
      </c>
    </row>
    <row r="135" spans="1:17" x14ac:dyDescent="0.2">
      <c r="A135" s="6">
        <f>MAX(A$12:A134)+1</f>
        <v>71</v>
      </c>
      <c r="B135" s="9"/>
      <c r="C135" s="9"/>
      <c r="D135" s="9"/>
      <c r="E135" s="38" t="s">
        <v>66</v>
      </c>
      <c r="F135" s="38"/>
      <c r="G135" s="252" t="s">
        <v>760</v>
      </c>
      <c r="H135" s="38"/>
      <c r="I135" s="147">
        <v>3.9267458432309148</v>
      </c>
      <c r="J135" s="121"/>
      <c r="K135" s="147">
        <f>M135-I135</f>
        <v>-1.177278674817051</v>
      </c>
      <c r="L135" s="137"/>
      <c r="M135" s="147">
        <v>2.7494671684138638</v>
      </c>
      <c r="O135" s="147">
        <v>-3.7725405183217882E-2</v>
      </c>
      <c r="P135" s="267"/>
      <c r="Q135" s="147">
        <v>2.7871925735970819</v>
      </c>
    </row>
    <row r="136" spans="1:17" x14ac:dyDescent="0.2">
      <c r="A136" s="6">
        <f>MAX(A$12:A135)+1</f>
        <v>72</v>
      </c>
      <c r="E136" s="38" t="s">
        <v>67</v>
      </c>
      <c r="F136" s="38"/>
      <c r="G136" s="252" t="s">
        <v>760</v>
      </c>
      <c r="H136" s="38"/>
      <c r="I136" s="147">
        <v>0</v>
      </c>
      <c r="J136" s="121"/>
      <c r="K136" s="147">
        <f>M136-I136</f>
        <v>0.88750026292085471</v>
      </c>
      <c r="L136" s="137"/>
      <c r="M136" s="147">
        <v>0.88750026292085471</v>
      </c>
      <c r="O136" s="147">
        <v>-3.7725405183217882E-2</v>
      </c>
      <c r="P136" s="267"/>
      <c r="Q136" s="147">
        <v>0.92522566810407258</v>
      </c>
    </row>
    <row r="137" spans="1:17" x14ac:dyDescent="0.2">
      <c r="A137" s="6"/>
      <c r="B137" s="9"/>
      <c r="C137" s="9"/>
      <c r="D137" s="9"/>
      <c r="E137" s="14"/>
      <c r="F137" s="14"/>
      <c r="G137" s="14"/>
      <c r="H137" s="14"/>
      <c r="I137" s="147"/>
      <c r="J137" s="121"/>
      <c r="K137" s="147"/>
      <c r="L137" s="125"/>
      <c r="M137" s="147"/>
      <c r="O137" s="147"/>
      <c r="P137" s="267"/>
      <c r="Q137" s="147"/>
    </row>
    <row r="138" spans="1:17" x14ac:dyDescent="0.2">
      <c r="A138" s="6">
        <f>MAX(A$12:A137)+1</f>
        <v>73</v>
      </c>
      <c r="B138" s="9"/>
      <c r="C138" s="9"/>
      <c r="D138" s="9"/>
      <c r="E138" s="14" t="s">
        <v>167</v>
      </c>
      <c r="F138" s="14"/>
      <c r="G138" s="252" t="s">
        <v>760</v>
      </c>
      <c r="H138" s="14"/>
      <c r="I138" s="147">
        <v>18.343372330048751</v>
      </c>
      <c r="J138" s="121"/>
      <c r="K138" s="147">
        <f>M138-I138</f>
        <v>2.5600298510320698</v>
      </c>
      <c r="L138" s="125"/>
      <c r="M138" s="147">
        <v>20.903402181080821</v>
      </c>
      <c r="O138" s="147">
        <v>0.15408160302151921</v>
      </c>
      <c r="P138" s="267"/>
      <c r="Q138" s="147">
        <v>20.749320578059301</v>
      </c>
    </row>
    <row r="139" spans="1:17" x14ac:dyDescent="0.2">
      <c r="A139" s="6"/>
      <c r="B139" s="9"/>
      <c r="I139" s="125"/>
      <c r="J139" s="125"/>
      <c r="K139" s="125"/>
      <c r="L139" s="125"/>
      <c r="M139" s="125"/>
      <c r="O139" s="125"/>
      <c r="P139" s="125"/>
      <c r="Q139" s="125"/>
    </row>
    <row r="140" spans="1:17" x14ac:dyDescent="0.2">
      <c r="C140" s="1" t="s">
        <v>13</v>
      </c>
      <c r="D140" s="9"/>
      <c r="F140" s="5"/>
      <c r="G140" s="5"/>
      <c r="H140" s="5"/>
      <c r="I140" s="137"/>
      <c r="J140" s="137"/>
      <c r="K140" s="137"/>
      <c r="L140" s="137"/>
      <c r="M140" s="137"/>
      <c r="O140" s="137"/>
      <c r="P140" s="125"/>
      <c r="Q140" s="137"/>
    </row>
    <row r="141" spans="1:17" x14ac:dyDescent="0.2">
      <c r="A141" s="6">
        <f>MAX(A$12:A140)+1</f>
        <v>74</v>
      </c>
      <c r="C141" s="9"/>
      <c r="D141" s="9"/>
      <c r="E141" s="14" t="s">
        <v>85</v>
      </c>
      <c r="F141" s="14"/>
      <c r="G141" s="14"/>
      <c r="H141" s="14"/>
      <c r="I141" s="253">
        <v>305.5481997087212</v>
      </c>
      <c r="J141" s="121"/>
      <c r="K141" s="253">
        <f>M141-I141</f>
        <v>0</v>
      </c>
      <c r="L141" s="125"/>
      <c r="M141" s="253">
        <v>305.5481997087212</v>
      </c>
      <c r="N141" s="125"/>
      <c r="O141" s="253">
        <v>305.5481997087212</v>
      </c>
      <c r="P141" s="399"/>
      <c r="Q141" s="253">
        <v>0</v>
      </c>
    </row>
    <row r="142" spans="1:17" x14ac:dyDescent="0.2">
      <c r="A142" s="6">
        <f>MAX(A$12:A141)+1</f>
        <v>75</v>
      </c>
      <c r="C142" s="9"/>
      <c r="D142" s="9"/>
      <c r="E142" s="14" t="s">
        <v>240</v>
      </c>
      <c r="F142" s="14"/>
      <c r="G142" s="252" t="s">
        <v>766</v>
      </c>
      <c r="H142" s="14"/>
      <c r="I142" s="147">
        <v>4.4945119394531865</v>
      </c>
      <c r="J142" s="121"/>
      <c r="K142" s="147">
        <f>M142-I142</f>
        <v>-0.7323789278045183</v>
      </c>
      <c r="L142" s="125"/>
      <c r="M142" s="147">
        <v>3.7621330116486682</v>
      </c>
      <c r="O142" s="147">
        <v>3.7621330116486682</v>
      </c>
      <c r="P142" s="125"/>
      <c r="Q142" s="147">
        <v>0</v>
      </c>
    </row>
    <row r="143" spans="1:17" x14ac:dyDescent="0.2">
      <c r="A143" s="6"/>
      <c r="B143" s="9"/>
      <c r="C143" s="9"/>
      <c r="D143" s="9"/>
      <c r="E143" s="14" t="s">
        <v>239</v>
      </c>
      <c r="F143" s="14"/>
      <c r="G143" s="14"/>
      <c r="H143" s="14"/>
      <c r="I143" s="147"/>
      <c r="J143" s="121"/>
      <c r="K143" s="147"/>
      <c r="L143" s="137"/>
      <c r="M143" s="147"/>
      <c r="O143" s="147"/>
      <c r="P143" s="125"/>
      <c r="Q143" s="147"/>
    </row>
    <row r="144" spans="1:17" x14ac:dyDescent="0.2">
      <c r="A144" s="6">
        <f>MAX(A$12:A143)+1</f>
        <v>76</v>
      </c>
      <c r="B144" s="9"/>
      <c r="C144" s="9"/>
      <c r="D144" s="9"/>
      <c r="E144" s="38" t="s">
        <v>84</v>
      </c>
      <c r="F144" s="38"/>
      <c r="G144" s="252" t="s">
        <v>760</v>
      </c>
      <c r="H144" s="38"/>
      <c r="I144" s="147">
        <v>0.84451452655959003</v>
      </c>
      <c r="J144" s="121"/>
      <c r="K144" s="147">
        <f>M144-I144</f>
        <v>0.62401431059953893</v>
      </c>
      <c r="L144" s="137"/>
      <c r="M144" s="147">
        <v>1.468528837159129</v>
      </c>
      <c r="O144" s="147">
        <v>0</v>
      </c>
      <c r="P144" s="125"/>
      <c r="Q144" s="147">
        <v>1.468528837159129</v>
      </c>
    </row>
    <row r="145" spans="1:17" x14ac:dyDescent="0.2">
      <c r="A145" s="6">
        <f>MAX(A$12:A144)+1</f>
        <v>77</v>
      </c>
      <c r="B145" s="9"/>
      <c r="C145" s="9"/>
      <c r="D145" s="9"/>
      <c r="E145" s="38" t="s">
        <v>83</v>
      </c>
      <c r="F145" s="38"/>
      <c r="G145" s="252" t="s">
        <v>760</v>
      </c>
      <c r="H145" s="38"/>
      <c r="I145" s="147">
        <v>0.64048239030755172</v>
      </c>
      <c r="J145" s="121"/>
      <c r="K145" s="147">
        <f>M145-I145</f>
        <v>0.82804644685157724</v>
      </c>
      <c r="L145" s="137"/>
      <c r="M145" s="147">
        <v>1.468528837159129</v>
      </c>
      <c r="O145" s="147">
        <v>0</v>
      </c>
      <c r="P145" s="125"/>
      <c r="Q145" s="147">
        <v>1.468528837159129</v>
      </c>
    </row>
    <row r="146" spans="1:17" x14ac:dyDescent="0.2">
      <c r="A146" s="6"/>
      <c r="B146" s="9"/>
      <c r="C146" s="9"/>
      <c r="D146" s="9"/>
      <c r="E146" s="14"/>
      <c r="F146" s="14"/>
      <c r="G146" s="14"/>
      <c r="H146" s="14"/>
      <c r="I146" s="147"/>
      <c r="J146" s="121"/>
      <c r="K146" s="147"/>
      <c r="L146" s="125"/>
      <c r="M146" s="147"/>
      <c r="O146" s="147"/>
      <c r="P146" s="125"/>
      <c r="Q146" s="147"/>
    </row>
    <row r="147" spans="1:17" x14ac:dyDescent="0.2">
      <c r="A147" s="6"/>
      <c r="B147" s="9"/>
      <c r="C147" s="9"/>
      <c r="D147" s="9"/>
      <c r="E147" s="14" t="s">
        <v>87</v>
      </c>
      <c r="F147" s="14"/>
      <c r="G147" s="14"/>
      <c r="H147" s="14"/>
      <c r="I147" s="147"/>
      <c r="J147" s="121"/>
      <c r="K147" s="126"/>
      <c r="L147" s="125"/>
      <c r="M147" s="126"/>
      <c r="O147" s="126"/>
      <c r="P147" s="125"/>
      <c r="Q147" s="126"/>
    </row>
    <row r="148" spans="1:17" x14ac:dyDescent="0.2">
      <c r="A148" s="6">
        <f>MAX(A$12:A147)+1</f>
        <v>78</v>
      </c>
      <c r="B148" s="9"/>
      <c r="C148" s="9"/>
      <c r="D148" s="9"/>
      <c r="E148" s="38" t="s">
        <v>64</v>
      </c>
      <c r="F148" s="38"/>
      <c r="G148" s="252" t="s">
        <v>760</v>
      </c>
      <c r="H148" s="38"/>
      <c r="I148" s="147">
        <v>3.9267445962601735</v>
      </c>
      <c r="J148" s="121"/>
      <c r="K148" s="147">
        <f>M148-I148</f>
        <v>-3.0392442330764933</v>
      </c>
      <c r="L148" s="125"/>
      <c r="M148" s="147">
        <v>0.8875003631836802</v>
      </c>
      <c r="O148" s="147">
        <v>-3.7725409445138552E-2</v>
      </c>
      <c r="P148" s="267"/>
      <c r="Q148" s="147">
        <v>0.92522577262881878</v>
      </c>
    </row>
    <row r="149" spans="1:17" x14ac:dyDescent="0.2">
      <c r="A149" s="6">
        <f>MAX(A$12:A148)+1</f>
        <v>79</v>
      </c>
      <c r="B149" s="9"/>
      <c r="C149" s="9"/>
      <c r="D149" s="9"/>
      <c r="E149" s="38" t="s">
        <v>65</v>
      </c>
      <c r="F149" s="38"/>
      <c r="G149" s="252" t="s">
        <v>760</v>
      </c>
      <c r="H149" s="38"/>
      <c r="I149" s="147">
        <v>0.96972043047287659</v>
      </c>
      <c r="J149" s="121"/>
      <c r="K149" s="147">
        <f>M149-I149</f>
        <v>-8.2220067289196397E-2</v>
      </c>
      <c r="L149" s="137"/>
      <c r="M149" s="147">
        <v>0.8875003631836802</v>
      </c>
      <c r="O149" s="147">
        <v>-3.7725409445138552E-2</v>
      </c>
      <c r="P149" s="267"/>
      <c r="Q149" s="147">
        <v>0.92522577262881878</v>
      </c>
    </row>
    <row r="150" spans="1:17" x14ac:dyDescent="0.2">
      <c r="A150" s="6">
        <f>MAX(A$12:A149)+1</f>
        <v>80</v>
      </c>
      <c r="B150" s="9"/>
      <c r="C150" s="9"/>
      <c r="D150" s="9"/>
      <c r="E150" s="38" t="s">
        <v>66</v>
      </c>
      <c r="F150" s="38"/>
      <c r="G150" s="252" t="s">
        <v>760</v>
      </c>
      <c r="H150" s="38"/>
      <c r="I150" s="147">
        <v>3.9267445962601735</v>
      </c>
      <c r="J150" s="121"/>
      <c r="K150" s="147">
        <f>M150-I150</f>
        <v>-1.177277327583484</v>
      </c>
      <c r="L150" s="137"/>
      <c r="M150" s="147">
        <v>2.7494672686766894</v>
      </c>
      <c r="O150" s="147">
        <v>-3.7725409445138552E-2</v>
      </c>
      <c r="P150" s="267"/>
      <c r="Q150" s="147">
        <v>2.7871926781218281</v>
      </c>
    </row>
    <row r="151" spans="1:17" x14ac:dyDescent="0.2">
      <c r="A151" s="6">
        <f>MAX(A$12:A150)+1</f>
        <v>81</v>
      </c>
      <c r="B151" s="9"/>
      <c r="E151" s="38" t="s">
        <v>67</v>
      </c>
      <c r="F151" s="38"/>
      <c r="G151" s="252" t="s">
        <v>760</v>
      </c>
      <c r="H151" s="38"/>
      <c r="I151" s="147">
        <v>0</v>
      </c>
      <c r="J151" s="121"/>
      <c r="K151" s="147">
        <f>M151-I151</f>
        <v>0.8875003631836802</v>
      </c>
      <c r="L151" s="137"/>
      <c r="M151" s="147">
        <v>0.8875003631836802</v>
      </c>
      <c r="O151" s="147">
        <v>-3.7725409445138552E-2</v>
      </c>
      <c r="P151" s="267"/>
      <c r="Q151" s="147">
        <v>0.92522577262881878</v>
      </c>
    </row>
    <row r="152" spans="1:17" x14ac:dyDescent="0.2">
      <c r="A152" s="6"/>
      <c r="B152" s="9"/>
      <c r="C152" s="9"/>
      <c r="D152" s="9"/>
      <c r="E152" s="14"/>
      <c r="F152" s="14"/>
      <c r="G152" s="14"/>
      <c r="H152" s="14"/>
      <c r="I152" s="147"/>
      <c r="J152" s="121"/>
      <c r="K152" s="147"/>
      <c r="L152" s="125"/>
      <c r="M152" s="147"/>
      <c r="O152" s="147"/>
      <c r="P152" s="267"/>
      <c r="Q152" s="147"/>
    </row>
    <row r="153" spans="1:17" x14ac:dyDescent="0.2">
      <c r="A153" s="6">
        <f>MAX(A$12:A152)+1</f>
        <v>82</v>
      </c>
      <c r="B153" s="9"/>
      <c r="C153" s="9"/>
      <c r="D153" s="9"/>
      <c r="E153" s="14" t="s">
        <v>167</v>
      </c>
      <c r="F153" s="14"/>
      <c r="G153" s="252" t="s">
        <v>760</v>
      </c>
      <c r="H153" s="14"/>
      <c r="I153" s="147">
        <v>18.339431198808857</v>
      </c>
      <c r="J153" s="121"/>
      <c r="K153" s="147">
        <f>M153-I153</f>
        <v>2.5639709822719645</v>
      </c>
      <c r="L153" s="125"/>
      <c r="M153" s="147">
        <v>20.903402181080821</v>
      </c>
      <c r="O153" s="147">
        <v>0.15408160302151921</v>
      </c>
      <c r="P153" s="267"/>
      <c r="Q153" s="147">
        <v>20.749320578059301</v>
      </c>
    </row>
    <row r="154" spans="1:17" x14ac:dyDescent="0.2">
      <c r="A154" s="6"/>
      <c r="B154" s="9"/>
      <c r="C154" s="9"/>
      <c r="D154" s="9"/>
      <c r="I154" s="125"/>
      <c r="J154" s="125"/>
      <c r="K154" s="125"/>
      <c r="L154" s="125"/>
      <c r="M154" s="125"/>
      <c r="O154" s="125"/>
      <c r="P154" s="125"/>
      <c r="Q154" s="125"/>
    </row>
    <row r="155" spans="1:17" x14ac:dyDescent="0.2">
      <c r="C155" s="1" t="s">
        <v>14</v>
      </c>
      <c r="D155" s="9"/>
      <c r="F155" s="5"/>
      <c r="G155" s="5"/>
      <c r="H155" s="5"/>
      <c r="I155" s="137"/>
      <c r="J155" s="137"/>
      <c r="K155" s="137"/>
      <c r="L155" s="137"/>
      <c r="M155" s="137"/>
      <c r="O155" s="137"/>
      <c r="P155" s="125"/>
      <c r="Q155" s="137"/>
    </row>
    <row r="156" spans="1:17" x14ac:dyDescent="0.2">
      <c r="A156" s="6">
        <f>MAX(A$12:A155)+1</f>
        <v>83</v>
      </c>
      <c r="B156" s="9"/>
      <c r="C156" s="9"/>
      <c r="D156" s="9"/>
      <c r="E156" s="14" t="s">
        <v>85</v>
      </c>
      <c r="F156" s="14"/>
      <c r="G156" s="8" t="s">
        <v>767</v>
      </c>
      <c r="H156" s="14"/>
      <c r="I156" s="147">
        <v>0</v>
      </c>
      <c r="J156" s="121"/>
      <c r="K156" s="253">
        <f>M156-I156</f>
        <v>0</v>
      </c>
      <c r="L156" s="125"/>
      <c r="M156" s="147">
        <v>0</v>
      </c>
      <c r="O156" s="253">
        <v>0</v>
      </c>
      <c r="P156" s="125"/>
      <c r="Q156" s="253">
        <v>0</v>
      </c>
    </row>
    <row r="157" spans="1:17" x14ac:dyDescent="0.2">
      <c r="A157" s="6">
        <f>MAX(A$12:A156)+1</f>
        <v>84</v>
      </c>
      <c r="B157" s="9"/>
      <c r="C157" s="9"/>
      <c r="D157" s="9"/>
      <c r="E157" s="14" t="s">
        <v>240</v>
      </c>
      <c r="F157" s="14"/>
      <c r="G157" s="252" t="s">
        <v>766</v>
      </c>
      <c r="H157" s="14"/>
      <c r="I157" s="147">
        <v>16.259208437643476</v>
      </c>
      <c r="J157" s="121"/>
      <c r="K157" s="147">
        <f>M157-I157</f>
        <v>13.249466457565511</v>
      </c>
      <c r="L157" s="125"/>
      <c r="M157" s="147">
        <v>29.508674895208987</v>
      </c>
      <c r="O157" s="147">
        <v>29.508674895208987</v>
      </c>
      <c r="P157" s="125"/>
      <c r="Q157" s="147">
        <v>0</v>
      </c>
    </row>
    <row r="158" spans="1:17" x14ac:dyDescent="0.2">
      <c r="A158" s="6">
        <f>MAX(A$12:A157)+1</f>
        <v>85</v>
      </c>
      <c r="B158" s="9"/>
      <c r="C158" s="9"/>
      <c r="D158" s="9"/>
      <c r="E158" s="14" t="s">
        <v>239</v>
      </c>
      <c r="F158" s="14"/>
      <c r="G158" s="252" t="s">
        <v>760</v>
      </c>
      <c r="H158" s="14"/>
      <c r="I158" s="147">
        <v>2.4962487190828129</v>
      </c>
      <c r="J158" s="121"/>
      <c r="K158" s="147">
        <f>M158-I158</f>
        <v>-1.9469522904862377</v>
      </c>
      <c r="L158" s="125"/>
      <c r="M158" s="147">
        <v>0.54929642859657524</v>
      </c>
      <c r="O158" s="147">
        <v>0</v>
      </c>
      <c r="P158" s="125"/>
      <c r="Q158" s="147">
        <v>0.54929642859657524</v>
      </c>
    </row>
    <row r="159" spans="1:17" x14ac:dyDescent="0.2">
      <c r="A159" s="6"/>
      <c r="B159" s="9"/>
      <c r="C159" s="9"/>
      <c r="D159" s="9"/>
      <c r="E159" s="14"/>
      <c r="F159" s="14"/>
      <c r="G159" s="14"/>
      <c r="H159" s="14"/>
      <c r="I159" s="147"/>
      <c r="J159" s="121"/>
      <c r="K159" s="147"/>
      <c r="L159" s="125"/>
      <c r="M159" s="147"/>
      <c r="O159" s="147"/>
      <c r="P159" s="125"/>
      <c r="Q159" s="147"/>
    </row>
    <row r="160" spans="1:17" x14ac:dyDescent="0.2">
      <c r="A160" s="6"/>
      <c r="B160" s="9"/>
      <c r="C160" s="9"/>
      <c r="D160" s="9"/>
      <c r="E160" s="14" t="s">
        <v>87</v>
      </c>
      <c r="F160" s="14"/>
      <c r="G160" s="14"/>
      <c r="H160" s="14"/>
      <c r="I160" s="147"/>
      <c r="J160" s="121"/>
      <c r="K160" s="126"/>
      <c r="L160" s="125"/>
      <c r="M160" s="126"/>
      <c r="O160" s="126"/>
      <c r="P160" s="125"/>
      <c r="Q160" s="126"/>
    </row>
    <row r="161" spans="1:17" x14ac:dyDescent="0.2">
      <c r="A161" s="6">
        <f>MAX(A$12:A160)+1</f>
        <v>86</v>
      </c>
      <c r="B161" s="9"/>
      <c r="C161" s="9"/>
      <c r="D161" s="9"/>
      <c r="E161" s="38" t="s">
        <v>64</v>
      </c>
      <c r="F161" s="38"/>
      <c r="G161" s="252" t="s">
        <v>760</v>
      </c>
      <c r="H161" s="38"/>
      <c r="I161" s="147">
        <v>3.9267443834816063</v>
      </c>
      <c r="J161" s="121"/>
      <c r="K161" s="147">
        <f>M161-I161</f>
        <v>-2.5130426502410197</v>
      </c>
      <c r="L161" s="125"/>
      <c r="M161" s="147">
        <v>1.4137017332405863</v>
      </c>
      <c r="O161" s="147">
        <v>-6.2791840435461765E-2</v>
      </c>
      <c r="P161" s="267"/>
      <c r="Q161" s="147">
        <v>1.4764935736760481</v>
      </c>
    </row>
    <row r="162" spans="1:17" x14ac:dyDescent="0.2">
      <c r="A162" s="6">
        <f>MAX(A$12:A161)+1</f>
        <v>87</v>
      </c>
      <c r="E162" s="38" t="s">
        <v>65</v>
      </c>
      <c r="F162" s="38"/>
      <c r="G162" s="252" t="s">
        <v>760</v>
      </c>
      <c r="H162" s="38"/>
      <c r="I162" s="147">
        <v>0.96972041146112009</v>
      </c>
      <c r="J162" s="121"/>
      <c r="K162" s="147">
        <f>M162-I162</f>
        <v>0.44398132177946625</v>
      </c>
      <c r="L162" s="137"/>
      <c r="M162" s="147">
        <v>1.4137017332405863</v>
      </c>
      <c r="O162" s="147">
        <v>-6.2791840435461765E-2</v>
      </c>
      <c r="P162" s="267"/>
      <c r="Q162" s="147">
        <v>1.4764935736760481</v>
      </c>
    </row>
    <row r="163" spans="1:17" x14ac:dyDescent="0.2">
      <c r="A163" s="6">
        <f>MAX(A$12:A162)+1</f>
        <v>88</v>
      </c>
      <c r="B163" s="9"/>
      <c r="C163" s="9"/>
      <c r="D163" s="9"/>
      <c r="E163" s="38" t="s">
        <v>66</v>
      </c>
      <c r="F163" s="38"/>
      <c r="G163" s="252" t="s">
        <v>760</v>
      </c>
      <c r="H163" s="38"/>
      <c r="I163" s="147">
        <v>3.9267443834816063</v>
      </c>
      <c r="J163" s="121"/>
      <c r="K163" s="147">
        <f>M163-I163</f>
        <v>-0.65107574474801089</v>
      </c>
      <c r="L163" s="137"/>
      <c r="M163" s="147">
        <v>3.2756686387335954</v>
      </c>
      <c r="O163" s="147">
        <v>-6.2791840435461765E-2</v>
      </c>
      <c r="P163" s="267"/>
      <c r="Q163" s="147">
        <v>3.3384604791690573</v>
      </c>
    </row>
    <row r="164" spans="1:17" x14ac:dyDescent="0.2">
      <c r="A164" s="6">
        <f>MAX(A$12:A163)+1</f>
        <v>89</v>
      </c>
      <c r="B164" s="9"/>
      <c r="C164" s="9"/>
      <c r="D164" s="9"/>
      <c r="E164" s="38" t="s">
        <v>67</v>
      </c>
      <c r="F164" s="38"/>
      <c r="G164" s="252" t="s">
        <v>760</v>
      </c>
      <c r="H164" s="38"/>
      <c r="I164" s="147">
        <v>0</v>
      </c>
      <c r="J164" s="121"/>
      <c r="K164" s="147">
        <f>M164-I164</f>
        <v>1.4137017332405863</v>
      </c>
      <c r="L164" s="137"/>
      <c r="M164" s="147">
        <v>1.4137017332405863</v>
      </c>
      <c r="O164" s="147">
        <v>-6.2791840435461765E-2</v>
      </c>
      <c r="P164" s="267"/>
      <c r="Q164" s="147">
        <v>1.4764935736760481</v>
      </c>
    </row>
    <row r="165" spans="1:17" x14ac:dyDescent="0.2">
      <c r="A165" s="6"/>
      <c r="B165" s="9"/>
      <c r="C165" s="9"/>
      <c r="D165" s="9"/>
      <c r="E165" s="14"/>
      <c r="F165" s="14"/>
      <c r="G165" s="14"/>
      <c r="H165" s="14"/>
      <c r="I165" s="147"/>
      <c r="J165" s="121"/>
      <c r="K165" s="147"/>
      <c r="L165" s="125"/>
      <c r="M165" s="147"/>
      <c r="O165" s="147"/>
      <c r="P165" s="125"/>
      <c r="Q165" s="147"/>
    </row>
    <row r="166" spans="1:17" x14ac:dyDescent="0.2">
      <c r="A166" s="6">
        <f>MAX(A$12:A165)+1</f>
        <v>90</v>
      </c>
      <c r="B166" s="9"/>
      <c r="C166" s="9"/>
      <c r="D166" s="9"/>
      <c r="E166" s="14" t="s">
        <v>167</v>
      </c>
      <c r="F166" s="14"/>
      <c r="G166" s="252" t="s">
        <v>760</v>
      </c>
      <c r="H166" s="14"/>
      <c r="I166" s="147">
        <v>18.339330746597561</v>
      </c>
      <c r="J166" s="121"/>
      <c r="K166" s="147">
        <f>M166-I166</f>
        <v>2.5640714344832602</v>
      </c>
      <c r="L166" s="125"/>
      <c r="M166" s="147">
        <v>20.903402181080821</v>
      </c>
      <c r="O166" s="147">
        <v>0.15408160302151921</v>
      </c>
      <c r="P166" s="267"/>
      <c r="Q166" s="147">
        <v>20.749320578059301</v>
      </c>
    </row>
    <row r="167" spans="1:17" x14ac:dyDescent="0.2">
      <c r="C167" s="9"/>
      <c r="D167" s="9"/>
      <c r="I167" s="125"/>
      <c r="J167" s="125"/>
      <c r="K167" s="125"/>
      <c r="L167" s="125"/>
      <c r="M167" s="125"/>
      <c r="O167" s="125"/>
      <c r="P167" s="125"/>
      <c r="Q167" s="125"/>
    </row>
    <row r="168" spans="1:17" x14ac:dyDescent="0.2">
      <c r="A168" s="6"/>
      <c r="B168" s="9"/>
      <c r="C168" s="1" t="s">
        <v>15</v>
      </c>
      <c r="D168" s="9"/>
      <c r="F168" s="5"/>
      <c r="G168" s="5"/>
      <c r="H168" s="5"/>
      <c r="I168" s="137"/>
      <c r="J168" s="137"/>
      <c r="K168" s="137"/>
      <c r="L168" s="137"/>
      <c r="M168" s="137"/>
      <c r="O168" s="137"/>
      <c r="P168" s="125"/>
      <c r="Q168" s="137"/>
    </row>
    <row r="169" spans="1:17" x14ac:dyDescent="0.2">
      <c r="A169" s="6">
        <f>MAX(A$12:A168)+1</f>
        <v>91</v>
      </c>
      <c r="B169" s="9"/>
      <c r="C169" s="9"/>
      <c r="D169" s="9"/>
      <c r="E169" s="14" t="s">
        <v>85</v>
      </c>
      <c r="F169" s="14"/>
      <c r="G169" s="8" t="s">
        <v>767</v>
      </c>
      <c r="H169" s="14"/>
      <c r="I169" s="253">
        <v>546.96967474977816</v>
      </c>
      <c r="J169" s="121"/>
      <c r="K169" s="253">
        <f>M169-I169</f>
        <v>953.03032525022184</v>
      </c>
      <c r="L169" s="125"/>
      <c r="M169" s="253">
        <v>1500</v>
      </c>
      <c r="N169" s="125"/>
      <c r="O169" s="253">
        <v>1500</v>
      </c>
      <c r="P169" s="399"/>
      <c r="Q169" s="253">
        <v>0</v>
      </c>
    </row>
    <row r="170" spans="1:17" x14ac:dyDescent="0.2">
      <c r="A170" s="6">
        <f>MAX(A$12:A169)+1</f>
        <v>92</v>
      </c>
      <c r="B170" s="9"/>
      <c r="C170" s="9"/>
      <c r="D170" s="9"/>
      <c r="E170" s="14" t="s">
        <v>240</v>
      </c>
      <c r="F170" s="14"/>
      <c r="G170" s="252" t="s">
        <v>766</v>
      </c>
      <c r="H170" s="14"/>
      <c r="I170" s="147">
        <v>26.375232474581111</v>
      </c>
      <c r="J170" s="121"/>
      <c r="K170" s="147">
        <f>M170-I170</f>
        <v>-1.3498324745811097</v>
      </c>
      <c r="L170" s="125"/>
      <c r="M170" s="147">
        <v>25.025400000000001</v>
      </c>
      <c r="O170" s="147">
        <v>25.025371598670272</v>
      </c>
      <c r="P170" s="125"/>
      <c r="Q170" s="147">
        <v>0</v>
      </c>
    </row>
    <row r="171" spans="1:17" x14ac:dyDescent="0.2">
      <c r="A171" s="6">
        <f>MAX(A$12:A170)+1</f>
        <v>93</v>
      </c>
      <c r="B171" s="9"/>
      <c r="C171" s="9"/>
      <c r="D171" s="9"/>
      <c r="E171" s="14" t="s">
        <v>247</v>
      </c>
      <c r="F171" s="14"/>
      <c r="G171" s="211" t="s">
        <v>763</v>
      </c>
      <c r="H171" s="14"/>
      <c r="I171" s="251">
        <v>8.9999999999999993E-3</v>
      </c>
      <c r="J171" s="121"/>
      <c r="K171" s="249">
        <f>M171-I171</f>
        <v>-4.2899999999999995E-3</v>
      </c>
      <c r="L171" s="125"/>
      <c r="M171" s="251">
        <v>4.7099999999999998E-3</v>
      </c>
      <c r="O171" s="253">
        <v>0</v>
      </c>
      <c r="P171" s="125"/>
      <c r="Q171" s="251">
        <f>M171</f>
        <v>4.7099999999999998E-3</v>
      </c>
    </row>
    <row r="172" spans="1:17" x14ac:dyDescent="0.2">
      <c r="A172" s="6"/>
      <c r="B172" s="9"/>
      <c r="C172" s="9"/>
      <c r="D172" s="9"/>
      <c r="E172" s="14"/>
      <c r="F172" s="14"/>
      <c r="G172" s="211"/>
      <c r="H172" s="14"/>
      <c r="I172" s="251"/>
      <c r="J172" s="121"/>
      <c r="K172" s="249"/>
      <c r="L172" s="125"/>
      <c r="M172" s="251"/>
      <c r="O172" s="249"/>
      <c r="P172" s="125"/>
      <c r="Q172" s="249"/>
    </row>
    <row r="173" spans="1:17" x14ac:dyDescent="0.2">
      <c r="A173" s="6"/>
      <c r="B173" s="9"/>
      <c r="C173" s="1" t="s">
        <v>777</v>
      </c>
      <c r="D173" s="9"/>
      <c r="E173" s="14"/>
      <c r="F173" s="14"/>
      <c r="G173" s="211"/>
      <c r="H173" s="14"/>
      <c r="I173" s="253"/>
      <c r="J173" s="121"/>
      <c r="K173" s="253"/>
      <c r="L173" s="125"/>
      <c r="M173" s="253"/>
      <c r="N173" s="125"/>
      <c r="O173" s="253"/>
      <c r="P173" s="399"/>
      <c r="Q173" s="253"/>
    </row>
    <row r="174" spans="1:17" x14ac:dyDescent="0.2">
      <c r="A174" s="6">
        <f>MAX(A$12:A173)+1</f>
        <v>94</v>
      </c>
      <c r="B174" s="9"/>
      <c r="C174" s="9"/>
      <c r="D174" s="9"/>
      <c r="E174" s="264" t="s">
        <v>775</v>
      </c>
      <c r="F174" s="14"/>
      <c r="G174" s="8" t="s">
        <v>767</v>
      </c>
      <c r="H174" s="14"/>
      <c r="I174" s="253">
        <v>164.09204</v>
      </c>
      <c r="J174" s="121"/>
      <c r="K174" s="253">
        <f>M174-I174</f>
        <v>-164.09204</v>
      </c>
      <c r="L174" s="125"/>
      <c r="M174" s="253">
        <v>0</v>
      </c>
      <c r="N174" s="125"/>
      <c r="O174" s="253">
        <v>0</v>
      </c>
      <c r="P174" s="399"/>
      <c r="Q174" s="253">
        <v>0</v>
      </c>
    </row>
    <row r="175" spans="1:17" x14ac:dyDescent="0.2">
      <c r="A175" s="6">
        <f>MAX(A$12:A174)+1</f>
        <v>95</v>
      </c>
      <c r="B175" s="9"/>
      <c r="C175" s="9"/>
      <c r="D175" s="9"/>
      <c r="E175" s="263" t="s">
        <v>774</v>
      </c>
      <c r="F175" s="14"/>
      <c r="G175" s="252" t="s">
        <v>766</v>
      </c>
      <c r="H175" s="14"/>
      <c r="I175" s="260">
        <v>5.3699999999999998E-2</v>
      </c>
      <c r="J175" s="262"/>
      <c r="K175" s="260">
        <f>M175-I175</f>
        <v>1.0319113218669254E-2</v>
      </c>
      <c r="L175" s="262"/>
      <c r="M175" s="260">
        <v>6.4019113218669252E-2</v>
      </c>
      <c r="N175" s="258"/>
      <c r="O175" s="260">
        <v>5.9092827727634675E-2</v>
      </c>
      <c r="P175" s="515"/>
      <c r="Q175" s="260">
        <v>4.9262854910345714E-3</v>
      </c>
    </row>
    <row r="176" spans="1:17" x14ac:dyDescent="0.2">
      <c r="A176" s="6">
        <f>MAX(A$12:A175)+1</f>
        <v>96</v>
      </c>
      <c r="B176" s="9"/>
      <c r="C176" s="9"/>
      <c r="D176" s="9"/>
      <c r="E176" s="255" t="s">
        <v>773</v>
      </c>
      <c r="F176" s="14"/>
      <c r="G176" s="252" t="s">
        <v>766</v>
      </c>
      <c r="H176" s="14"/>
      <c r="I176" s="260">
        <v>23.191428548603266</v>
      </c>
      <c r="J176" s="262"/>
      <c r="K176" s="260">
        <f>M176-I176</f>
        <v>-2.3278554113836947E-3</v>
      </c>
      <c r="L176" s="262"/>
      <c r="M176" s="260">
        <v>23.189100693191882</v>
      </c>
      <c r="N176" s="258"/>
      <c r="O176" s="260">
        <v>21.048493608355425</v>
      </c>
      <c r="P176" s="515"/>
      <c r="Q176" s="260">
        <v>2.1406070848364571</v>
      </c>
    </row>
    <row r="177" spans="1:17" x14ac:dyDescent="0.2">
      <c r="A177" s="6">
        <f>MAX(A$12:A176)+1</f>
        <v>97</v>
      </c>
      <c r="B177" s="9"/>
      <c r="C177" s="9"/>
      <c r="D177" s="9"/>
      <c r="E177" s="255" t="s">
        <v>772</v>
      </c>
      <c r="F177" s="14"/>
      <c r="G177" s="252" t="s">
        <v>760</v>
      </c>
      <c r="H177" s="14"/>
      <c r="I177" s="260">
        <v>0.28970000000000001</v>
      </c>
      <c r="J177" s="261"/>
      <c r="K177" s="260">
        <f>M177-I177</f>
        <v>-9.1008362775678753E-2</v>
      </c>
      <c r="L177" s="259"/>
      <c r="M177" s="256">
        <v>0.19869163722432126</v>
      </c>
      <c r="N177" s="258"/>
      <c r="O177" s="253">
        <v>0</v>
      </c>
      <c r="P177" s="515"/>
      <c r="Q177" s="260">
        <v>0.19869163722432126</v>
      </c>
    </row>
    <row r="178" spans="1:17" x14ac:dyDescent="0.2">
      <c r="A178" s="6"/>
      <c r="B178" s="9"/>
      <c r="C178" s="9"/>
      <c r="D178" s="9"/>
      <c r="E178" s="255"/>
      <c r="F178" s="14"/>
      <c r="G178" s="252"/>
      <c r="H178" s="14"/>
      <c r="I178" s="265"/>
      <c r="J178" s="15"/>
      <c r="K178" s="248"/>
      <c r="M178" s="250"/>
      <c r="O178" s="249"/>
      <c r="P178" s="125"/>
      <c r="Q178" s="249"/>
    </row>
    <row r="179" spans="1:17" x14ac:dyDescent="0.2">
      <c r="A179" s="6"/>
      <c r="B179" s="9"/>
      <c r="C179" s="1" t="s">
        <v>776</v>
      </c>
      <c r="D179" s="9"/>
      <c r="E179" s="14"/>
      <c r="F179" s="14"/>
      <c r="G179" s="211"/>
      <c r="H179" s="14"/>
      <c r="I179" s="265"/>
      <c r="J179" s="15"/>
      <c r="K179" s="248"/>
      <c r="M179" s="250"/>
      <c r="O179" s="249"/>
      <c r="P179" s="125"/>
      <c r="Q179" s="249"/>
    </row>
    <row r="180" spans="1:17" x14ac:dyDescent="0.2">
      <c r="A180" s="6">
        <f>MAX(A$12:A179)+1</f>
        <v>98</v>
      </c>
      <c r="B180" s="9"/>
      <c r="C180" s="9"/>
      <c r="D180" s="9"/>
      <c r="E180" s="264" t="s">
        <v>775</v>
      </c>
      <c r="F180" s="14"/>
      <c r="G180" s="8" t="s">
        <v>767</v>
      </c>
      <c r="H180" s="14"/>
      <c r="I180" s="253">
        <v>164.09204</v>
      </c>
      <c r="J180" s="121"/>
      <c r="K180" s="253">
        <f>M180-I180</f>
        <v>-164.09204</v>
      </c>
      <c r="L180" s="125"/>
      <c r="M180" s="253">
        <v>0</v>
      </c>
      <c r="N180" s="125"/>
      <c r="O180" s="253">
        <v>0</v>
      </c>
      <c r="P180" s="399"/>
      <c r="Q180" s="253">
        <v>0</v>
      </c>
    </row>
    <row r="181" spans="1:17" x14ac:dyDescent="0.2">
      <c r="A181" s="6">
        <f>MAX(A$12:A180)+1</f>
        <v>99</v>
      </c>
      <c r="B181" s="9"/>
      <c r="C181" s="9"/>
      <c r="D181" s="9"/>
      <c r="E181" s="263" t="s">
        <v>774</v>
      </c>
      <c r="F181" s="14"/>
      <c r="G181" s="252" t="s">
        <v>766</v>
      </c>
      <c r="H181" s="14"/>
      <c r="I181" s="260">
        <v>5.3747823811848811E-2</v>
      </c>
      <c r="J181" s="262"/>
      <c r="K181" s="260">
        <f>M181-I181</f>
        <v>1.0271289406820441E-2</v>
      </c>
      <c r="L181" s="262"/>
      <c r="M181" s="260">
        <v>6.4019113218669252E-2</v>
      </c>
      <c r="N181" s="258"/>
      <c r="O181" s="260">
        <v>5.9092827727634675E-2</v>
      </c>
      <c r="P181" s="515"/>
      <c r="Q181" s="260">
        <v>4.9262854910345714E-3</v>
      </c>
    </row>
    <row r="182" spans="1:17" x14ac:dyDescent="0.2">
      <c r="A182" s="6">
        <f>MAX(A$12:A181)+1</f>
        <v>100</v>
      </c>
      <c r="B182" s="9"/>
      <c r="C182" s="9"/>
      <c r="D182" s="9"/>
      <c r="E182" s="255" t="s">
        <v>773</v>
      </c>
      <c r="F182" s="14"/>
      <c r="G182" s="252" t="s">
        <v>766</v>
      </c>
      <c r="H182" s="14"/>
      <c r="I182" s="260">
        <v>5.5775329156172342</v>
      </c>
      <c r="J182" s="262"/>
      <c r="K182" s="260">
        <f>M182-I182</f>
        <v>4.0664769799540954</v>
      </c>
      <c r="L182" s="262"/>
      <c r="M182" s="260">
        <v>9.6440098955713296</v>
      </c>
      <c r="N182" s="258"/>
      <c r="O182" s="260">
        <v>7.5034028107348716</v>
      </c>
      <c r="P182" s="515"/>
      <c r="Q182" s="260">
        <v>2.1406070848364571</v>
      </c>
    </row>
    <row r="183" spans="1:17" x14ac:dyDescent="0.2">
      <c r="A183" s="6">
        <f>MAX(A$12:A182)+1</f>
        <v>101</v>
      </c>
      <c r="B183" s="9"/>
      <c r="C183" s="9"/>
      <c r="D183" s="9"/>
      <c r="E183" s="255" t="s">
        <v>772</v>
      </c>
      <c r="F183" s="14"/>
      <c r="G183" s="252" t="s">
        <v>760</v>
      </c>
      <c r="H183" s="14"/>
      <c r="I183" s="260">
        <v>0.1205632692636639</v>
      </c>
      <c r="J183" s="261"/>
      <c r="K183" s="260">
        <f>M183-I183</f>
        <v>-2.2766986172557416E-2</v>
      </c>
      <c r="L183" s="259"/>
      <c r="M183" s="256">
        <v>9.7796283091106481E-2</v>
      </c>
      <c r="N183" s="258"/>
      <c r="O183" s="253">
        <v>0</v>
      </c>
      <c r="P183" s="515"/>
      <c r="Q183" s="260">
        <v>9.7796283091106481E-2</v>
      </c>
    </row>
    <row r="184" spans="1:17" x14ac:dyDescent="0.2">
      <c r="A184" s="6"/>
      <c r="B184" s="9"/>
      <c r="C184" s="9"/>
      <c r="D184" s="9"/>
      <c r="E184" s="255"/>
      <c r="F184" s="14"/>
      <c r="G184" s="252"/>
      <c r="H184" s="14"/>
      <c r="I184" s="260"/>
      <c r="J184" s="261"/>
      <c r="K184" s="260"/>
      <c r="L184" s="259"/>
      <c r="M184" s="256"/>
      <c r="N184" s="258"/>
      <c r="O184" s="256"/>
      <c r="P184" s="257"/>
      <c r="Q184" s="256"/>
    </row>
    <row r="185" spans="1:17" x14ac:dyDescent="0.2">
      <c r="A185" s="171" t="s">
        <v>29</v>
      </c>
      <c r="B185" s="40"/>
      <c r="C185" s="9"/>
      <c r="D185" s="9"/>
      <c r="E185" s="255"/>
      <c r="F185" s="14"/>
      <c r="G185" s="14"/>
      <c r="H185" s="14"/>
      <c r="I185" s="250"/>
      <c r="J185" s="15"/>
      <c r="K185" s="248"/>
      <c r="L185" s="184"/>
      <c r="M185" s="250"/>
      <c r="O185" s="248"/>
      <c r="Q185" s="248"/>
    </row>
    <row r="186" spans="1:17" ht="12.75" customHeight="1" x14ac:dyDescent="0.2">
      <c r="A186" s="167" t="s">
        <v>30</v>
      </c>
      <c r="C186" s="254" t="s">
        <v>1066</v>
      </c>
      <c r="D186" s="245"/>
      <c r="E186" s="14"/>
      <c r="F186" s="245"/>
      <c r="G186" s="245"/>
      <c r="H186" s="245"/>
      <c r="I186" s="245"/>
      <c r="J186" s="245"/>
      <c r="K186" s="245"/>
      <c r="L186" s="184"/>
      <c r="M186" s="245"/>
      <c r="N186" s="245"/>
      <c r="O186" s="245"/>
      <c r="P186" s="245"/>
      <c r="Q186" s="245"/>
    </row>
    <row r="187" spans="1:17" x14ac:dyDescent="0.2">
      <c r="A187" s="167" t="s">
        <v>268</v>
      </c>
      <c r="C187" s="254" t="s">
        <v>961</v>
      </c>
      <c r="D187" s="245"/>
      <c r="E187" s="245"/>
      <c r="F187" s="245"/>
      <c r="G187" s="245"/>
      <c r="H187" s="245"/>
      <c r="I187" s="245"/>
      <c r="J187" s="245"/>
      <c r="K187" s="245"/>
      <c r="L187" s="402"/>
      <c r="M187" s="245"/>
      <c r="N187" s="245"/>
      <c r="O187" s="245"/>
      <c r="P187" s="245"/>
      <c r="Q187" s="245"/>
    </row>
    <row r="188" spans="1:17" x14ac:dyDescent="0.2">
      <c r="A188" s="167"/>
      <c r="B188" s="9"/>
      <c r="E188" s="245"/>
      <c r="I188" s="43"/>
      <c r="J188" s="15"/>
      <c r="K188" s="43"/>
      <c r="M188" s="43"/>
      <c r="O188" s="43"/>
      <c r="Q188" s="43"/>
    </row>
    <row r="189" spans="1:17" x14ac:dyDescent="0.2">
      <c r="A189" s="555" t="s">
        <v>781</v>
      </c>
      <c r="B189" s="555"/>
      <c r="C189" s="555"/>
      <c r="D189" s="555"/>
      <c r="E189" s="555"/>
      <c r="F189" s="555"/>
      <c r="G189" s="555"/>
      <c r="H189" s="555"/>
      <c r="I189" s="555"/>
      <c r="J189" s="555"/>
      <c r="K189" s="555"/>
      <c r="L189" s="555"/>
      <c r="M189" s="555"/>
      <c r="N189" s="555"/>
      <c r="O189" s="555"/>
      <c r="P189" s="555"/>
      <c r="Q189" s="555"/>
    </row>
    <row r="190" spans="1:17" x14ac:dyDescent="0.2">
      <c r="A190" s="4" t="s">
        <v>395</v>
      </c>
      <c r="B190" s="165"/>
      <c r="C190" s="4"/>
      <c r="D190" s="4"/>
      <c r="E190" s="3"/>
      <c r="F190" s="4"/>
      <c r="G190" s="4"/>
      <c r="H190" s="4"/>
      <c r="I190" s="4"/>
      <c r="J190" s="4"/>
      <c r="K190" s="4"/>
      <c r="L190" s="4"/>
      <c r="M190" s="4"/>
      <c r="N190" s="4"/>
      <c r="O190" s="4"/>
      <c r="P190" s="4"/>
      <c r="Q190" s="4"/>
    </row>
    <row r="191" spans="1:17" x14ac:dyDescent="0.2">
      <c r="A191" s="4"/>
      <c r="B191" s="165"/>
      <c r="C191" s="4"/>
      <c r="D191" s="4"/>
      <c r="E191" s="3"/>
      <c r="F191" s="4"/>
      <c r="G191" s="4"/>
      <c r="H191" s="4"/>
      <c r="I191" s="4"/>
      <c r="J191" s="4"/>
      <c r="K191" s="4"/>
      <c r="L191" s="4"/>
      <c r="M191" s="4"/>
      <c r="N191" s="4"/>
      <c r="O191" s="4"/>
      <c r="P191" s="4"/>
      <c r="Q191" s="4"/>
    </row>
    <row r="192" spans="1:17" ht="15" customHeight="1" x14ac:dyDescent="0.2">
      <c r="A192" s="21"/>
      <c r="B192" s="21"/>
      <c r="C192" s="21"/>
      <c r="D192" s="21"/>
      <c r="E192" s="4"/>
      <c r="F192" s="21"/>
      <c r="G192" s="21"/>
      <c r="H192" s="21"/>
      <c r="O192" s="553" t="s">
        <v>398</v>
      </c>
      <c r="P192" s="553"/>
      <c r="Q192" s="553"/>
    </row>
    <row r="193" spans="1:17" x14ac:dyDescent="0.2">
      <c r="A193" s="2"/>
      <c r="B193" s="2"/>
      <c r="C193" s="2"/>
      <c r="D193" s="2"/>
      <c r="E193" s="21"/>
      <c r="F193" s="2"/>
      <c r="G193" s="2"/>
      <c r="H193" s="2"/>
      <c r="I193" s="2"/>
      <c r="J193" s="21"/>
      <c r="K193" s="3"/>
      <c r="M193" s="2"/>
      <c r="O193" s="554"/>
      <c r="P193" s="554"/>
      <c r="Q193" s="554"/>
    </row>
    <row r="194" spans="1:17" x14ac:dyDescent="0.2">
      <c r="A194" s="24" t="s">
        <v>0</v>
      </c>
      <c r="B194" s="24"/>
      <c r="C194" s="400" t="s">
        <v>349</v>
      </c>
      <c r="D194" s="24"/>
      <c r="E194" s="2"/>
      <c r="F194" s="24"/>
      <c r="G194" s="24"/>
      <c r="H194" s="24"/>
      <c r="I194" s="2" t="s">
        <v>238</v>
      </c>
      <c r="J194" s="24"/>
      <c r="K194" s="24"/>
      <c r="L194" s="24"/>
      <c r="M194" s="6" t="s">
        <v>80</v>
      </c>
      <c r="N194" s="523"/>
      <c r="O194" s="523"/>
      <c r="P194" s="523"/>
      <c r="Q194" s="523"/>
    </row>
    <row r="195" spans="1:17" x14ac:dyDescent="0.2">
      <c r="A195" s="519" t="s">
        <v>1</v>
      </c>
      <c r="B195" s="9"/>
      <c r="C195" s="401" t="s">
        <v>1</v>
      </c>
      <c r="D195" s="9"/>
      <c r="E195" s="10" t="s">
        <v>33</v>
      </c>
      <c r="F195" s="9"/>
      <c r="G195" s="519" t="s">
        <v>48</v>
      </c>
      <c r="H195" s="9"/>
      <c r="I195" s="524" t="s">
        <v>1143</v>
      </c>
      <c r="J195" s="6"/>
      <c r="K195" s="37" t="s">
        <v>37</v>
      </c>
      <c r="L195" s="6"/>
      <c r="M195" s="524" t="s">
        <v>1144</v>
      </c>
      <c r="O195" s="210" t="s">
        <v>397</v>
      </c>
      <c r="Q195" s="210" t="s">
        <v>262</v>
      </c>
    </row>
    <row r="196" spans="1:17" x14ac:dyDescent="0.2">
      <c r="A196" s="6"/>
      <c r="B196" s="9"/>
      <c r="I196" s="6" t="s">
        <v>234</v>
      </c>
      <c r="J196" s="6"/>
      <c r="K196" s="11" t="s">
        <v>235</v>
      </c>
      <c r="L196" s="6"/>
      <c r="M196" s="6" t="s">
        <v>58</v>
      </c>
      <c r="O196" s="211" t="s">
        <v>263</v>
      </c>
      <c r="Q196" s="211" t="s">
        <v>63</v>
      </c>
    </row>
    <row r="197" spans="1:17" x14ac:dyDescent="0.2">
      <c r="O197" s="1"/>
      <c r="Q197" s="1"/>
    </row>
    <row r="198" spans="1:17" x14ac:dyDescent="0.2">
      <c r="A198" s="6"/>
      <c r="B198" s="9"/>
      <c r="C198" s="1" t="s">
        <v>16</v>
      </c>
      <c r="D198" s="9"/>
      <c r="F198" s="5"/>
      <c r="G198" s="5"/>
      <c r="H198" s="5"/>
      <c r="I198" s="6"/>
      <c r="J198" s="6"/>
      <c r="K198" s="6"/>
      <c r="L198" s="6"/>
      <c r="M198" s="6"/>
      <c r="O198" s="6"/>
      <c r="Q198" s="6"/>
    </row>
    <row r="199" spans="1:17" x14ac:dyDescent="0.2">
      <c r="A199" s="6">
        <f>MAX(A$198:A198)+1</f>
        <v>1</v>
      </c>
      <c r="B199" s="9"/>
      <c r="C199" s="9"/>
      <c r="D199" s="9"/>
      <c r="E199" s="14" t="s">
        <v>85</v>
      </c>
      <c r="F199" s="14"/>
      <c r="G199" s="211" t="s">
        <v>767</v>
      </c>
      <c r="H199" s="14"/>
      <c r="I199" s="253">
        <v>22.98</v>
      </c>
      <c r="J199" s="121"/>
      <c r="K199" s="253">
        <f>M199-I199</f>
        <v>1.9999999999999574E-2</v>
      </c>
      <c r="L199" s="125"/>
      <c r="M199" s="253">
        <v>23</v>
      </c>
      <c r="N199" s="125"/>
      <c r="O199" s="253">
        <v>23</v>
      </c>
      <c r="P199" s="399"/>
      <c r="Q199" s="253">
        <v>0</v>
      </c>
    </row>
    <row r="200" spans="1:17" x14ac:dyDescent="0.2">
      <c r="A200" s="6"/>
      <c r="B200" s="9"/>
      <c r="C200" s="9"/>
      <c r="D200" s="9"/>
      <c r="E200" s="14" t="s">
        <v>239</v>
      </c>
      <c r="F200" s="14"/>
      <c r="G200" s="14"/>
      <c r="H200" s="14"/>
      <c r="I200" s="147"/>
      <c r="J200" s="121"/>
      <c r="K200" s="147"/>
      <c r="L200" s="125"/>
      <c r="M200" s="147"/>
      <c r="O200" s="147"/>
      <c r="P200" s="125"/>
      <c r="Q200" s="147"/>
    </row>
    <row r="201" spans="1:17" x14ac:dyDescent="0.2">
      <c r="A201" s="6">
        <f>MAX(A$199:A200)+1</f>
        <v>2</v>
      </c>
      <c r="B201" s="9"/>
      <c r="C201" s="9"/>
      <c r="D201" s="9"/>
      <c r="E201" s="270" t="s">
        <v>161</v>
      </c>
      <c r="F201" s="270"/>
      <c r="G201" s="252" t="s">
        <v>760</v>
      </c>
      <c r="H201" s="270"/>
      <c r="I201" s="147">
        <v>11.1409</v>
      </c>
      <c r="J201" s="121"/>
      <c r="K201" s="147">
        <f>M201-I201</f>
        <v>-3.7653501205422915</v>
      </c>
      <c r="L201" s="125"/>
      <c r="M201" s="147">
        <v>7.3755498794577088</v>
      </c>
      <c r="O201" s="147">
        <v>8.0948250581895032</v>
      </c>
      <c r="P201" s="125"/>
      <c r="Q201" s="147">
        <v>-0.71927517873179414</v>
      </c>
    </row>
    <row r="202" spans="1:17" x14ac:dyDescent="0.2">
      <c r="A202" s="6">
        <f>MAX(A$199:A201)+1</f>
        <v>3</v>
      </c>
      <c r="B202" s="9"/>
      <c r="C202" s="9"/>
      <c r="D202" s="9"/>
      <c r="E202" s="270" t="s">
        <v>162</v>
      </c>
      <c r="F202" s="270"/>
      <c r="G202" s="252" t="s">
        <v>760</v>
      </c>
      <c r="H202" s="270"/>
      <c r="I202" s="147">
        <v>10.862900000000002</v>
      </c>
      <c r="J202" s="121"/>
      <c r="K202" s="147">
        <f>M202-I202</f>
        <v>-3.6905246750905656</v>
      </c>
      <c r="L202" s="125"/>
      <c r="M202" s="147">
        <v>7.172375324909436</v>
      </c>
      <c r="O202" s="147">
        <v>7.8916505036412303</v>
      </c>
      <c r="P202" s="125"/>
      <c r="Q202" s="147">
        <v>-0.71927517873179414</v>
      </c>
    </row>
    <row r="203" spans="1:17" x14ac:dyDescent="0.2">
      <c r="A203" s="6">
        <f>MAX(A$199:A202)+1</f>
        <v>4</v>
      </c>
      <c r="B203" s="9"/>
      <c r="C203" s="9"/>
      <c r="D203" s="9"/>
      <c r="E203" s="270" t="s">
        <v>162</v>
      </c>
      <c r="F203" s="270"/>
      <c r="G203" s="252" t="s">
        <v>760</v>
      </c>
      <c r="H203" s="270"/>
      <c r="I203" s="147">
        <v>10.4222</v>
      </c>
      <c r="J203" s="121"/>
      <c r="K203" s="147">
        <f>M203-I203</f>
        <v>-3.5719075031100767</v>
      </c>
      <c r="L203" s="125"/>
      <c r="M203" s="147">
        <v>6.8502924968899235</v>
      </c>
      <c r="O203" s="147">
        <v>7.5695676756217178</v>
      </c>
      <c r="P203" s="125"/>
      <c r="Q203" s="147">
        <v>-0.71927517873179414</v>
      </c>
    </row>
    <row r="204" spans="1:17" x14ac:dyDescent="0.2">
      <c r="A204" s="6">
        <f>MAX(A$199:A203)+1</f>
        <v>5</v>
      </c>
      <c r="B204" s="9"/>
      <c r="C204" s="9"/>
      <c r="D204" s="9"/>
      <c r="E204" s="270" t="s">
        <v>163</v>
      </c>
      <c r="F204" s="270"/>
      <c r="G204" s="252" t="s">
        <v>760</v>
      </c>
      <c r="H204" s="270"/>
      <c r="I204" s="147">
        <v>10.017900000000001</v>
      </c>
      <c r="J204" s="121"/>
      <c r="K204" s="147">
        <f>M204-I204</f>
        <v>-3.463087619670751</v>
      </c>
      <c r="L204" s="125"/>
      <c r="M204" s="147">
        <v>6.55481238032925</v>
      </c>
      <c r="O204" s="147">
        <v>7.2740875590610443</v>
      </c>
      <c r="P204" s="125"/>
      <c r="Q204" s="147">
        <v>-0.71927517873179414</v>
      </c>
    </row>
    <row r="205" spans="1:17" x14ac:dyDescent="0.2">
      <c r="A205" s="6">
        <f>MAX(A$199:A204)+1</f>
        <v>6</v>
      </c>
      <c r="B205" s="9"/>
      <c r="C205" s="9"/>
      <c r="D205" s="9"/>
      <c r="E205" s="270" t="s">
        <v>164</v>
      </c>
      <c r="F205" s="270"/>
      <c r="G205" s="252" t="s">
        <v>760</v>
      </c>
      <c r="H205" s="270"/>
      <c r="I205" s="147">
        <v>9.6836000000000002</v>
      </c>
      <c r="J205" s="121"/>
      <c r="K205" s="147">
        <f>M205-I205</f>
        <v>-3.3731086757336568</v>
      </c>
      <c r="L205" s="125"/>
      <c r="M205" s="147">
        <v>6.3104913242663434</v>
      </c>
      <c r="O205" s="147">
        <v>7.0297665029981378</v>
      </c>
      <c r="P205" s="125"/>
      <c r="Q205" s="147">
        <v>-0.71927517873179414</v>
      </c>
    </row>
    <row r="206" spans="1:17" ht="11.45" customHeight="1" x14ac:dyDescent="0.2">
      <c r="A206" s="6"/>
      <c r="B206" s="9"/>
      <c r="C206" s="9"/>
      <c r="D206" s="9"/>
      <c r="F206" s="14"/>
      <c r="G206" s="14"/>
      <c r="H206" s="14"/>
      <c r="I206" s="147"/>
      <c r="J206" s="121"/>
      <c r="K206" s="147"/>
      <c r="L206" s="125"/>
      <c r="M206" s="147"/>
      <c r="O206" s="147"/>
      <c r="P206" s="125"/>
      <c r="Q206" s="147"/>
    </row>
    <row r="207" spans="1:17" x14ac:dyDescent="0.2">
      <c r="A207" s="6"/>
      <c r="B207" s="9"/>
      <c r="C207" s="9"/>
      <c r="D207" s="9"/>
      <c r="E207" s="14" t="s">
        <v>241</v>
      </c>
      <c r="F207" s="14"/>
      <c r="G207" s="14"/>
      <c r="H207" s="14"/>
      <c r="I207" s="125"/>
      <c r="J207" s="125"/>
      <c r="K207" s="125"/>
      <c r="L207" s="125"/>
      <c r="M207" s="125"/>
      <c r="O207" s="125"/>
      <c r="P207" s="125"/>
      <c r="Q207" s="125"/>
    </row>
    <row r="208" spans="1:17" x14ac:dyDescent="0.2">
      <c r="A208" s="6">
        <f>MAX(A$199:A207)+1</f>
        <v>7</v>
      </c>
      <c r="B208" s="9"/>
      <c r="C208" s="9"/>
      <c r="D208" s="9"/>
      <c r="E208" s="38" t="s">
        <v>168</v>
      </c>
      <c r="F208" s="38"/>
      <c r="G208" s="252" t="s">
        <v>760</v>
      </c>
      <c r="H208" s="38"/>
      <c r="I208" s="147">
        <v>2.2812000000000001</v>
      </c>
      <c r="J208" s="121"/>
      <c r="K208" s="147">
        <f>M208-I208</f>
        <v>-5.8140684496660544E-2</v>
      </c>
      <c r="L208" s="125"/>
      <c r="M208" s="147">
        <v>2.2230593155033396</v>
      </c>
      <c r="O208" s="147">
        <v>1.0462582102866687</v>
      </c>
      <c r="P208" s="125"/>
      <c r="Q208" s="147">
        <v>1.1768011052166709</v>
      </c>
    </row>
    <row r="209" spans="1:17" x14ac:dyDescent="0.2">
      <c r="A209" s="6">
        <f>MAX(A$199:A208)+1</f>
        <v>8</v>
      </c>
      <c r="B209" s="9"/>
      <c r="C209" s="9"/>
      <c r="D209" s="9"/>
      <c r="E209" s="38" t="s">
        <v>169</v>
      </c>
      <c r="F209" s="38"/>
      <c r="G209" s="252" t="s">
        <v>760</v>
      </c>
      <c r="H209" s="38"/>
      <c r="I209" s="147">
        <v>6.2597999999999994</v>
      </c>
      <c r="J209" s="121"/>
      <c r="K209" s="147">
        <f>M209-I209</f>
        <v>-4.0367406844966602</v>
      </c>
      <c r="L209" s="125"/>
      <c r="M209" s="147">
        <v>2.2230593155033396</v>
      </c>
      <c r="O209" s="147">
        <v>1.0462582102866687</v>
      </c>
      <c r="P209" s="125"/>
      <c r="Q209" s="147">
        <v>1.1768011052166709</v>
      </c>
    </row>
    <row r="210" spans="1:17" x14ac:dyDescent="0.2">
      <c r="E210" s="14"/>
      <c r="I210" s="147"/>
      <c r="J210" s="121"/>
      <c r="K210" s="147"/>
      <c r="L210" s="125"/>
      <c r="M210" s="147"/>
      <c r="O210" s="147"/>
      <c r="P210" s="125"/>
      <c r="Q210" s="147"/>
    </row>
    <row r="211" spans="1:17" x14ac:dyDescent="0.2">
      <c r="A211" s="6"/>
      <c r="B211" s="9"/>
      <c r="C211" s="9"/>
      <c r="D211" s="9"/>
      <c r="E211" s="14" t="s">
        <v>87</v>
      </c>
      <c r="F211" s="14"/>
      <c r="G211" s="14"/>
      <c r="H211" s="14"/>
      <c r="I211" s="147"/>
      <c r="J211" s="121"/>
      <c r="K211" s="126"/>
      <c r="L211" s="125"/>
      <c r="M211" s="126"/>
      <c r="O211" s="126"/>
      <c r="P211" s="125"/>
      <c r="Q211" s="126"/>
    </row>
    <row r="212" spans="1:17" x14ac:dyDescent="0.2">
      <c r="A212" s="6">
        <f>MAX(A$199:A211)+1</f>
        <v>9</v>
      </c>
      <c r="B212" s="9"/>
      <c r="C212" s="9"/>
      <c r="D212" s="9"/>
      <c r="E212" s="38" t="s">
        <v>171</v>
      </c>
      <c r="F212" s="38"/>
      <c r="G212" s="252" t="s">
        <v>760</v>
      </c>
      <c r="H212" s="38"/>
      <c r="I212" s="147">
        <v>4.4904000000000011</v>
      </c>
      <c r="J212" s="121"/>
      <c r="K212" s="147">
        <f>M212-I212</f>
        <v>-1.1849326341107016</v>
      </c>
      <c r="L212" s="125"/>
      <c r="M212" s="147">
        <v>3.3054673658892995</v>
      </c>
      <c r="O212" s="147">
        <v>1.3210505892607758</v>
      </c>
      <c r="P212" s="267"/>
      <c r="Q212" s="147">
        <v>1.9844167766285237</v>
      </c>
    </row>
    <row r="213" spans="1:17" x14ac:dyDescent="0.2">
      <c r="A213" s="6">
        <f>MAX(A$199:A212)+1</f>
        <v>10</v>
      </c>
      <c r="B213" s="9"/>
      <c r="C213" s="9"/>
      <c r="D213" s="9"/>
      <c r="E213" s="38" t="s">
        <v>174</v>
      </c>
      <c r="F213" s="38"/>
      <c r="G213" s="252" t="s">
        <v>760</v>
      </c>
      <c r="H213" s="38"/>
      <c r="I213" s="147">
        <v>2.2974999999999999</v>
      </c>
      <c r="J213" s="121"/>
      <c r="K213" s="147">
        <f>M213-I213</f>
        <v>1.0079673658892996</v>
      </c>
      <c r="L213" s="125"/>
      <c r="M213" s="147">
        <v>3.3054673658892995</v>
      </c>
      <c r="O213" s="147">
        <v>1.3210505892607758</v>
      </c>
      <c r="P213" s="267"/>
      <c r="Q213" s="147">
        <v>1.9844167766285237</v>
      </c>
    </row>
    <row r="214" spans="1:17" x14ac:dyDescent="0.2">
      <c r="A214" s="6">
        <f>MAX(A$199:A213)+1</f>
        <v>11</v>
      </c>
      <c r="B214" s="9"/>
      <c r="C214" s="9"/>
      <c r="D214" s="9"/>
      <c r="E214" s="38" t="s">
        <v>173</v>
      </c>
      <c r="F214" s="38"/>
      <c r="G214" s="252" t="s">
        <v>760</v>
      </c>
      <c r="H214" s="38"/>
      <c r="I214" s="147">
        <v>4.4904000000000011</v>
      </c>
      <c r="J214" s="121"/>
      <c r="K214" s="147">
        <f>M214-I214</f>
        <v>0.67703427138230765</v>
      </c>
      <c r="L214" s="137"/>
      <c r="M214" s="147">
        <v>5.1674342713823087</v>
      </c>
      <c r="O214" s="147">
        <v>1.3210505892607758</v>
      </c>
      <c r="P214" s="267"/>
      <c r="Q214" s="147">
        <v>3.8463836821215329</v>
      </c>
    </row>
    <row r="215" spans="1:17" x14ac:dyDescent="0.2">
      <c r="A215" s="6">
        <f>MAX(A$199:A214)+1</f>
        <v>12</v>
      </c>
      <c r="B215" s="9"/>
      <c r="C215" s="9"/>
      <c r="D215" s="9"/>
      <c r="E215" s="38" t="s">
        <v>172</v>
      </c>
      <c r="F215" s="38"/>
      <c r="G215" s="252" t="s">
        <v>760</v>
      </c>
      <c r="H215" s="38"/>
      <c r="I215" s="147">
        <v>2.2974999999999999</v>
      </c>
      <c r="J215" s="121"/>
      <c r="K215" s="147">
        <f>M215-I215</f>
        <v>1.0079673658892996</v>
      </c>
      <c r="L215" s="137"/>
      <c r="M215" s="147">
        <v>3.3054673658892995</v>
      </c>
      <c r="O215" s="147">
        <v>1.3210505892607758</v>
      </c>
      <c r="P215" s="267"/>
      <c r="Q215" s="147">
        <v>1.9844167766285237</v>
      </c>
    </row>
    <row r="216" spans="1:17" x14ac:dyDescent="0.2">
      <c r="I216" s="125"/>
      <c r="J216" s="125"/>
      <c r="K216" s="125"/>
      <c r="L216" s="125"/>
      <c r="M216" s="125"/>
      <c r="O216" s="125"/>
      <c r="P216" s="125"/>
      <c r="Q216" s="125"/>
    </row>
    <row r="217" spans="1:17" x14ac:dyDescent="0.2">
      <c r="A217" s="6"/>
      <c r="B217" s="9"/>
      <c r="C217" s="9"/>
      <c r="D217" s="9"/>
      <c r="E217" s="14" t="s">
        <v>167</v>
      </c>
      <c r="F217" s="14"/>
      <c r="G217" s="14"/>
      <c r="H217" s="14"/>
      <c r="I217" s="125"/>
      <c r="J217" s="125"/>
      <c r="K217" s="125"/>
      <c r="L217" s="125"/>
      <c r="M217" s="125"/>
      <c r="O217" s="125"/>
      <c r="P217" s="125"/>
      <c r="Q217" s="125"/>
    </row>
    <row r="218" spans="1:17" x14ac:dyDescent="0.2">
      <c r="A218" s="6">
        <f>MAX(A$199:A217)+1</f>
        <v>13</v>
      </c>
      <c r="B218" s="9"/>
      <c r="C218" s="9"/>
      <c r="D218" s="9"/>
      <c r="E218" s="38" t="s">
        <v>165</v>
      </c>
      <c r="F218" s="38"/>
      <c r="G218" s="252" t="s">
        <v>760</v>
      </c>
      <c r="H218" s="38"/>
      <c r="I218" s="147">
        <v>18.274100000000001</v>
      </c>
      <c r="J218" s="121"/>
      <c r="K218" s="147">
        <f>M218-I218</f>
        <v>2.6293021810808206</v>
      </c>
      <c r="L218" s="125"/>
      <c r="M218" s="147">
        <v>20.903402181080821</v>
      </c>
      <c r="O218" s="147">
        <v>0.15408160302151921</v>
      </c>
      <c r="P218" s="267"/>
      <c r="Q218" s="147">
        <v>20.749320578059301</v>
      </c>
    </row>
    <row r="219" spans="1:17" x14ac:dyDescent="0.2">
      <c r="A219" s="6">
        <f>MAX(A$199:A218)+1</f>
        <v>14</v>
      </c>
      <c r="B219" s="9"/>
      <c r="C219" s="9"/>
      <c r="D219" s="9"/>
      <c r="E219" s="38" t="s">
        <v>166</v>
      </c>
      <c r="F219" s="38"/>
      <c r="G219" s="252" t="s">
        <v>760</v>
      </c>
      <c r="H219" s="38"/>
      <c r="I219" s="147">
        <v>22.315125896711042</v>
      </c>
      <c r="J219" s="121"/>
      <c r="K219" s="147">
        <f>M219-I219</f>
        <v>-1.4117237156302203</v>
      </c>
      <c r="L219" s="125"/>
      <c r="M219" s="147">
        <v>20.903402181080821</v>
      </c>
      <c r="O219" s="147">
        <v>0.15408160302151921</v>
      </c>
      <c r="P219" s="267"/>
      <c r="Q219" s="147">
        <v>20.749320578059301</v>
      </c>
    </row>
    <row r="220" spans="1:17" x14ac:dyDescent="0.2">
      <c r="A220" s="6"/>
      <c r="B220" s="9"/>
      <c r="C220" s="9"/>
      <c r="D220" s="9"/>
      <c r="I220" s="126"/>
      <c r="J220" s="121"/>
      <c r="K220" s="126"/>
      <c r="L220" s="125"/>
      <c r="M220" s="126"/>
      <c r="O220" s="126"/>
      <c r="P220" s="125"/>
      <c r="Q220" s="126"/>
    </row>
    <row r="221" spans="1:17" x14ac:dyDescent="0.2">
      <c r="A221" s="6"/>
      <c r="B221" s="9"/>
      <c r="C221" s="1" t="s">
        <v>17</v>
      </c>
      <c r="D221" s="9"/>
      <c r="E221" s="9"/>
      <c r="F221" s="5"/>
      <c r="G221" s="5"/>
      <c r="H221" s="5"/>
      <c r="I221" s="137"/>
      <c r="J221" s="137"/>
      <c r="K221" s="137"/>
      <c r="L221" s="137"/>
      <c r="M221" s="137"/>
      <c r="O221" s="137"/>
      <c r="P221" s="125"/>
      <c r="Q221" s="137"/>
    </row>
    <row r="222" spans="1:17" x14ac:dyDescent="0.2">
      <c r="A222" s="6">
        <f>MAX(A$199:A221)+1</f>
        <v>15</v>
      </c>
      <c r="B222" s="9"/>
      <c r="C222" s="9"/>
      <c r="D222" s="9"/>
      <c r="E222" s="14" t="s">
        <v>85</v>
      </c>
      <c r="F222" s="14"/>
      <c r="G222" s="211" t="s">
        <v>767</v>
      </c>
      <c r="H222" s="14"/>
      <c r="I222" s="253">
        <v>76.58</v>
      </c>
      <c r="J222" s="121"/>
      <c r="K222" s="253">
        <f>M222-I222</f>
        <v>3.4200000000000017</v>
      </c>
      <c r="L222" s="125"/>
      <c r="M222" s="253">
        <v>80</v>
      </c>
      <c r="N222" s="125"/>
      <c r="O222" s="253">
        <v>80</v>
      </c>
      <c r="P222" s="399"/>
      <c r="Q222" s="253">
        <v>0</v>
      </c>
    </row>
    <row r="223" spans="1:17" x14ac:dyDescent="0.2">
      <c r="A223" s="6"/>
      <c r="B223" s="9"/>
      <c r="C223" s="9"/>
      <c r="D223" s="9"/>
      <c r="E223" s="14" t="s">
        <v>239</v>
      </c>
      <c r="F223" s="14"/>
      <c r="G223" s="14"/>
      <c r="H223" s="14"/>
      <c r="I223" s="147"/>
      <c r="J223" s="121"/>
      <c r="K223" s="147"/>
      <c r="L223" s="125"/>
      <c r="M223" s="147"/>
      <c r="O223" s="147"/>
      <c r="P223" s="125"/>
      <c r="Q223" s="147"/>
    </row>
    <row r="224" spans="1:17" x14ac:dyDescent="0.2">
      <c r="A224" s="6">
        <f>MAX(A$199:A223)+1</f>
        <v>16</v>
      </c>
      <c r="B224" s="9"/>
      <c r="C224" s="9"/>
      <c r="D224" s="9"/>
      <c r="E224" s="270" t="s">
        <v>176</v>
      </c>
      <c r="F224" s="270"/>
      <c r="G224" s="252" t="s">
        <v>760</v>
      </c>
      <c r="H224" s="270"/>
      <c r="I224" s="147">
        <v>10.1913</v>
      </c>
      <c r="J224" s="121"/>
      <c r="K224" s="147">
        <f>M224-I224</f>
        <v>-3.417238644671424</v>
      </c>
      <c r="L224" s="125"/>
      <c r="M224" s="147">
        <v>6.774061355328576</v>
      </c>
      <c r="O224" s="147">
        <v>7.3691859315062809</v>
      </c>
      <c r="P224" s="125"/>
      <c r="Q224" s="147">
        <v>-0.59512457617770509</v>
      </c>
    </row>
    <row r="225" spans="1:17" x14ac:dyDescent="0.2">
      <c r="A225" s="6">
        <f>MAX(A$199:A224)+1</f>
        <v>17</v>
      </c>
      <c r="B225" s="9"/>
      <c r="C225" s="9"/>
      <c r="D225" s="9"/>
      <c r="E225" s="270" t="s">
        <v>177</v>
      </c>
      <c r="F225" s="270"/>
      <c r="G225" s="252" t="s">
        <v>760</v>
      </c>
      <c r="H225" s="270"/>
      <c r="I225" s="147">
        <v>8.3182000000000009</v>
      </c>
      <c r="J225" s="121"/>
      <c r="K225" s="147">
        <f>M225-I225</f>
        <v>-2.9006806796290583</v>
      </c>
      <c r="L225" s="125"/>
      <c r="M225" s="147">
        <v>5.4175193203709426</v>
      </c>
      <c r="O225" s="147">
        <v>6.0126438965486475</v>
      </c>
      <c r="P225" s="125"/>
      <c r="Q225" s="147">
        <v>-0.59512457617770509</v>
      </c>
    </row>
    <row r="226" spans="1:17" x14ac:dyDescent="0.2">
      <c r="A226" s="6">
        <f>MAX(A$199:A225)+1</f>
        <v>18</v>
      </c>
      <c r="B226" s="9"/>
      <c r="C226" s="9"/>
      <c r="D226" s="9"/>
      <c r="E226" s="270" t="s">
        <v>178</v>
      </c>
      <c r="F226" s="270"/>
      <c r="G226" s="252" t="s">
        <v>760</v>
      </c>
      <c r="H226" s="270"/>
      <c r="I226" s="147">
        <v>7.2328000000000001</v>
      </c>
      <c r="J226" s="121"/>
      <c r="K226" s="147">
        <f>M226-I226</f>
        <v>-2.6013522853858335</v>
      </c>
      <c r="L226" s="125"/>
      <c r="M226" s="147">
        <v>4.6314477146141666</v>
      </c>
      <c r="O226" s="147">
        <v>5.2265722907918715</v>
      </c>
      <c r="P226" s="125"/>
      <c r="Q226" s="147">
        <v>-0.59512457617770509</v>
      </c>
    </row>
    <row r="227" spans="1:17" x14ac:dyDescent="0.2">
      <c r="A227" s="6">
        <f>MAX(A$199:A226)+1</f>
        <v>19</v>
      </c>
      <c r="B227" s="9"/>
      <c r="C227" s="9"/>
      <c r="D227" s="9"/>
      <c r="E227" s="270" t="s">
        <v>179</v>
      </c>
      <c r="F227" s="270"/>
      <c r="G227" s="252" t="s">
        <v>760</v>
      </c>
      <c r="H227" s="270"/>
      <c r="I227" s="147">
        <v>6.5511999999999997</v>
      </c>
      <c r="J227" s="121"/>
      <c r="K227" s="147">
        <f>M227-I227</f>
        <v>-2.4133826580445934</v>
      </c>
      <c r="L227" s="125"/>
      <c r="M227" s="147">
        <v>4.1378173419554063</v>
      </c>
      <c r="O227" s="147">
        <v>4.7329419181331112</v>
      </c>
      <c r="P227" s="125"/>
      <c r="Q227" s="147">
        <v>-0.59512457617770509</v>
      </c>
    </row>
    <row r="228" spans="1:17" x14ac:dyDescent="0.2">
      <c r="A228" s="6">
        <f>MAX(A$199:A227)+1</f>
        <v>20</v>
      </c>
      <c r="B228" s="9"/>
      <c r="C228" s="9"/>
      <c r="D228" s="9"/>
      <c r="E228" s="270" t="s">
        <v>180</v>
      </c>
      <c r="F228" s="270"/>
      <c r="G228" s="252" t="s">
        <v>760</v>
      </c>
      <c r="H228" s="270"/>
      <c r="I228" s="147">
        <v>3.9687000000000001</v>
      </c>
      <c r="J228" s="121"/>
      <c r="K228" s="147">
        <f>M228-I228</f>
        <v>-1.7011884640763544</v>
      </c>
      <c r="L228" s="125"/>
      <c r="M228" s="147">
        <v>2.2675115359236457</v>
      </c>
      <c r="O228" s="147">
        <v>2.862636112101351</v>
      </c>
      <c r="P228" s="125"/>
      <c r="Q228" s="147">
        <v>-0.59512457617770509</v>
      </c>
    </row>
    <row r="229" spans="1:17" x14ac:dyDescent="0.2">
      <c r="A229" s="6"/>
      <c r="B229" s="9"/>
      <c r="C229" s="9"/>
      <c r="D229" s="9"/>
      <c r="F229" s="14"/>
      <c r="G229" s="14"/>
      <c r="H229" s="14"/>
      <c r="I229" s="147"/>
      <c r="J229" s="121"/>
      <c r="K229" s="147"/>
      <c r="L229" s="125"/>
      <c r="M229" s="147"/>
      <c r="O229" s="147"/>
      <c r="P229" s="125"/>
      <c r="Q229" s="147"/>
    </row>
    <row r="230" spans="1:17" x14ac:dyDescent="0.2">
      <c r="A230" s="6"/>
      <c r="B230" s="9"/>
      <c r="C230" s="9"/>
      <c r="D230" s="9"/>
      <c r="E230" s="14" t="s">
        <v>241</v>
      </c>
      <c r="F230" s="14"/>
      <c r="G230" s="14"/>
      <c r="H230" s="14"/>
      <c r="I230" s="125"/>
      <c r="J230" s="125"/>
      <c r="K230" s="125"/>
      <c r="L230" s="125"/>
      <c r="M230" s="125"/>
      <c r="O230" s="125"/>
      <c r="P230" s="125"/>
      <c r="Q230" s="125"/>
    </row>
    <row r="231" spans="1:17" x14ac:dyDescent="0.2">
      <c r="A231" s="6">
        <f>MAX(A$199:A230)+1</f>
        <v>21</v>
      </c>
      <c r="B231" s="9"/>
      <c r="C231" s="9"/>
      <c r="D231" s="9"/>
      <c r="E231" s="38" t="s">
        <v>168</v>
      </c>
      <c r="F231" s="38"/>
      <c r="G231" s="252" t="s">
        <v>760</v>
      </c>
      <c r="H231" s="38"/>
      <c r="I231" s="147">
        <v>1.8104</v>
      </c>
      <c r="J231" s="121"/>
      <c r="K231" s="147">
        <f>M231-I231</f>
        <v>6.7757321209722665E-2</v>
      </c>
      <c r="L231" s="125"/>
      <c r="M231" s="147">
        <v>1.8781573212097227</v>
      </c>
      <c r="O231" s="147">
        <v>0.85116627394886424</v>
      </c>
      <c r="P231" s="125"/>
      <c r="Q231" s="147">
        <v>1.0269910472608583</v>
      </c>
    </row>
    <row r="232" spans="1:17" x14ac:dyDescent="0.2">
      <c r="A232" s="6">
        <f>MAX(A$199:A231)+1</f>
        <v>22</v>
      </c>
      <c r="E232" s="38" t="s">
        <v>169</v>
      </c>
      <c r="F232" s="38"/>
      <c r="G232" s="252" t="s">
        <v>760</v>
      </c>
      <c r="H232" s="38"/>
      <c r="I232" s="147">
        <v>4.6779999999999999</v>
      </c>
      <c r="J232" s="121"/>
      <c r="K232" s="147">
        <f>M232-I232</f>
        <v>-2.7998426787902773</v>
      </c>
      <c r="L232" s="125"/>
      <c r="M232" s="147">
        <v>1.8781573212097227</v>
      </c>
      <c r="O232" s="147">
        <v>0.85116627394886424</v>
      </c>
      <c r="P232" s="125"/>
      <c r="Q232" s="147">
        <v>1.0269910472608583</v>
      </c>
    </row>
    <row r="233" spans="1:17" x14ac:dyDescent="0.2">
      <c r="A233" s="6"/>
      <c r="B233" s="9"/>
      <c r="C233" s="9"/>
      <c r="D233" s="9"/>
      <c r="I233" s="125"/>
      <c r="J233" s="125"/>
      <c r="K233" s="125"/>
      <c r="L233" s="125"/>
      <c r="M233" s="125"/>
      <c r="O233" s="125"/>
      <c r="P233" s="125"/>
      <c r="Q233" s="125"/>
    </row>
    <row r="234" spans="1:17" x14ac:dyDescent="0.2">
      <c r="A234" s="6"/>
      <c r="B234" s="9"/>
      <c r="C234" s="9"/>
      <c r="D234" s="9"/>
      <c r="E234" s="14" t="s">
        <v>87</v>
      </c>
      <c r="F234" s="14"/>
      <c r="G234" s="14"/>
      <c r="H234" s="14"/>
      <c r="I234" s="147"/>
      <c r="J234" s="121"/>
      <c r="K234" s="126"/>
      <c r="L234" s="125"/>
      <c r="M234" s="126"/>
      <c r="O234" s="126"/>
      <c r="P234" s="125"/>
      <c r="Q234" s="126"/>
    </row>
    <row r="235" spans="1:17" x14ac:dyDescent="0.2">
      <c r="A235" s="6">
        <f>MAX(A$199:A234)+1</f>
        <v>23</v>
      </c>
      <c r="B235" s="9"/>
      <c r="C235" s="9"/>
      <c r="D235" s="9"/>
      <c r="E235" s="38" t="s">
        <v>171</v>
      </c>
      <c r="F235" s="38"/>
      <c r="G235" s="252" t="s">
        <v>760</v>
      </c>
      <c r="H235" s="38"/>
      <c r="I235" s="147">
        <v>3.9398999999999997</v>
      </c>
      <c r="J235" s="121"/>
      <c r="K235" s="147">
        <f>M235-I235</f>
        <v>-0.90540714053252724</v>
      </c>
      <c r="L235" s="125"/>
      <c r="M235" s="147">
        <v>3.0344928594674725</v>
      </c>
      <c r="O235" s="147">
        <v>1.1881234434116088</v>
      </c>
      <c r="P235" s="267"/>
      <c r="Q235" s="147">
        <v>1.8463694160558635</v>
      </c>
    </row>
    <row r="236" spans="1:17" x14ac:dyDescent="0.2">
      <c r="A236" s="6">
        <f>MAX(A$199:A235)+1</f>
        <v>24</v>
      </c>
      <c r="B236" s="9"/>
      <c r="C236" s="9"/>
      <c r="D236" s="9"/>
      <c r="E236" s="38" t="s">
        <v>174</v>
      </c>
      <c r="F236" s="38"/>
      <c r="G236" s="252" t="s">
        <v>760</v>
      </c>
      <c r="H236" s="38"/>
      <c r="I236" s="147">
        <v>2.1114999999999999</v>
      </c>
      <c r="J236" s="121"/>
      <c r="K236" s="147">
        <f>M236-I236</f>
        <v>0.92299285946747256</v>
      </c>
      <c r="L236" s="125"/>
      <c r="M236" s="147">
        <v>3.0344928594674725</v>
      </c>
      <c r="O236" s="147">
        <v>1.1881234434116088</v>
      </c>
      <c r="P236" s="267"/>
      <c r="Q236" s="147">
        <v>1.8463694160558635</v>
      </c>
    </row>
    <row r="237" spans="1:17" x14ac:dyDescent="0.2">
      <c r="A237" s="6">
        <f>MAX(A$199:A236)+1</f>
        <v>25</v>
      </c>
      <c r="E237" s="38" t="s">
        <v>173</v>
      </c>
      <c r="F237" s="38"/>
      <c r="G237" s="252" t="s">
        <v>760</v>
      </c>
      <c r="H237" s="38"/>
      <c r="I237" s="147">
        <v>3.9398999999999997</v>
      </c>
      <c r="J237" s="121"/>
      <c r="K237" s="147">
        <f>M237-I237</f>
        <v>0.95655976496048201</v>
      </c>
      <c r="L237" s="137"/>
      <c r="M237" s="147">
        <v>4.8964597649604817</v>
      </c>
      <c r="O237" s="147">
        <v>1.1881234434116088</v>
      </c>
      <c r="P237" s="267"/>
      <c r="Q237" s="147">
        <v>3.7083363215488729</v>
      </c>
    </row>
    <row r="238" spans="1:17" x14ac:dyDescent="0.2">
      <c r="A238" s="6">
        <f>MAX(A$199:A237)+1</f>
        <v>26</v>
      </c>
      <c r="B238" s="9"/>
      <c r="C238" s="9"/>
      <c r="D238" s="9"/>
      <c r="E238" s="38" t="s">
        <v>172</v>
      </c>
      <c r="F238" s="38"/>
      <c r="G238" s="252" t="s">
        <v>760</v>
      </c>
      <c r="H238" s="38"/>
      <c r="I238" s="147">
        <v>2.1114999999999999</v>
      </c>
      <c r="J238" s="121"/>
      <c r="K238" s="147">
        <f>M238-I238</f>
        <v>0.92299285946747256</v>
      </c>
      <c r="L238" s="137"/>
      <c r="M238" s="147">
        <v>3.0344928594674725</v>
      </c>
      <c r="O238" s="147">
        <v>1.1881234434116088</v>
      </c>
      <c r="P238" s="267"/>
      <c r="Q238" s="147">
        <v>1.8463694160558635</v>
      </c>
    </row>
    <row r="239" spans="1:17" x14ac:dyDescent="0.2">
      <c r="A239" s="6"/>
      <c r="B239" s="9"/>
      <c r="C239" s="9"/>
      <c r="D239" s="9"/>
      <c r="I239" s="125"/>
      <c r="J239" s="125"/>
      <c r="K239" s="125"/>
      <c r="L239" s="125"/>
      <c r="M239" s="125"/>
      <c r="O239" s="125"/>
      <c r="P239" s="125"/>
      <c r="Q239" s="125"/>
    </row>
    <row r="240" spans="1:17" x14ac:dyDescent="0.2">
      <c r="A240" s="6"/>
      <c r="B240" s="9"/>
      <c r="C240" s="9"/>
      <c r="D240" s="9"/>
      <c r="E240" s="14" t="s">
        <v>167</v>
      </c>
      <c r="F240" s="14"/>
      <c r="G240" s="14"/>
      <c r="H240" s="14"/>
      <c r="I240" s="125"/>
      <c r="J240" s="125"/>
      <c r="K240" s="125"/>
      <c r="L240" s="125"/>
      <c r="M240" s="125"/>
      <c r="O240" s="125"/>
      <c r="P240" s="125"/>
      <c r="Q240" s="125"/>
    </row>
    <row r="241" spans="1:17" x14ac:dyDescent="0.2">
      <c r="A241" s="6">
        <f>MAX(A$199:A240)+1</f>
        <v>27</v>
      </c>
      <c r="B241" s="9"/>
      <c r="C241" s="9"/>
      <c r="D241" s="9"/>
      <c r="E241" s="38" t="s">
        <v>165</v>
      </c>
      <c r="F241" s="38"/>
      <c r="G241" s="252" t="s">
        <v>760</v>
      </c>
      <c r="H241" s="38"/>
      <c r="I241" s="147">
        <v>18.274100000000001</v>
      </c>
      <c r="J241" s="121"/>
      <c r="K241" s="147">
        <f>M241-I241</f>
        <v>2.6293021810808206</v>
      </c>
      <c r="L241" s="125"/>
      <c r="M241" s="147">
        <v>20.903402181080821</v>
      </c>
      <c r="O241" s="147">
        <v>0.15408160302151921</v>
      </c>
      <c r="P241" s="267"/>
      <c r="Q241" s="147">
        <v>20.749320578059301</v>
      </c>
    </row>
    <row r="242" spans="1:17" x14ac:dyDescent="0.2">
      <c r="A242" s="6">
        <f>MAX(A$199:A241)+1</f>
        <v>28</v>
      </c>
      <c r="B242" s="9"/>
      <c r="C242" s="9"/>
      <c r="D242" s="9"/>
      <c r="E242" s="38" t="s">
        <v>166</v>
      </c>
      <c r="F242" s="38"/>
      <c r="G242" s="252" t="s">
        <v>760</v>
      </c>
      <c r="H242" s="38"/>
      <c r="I242" s="147">
        <v>22.315125896711042</v>
      </c>
      <c r="J242" s="121"/>
      <c r="K242" s="147">
        <f>M242-I242</f>
        <v>-1.4117237156302203</v>
      </c>
      <c r="L242" s="125"/>
      <c r="M242" s="147">
        <v>20.903402181080821</v>
      </c>
      <c r="O242" s="147">
        <v>0.15408160302151921</v>
      </c>
      <c r="P242" s="267"/>
      <c r="Q242" s="147">
        <v>20.749320578059301</v>
      </c>
    </row>
    <row r="243" spans="1:17" x14ac:dyDescent="0.2">
      <c r="A243" s="6"/>
      <c r="B243" s="9"/>
      <c r="C243" s="9"/>
      <c r="D243" s="9"/>
      <c r="F243" s="14"/>
      <c r="G243" s="14"/>
      <c r="H243" s="14"/>
      <c r="I243" s="43"/>
      <c r="J243" s="15"/>
      <c r="K243" s="43"/>
      <c r="M243" s="43"/>
      <c r="O243" s="43"/>
      <c r="Q243" s="43"/>
    </row>
    <row r="244" spans="1:17" x14ac:dyDescent="0.2">
      <c r="A244" s="6"/>
      <c r="B244" s="9"/>
      <c r="C244" s="1" t="s">
        <v>18</v>
      </c>
      <c r="D244" s="9"/>
      <c r="F244" s="5"/>
      <c r="G244" s="5"/>
      <c r="H244" s="5"/>
      <c r="I244" s="6"/>
      <c r="J244" s="6"/>
      <c r="K244" s="6"/>
      <c r="L244" s="6"/>
      <c r="M244" s="6"/>
      <c r="O244" s="6"/>
      <c r="Q244" s="6"/>
    </row>
    <row r="245" spans="1:17" x14ac:dyDescent="0.2">
      <c r="A245" s="6">
        <f>MAX(A$199:A244)+1</f>
        <v>29</v>
      </c>
      <c r="B245" s="9"/>
      <c r="C245" s="9"/>
      <c r="D245" s="9"/>
      <c r="E245" s="14" t="s">
        <v>85</v>
      </c>
      <c r="F245" s="14"/>
      <c r="G245" s="211" t="s">
        <v>767</v>
      </c>
      <c r="H245" s="14"/>
      <c r="I245" s="253">
        <v>1090.76</v>
      </c>
      <c r="J245" s="121"/>
      <c r="K245" s="253">
        <f>M245-I245</f>
        <v>-90.759999999999991</v>
      </c>
      <c r="L245" s="125"/>
      <c r="M245" s="253">
        <v>1000</v>
      </c>
      <c r="N245" s="125"/>
      <c r="O245" s="253">
        <v>1000</v>
      </c>
      <c r="P245" s="399"/>
      <c r="Q245" s="253">
        <v>0</v>
      </c>
    </row>
    <row r="246" spans="1:17" x14ac:dyDescent="0.2">
      <c r="A246" s="6"/>
      <c r="B246" s="9"/>
      <c r="C246" s="9"/>
      <c r="D246" s="9"/>
      <c r="E246" s="14" t="s">
        <v>240</v>
      </c>
      <c r="F246" s="14"/>
      <c r="G246" s="14"/>
      <c r="H246" s="14"/>
      <c r="I246" s="147"/>
      <c r="J246" s="121"/>
      <c r="K246" s="147"/>
      <c r="L246" s="125"/>
      <c r="M246" s="147"/>
      <c r="O246" s="147"/>
      <c r="P246" s="125"/>
      <c r="Q246" s="147"/>
    </row>
    <row r="247" spans="1:17" x14ac:dyDescent="0.2">
      <c r="A247" s="6">
        <f>MAX(A$199:A246)+1</f>
        <v>30</v>
      </c>
      <c r="B247" s="9"/>
      <c r="C247" s="9"/>
      <c r="D247" s="9"/>
      <c r="E247" s="270" t="s">
        <v>181</v>
      </c>
      <c r="F247" s="270"/>
      <c r="G247" s="252" t="s">
        <v>766</v>
      </c>
      <c r="H247" s="270"/>
      <c r="I247" s="147">
        <v>34.796800000000005</v>
      </c>
      <c r="J247" s="121"/>
      <c r="K247" s="147">
        <f>M247-I247</f>
        <v>6.3511766166568577</v>
      </c>
      <c r="L247" s="125"/>
      <c r="M247" s="147">
        <v>41.147976616656862</v>
      </c>
      <c r="O247" s="147">
        <v>41.147976616656862</v>
      </c>
      <c r="P247" s="125"/>
      <c r="Q247" s="147">
        <v>0</v>
      </c>
    </row>
    <row r="248" spans="1:17" x14ac:dyDescent="0.2">
      <c r="A248" s="6">
        <f>MAX(A$199:A247)+1</f>
        <v>31</v>
      </c>
      <c r="B248" s="9"/>
      <c r="C248" s="9"/>
      <c r="D248" s="9"/>
      <c r="E248" s="270" t="s">
        <v>182</v>
      </c>
      <c r="F248" s="270"/>
      <c r="G248" s="252" t="s">
        <v>766</v>
      </c>
      <c r="H248" s="270"/>
      <c r="I248" s="147">
        <v>20.462300000000003</v>
      </c>
      <c r="J248" s="121"/>
      <c r="K248" s="147">
        <f>M248-I248</f>
        <v>3.7348170315378937</v>
      </c>
      <c r="L248" s="125"/>
      <c r="M248" s="147">
        <v>24.197117031537896</v>
      </c>
      <c r="O248" s="147">
        <v>24.197117031537896</v>
      </c>
      <c r="P248" s="125"/>
      <c r="Q248" s="147">
        <v>0</v>
      </c>
    </row>
    <row r="249" spans="1:17" x14ac:dyDescent="0.2">
      <c r="A249" s="6"/>
      <c r="B249" s="9"/>
      <c r="C249" s="9"/>
      <c r="D249" s="9"/>
      <c r="E249" s="14"/>
      <c r="F249" s="14"/>
      <c r="G249" s="14"/>
      <c r="H249" s="14"/>
      <c r="I249" s="147"/>
      <c r="J249" s="121"/>
      <c r="K249" s="147"/>
      <c r="L249" s="125"/>
      <c r="M249" s="147"/>
      <c r="O249" s="147"/>
      <c r="P249" s="125"/>
      <c r="Q249" s="147"/>
    </row>
    <row r="250" spans="1:17" x14ac:dyDescent="0.2">
      <c r="A250" s="6"/>
      <c r="B250" s="9"/>
      <c r="C250" s="9"/>
      <c r="D250" s="9"/>
      <c r="E250" s="14" t="s">
        <v>239</v>
      </c>
      <c r="F250" s="14"/>
      <c r="G250" s="14"/>
      <c r="H250" s="14"/>
      <c r="I250" s="147"/>
      <c r="J250" s="121"/>
      <c r="K250" s="147"/>
      <c r="L250" s="125"/>
      <c r="M250" s="147"/>
      <c r="O250" s="147"/>
      <c r="P250" s="125"/>
      <c r="Q250" s="147"/>
    </row>
    <row r="251" spans="1:17" x14ac:dyDescent="0.2">
      <c r="A251" s="6">
        <f>MAX(A$199:A250)+1</f>
        <v>32</v>
      </c>
      <c r="B251" s="9"/>
      <c r="C251" s="9"/>
      <c r="D251" s="9"/>
      <c r="E251" s="270" t="s">
        <v>183</v>
      </c>
      <c r="F251" s="270"/>
      <c r="G251" s="252" t="s">
        <v>760</v>
      </c>
      <c r="H251" s="270"/>
      <c r="I251" s="147">
        <v>0.77600000000000002</v>
      </c>
      <c r="J251" s="121"/>
      <c r="K251" s="147">
        <f>M251-I251</f>
        <v>-0.63209454452777947</v>
      </c>
      <c r="L251" s="125"/>
      <c r="M251" s="147">
        <v>0.14390545547222056</v>
      </c>
      <c r="O251" s="147">
        <v>0</v>
      </c>
      <c r="P251" s="125"/>
      <c r="Q251" s="147">
        <v>0.14390545547222056</v>
      </c>
    </row>
    <row r="252" spans="1:17" x14ac:dyDescent="0.2">
      <c r="A252" s="6">
        <f>MAX(A$199:A251)+1</f>
        <v>33</v>
      </c>
      <c r="B252" s="9"/>
      <c r="C252" s="9"/>
      <c r="D252" s="9"/>
      <c r="E252" s="270" t="s">
        <v>184</v>
      </c>
      <c r="F252" s="270"/>
      <c r="G252" s="252" t="s">
        <v>760</v>
      </c>
      <c r="H252" s="270"/>
      <c r="I252" s="147">
        <v>0.5645</v>
      </c>
      <c r="J252" s="121"/>
      <c r="K252" s="147">
        <f>M252-I252</f>
        <v>-0.42059454452777945</v>
      </c>
      <c r="L252" s="125"/>
      <c r="M252" s="147">
        <v>0.14390545547222056</v>
      </c>
      <c r="O252" s="147">
        <v>0</v>
      </c>
      <c r="P252" s="125"/>
      <c r="Q252" s="147">
        <v>0.14390545547222056</v>
      </c>
    </row>
    <row r="253" spans="1:17" x14ac:dyDescent="0.2">
      <c r="A253" s="6"/>
      <c r="B253" s="9"/>
      <c r="C253" s="9"/>
      <c r="D253" s="9"/>
      <c r="E253" s="21"/>
      <c r="F253" s="21"/>
      <c r="G253" s="21"/>
      <c r="H253" s="21"/>
      <c r="I253" s="126"/>
      <c r="J253" s="121"/>
      <c r="K253" s="126"/>
      <c r="L253" s="137"/>
      <c r="M253" s="126"/>
      <c r="O253" s="126"/>
      <c r="P253" s="125"/>
      <c r="Q253" s="126"/>
    </row>
    <row r="254" spans="1:17" x14ac:dyDescent="0.2">
      <c r="A254" s="6">
        <f>MAX(A$199:A253)+1</f>
        <v>34</v>
      </c>
      <c r="B254" s="9"/>
      <c r="C254" s="9"/>
      <c r="D254" s="9"/>
      <c r="E254" s="14" t="s">
        <v>246</v>
      </c>
      <c r="F254" s="14"/>
      <c r="G254" s="8" t="s">
        <v>767</v>
      </c>
      <c r="H254" s="14"/>
      <c r="I254" s="253">
        <v>248.07</v>
      </c>
      <c r="J254" s="121"/>
      <c r="K254" s="253"/>
      <c r="L254" s="125"/>
      <c r="M254" s="253"/>
      <c r="N254" s="125"/>
      <c r="O254" s="253"/>
      <c r="P254" s="399"/>
      <c r="Q254" s="253"/>
    </row>
    <row r="255" spans="1:17" x14ac:dyDescent="0.2">
      <c r="A255" s="6"/>
      <c r="B255" s="9"/>
      <c r="I255" s="125"/>
      <c r="J255" s="125"/>
      <c r="K255" s="125"/>
      <c r="L255" s="125"/>
      <c r="M255" s="125"/>
      <c r="O255" s="125"/>
      <c r="P255" s="125"/>
      <c r="Q255" s="125"/>
    </row>
    <row r="256" spans="1:17" x14ac:dyDescent="0.2">
      <c r="A256" s="6"/>
      <c r="B256" s="9"/>
      <c r="C256" s="9"/>
      <c r="D256" s="9"/>
      <c r="E256" s="14" t="s">
        <v>242</v>
      </c>
      <c r="F256" s="14"/>
      <c r="G256" s="14"/>
      <c r="H256" s="14"/>
      <c r="I256" s="125"/>
      <c r="J256" s="125"/>
      <c r="K256" s="125"/>
      <c r="L256" s="125"/>
      <c r="M256" s="125"/>
      <c r="O256" s="125"/>
      <c r="P256" s="125"/>
      <c r="Q256" s="125"/>
    </row>
    <row r="257" spans="1:17" x14ac:dyDescent="0.2">
      <c r="A257" s="6">
        <f>MAX(A$199:A256)+1</f>
        <v>35</v>
      </c>
      <c r="B257" s="9"/>
      <c r="C257" s="9"/>
      <c r="D257" s="9"/>
      <c r="E257" s="38" t="s">
        <v>189</v>
      </c>
      <c r="F257" s="38"/>
      <c r="G257" s="252" t="s">
        <v>766</v>
      </c>
      <c r="H257" s="38"/>
      <c r="I257" s="147">
        <v>41.884799999999998</v>
      </c>
      <c r="J257" s="121"/>
      <c r="K257" s="147">
        <f>M257-I257</f>
        <v>-23.456199999999999</v>
      </c>
      <c r="L257" s="125"/>
      <c r="M257" s="147">
        <v>18.428599999999999</v>
      </c>
      <c r="O257" s="147">
        <v>14.956186142242005</v>
      </c>
      <c r="P257" s="125"/>
      <c r="Q257" s="147">
        <v>3.4724300450004271</v>
      </c>
    </row>
    <row r="258" spans="1:17" x14ac:dyDescent="0.2">
      <c r="A258" s="6">
        <f>MAX(A$199:A257)+1</f>
        <v>36</v>
      </c>
      <c r="E258" s="38" t="s">
        <v>196</v>
      </c>
      <c r="F258" s="38"/>
      <c r="G258" s="252" t="s">
        <v>766</v>
      </c>
      <c r="H258" s="38"/>
      <c r="I258" s="147">
        <v>43.368399999999994</v>
      </c>
      <c r="J258" s="121"/>
      <c r="K258" s="147">
        <f>M258-I258</f>
        <v>-24.939799999999995</v>
      </c>
      <c r="L258" s="125"/>
      <c r="M258" s="147">
        <v>18.428599999999999</v>
      </c>
      <c r="O258" s="147">
        <v>14.956186142242005</v>
      </c>
      <c r="P258" s="125"/>
      <c r="Q258" s="147">
        <v>3.4724300450004271</v>
      </c>
    </row>
    <row r="259" spans="1:17" x14ac:dyDescent="0.2">
      <c r="A259" s="6"/>
      <c r="B259" s="9"/>
      <c r="C259" s="9"/>
      <c r="D259" s="9"/>
      <c r="E259" s="14" t="s">
        <v>243</v>
      </c>
      <c r="F259" s="14"/>
      <c r="G259" s="14"/>
      <c r="H259" s="14"/>
      <c r="I259" s="125"/>
      <c r="J259" s="125"/>
      <c r="K259" s="125"/>
      <c r="L259" s="125"/>
      <c r="M259" s="125"/>
      <c r="O259" s="125"/>
      <c r="P259" s="125"/>
      <c r="Q259" s="125"/>
    </row>
    <row r="260" spans="1:17" x14ac:dyDescent="0.2">
      <c r="A260" s="6">
        <f>MAX(A$199:A259)+1</f>
        <v>37</v>
      </c>
      <c r="B260" s="9"/>
      <c r="C260" s="9"/>
      <c r="D260" s="9"/>
      <c r="E260" s="38" t="s">
        <v>192</v>
      </c>
      <c r="F260" s="38"/>
      <c r="G260" s="252" t="s">
        <v>760</v>
      </c>
      <c r="H260" s="38"/>
      <c r="I260" s="147">
        <v>2.5133000000000001</v>
      </c>
      <c r="J260" s="121"/>
      <c r="K260" s="147">
        <f>M260-I260</f>
        <v>-1.3463913218105559</v>
      </c>
      <c r="L260" s="125"/>
      <c r="M260" s="147">
        <v>1.1669086781894442</v>
      </c>
      <c r="O260" s="147">
        <v>-5.1035464650837727E-2</v>
      </c>
      <c r="P260" s="267"/>
      <c r="Q260" s="147">
        <v>1.217944142840282</v>
      </c>
    </row>
    <row r="261" spans="1:17" x14ac:dyDescent="0.2">
      <c r="A261" s="6">
        <f>MAX(A$199:A260)+1</f>
        <v>38</v>
      </c>
      <c r="B261" s="9"/>
      <c r="C261" s="9"/>
      <c r="D261" s="9"/>
      <c r="E261" s="38" t="s">
        <v>193</v>
      </c>
      <c r="F261" s="38"/>
      <c r="G261" s="252" t="s">
        <v>760</v>
      </c>
      <c r="H261" s="38"/>
      <c r="I261" s="147">
        <v>1.7764000000000002</v>
      </c>
      <c r="J261" s="121"/>
      <c r="K261" s="147">
        <f>M261-I261</f>
        <v>-0.60949132181055599</v>
      </c>
      <c r="L261" s="125"/>
      <c r="M261" s="147">
        <v>1.1669086781894442</v>
      </c>
      <c r="O261" s="147">
        <v>-5.1035464650837727E-2</v>
      </c>
      <c r="P261" s="267"/>
      <c r="Q261" s="147">
        <v>1.217944142840282</v>
      </c>
    </row>
    <row r="262" spans="1:17" x14ac:dyDescent="0.2">
      <c r="A262" s="6">
        <f>MAX(A$199:A261)+1</f>
        <v>39</v>
      </c>
      <c r="B262" s="9"/>
      <c r="C262" s="9"/>
      <c r="D262" s="9"/>
      <c r="E262" s="38" t="s">
        <v>195</v>
      </c>
      <c r="F262" s="38"/>
      <c r="G262" s="252" t="s">
        <v>760</v>
      </c>
      <c r="H262" s="38"/>
      <c r="I262" s="147">
        <v>2.5133000000000001</v>
      </c>
      <c r="J262" s="121"/>
      <c r="K262" s="147">
        <f>M262-I262</f>
        <v>0.5155755836824536</v>
      </c>
      <c r="L262" s="125"/>
      <c r="M262" s="147">
        <v>3.0288755836824537</v>
      </c>
      <c r="O262" s="147">
        <v>-5.1035464650837727E-2</v>
      </c>
      <c r="P262" s="267"/>
      <c r="Q262" s="147">
        <v>3.0799110483332912</v>
      </c>
    </row>
    <row r="263" spans="1:17" x14ac:dyDescent="0.2">
      <c r="A263" s="6">
        <f>MAX(A$199:A262)+1</f>
        <v>40</v>
      </c>
      <c r="B263" s="9"/>
      <c r="C263" s="9"/>
      <c r="D263" s="9"/>
      <c r="E263" s="38" t="s">
        <v>194</v>
      </c>
      <c r="F263" s="38"/>
      <c r="G263" s="252" t="s">
        <v>760</v>
      </c>
      <c r="H263" s="38"/>
      <c r="I263" s="147">
        <v>1.7764000000000002</v>
      </c>
      <c r="J263" s="121"/>
      <c r="K263" s="147">
        <f>M263-I263</f>
        <v>-0.60949132181055599</v>
      </c>
      <c r="L263" s="125"/>
      <c r="M263" s="147">
        <v>1.1669086781894442</v>
      </c>
      <c r="O263" s="147">
        <v>-5.1035464650837727E-2</v>
      </c>
      <c r="P263" s="267"/>
      <c r="Q263" s="147">
        <v>1.217944142840282</v>
      </c>
    </row>
    <row r="264" spans="1:17" x14ac:dyDescent="0.2">
      <c r="A264" s="6"/>
      <c r="B264" s="9"/>
      <c r="C264" s="9"/>
      <c r="D264" s="9"/>
      <c r="E264" s="14" t="s">
        <v>244</v>
      </c>
      <c r="F264" s="14"/>
      <c r="G264" s="14"/>
      <c r="H264" s="14"/>
      <c r="I264" s="125"/>
      <c r="J264" s="125"/>
      <c r="K264" s="125"/>
      <c r="L264" s="125"/>
      <c r="M264" s="125"/>
      <c r="O264" s="125"/>
      <c r="P264" s="125"/>
      <c r="Q264" s="125"/>
    </row>
    <row r="265" spans="1:17" x14ac:dyDescent="0.2">
      <c r="A265" s="6">
        <f>MAX(A$199:A264)+1</f>
        <v>41</v>
      </c>
      <c r="B265" s="9"/>
      <c r="C265" s="9"/>
      <c r="D265" s="9"/>
      <c r="E265" s="38" t="s">
        <v>192</v>
      </c>
      <c r="F265" s="38"/>
      <c r="G265" s="252" t="s">
        <v>760</v>
      </c>
      <c r="H265" s="38"/>
      <c r="I265" s="147">
        <v>0</v>
      </c>
      <c r="J265" s="121"/>
      <c r="K265" s="147">
        <f>M265-I265</f>
        <v>1.1669086781894442</v>
      </c>
      <c r="L265" s="125"/>
      <c r="M265" s="147">
        <v>1.1669086781894442</v>
      </c>
      <c r="O265" s="147">
        <v>-5.1035464650837727E-2</v>
      </c>
      <c r="P265" s="267"/>
      <c r="Q265" s="147">
        <v>1.217944142840282</v>
      </c>
    </row>
    <row r="266" spans="1:17" x14ac:dyDescent="0.2">
      <c r="A266" s="6">
        <f>MAX(A$199:A265)+1</f>
        <v>42</v>
      </c>
      <c r="B266" s="9"/>
      <c r="C266" s="9"/>
      <c r="D266" s="9"/>
      <c r="E266" s="38" t="s">
        <v>193</v>
      </c>
      <c r="F266" s="38"/>
      <c r="G266" s="252" t="s">
        <v>760</v>
      </c>
      <c r="H266" s="38"/>
      <c r="I266" s="147">
        <v>0</v>
      </c>
      <c r="J266" s="121"/>
      <c r="K266" s="147">
        <f>M266-I266</f>
        <v>1.1669086781894442</v>
      </c>
      <c r="L266" s="125"/>
      <c r="M266" s="147">
        <v>1.1669086781894442</v>
      </c>
      <c r="O266" s="147">
        <v>-5.1035464650837727E-2</v>
      </c>
      <c r="P266" s="267"/>
      <c r="Q266" s="147">
        <v>1.217944142840282</v>
      </c>
    </row>
    <row r="267" spans="1:17" x14ac:dyDescent="0.2">
      <c r="A267" s="6">
        <f>MAX(A$199:A266)+1</f>
        <v>43</v>
      </c>
      <c r="B267" s="9"/>
      <c r="C267" s="9"/>
      <c r="D267" s="9"/>
      <c r="E267" s="38" t="s">
        <v>195</v>
      </c>
      <c r="F267" s="38"/>
      <c r="G267" s="252" t="s">
        <v>760</v>
      </c>
      <c r="H267" s="38"/>
      <c r="I267" s="147">
        <v>0</v>
      </c>
      <c r="J267" s="121"/>
      <c r="K267" s="147">
        <f>M267-I267</f>
        <v>3.0288755836824537</v>
      </c>
      <c r="L267" s="125"/>
      <c r="M267" s="147">
        <v>3.0288755836824537</v>
      </c>
      <c r="O267" s="147">
        <v>-5.1035464650837727E-2</v>
      </c>
      <c r="P267" s="267"/>
      <c r="Q267" s="147">
        <v>3.0799110483332912</v>
      </c>
    </row>
    <row r="268" spans="1:17" x14ac:dyDescent="0.2">
      <c r="A268" s="6">
        <f>MAX(A$199:A267)+1</f>
        <v>44</v>
      </c>
      <c r="B268" s="9"/>
      <c r="C268" s="9"/>
      <c r="D268" s="9"/>
      <c r="E268" s="38" t="s">
        <v>194</v>
      </c>
      <c r="F268" s="38"/>
      <c r="G268" s="252" t="s">
        <v>760</v>
      </c>
      <c r="H268" s="38"/>
      <c r="I268" s="147">
        <v>0</v>
      </c>
      <c r="J268" s="121"/>
      <c r="K268" s="147">
        <f>M268-I268</f>
        <v>1.1669086781894442</v>
      </c>
      <c r="L268" s="125"/>
      <c r="M268" s="147">
        <v>1.1669086781894442</v>
      </c>
      <c r="O268" s="147">
        <v>-5.1035464650837727E-2</v>
      </c>
      <c r="P268" s="267"/>
      <c r="Q268" s="147">
        <v>1.217944142840282</v>
      </c>
    </row>
    <row r="269" spans="1:17" x14ac:dyDescent="0.2">
      <c r="A269" s="6"/>
      <c r="B269" s="9"/>
      <c r="C269" s="9"/>
      <c r="D269" s="9"/>
      <c r="E269" s="14"/>
      <c r="F269" s="14"/>
      <c r="G269" s="14"/>
      <c r="H269" s="14"/>
      <c r="I269" s="147"/>
      <c r="J269" s="121"/>
      <c r="K269" s="147"/>
      <c r="L269" s="125"/>
      <c r="M269" s="147"/>
      <c r="O269" s="147"/>
      <c r="P269" s="125"/>
      <c r="Q269" s="147"/>
    </row>
    <row r="270" spans="1:17" x14ac:dyDescent="0.2">
      <c r="A270" s="6"/>
      <c r="B270" s="9"/>
      <c r="C270" s="9"/>
      <c r="D270" s="9"/>
      <c r="E270" s="14" t="s">
        <v>245</v>
      </c>
      <c r="F270" s="14"/>
      <c r="G270" s="14"/>
      <c r="H270" s="14"/>
      <c r="I270" s="125"/>
      <c r="J270" s="125"/>
      <c r="K270" s="125"/>
      <c r="L270" s="125"/>
      <c r="M270" s="125"/>
      <c r="O270" s="125"/>
      <c r="P270" s="125"/>
      <c r="Q270" s="125"/>
    </row>
    <row r="271" spans="1:17" x14ac:dyDescent="0.2">
      <c r="A271" s="6">
        <f>MAX(A$199:A270)+1</f>
        <v>45</v>
      </c>
      <c r="B271" s="9"/>
      <c r="C271" s="9"/>
      <c r="D271" s="9"/>
      <c r="E271" s="38" t="s">
        <v>266</v>
      </c>
      <c r="F271" s="38"/>
      <c r="G271" s="8" t="s">
        <v>764</v>
      </c>
      <c r="H271" s="38"/>
      <c r="I271" s="158">
        <v>18.835000000000001</v>
      </c>
      <c r="J271" s="121"/>
      <c r="K271" s="158">
        <f>M271-I271</f>
        <v>1.6003252460839015</v>
      </c>
      <c r="L271" s="125"/>
      <c r="M271" s="158">
        <v>20.435325246083902</v>
      </c>
      <c r="O271" s="158">
        <v>5.3737069308739658</v>
      </c>
      <c r="P271" s="516"/>
      <c r="Q271" s="158">
        <v>15.061618315209936</v>
      </c>
    </row>
    <row r="272" spans="1:17" x14ac:dyDescent="0.2">
      <c r="A272" s="6">
        <f>MAX(A$199:A271)+1</f>
        <v>46</v>
      </c>
      <c r="B272" s="9"/>
      <c r="C272" s="9"/>
      <c r="D272" s="9"/>
      <c r="E272" s="38" t="s">
        <v>276</v>
      </c>
      <c r="F272" s="38"/>
      <c r="G272" s="8" t="s">
        <v>759</v>
      </c>
      <c r="H272" s="38"/>
      <c r="I272" s="158">
        <v>0.24</v>
      </c>
      <c r="J272" s="121"/>
      <c r="K272" s="158">
        <f>M272-I272</f>
        <v>-0.13227732387112295</v>
      </c>
      <c r="L272" s="125"/>
      <c r="M272" s="158">
        <v>0.10772267612887704</v>
      </c>
      <c r="O272" s="158">
        <v>0</v>
      </c>
      <c r="P272" s="516"/>
      <c r="Q272" s="158">
        <v>0.10772267612887704</v>
      </c>
    </row>
    <row r="273" spans="1:17" x14ac:dyDescent="0.2">
      <c r="A273" s="6"/>
      <c r="B273" s="9"/>
      <c r="C273" s="9"/>
      <c r="D273" s="9"/>
      <c r="I273" s="125"/>
      <c r="J273" s="125"/>
      <c r="K273" s="125"/>
      <c r="L273" s="125"/>
      <c r="M273" s="125"/>
      <c r="O273" s="125"/>
      <c r="P273" s="125"/>
      <c r="Q273" s="125"/>
    </row>
    <row r="274" spans="1:17" x14ac:dyDescent="0.2">
      <c r="A274" s="6"/>
      <c r="B274" s="9"/>
      <c r="C274" s="9"/>
      <c r="D274" s="9"/>
      <c r="E274" s="14" t="s">
        <v>167</v>
      </c>
      <c r="F274" s="14"/>
      <c r="G274" s="14"/>
      <c r="H274" s="14"/>
      <c r="I274" s="125"/>
      <c r="J274" s="125"/>
      <c r="K274" s="125"/>
      <c r="L274" s="125"/>
      <c r="M274" s="125"/>
      <c r="O274" s="125"/>
      <c r="P274" s="125"/>
      <c r="Q274" s="125"/>
    </row>
    <row r="275" spans="1:17" x14ac:dyDescent="0.2">
      <c r="A275" s="6">
        <f>MAX(A$199:A274)+1</f>
        <v>47</v>
      </c>
      <c r="B275" s="9"/>
      <c r="C275" s="9"/>
      <c r="D275" s="9"/>
      <c r="E275" s="38" t="s">
        <v>165</v>
      </c>
      <c r="F275" s="38"/>
      <c r="G275" s="252" t="s">
        <v>760</v>
      </c>
      <c r="H275" s="38"/>
      <c r="I275" s="147">
        <v>17.706099999999999</v>
      </c>
      <c r="J275" s="121"/>
      <c r="K275" s="147">
        <f>M275-I275</f>
        <v>3.197302181080822</v>
      </c>
      <c r="L275" s="125"/>
      <c r="M275" s="147">
        <v>20.903402181080821</v>
      </c>
      <c r="O275" s="147">
        <v>0.15408160302151921</v>
      </c>
      <c r="P275" s="267"/>
      <c r="Q275" s="147">
        <v>20.749320578059301</v>
      </c>
    </row>
    <row r="276" spans="1:17" x14ac:dyDescent="0.2">
      <c r="A276" s="6">
        <f>MAX(A$199:A275)+1</f>
        <v>48</v>
      </c>
      <c r="B276" s="9"/>
      <c r="C276" s="9"/>
      <c r="D276" s="9"/>
      <c r="E276" s="38" t="s">
        <v>166</v>
      </c>
      <c r="F276" s="38"/>
      <c r="G276" s="252" t="s">
        <v>760</v>
      </c>
      <c r="H276" s="38"/>
      <c r="I276" s="147">
        <v>21.667025896711042</v>
      </c>
      <c r="J276" s="121"/>
      <c r="K276" s="147">
        <f>M276-I276</f>
        <v>-0.7636237156302208</v>
      </c>
      <c r="L276" s="125"/>
      <c r="M276" s="147">
        <v>20.903402181080821</v>
      </c>
      <c r="O276" s="147">
        <v>0.15408160302151921</v>
      </c>
      <c r="P276" s="267"/>
      <c r="Q276" s="147">
        <v>20.749320578059301</v>
      </c>
    </row>
    <row r="277" spans="1:17" x14ac:dyDescent="0.2">
      <c r="A277" s="6"/>
      <c r="B277" s="9"/>
      <c r="O277" s="1"/>
      <c r="P277" s="1"/>
      <c r="Q277" s="1"/>
    </row>
    <row r="278" spans="1:17" x14ac:dyDescent="0.2">
      <c r="A278" s="6"/>
      <c r="B278" s="9"/>
      <c r="C278" s="1" t="s">
        <v>19</v>
      </c>
      <c r="D278" s="9"/>
      <c r="F278" s="5"/>
      <c r="G278" s="5"/>
      <c r="H278" s="5"/>
      <c r="I278" s="137"/>
      <c r="J278" s="137"/>
      <c r="K278" s="137"/>
      <c r="L278" s="137"/>
      <c r="M278" s="137"/>
      <c r="O278" s="137"/>
      <c r="P278" s="125"/>
      <c r="Q278" s="137"/>
    </row>
    <row r="279" spans="1:17" x14ac:dyDescent="0.2">
      <c r="A279" s="6">
        <f>MAX(A$199:A278)+1</f>
        <v>49</v>
      </c>
      <c r="B279" s="9"/>
      <c r="C279" s="9"/>
      <c r="D279" s="9"/>
      <c r="E279" s="14" t="s">
        <v>85</v>
      </c>
      <c r="F279" s="14"/>
      <c r="G279" s="8" t="s">
        <v>767</v>
      </c>
      <c r="H279" s="14"/>
      <c r="I279" s="253">
        <v>368.56</v>
      </c>
      <c r="J279" s="121"/>
      <c r="K279" s="253">
        <f>M279-I279</f>
        <v>0</v>
      </c>
      <c r="L279" s="125"/>
      <c r="M279" s="253">
        <v>368.56</v>
      </c>
      <c r="N279" s="125"/>
      <c r="O279" s="253">
        <v>368.56</v>
      </c>
      <c r="P279" s="399"/>
      <c r="Q279" s="253">
        <v>0</v>
      </c>
    </row>
    <row r="280" spans="1:17" x14ac:dyDescent="0.2">
      <c r="A280" s="6">
        <f>MAX(A$199:A279)+1</f>
        <v>50</v>
      </c>
      <c r="B280" s="9"/>
      <c r="C280" s="9"/>
      <c r="D280" s="9"/>
      <c r="E280" s="14" t="s">
        <v>530</v>
      </c>
      <c r="F280" s="14"/>
      <c r="G280" s="252" t="s">
        <v>760</v>
      </c>
      <c r="H280" s="14"/>
      <c r="I280" s="147">
        <v>3.2303027215464297</v>
      </c>
      <c r="J280" s="121"/>
      <c r="K280" s="147">
        <f>M280-I280</f>
        <v>-1.3561256537041235</v>
      </c>
      <c r="L280" s="125"/>
      <c r="M280" s="147">
        <v>1.8741770678423062</v>
      </c>
      <c r="O280" s="147">
        <v>1.7703463369556436</v>
      </c>
      <c r="P280" s="125"/>
      <c r="Q280" s="147">
        <v>0.10383073088666266</v>
      </c>
    </row>
    <row r="281" spans="1:17" x14ac:dyDescent="0.2">
      <c r="A281" s="6">
        <f>MAX(A$199:A280)+1</f>
        <v>51</v>
      </c>
      <c r="B281" s="9"/>
      <c r="C281" s="9"/>
      <c r="D281" s="9"/>
      <c r="E281" s="14" t="s">
        <v>246</v>
      </c>
      <c r="F281" s="14"/>
      <c r="G281" s="8" t="s">
        <v>767</v>
      </c>
      <c r="H281" s="14"/>
      <c r="I281" s="253">
        <v>248.07</v>
      </c>
      <c r="J281" s="121"/>
      <c r="K281" s="253"/>
      <c r="L281" s="125"/>
      <c r="M281" s="253"/>
      <c r="N281" s="125"/>
      <c r="O281" s="253"/>
      <c r="P281" s="399"/>
      <c r="Q281" s="253"/>
    </row>
    <row r="282" spans="1:17" x14ac:dyDescent="0.2">
      <c r="A282" s="6">
        <f>MAX(A$199:A281)+1</f>
        <v>52</v>
      </c>
      <c r="B282" s="9"/>
      <c r="C282" s="9"/>
      <c r="D282" s="9"/>
      <c r="E282" s="14" t="s">
        <v>1139</v>
      </c>
      <c r="F282" s="14"/>
      <c r="G282" s="252" t="s">
        <v>760</v>
      </c>
      <c r="H282" s="14"/>
      <c r="I282" s="147">
        <v>23.021182641671636</v>
      </c>
      <c r="J282" s="121"/>
      <c r="K282" s="147">
        <f>M282-I282</f>
        <v>-1.2302801260230467</v>
      </c>
      <c r="L282" s="125"/>
      <c r="M282" s="147">
        <v>21.79090251564859</v>
      </c>
      <c r="O282" s="147">
        <v>0.11635619479277112</v>
      </c>
      <c r="P282" s="267"/>
      <c r="Q282" s="147">
        <v>21.674546320855818</v>
      </c>
    </row>
    <row r="283" spans="1:17" x14ac:dyDescent="0.2">
      <c r="A283" s="6"/>
      <c r="B283" s="9"/>
      <c r="C283" s="9"/>
      <c r="D283" s="9"/>
      <c r="I283" s="125"/>
      <c r="J283" s="125"/>
      <c r="K283" s="125"/>
      <c r="L283" s="125"/>
      <c r="M283" s="125"/>
      <c r="O283" s="125"/>
      <c r="P283" s="125"/>
      <c r="Q283" s="125"/>
    </row>
    <row r="284" spans="1:17" x14ac:dyDescent="0.2">
      <c r="A284" s="555" t="s">
        <v>781</v>
      </c>
      <c r="B284" s="555"/>
      <c r="C284" s="555"/>
      <c r="D284" s="555"/>
      <c r="E284" s="555"/>
      <c r="F284" s="555"/>
      <c r="G284" s="555"/>
      <c r="H284" s="555"/>
      <c r="I284" s="555"/>
      <c r="J284" s="555"/>
      <c r="K284" s="555"/>
      <c r="L284" s="555"/>
      <c r="M284" s="555"/>
      <c r="N284" s="555"/>
      <c r="O284" s="555"/>
      <c r="P284" s="555"/>
      <c r="Q284" s="555"/>
    </row>
    <row r="285" spans="1:17" x14ac:dyDescent="0.2">
      <c r="A285" s="4" t="s">
        <v>1145</v>
      </c>
      <c r="B285" s="2"/>
      <c r="C285" s="3"/>
      <c r="D285" s="3"/>
      <c r="E285" s="3"/>
      <c r="F285" s="3"/>
      <c r="G285" s="3"/>
      <c r="H285" s="3"/>
      <c r="I285" s="3"/>
      <c r="J285" s="3"/>
      <c r="K285" s="3"/>
      <c r="L285" s="3"/>
      <c r="M285" s="3"/>
      <c r="N285" s="3"/>
      <c r="O285" s="3"/>
      <c r="P285" s="3"/>
      <c r="Q285" s="3"/>
    </row>
    <row r="286" spans="1:17" x14ac:dyDescent="0.2">
      <c r="A286" s="4"/>
      <c r="B286" s="2"/>
      <c r="C286" s="3"/>
      <c r="D286" s="3"/>
      <c r="E286" s="3"/>
      <c r="F286" s="3"/>
      <c r="G286" s="3"/>
      <c r="H286" s="3"/>
      <c r="I286" s="3"/>
      <c r="J286" s="3"/>
      <c r="K286" s="3"/>
      <c r="L286" s="3"/>
      <c r="M286" s="3"/>
      <c r="N286" s="3"/>
      <c r="O286" s="3"/>
      <c r="P286" s="3"/>
      <c r="Q286" s="3"/>
    </row>
    <row r="287" spans="1:17" ht="15" customHeight="1" x14ac:dyDescent="0.2">
      <c r="A287" s="21"/>
      <c r="B287" s="21"/>
      <c r="C287" s="21"/>
      <c r="D287" s="21"/>
      <c r="E287" s="3"/>
      <c r="F287" s="21"/>
      <c r="G287" s="21"/>
      <c r="H287" s="21"/>
      <c r="O287" s="553" t="s">
        <v>398</v>
      </c>
      <c r="P287" s="553"/>
      <c r="Q287" s="553"/>
    </row>
    <row r="288" spans="1:17" x14ac:dyDescent="0.2">
      <c r="A288" s="2"/>
      <c r="B288" s="2"/>
      <c r="C288" s="2"/>
      <c r="D288" s="2"/>
      <c r="E288" s="21"/>
      <c r="F288" s="2"/>
      <c r="G288" s="2"/>
      <c r="H288" s="2"/>
      <c r="I288" s="2"/>
      <c r="J288" s="21"/>
      <c r="K288" s="3"/>
      <c r="M288" s="2"/>
      <c r="O288" s="554"/>
      <c r="P288" s="554"/>
      <c r="Q288" s="554"/>
    </row>
    <row r="289" spans="1:17" x14ac:dyDescent="0.2">
      <c r="A289" s="24" t="s">
        <v>0</v>
      </c>
      <c r="B289" s="24"/>
      <c r="C289" s="400" t="s">
        <v>349</v>
      </c>
      <c r="D289" s="24"/>
      <c r="E289" s="2"/>
      <c r="F289" s="24"/>
      <c r="G289" s="24"/>
      <c r="H289" s="24"/>
      <c r="I289" s="2" t="s">
        <v>238</v>
      </c>
      <c r="J289" s="24"/>
      <c r="K289" s="24"/>
      <c r="L289" s="24"/>
      <c r="M289" s="6" t="s">
        <v>80</v>
      </c>
      <c r="N289" s="523"/>
      <c r="O289" s="523"/>
      <c r="P289" s="523"/>
      <c r="Q289" s="523"/>
    </row>
    <row r="290" spans="1:17" x14ac:dyDescent="0.2">
      <c r="A290" s="519" t="s">
        <v>1</v>
      </c>
      <c r="B290" s="9"/>
      <c r="C290" s="401" t="s">
        <v>1</v>
      </c>
      <c r="D290" s="9"/>
      <c r="E290" s="10" t="s">
        <v>33</v>
      </c>
      <c r="F290" s="9"/>
      <c r="G290" s="519" t="s">
        <v>48</v>
      </c>
      <c r="H290" s="9"/>
      <c r="I290" s="524" t="s">
        <v>1143</v>
      </c>
      <c r="J290" s="6"/>
      <c r="K290" s="37" t="s">
        <v>37</v>
      </c>
      <c r="L290" s="6"/>
      <c r="M290" s="524" t="s">
        <v>1144</v>
      </c>
      <c r="O290" s="210" t="s">
        <v>397</v>
      </c>
      <c r="Q290" s="210" t="s">
        <v>262</v>
      </c>
    </row>
    <row r="291" spans="1:17" x14ac:dyDescent="0.2">
      <c r="A291" s="6"/>
      <c r="B291" s="9"/>
      <c r="I291" s="6" t="s">
        <v>234</v>
      </c>
      <c r="J291" s="6"/>
      <c r="K291" s="11" t="s">
        <v>235</v>
      </c>
      <c r="L291" s="6"/>
      <c r="M291" s="6" t="s">
        <v>58</v>
      </c>
      <c r="O291" s="211" t="s">
        <v>263</v>
      </c>
      <c r="Q291" s="211" t="s">
        <v>63</v>
      </c>
    </row>
    <row r="292" spans="1:17" x14ac:dyDescent="0.2">
      <c r="A292" s="6"/>
      <c r="B292" s="9"/>
    </row>
    <row r="293" spans="1:17" x14ac:dyDescent="0.2">
      <c r="A293" s="6"/>
      <c r="B293" s="9"/>
      <c r="C293" s="1" t="s">
        <v>7</v>
      </c>
      <c r="D293" s="9"/>
      <c r="F293" s="5"/>
      <c r="G293" s="5"/>
      <c r="H293" s="5"/>
      <c r="I293" s="6"/>
      <c r="J293" s="6"/>
      <c r="K293" s="6"/>
      <c r="L293" s="6"/>
      <c r="M293" s="6"/>
      <c r="O293" s="6"/>
      <c r="Q293" s="6"/>
    </row>
    <row r="294" spans="1:17" x14ac:dyDescent="0.2">
      <c r="A294" s="6">
        <f>MAX(A$199:A293)+1</f>
        <v>53</v>
      </c>
      <c r="C294" s="9"/>
      <c r="D294" s="9"/>
      <c r="E294" s="14" t="s">
        <v>85</v>
      </c>
      <c r="F294" s="14"/>
      <c r="G294" s="8" t="s">
        <v>767</v>
      </c>
      <c r="H294" s="14"/>
      <c r="I294" s="253">
        <v>1620.86</v>
      </c>
      <c r="J294" s="121"/>
      <c r="K294" s="253">
        <f>M294-I294</f>
        <v>-120.8599999999999</v>
      </c>
      <c r="L294" s="125"/>
      <c r="M294" s="253">
        <v>1500</v>
      </c>
      <c r="N294" s="125"/>
      <c r="O294" s="253">
        <v>1500</v>
      </c>
      <c r="P294" s="399"/>
      <c r="Q294" s="253">
        <v>0</v>
      </c>
    </row>
    <row r="295" spans="1:17" x14ac:dyDescent="0.2">
      <c r="A295" s="6">
        <f>MAX(A$199:A294)+1</f>
        <v>54</v>
      </c>
      <c r="C295" s="9"/>
      <c r="D295" s="9"/>
      <c r="E295" s="14" t="s">
        <v>240</v>
      </c>
      <c r="F295" s="14"/>
      <c r="G295" s="252" t="s">
        <v>766</v>
      </c>
      <c r="H295" s="14"/>
      <c r="I295" s="147">
        <v>19.945999999999998</v>
      </c>
      <c r="J295" s="121"/>
      <c r="K295" s="147">
        <f>M295-I295</f>
        <v>-7.0786459830590989</v>
      </c>
      <c r="L295" s="125"/>
      <c r="M295" s="147">
        <v>12.867354016940899</v>
      </c>
      <c r="O295" s="147">
        <v>12.867354016940899</v>
      </c>
      <c r="P295" s="125"/>
      <c r="Q295" s="147">
        <v>0</v>
      </c>
    </row>
    <row r="296" spans="1:17" x14ac:dyDescent="0.2">
      <c r="A296" s="6">
        <f>MAX(A$199:A295)+1</f>
        <v>55</v>
      </c>
      <c r="C296" s="9"/>
      <c r="D296" s="9"/>
      <c r="E296" s="14" t="s">
        <v>239</v>
      </c>
      <c r="F296" s="14"/>
      <c r="G296" s="252" t="s">
        <v>760</v>
      </c>
      <c r="H296" s="14"/>
      <c r="I296" s="147">
        <v>0.28710000000000002</v>
      </c>
      <c r="J296" s="121"/>
      <c r="K296" s="147">
        <f>M296-I296</f>
        <v>-0.16796206593371593</v>
      </c>
      <c r="L296" s="125"/>
      <c r="M296" s="147">
        <v>0.1191379340662841</v>
      </c>
      <c r="O296" s="147">
        <v>0</v>
      </c>
      <c r="P296" s="125"/>
      <c r="Q296" s="147">
        <v>0.1191379340662841</v>
      </c>
    </row>
    <row r="297" spans="1:17" x14ac:dyDescent="0.2">
      <c r="A297" s="6"/>
      <c r="B297" s="9"/>
      <c r="C297" s="9"/>
      <c r="D297" s="9"/>
      <c r="E297" s="21"/>
      <c r="F297" s="21"/>
      <c r="G297" s="21"/>
      <c r="H297" s="21"/>
      <c r="I297" s="126"/>
      <c r="J297" s="121"/>
      <c r="K297" s="126"/>
      <c r="L297" s="137"/>
      <c r="M297" s="126"/>
      <c r="O297" s="126"/>
      <c r="P297" s="125"/>
      <c r="Q297" s="126"/>
    </row>
    <row r="298" spans="1:17" x14ac:dyDescent="0.2">
      <c r="A298" s="6">
        <f>MAX(A$199:A297)+1</f>
        <v>56</v>
      </c>
      <c r="B298" s="9"/>
      <c r="C298" s="9"/>
      <c r="D298" s="9"/>
      <c r="E298" s="14" t="s">
        <v>246</v>
      </c>
      <c r="F298" s="14"/>
      <c r="G298" s="8" t="s">
        <v>767</v>
      </c>
      <c r="H298" s="14"/>
      <c r="I298" s="253">
        <v>248.07</v>
      </c>
      <c r="J298" s="121"/>
      <c r="K298" s="253"/>
      <c r="L298" s="125"/>
      <c r="M298" s="253"/>
      <c r="N298" s="125"/>
      <c r="O298" s="253"/>
      <c r="P298" s="399"/>
      <c r="Q298" s="253"/>
    </row>
    <row r="299" spans="1:17" x14ac:dyDescent="0.2">
      <c r="A299" s="6"/>
      <c r="B299" s="9"/>
      <c r="C299" s="9"/>
      <c r="D299" s="9"/>
      <c r="E299" s="14"/>
      <c r="F299" s="14"/>
      <c r="G299" s="14"/>
      <c r="H299" s="14"/>
      <c r="I299" s="147"/>
      <c r="J299" s="121"/>
      <c r="K299" s="147"/>
      <c r="L299" s="125"/>
      <c r="M299" s="147"/>
      <c r="O299" s="147"/>
      <c r="P299" s="125"/>
      <c r="Q299" s="147"/>
    </row>
    <row r="300" spans="1:17" x14ac:dyDescent="0.2">
      <c r="A300" s="6"/>
      <c r="B300" s="9"/>
      <c r="C300" s="9"/>
      <c r="D300" s="9"/>
      <c r="E300" s="14" t="s">
        <v>242</v>
      </c>
      <c r="F300" s="14"/>
      <c r="G300" s="14"/>
      <c r="H300" s="14"/>
      <c r="I300" s="125"/>
      <c r="J300" s="125"/>
      <c r="K300" s="125"/>
      <c r="L300" s="125"/>
      <c r="M300" s="125"/>
      <c r="O300" s="125"/>
      <c r="P300" s="125"/>
      <c r="Q300" s="125"/>
    </row>
    <row r="301" spans="1:17" x14ac:dyDescent="0.2">
      <c r="A301" s="6">
        <f>MAX(A$199:A300)+1</f>
        <v>57</v>
      </c>
      <c r="B301" s="9"/>
      <c r="E301" s="38" t="s">
        <v>189</v>
      </c>
      <c r="F301" s="38"/>
      <c r="G301" s="252" t="s">
        <v>766</v>
      </c>
      <c r="H301" s="38"/>
      <c r="I301" s="147">
        <v>75.2744</v>
      </c>
      <c r="J301" s="121"/>
      <c r="K301" s="147">
        <f>M301-I301</f>
        <v>-56.845799999999997</v>
      </c>
      <c r="L301" s="125"/>
      <c r="M301" s="147">
        <v>18.428599999999999</v>
      </c>
      <c r="O301" s="147">
        <v>14.956186142242005</v>
      </c>
      <c r="P301" s="125"/>
      <c r="Q301" s="147">
        <v>3.4724300450004271</v>
      </c>
    </row>
    <row r="302" spans="1:17" x14ac:dyDescent="0.2">
      <c r="A302" s="6">
        <f>MAX(A$199:A301)+1</f>
        <v>58</v>
      </c>
      <c r="B302" s="9"/>
      <c r="C302" s="9"/>
      <c r="D302" s="9"/>
      <c r="E302" s="38" t="s">
        <v>196</v>
      </c>
      <c r="F302" s="38"/>
      <c r="G302" s="252" t="s">
        <v>766</v>
      </c>
      <c r="H302" s="38"/>
      <c r="I302" s="147">
        <v>114.0459</v>
      </c>
      <c r="J302" s="121"/>
      <c r="K302" s="147">
        <f>M302-I302</f>
        <v>-95.6173</v>
      </c>
      <c r="L302" s="125"/>
      <c r="M302" s="147">
        <v>18.428599999999999</v>
      </c>
      <c r="O302" s="147">
        <v>14.956186142242005</v>
      </c>
      <c r="P302" s="125"/>
      <c r="Q302" s="147">
        <v>3.4724300450004271</v>
      </c>
    </row>
    <row r="303" spans="1:17" x14ac:dyDescent="0.2">
      <c r="A303" s="6"/>
      <c r="B303" s="9"/>
      <c r="C303" s="9"/>
      <c r="D303" s="9"/>
      <c r="E303" s="14" t="s">
        <v>243</v>
      </c>
      <c r="F303" s="14"/>
      <c r="G303" s="14"/>
      <c r="H303" s="14"/>
      <c r="I303" s="125"/>
      <c r="J303" s="125"/>
      <c r="K303" s="125"/>
      <c r="L303" s="125"/>
      <c r="M303" s="125"/>
      <c r="O303" s="125"/>
      <c r="P303" s="125"/>
      <c r="Q303" s="125"/>
    </row>
    <row r="304" spans="1:17" x14ac:dyDescent="0.2">
      <c r="A304" s="6">
        <f>MAX(A$199:A303)+1</f>
        <v>59</v>
      </c>
      <c r="B304" s="9"/>
      <c r="C304" s="9"/>
      <c r="D304" s="9"/>
      <c r="E304" s="38" t="s">
        <v>192</v>
      </c>
      <c r="F304" s="38"/>
      <c r="G304" s="252" t="s">
        <v>760</v>
      </c>
      <c r="H304" s="38"/>
      <c r="I304" s="147">
        <v>4.2342000000000004</v>
      </c>
      <c r="J304" s="121"/>
      <c r="K304" s="147">
        <f>M304-I304</f>
        <v>-3.067291321810556</v>
      </c>
      <c r="L304" s="125"/>
      <c r="M304" s="147">
        <v>1.1669086781894442</v>
      </c>
      <c r="O304" s="147">
        <v>-5.1035464650837727E-2</v>
      </c>
      <c r="P304" s="267"/>
      <c r="Q304" s="147">
        <v>1.217944142840282</v>
      </c>
    </row>
    <row r="305" spans="1:17" x14ac:dyDescent="0.2">
      <c r="A305" s="6">
        <f>MAX(A$199:A304)+1</f>
        <v>60</v>
      </c>
      <c r="B305" s="9"/>
      <c r="C305" s="9"/>
      <c r="D305" s="9"/>
      <c r="E305" s="38" t="s">
        <v>193</v>
      </c>
      <c r="F305" s="38"/>
      <c r="G305" s="252" t="s">
        <v>760</v>
      </c>
      <c r="H305" s="38"/>
      <c r="I305" s="147">
        <v>6.54</v>
      </c>
      <c r="J305" s="121"/>
      <c r="K305" s="147">
        <f>M305-I305</f>
        <v>-5.3730913218105556</v>
      </c>
      <c r="L305" s="125"/>
      <c r="M305" s="147">
        <v>1.1669086781894442</v>
      </c>
      <c r="O305" s="147">
        <v>-5.1035464650837727E-2</v>
      </c>
      <c r="P305" s="267"/>
      <c r="Q305" s="147">
        <v>1.217944142840282</v>
      </c>
    </row>
    <row r="306" spans="1:17" x14ac:dyDescent="0.2">
      <c r="A306" s="6">
        <f>MAX(A$199:A305)+1</f>
        <v>61</v>
      </c>
      <c r="B306" s="9"/>
      <c r="C306" s="9"/>
      <c r="D306" s="9"/>
      <c r="E306" s="38" t="s">
        <v>195</v>
      </c>
      <c r="F306" s="38"/>
      <c r="G306" s="252" t="s">
        <v>760</v>
      </c>
      <c r="H306" s="38"/>
      <c r="I306" s="147">
        <v>4.2342000000000004</v>
      </c>
      <c r="J306" s="121"/>
      <c r="K306" s="147">
        <f>M306-I306</f>
        <v>-1.2053244163175467</v>
      </c>
      <c r="L306" s="125"/>
      <c r="M306" s="147">
        <v>3.0288755836824537</v>
      </c>
      <c r="O306" s="147">
        <v>-5.1035464650837727E-2</v>
      </c>
      <c r="P306" s="267"/>
      <c r="Q306" s="147">
        <v>3.0799110483332912</v>
      </c>
    </row>
    <row r="307" spans="1:17" x14ac:dyDescent="0.2">
      <c r="A307" s="6">
        <f>MAX(A$199:A306)+1</f>
        <v>62</v>
      </c>
      <c r="B307" s="9"/>
      <c r="C307" s="9"/>
      <c r="D307" s="9"/>
      <c r="E307" s="38" t="s">
        <v>194</v>
      </c>
      <c r="F307" s="38"/>
      <c r="G307" s="252" t="s">
        <v>760</v>
      </c>
      <c r="H307" s="38"/>
      <c r="I307" s="147">
        <v>6.54</v>
      </c>
      <c r="J307" s="121"/>
      <c r="K307" s="147">
        <f>M307-I307</f>
        <v>-5.3730913218105556</v>
      </c>
      <c r="L307" s="125"/>
      <c r="M307" s="147">
        <v>1.1669086781894442</v>
      </c>
      <c r="O307" s="147">
        <v>-5.1035464650837727E-2</v>
      </c>
      <c r="P307" s="267"/>
      <c r="Q307" s="147">
        <v>1.217944142840282</v>
      </c>
    </row>
    <row r="308" spans="1:17" x14ac:dyDescent="0.2">
      <c r="A308" s="6"/>
      <c r="B308" s="9"/>
      <c r="C308" s="9"/>
      <c r="D308" s="9"/>
      <c r="E308" s="14" t="s">
        <v>244</v>
      </c>
      <c r="F308" s="14"/>
      <c r="G308" s="14"/>
      <c r="H308" s="14"/>
      <c r="I308" s="125"/>
      <c r="J308" s="125"/>
      <c r="K308" s="125"/>
      <c r="L308" s="125"/>
      <c r="M308" s="125"/>
      <c r="O308" s="125"/>
      <c r="P308" s="125"/>
      <c r="Q308" s="125"/>
    </row>
    <row r="309" spans="1:17" x14ac:dyDescent="0.2">
      <c r="A309" s="6">
        <f>MAX(A$199:A308)+1</f>
        <v>63</v>
      </c>
      <c r="B309" s="9"/>
      <c r="C309" s="9"/>
      <c r="D309" s="9"/>
      <c r="E309" s="38" t="s">
        <v>192</v>
      </c>
      <c r="F309" s="38"/>
      <c r="G309" s="252" t="s">
        <v>760</v>
      </c>
      <c r="H309" s="38"/>
      <c r="I309" s="147">
        <v>0</v>
      </c>
      <c r="J309" s="121"/>
      <c r="K309" s="147">
        <f>M309-I309</f>
        <v>1.1669086781894442</v>
      </c>
      <c r="L309" s="125"/>
      <c r="M309" s="147">
        <v>1.1669086781894442</v>
      </c>
      <c r="O309" s="147">
        <v>-5.1035464650837727E-2</v>
      </c>
      <c r="P309" s="267"/>
      <c r="Q309" s="147">
        <v>1.217944142840282</v>
      </c>
    </row>
    <row r="310" spans="1:17" x14ac:dyDescent="0.2">
      <c r="A310" s="6">
        <f>MAX(A$199:A309)+1</f>
        <v>64</v>
      </c>
      <c r="B310" s="9"/>
      <c r="C310" s="9"/>
      <c r="D310" s="9"/>
      <c r="E310" s="38" t="s">
        <v>193</v>
      </c>
      <c r="F310" s="38"/>
      <c r="G310" s="252" t="s">
        <v>760</v>
      </c>
      <c r="H310" s="38"/>
      <c r="I310" s="147">
        <v>0</v>
      </c>
      <c r="J310" s="121"/>
      <c r="K310" s="147">
        <f>M310-I310</f>
        <v>1.1669086781894442</v>
      </c>
      <c r="L310" s="125"/>
      <c r="M310" s="147">
        <v>1.1669086781894442</v>
      </c>
      <c r="O310" s="147">
        <v>-5.1035464650837727E-2</v>
      </c>
      <c r="P310" s="267"/>
      <c r="Q310" s="147">
        <v>1.217944142840282</v>
      </c>
    </row>
    <row r="311" spans="1:17" x14ac:dyDescent="0.2">
      <c r="A311" s="6">
        <f>MAX(A$199:A310)+1</f>
        <v>65</v>
      </c>
      <c r="B311" s="9"/>
      <c r="C311" s="9"/>
      <c r="D311" s="9"/>
      <c r="E311" s="38" t="s">
        <v>195</v>
      </c>
      <c r="F311" s="38"/>
      <c r="G311" s="252" t="s">
        <v>760</v>
      </c>
      <c r="H311" s="38"/>
      <c r="I311" s="147">
        <v>0</v>
      </c>
      <c r="J311" s="121"/>
      <c r="K311" s="147">
        <f>M311-I311</f>
        <v>3.0288755836824537</v>
      </c>
      <c r="L311" s="125"/>
      <c r="M311" s="147">
        <v>3.0288755836824537</v>
      </c>
      <c r="O311" s="147">
        <v>-5.1035464650837727E-2</v>
      </c>
      <c r="P311" s="267"/>
      <c r="Q311" s="147">
        <v>3.0799110483332912</v>
      </c>
    </row>
    <row r="312" spans="1:17" x14ac:dyDescent="0.2">
      <c r="A312" s="6">
        <f>MAX(A$199:A311)+1</f>
        <v>66</v>
      </c>
      <c r="B312" s="9"/>
      <c r="C312" s="9"/>
      <c r="D312" s="9"/>
      <c r="E312" s="38" t="s">
        <v>194</v>
      </c>
      <c r="F312" s="38"/>
      <c r="G312" s="252" t="s">
        <v>760</v>
      </c>
      <c r="H312" s="38"/>
      <c r="I312" s="147">
        <v>0</v>
      </c>
      <c r="J312" s="121"/>
      <c r="K312" s="147">
        <f>M312-I312</f>
        <v>1.1669086781894442</v>
      </c>
      <c r="L312" s="125"/>
      <c r="M312" s="147">
        <v>1.1669086781894442</v>
      </c>
      <c r="O312" s="147">
        <v>-5.1035464650837727E-2</v>
      </c>
      <c r="P312" s="267"/>
      <c r="Q312" s="147">
        <v>1.217944142840282</v>
      </c>
    </row>
    <row r="313" spans="1:17" x14ac:dyDescent="0.2">
      <c r="A313" s="6"/>
      <c r="B313" s="9"/>
      <c r="C313" s="9"/>
      <c r="D313" s="9"/>
      <c r="E313" s="14"/>
      <c r="F313" s="14"/>
      <c r="G313" s="14"/>
      <c r="H313" s="14"/>
      <c r="I313" s="147"/>
      <c r="J313" s="121"/>
      <c r="K313" s="147"/>
      <c r="L313" s="125"/>
      <c r="M313" s="147"/>
      <c r="O313" s="147"/>
      <c r="P313" s="125"/>
      <c r="Q313" s="147"/>
    </row>
    <row r="314" spans="1:17" x14ac:dyDescent="0.2">
      <c r="A314" s="6"/>
      <c r="B314" s="9"/>
      <c r="C314" s="9"/>
      <c r="D314" s="9"/>
      <c r="E314" s="14" t="s">
        <v>245</v>
      </c>
      <c r="F314" s="14"/>
      <c r="G314" s="14"/>
      <c r="H314" s="14"/>
      <c r="I314" s="125"/>
      <c r="J314" s="125"/>
      <c r="K314" s="125"/>
      <c r="L314" s="125"/>
      <c r="M314" s="125"/>
      <c r="O314" s="125"/>
      <c r="P314" s="125"/>
      <c r="Q314" s="125"/>
    </row>
    <row r="315" spans="1:17" x14ac:dyDescent="0.2">
      <c r="A315" s="6">
        <f>MAX(A$199:A314)+1</f>
        <v>67</v>
      </c>
      <c r="B315" s="9"/>
      <c r="C315" s="9"/>
      <c r="D315" s="9"/>
      <c r="E315" s="38" t="s">
        <v>266</v>
      </c>
      <c r="F315" s="38"/>
      <c r="G315" s="8" t="s">
        <v>764</v>
      </c>
      <c r="H315" s="38"/>
      <c r="I315" s="158">
        <v>18.835000000000001</v>
      </c>
      <c r="J315" s="121"/>
      <c r="K315" s="158">
        <f>M315-I315</f>
        <v>1.6003252460839015</v>
      </c>
      <c r="L315" s="125"/>
      <c r="M315" s="158">
        <v>20.435325246083902</v>
      </c>
      <c r="O315" s="158">
        <v>5.3737069308739658</v>
      </c>
      <c r="P315" s="516"/>
      <c r="Q315" s="158">
        <v>15.061618315209936</v>
      </c>
    </row>
    <row r="316" spans="1:17" x14ac:dyDescent="0.2">
      <c r="A316" s="6">
        <f>MAX(A$199:A315)+1</f>
        <v>68</v>
      </c>
      <c r="B316" s="9"/>
      <c r="C316" s="9"/>
      <c r="D316" s="9"/>
      <c r="E316" s="38" t="s">
        <v>276</v>
      </c>
      <c r="F316" s="38"/>
      <c r="G316" s="8" t="s">
        <v>759</v>
      </c>
      <c r="H316" s="38"/>
      <c r="I316" s="158">
        <v>0.24</v>
      </c>
      <c r="J316" s="121"/>
      <c r="K316" s="158">
        <f>M316-I316</f>
        <v>-0.13227732387112295</v>
      </c>
      <c r="L316" s="125"/>
      <c r="M316" s="158">
        <v>0.10772267612887704</v>
      </c>
      <c r="O316" s="158">
        <v>0</v>
      </c>
      <c r="P316" s="516"/>
      <c r="Q316" s="158">
        <v>0.10772267612887704</v>
      </c>
    </row>
    <row r="317" spans="1:17" x14ac:dyDescent="0.2">
      <c r="A317" s="6"/>
      <c r="B317" s="9"/>
      <c r="O317" s="1"/>
      <c r="P317" s="1"/>
      <c r="Q317" s="1"/>
    </row>
    <row r="318" spans="1:17" x14ac:dyDescent="0.2">
      <c r="A318" s="171" t="s">
        <v>29</v>
      </c>
      <c r="B318" s="40"/>
      <c r="O318" s="1"/>
      <c r="P318" s="1"/>
      <c r="Q318" s="1"/>
    </row>
    <row r="319" spans="1:17" x14ac:dyDescent="0.2">
      <c r="A319" s="406" t="s">
        <v>267</v>
      </c>
      <c r="C319" s="184" t="s">
        <v>1065</v>
      </c>
      <c r="D319" s="254"/>
      <c r="F319" s="254"/>
      <c r="G319" s="254"/>
      <c r="H319" s="254"/>
      <c r="I319" s="254"/>
      <c r="J319" s="254"/>
      <c r="K319" s="254"/>
      <c r="L319" s="254"/>
      <c r="M319" s="254"/>
      <c r="N319" s="254"/>
      <c r="O319" s="254"/>
      <c r="P319" s="254"/>
      <c r="Q319" s="254"/>
    </row>
    <row r="320" spans="1:17" x14ac:dyDescent="0.2">
      <c r="A320" s="406" t="s">
        <v>268</v>
      </c>
      <c r="C320" s="184" t="s">
        <v>1059</v>
      </c>
      <c r="D320" s="254"/>
      <c r="E320" s="254"/>
      <c r="F320" s="254"/>
      <c r="G320" s="254"/>
      <c r="H320" s="254"/>
      <c r="I320" s="254"/>
      <c r="J320" s="254"/>
      <c r="K320" s="254"/>
      <c r="L320" s="254"/>
      <c r="M320" s="254"/>
      <c r="N320" s="254"/>
      <c r="O320" s="254"/>
      <c r="P320" s="254"/>
      <c r="Q320" s="254"/>
    </row>
    <row r="321" spans="1:17" x14ac:dyDescent="0.2">
      <c r="A321" s="406" t="s">
        <v>269</v>
      </c>
      <c r="C321" s="402" t="s">
        <v>961</v>
      </c>
      <c r="E321" s="254"/>
      <c r="F321" s="247"/>
      <c r="O321" s="1"/>
      <c r="P321" s="1"/>
      <c r="Q321" s="1"/>
    </row>
    <row r="322" spans="1:17" x14ac:dyDescent="0.2">
      <c r="A322" s="6"/>
      <c r="B322" s="9"/>
      <c r="C322" s="254"/>
      <c r="F322" s="247"/>
      <c r="O322" s="1"/>
      <c r="P322" s="1"/>
      <c r="Q322" s="1"/>
    </row>
    <row r="323" spans="1:17" x14ac:dyDescent="0.2">
      <c r="A323" s="555" t="s">
        <v>781</v>
      </c>
      <c r="B323" s="555"/>
      <c r="C323" s="555"/>
      <c r="D323" s="555"/>
      <c r="E323" s="555"/>
      <c r="F323" s="555"/>
      <c r="G323" s="555"/>
      <c r="H323" s="555"/>
      <c r="I323" s="555"/>
      <c r="J323" s="555"/>
      <c r="K323" s="555"/>
      <c r="L323" s="555"/>
      <c r="M323" s="555"/>
      <c r="N323" s="555"/>
      <c r="O323" s="555"/>
      <c r="P323" s="555"/>
      <c r="Q323" s="555"/>
    </row>
    <row r="324" spans="1:17" x14ac:dyDescent="0.2">
      <c r="A324" s="4" t="s">
        <v>474</v>
      </c>
      <c r="B324" s="2"/>
      <c r="C324" s="3"/>
      <c r="D324" s="3"/>
      <c r="E324" s="3"/>
      <c r="F324" s="3"/>
      <c r="G324" s="3"/>
      <c r="H324" s="3"/>
      <c r="I324" s="3"/>
      <c r="J324" s="3"/>
      <c r="K324" s="3"/>
      <c r="L324" s="3"/>
      <c r="M324" s="3"/>
      <c r="N324" s="3"/>
      <c r="O324" s="3"/>
      <c r="P324" s="3"/>
      <c r="Q324" s="3"/>
    </row>
    <row r="325" spans="1:17" x14ac:dyDescent="0.2">
      <c r="A325" s="4"/>
      <c r="B325" s="2"/>
      <c r="C325" s="3"/>
      <c r="D325" s="3"/>
      <c r="E325" s="3"/>
      <c r="F325" s="3"/>
      <c r="G325" s="3"/>
      <c r="H325" s="3"/>
      <c r="I325" s="3"/>
      <c r="J325" s="3"/>
      <c r="K325" s="3"/>
      <c r="L325" s="3"/>
      <c r="M325" s="3"/>
      <c r="N325" s="3"/>
      <c r="O325" s="3"/>
      <c r="P325" s="3"/>
      <c r="Q325" s="3"/>
    </row>
    <row r="326" spans="1:17" x14ac:dyDescent="0.2">
      <c r="A326" s="21"/>
      <c r="B326" s="21"/>
      <c r="C326" s="21"/>
      <c r="D326" s="21"/>
      <c r="E326" s="3"/>
      <c r="F326" s="21"/>
      <c r="G326" s="21"/>
      <c r="H326" s="21"/>
      <c r="O326" s="553" t="s">
        <v>398</v>
      </c>
      <c r="P326" s="553"/>
      <c r="Q326" s="553"/>
    </row>
    <row r="327" spans="1:17" x14ac:dyDescent="0.2">
      <c r="A327" s="2"/>
      <c r="B327" s="2"/>
      <c r="C327" s="2"/>
      <c r="D327" s="2"/>
      <c r="E327" s="21"/>
      <c r="F327" s="2"/>
      <c r="G327" s="2"/>
      <c r="H327" s="2"/>
      <c r="I327" s="2"/>
      <c r="J327" s="21"/>
      <c r="K327" s="3"/>
      <c r="M327" s="2"/>
      <c r="O327" s="554"/>
      <c r="P327" s="554"/>
      <c r="Q327" s="554"/>
    </row>
    <row r="328" spans="1:17" x14ac:dyDescent="0.2">
      <c r="A328" s="24" t="s">
        <v>0</v>
      </c>
      <c r="B328" s="24"/>
      <c r="C328" s="400" t="s">
        <v>349</v>
      </c>
      <c r="D328" s="24"/>
      <c r="E328" s="2"/>
      <c r="F328" s="24"/>
      <c r="G328" s="24"/>
      <c r="H328" s="24"/>
      <c r="I328" s="6" t="s">
        <v>771</v>
      </c>
      <c r="J328" s="24"/>
      <c r="L328" s="24"/>
      <c r="M328" s="2" t="s">
        <v>80</v>
      </c>
      <c r="N328" s="523"/>
      <c r="O328" s="523"/>
      <c r="P328" s="523"/>
      <c r="Q328" s="523"/>
    </row>
    <row r="329" spans="1:17" x14ac:dyDescent="0.2">
      <c r="A329" s="519" t="s">
        <v>1</v>
      </c>
      <c r="B329" s="9"/>
      <c r="C329" s="401" t="s">
        <v>1</v>
      </c>
      <c r="D329" s="9"/>
      <c r="E329" s="10" t="s">
        <v>33</v>
      </c>
      <c r="F329" s="9"/>
      <c r="G329" s="519" t="s">
        <v>48</v>
      </c>
      <c r="H329" s="9"/>
      <c r="I329" s="519" t="s">
        <v>1143</v>
      </c>
      <c r="J329" s="6"/>
      <c r="K329" s="37" t="s">
        <v>37</v>
      </c>
      <c r="L329" s="6"/>
      <c r="M329" s="519" t="s">
        <v>1144</v>
      </c>
      <c r="O329" s="210" t="s">
        <v>397</v>
      </c>
      <c r="Q329" s="210" t="s">
        <v>262</v>
      </c>
    </row>
    <row r="330" spans="1:17" x14ac:dyDescent="0.2">
      <c r="A330" s="6"/>
      <c r="B330" s="9"/>
      <c r="I330" s="6" t="s">
        <v>234</v>
      </c>
      <c r="J330" s="6"/>
      <c r="K330" s="11" t="s">
        <v>235</v>
      </c>
      <c r="L330" s="6"/>
      <c r="M330" s="6" t="s">
        <v>58</v>
      </c>
      <c r="O330" s="211" t="s">
        <v>263</v>
      </c>
      <c r="Q330" s="211" t="s">
        <v>63</v>
      </c>
    </row>
    <row r="331" spans="1:17" x14ac:dyDescent="0.2">
      <c r="A331" s="6"/>
      <c r="B331" s="9"/>
      <c r="O331" s="1"/>
      <c r="P331" s="1"/>
      <c r="Q331" s="1"/>
    </row>
    <row r="332" spans="1:17" x14ac:dyDescent="0.2">
      <c r="A332" s="6"/>
      <c r="B332" s="9"/>
      <c r="C332" s="1" t="s">
        <v>20</v>
      </c>
      <c r="F332" s="5"/>
      <c r="G332" s="5"/>
      <c r="H332" s="5"/>
      <c r="I332" s="6"/>
      <c r="J332" s="6"/>
      <c r="K332" s="6"/>
      <c r="L332" s="6"/>
      <c r="M332" s="6"/>
      <c r="O332" s="6"/>
      <c r="Q332" s="6"/>
    </row>
    <row r="333" spans="1:17" x14ac:dyDescent="0.2">
      <c r="A333" s="6">
        <f>MAX(A$332:A332)+1</f>
        <v>1</v>
      </c>
      <c r="B333" s="9"/>
      <c r="C333" s="9"/>
      <c r="D333" s="9"/>
      <c r="E333" s="14" t="s">
        <v>85</v>
      </c>
      <c r="F333" s="14"/>
      <c r="G333" s="8" t="s">
        <v>767</v>
      </c>
      <c r="H333" s="14"/>
      <c r="I333" s="253">
        <v>22.98</v>
      </c>
      <c r="J333" s="121"/>
      <c r="K333" s="253">
        <f>M333-I333</f>
        <v>1.9999999999999574E-2</v>
      </c>
      <c r="L333" s="125"/>
      <c r="M333" s="253">
        <v>23</v>
      </c>
      <c r="N333" s="125"/>
      <c r="O333" s="253">
        <v>23</v>
      </c>
      <c r="P333" s="399"/>
      <c r="Q333" s="253">
        <v>0</v>
      </c>
    </row>
    <row r="334" spans="1:17" x14ac:dyDescent="0.2">
      <c r="A334" s="6"/>
      <c r="B334" s="9"/>
      <c r="C334" s="9"/>
      <c r="D334" s="9"/>
      <c r="E334" s="14" t="s">
        <v>239</v>
      </c>
      <c r="F334" s="14"/>
      <c r="G334" s="14"/>
      <c r="H334" s="14"/>
      <c r="I334" s="147"/>
      <c r="J334" s="121"/>
      <c r="K334" s="147"/>
      <c r="L334" s="125"/>
      <c r="M334" s="147"/>
      <c r="O334" s="147"/>
      <c r="P334" s="125"/>
      <c r="Q334" s="147"/>
    </row>
    <row r="335" spans="1:17" x14ac:dyDescent="0.2">
      <c r="A335" s="6">
        <f>MAX(A$332:A334)+1</f>
        <v>2</v>
      </c>
      <c r="B335" s="9"/>
      <c r="C335" s="9"/>
      <c r="D335" s="9"/>
      <c r="E335" s="270" t="s">
        <v>91</v>
      </c>
      <c r="F335" s="270"/>
      <c r="G335" s="252" t="s">
        <v>760</v>
      </c>
      <c r="H335" s="270"/>
      <c r="I335" s="147">
        <v>7.4368999999999996</v>
      </c>
      <c r="J335" s="121"/>
      <c r="K335" s="147">
        <f>M335-I335</f>
        <v>4.6350666219309407</v>
      </c>
      <c r="L335" s="125"/>
      <c r="M335" s="147">
        <v>12.07196662193094</v>
      </c>
      <c r="O335" s="147">
        <v>11.566351852894565</v>
      </c>
      <c r="P335" s="125"/>
      <c r="Q335" s="147">
        <v>0.50561476903637492</v>
      </c>
    </row>
    <row r="336" spans="1:17" x14ac:dyDescent="0.2">
      <c r="A336" s="6">
        <f>MAX(A$332:A335)+1</f>
        <v>3</v>
      </c>
      <c r="B336" s="9"/>
      <c r="C336" s="9"/>
      <c r="D336" s="9"/>
      <c r="E336" s="270" t="s">
        <v>92</v>
      </c>
      <c r="F336" s="270"/>
      <c r="G336" s="252" t="s">
        <v>760</v>
      </c>
      <c r="H336" s="270"/>
      <c r="I336" s="147">
        <v>7.1227999999999998</v>
      </c>
      <c r="J336" s="121"/>
      <c r="K336" s="147">
        <f>M336-I336</f>
        <v>4.3810590491785621</v>
      </c>
      <c r="L336" s="125"/>
      <c r="M336" s="147">
        <v>11.503859049178562</v>
      </c>
      <c r="O336" s="147">
        <v>10.998244280142186</v>
      </c>
      <c r="P336" s="125"/>
      <c r="Q336" s="147">
        <v>0.50561476903637492</v>
      </c>
    </row>
    <row r="337" spans="1:17" x14ac:dyDescent="0.2">
      <c r="A337" s="6">
        <f>MAX(A$332:A336)+1</f>
        <v>4</v>
      </c>
      <c r="B337" s="9"/>
      <c r="C337" s="9"/>
      <c r="D337" s="9"/>
      <c r="E337" s="270" t="s">
        <v>93</v>
      </c>
      <c r="F337" s="270"/>
      <c r="G337" s="252" t="s">
        <v>760</v>
      </c>
      <c r="H337" s="270"/>
      <c r="I337" s="147">
        <v>6.3113000000000001</v>
      </c>
      <c r="J337" s="121"/>
      <c r="K337" s="147">
        <f>M337-I337</f>
        <v>3.7248121682853617</v>
      </c>
      <c r="L337" s="125"/>
      <c r="M337" s="147">
        <v>10.036112168285362</v>
      </c>
      <c r="O337" s="147">
        <v>9.5304973992489863</v>
      </c>
      <c r="P337" s="125"/>
      <c r="Q337" s="147">
        <v>0.50561476903637492</v>
      </c>
    </row>
    <row r="338" spans="1:17" x14ac:dyDescent="0.2">
      <c r="A338" s="6"/>
      <c r="B338" s="9"/>
      <c r="C338" s="9"/>
      <c r="D338" s="9"/>
      <c r="E338" s="14"/>
      <c r="F338" s="14"/>
      <c r="G338" s="14"/>
      <c r="H338" s="14"/>
      <c r="I338" s="147"/>
      <c r="J338" s="121"/>
      <c r="K338" s="147"/>
      <c r="L338" s="125"/>
      <c r="M338" s="147"/>
      <c r="O338" s="147"/>
      <c r="P338" s="125"/>
      <c r="Q338" s="147"/>
    </row>
    <row r="339" spans="1:17" x14ac:dyDescent="0.2">
      <c r="A339" s="6">
        <f>MAX(A$332:A338)+1</f>
        <v>5</v>
      </c>
      <c r="B339" s="9"/>
      <c r="C339" s="9"/>
      <c r="D339" s="9"/>
      <c r="E339" s="14" t="s">
        <v>87</v>
      </c>
      <c r="F339" s="14"/>
      <c r="G339" s="252" t="s">
        <v>760</v>
      </c>
      <c r="H339" s="14"/>
      <c r="I339" s="147">
        <v>0</v>
      </c>
      <c r="J339" s="121"/>
      <c r="K339" s="147">
        <f>M339-I339</f>
        <v>1.80692037835312</v>
      </c>
      <c r="L339" s="125"/>
      <c r="M339" s="147">
        <v>1.80692037835312</v>
      </c>
      <c r="O339" s="147">
        <v>-8.1523429769389061E-2</v>
      </c>
      <c r="P339" s="267"/>
      <c r="Q339" s="147">
        <v>1.888443808122509</v>
      </c>
    </row>
    <row r="340" spans="1:17" x14ac:dyDescent="0.2">
      <c r="A340" s="6"/>
      <c r="B340" s="9"/>
      <c r="C340" s="9"/>
      <c r="D340" s="9"/>
      <c r="E340" s="14"/>
      <c r="F340" s="14"/>
      <c r="G340" s="14"/>
      <c r="H340" s="14"/>
      <c r="I340" s="147"/>
      <c r="J340" s="121"/>
      <c r="K340" s="147"/>
      <c r="L340" s="125"/>
      <c r="M340" s="147"/>
      <c r="O340" s="147"/>
      <c r="P340" s="125"/>
      <c r="Q340" s="147"/>
    </row>
    <row r="341" spans="1:17" x14ac:dyDescent="0.2">
      <c r="A341" s="6">
        <f>MAX(A$332:A340)+1</f>
        <v>6</v>
      </c>
      <c r="B341" s="9"/>
      <c r="E341" s="14" t="s">
        <v>167</v>
      </c>
      <c r="F341" s="14"/>
      <c r="G341" s="252" t="s">
        <v>760</v>
      </c>
      <c r="H341" s="14"/>
      <c r="I341" s="147">
        <v>22.290639639640929</v>
      </c>
      <c r="J341" s="121"/>
      <c r="K341" s="147">
        <f>M341-I341</f>
        <v>-1.3872374585601079</v>
      </c>
      <c r="L341" s="125"/>
      <c r="M341" s="147">
        <v>20.903402181080821</v>
      </c>
      <c r="O341" s="147">
        <v>0.15408160302151921</v>
      </c>
      <c r="P341" s="267"/>
      <c r="Q341" s="147">
        <v>20.749320578059301</v>
      </c>
    </row>
    <row r="342" spans="1:17" x14ac:dyDescent="0.2">
      <c r="A342" s="6"/>
      <c r="B342" s="9"/>
      <c r="C342" s="9"/>
      <c r="D342" s="9"/>
      <c r="I342" s="125"/>
      <c r="J342" s="125"/>
      <c r="K342" s="125"/>
      <c r="L342" s="125"/>
      <c r="M342" s="125"/>
      <c r="O342" s="125"/>
      <c r="P342" s="125"/>
      <c r="Q342" s="125"/>
    </row>
    <row r="343" spans="1:17" x14ac:dyDescent="0.2">
      <c r="A343" s="6"/>
      <c r="B343" s="9"/>
      <c r="C343" s="1" t="s">
        <v>21</v>
      </c>
      <c r="D343" s="9"/>
      <c r="F343" s="5"/>
      <c r="G343" s="5"/>
      <c r="H343" s="5"/>
      <c r="I343" s="137"/>
      <c r="J343" s="137"/>
      <c r="K343" s="137"/>
      <c r="L343" s="137"/>
      <c r="M343" s="137"/>
      <c r="O343" s="137"/>
      <c r="P343" s="125"/>
      <c r="Q343" s="137"/>
    </row>
    <row r="344" spans="1:17" x14ac:dyDescent="0.2">
      <c r="A344" s="6">
        <f>MAX(A$332:A343)+1</f>
        <v>7</v>
      </c>
      <c r="B344" s="9"/>
      <c r="C344" s="9"/>
      <c r="D344" s="9"/>
      <c r="E344" s="14" t="s">
        <v>85</v>
      </c>
      <c r="F344" s="14"/>
      <c r="G344" s="8" t="s">
        <v>767</v>
      </c>
      <c r="H344" s="14"/>
      <c r="I344" s="253">
        <v>76.58</v>
      </c>
      <c r="J344" s="121"/>
      <c r="K344" s="253">
        <f>M344-I344</f>
        <v>3.4200000000000017</v>
      </c>
      <c r="L344" s="125"/>
      <c r="M344" s="253">
        <v>80</v>
      </c>
      <c r="N344" s="125"/>
      <c r="O344" s="253">
        <v>80</v>
      </c>
      <c r="P344" s="399"/>
      <c r="Q344" s="253">
        <v>0</v>
      </c>
    </row>
    <row r="345" spans="1:17" x14ac:dyDescent="0.2">
      <c r="A345" s="6"/>
      <c r="C345" s="9"/>
      <c r="D345" s="9"/>
      <c r="E345" s="14" t="s">
        <v>239</v>
      </c>
      <c r="F345" s="14"/>
      <c r="G345" s="14"/>
      <c r="H345" s="14"/>
      <c r="I345" s="147"/>
      <c r="J345" s="121"/>
      <c r="K345" s="147"/>
      <c r="L345" s="125"/>
      <c r="M345" s="147"/>
      <c r="O345" s="147"/>
      <c r="P345" s="125"/>
      <c r="Q345" s="147"/>
    </row>
    <row r="346" spans="1:17" x14ac:dyDescent="0.2">
      <c r="A346" s="6">
        <f>MAX(A$332:A345)+1</f>
        <v>8</v>
      </c>
      <c r="B346" s="9"/>
      <c r="C346" s="9"/>
      <c r="D346" s="9"/>
      <c r="E346" s="270" t="s">
        <v>121</v>
      </c>
      <c r="F346" s="270"/>
      <c r="G346" s="252" t="s">
        <v>760</v>
      </c>
      <c r="H346" s="270"/>
      <c r="I346" s="147">
        <v>7.0914999999999999</v>
      </c>
      <c r="J346" s="121"/>
      <c r="K346" s="147">
        <f>M346-I346</f>
        <v>1.6955649270485598</v>
      </c>
      <c r="L346" s="125"/>
      <c r="M346" s="147">
        <v>8.7870649270485597</v>
      </c>
      <c r="O346" s="147">
        <v>8.3117693241309745</v>
      </c>
      <c r="P346" s="125"/>
      <c r="Q346" s="147">
        <v>0.47529560291758588</v>
      </c>
    </row>
    <row r="347" spans="1:17" x14ac:dyDescent="0.2">
      <c r="A347" s="6">
        <f>MAX(A$332:A346)+1</f>
        <v>9</v>
      </c>
      <c r="C347" s="9"/>
      <c r="D347" s="9"/>
      <c r="E347" s="270" t="s">
        <v>122</v>
      </c>
      <c r="F347" s="270"/>
      <c r="G347" s="252" t="s">
        <v>760</v>
      </c>
      <c r="H347" s="270"/>
      <c r="I347" s="147">
        <v>6.9819000000000004</v>
      </c>
      <c r="J347" s="121"/>
      <c r="K347" s="147">
        <f>M347-I347</f>
        <v>1.6568468029969887</v>
      </c>
      <c r="L347" s="125"/>
      <c r="M347" s="147">
        <v>8.6387468029969892</v>
      </c>
      <c r="O347" s="147">
        <v>8.1634512000794039</v>
      </c>
      <c r="P347" s="125"/>
      <c r="Q347" s="147">
        <v>0.47529560291758588</v>
      </c>
    </row>
    <row r="348" spans="1:17" x14ac:dyDescent="0.2">
      <c r="A348" s="6">
        <f>MAX(A$332:A347)+1</f>
        <v>10</v>
      </c>
      <c r="C348" s="9"/>
      <c r="D348" s="9"/>
      <c r="E348" s="270" t="s">
        <v>123</v>
      </c>
      <c r="F348" s="270"/>
      <c r="G348" s="252" t="s">
        <v>760</v>
      </c>
      <c r="H348" s="270"/>
      <c r="I348" s="147">
        <v>6.6082000000000001</v>
      </c>
      <c r="J348" s="121"/>
      <c r="K348" s="147">
        <f>M348-I348</f>
        <v>1.5248307176131153</v>
      </c>
      <c r="L348" s="125"/>
      <c r="M348" s="147">
        <v>8.1330307176131154</v>
      </c>
      <c r="O348" s="147">
        <v>7.6577351146955301</v>
      </c>
      <c r="P348" s="125"/>
      <c r="Q348" s="147">
        <v>0.47529560291758588</v>
      </c>
    </row>
    <row r="349" spans="1:17" x14ac:dyDescent="0.2">
      <c r="A349" s="6">
        <f>MAX(A$332:A348)+1</f>
        <v>11</v>
      </c>
      <c r="B349" s="9"/>
      <c r="C349" s="9"/>
      <c r="D349" s="9"/>
      <c r="E349" s="270" t="s">
        <v>124</v>
      </c>
      <c r="F349" s="270"/>
      <c r="G349" s="252" t="s">
        <v>760</v>
      </c>
      <c r="H349" s="270"/>
      <c r="I349" s="147">
        <v>6.2183000000000002</v>
      </c>
      <c r="J349" s="121"/>
      <c r="K349" s="147">
        <f>M349-I349</f>
        <v>1.3870916978347596</v>
      </c>
      <c r="L349" s="125"/>
      <c r="M349" s="147">
        <v>7.6053916978347598</v>
      </c>
      <c r="O349" s="147">
        <v>7.1300960949171737</v>
      </c>
      <c r="P349" s="125"/>
      <c r="Q349" s="147">
        <v>0.47529560291758588</v>
      </c>
    </row>
    <row r="350" spans="1:17" x14ac:dyDescent="0.2">
      <c r="A350" s="6"/>
      <c r="B350" s="9"/>
      <c r="C350" s="9"/>
      <c r="D350" s="9"/>
      <c r="I350" s="126"/>
      <c r="J350" s="121"/>
      <c r="K350" s="126"/>
      <c r="L350" s="125"/>
      <c r="M350" s="126"/>
      <c r="O350" s="126"/>
      <c r="P350" s="125"/>
      <c r="Q350" s="126"/>
    </row>
    <row r="351" spans="1:17" x14ac:dyDescent="0.2">
      <c r="A351" s="6">
        <f>MAX(A$332:A350)+1</f>
        <v>12</v>
      </c>
      <c r="B351" s="9"/>
      <c r="C351" s="9"/>
      <c r="D351" s="9"/>
      <c r="E351" s="14" t="s">
        <v>87</v>
      </c>
      <c r="F351" s="14"/>
      <c r="G351" s="252" t="s">
        <v>760</v>
      </c>
      <c r="H351" s="14"/>
      <c r="I351" s="147">
        <v>0</v>
      </c>
      <c r="J351" s="121"/>
      <c r="K351" s="147">
        <f>M351-I351</f>
        <v>1.6963356246993813</v>
      </c>
      <c r="L351" s="125"/>
      <c r="M351" s="147">
        <v>1.6963356246993813</v>
      </c>
      <c r="O351" s="147">
        <v>-7.6255550898989791E-2</v>
      </c>
      <c r="P351" s="267"/>
      <c r="Q351" s="147">
        <v>1.772591175598371</v>
      </c>
    </row>
    <row r="352" spans="1:17" x14ac:dyDescent="0.2">
      <c r="A352" s="6"/>
      <c r="I352" s="147"/>
      <c r="J352" s="121"/>
      <c r="K352" s="147"/>
      <c r="L352" s="125"/>
      <c r="M352" s="147"/>
      <c r="O352" s="147"/>
      <c r="P352" s="125"/>
      <c r="Q352" s="147"/>
    </row>
    <row r="353" spans="1:17" x14ac:dyDescent="0.2">
      <c r="A353" s="6">
        <f>MAX(A$332:A352)+1</f>
        <v>13</v>
      </c>
      <c r="E353" s="14" t="s">
        <v>167</v>
      </c>
      <c r="F353" s="14"/>
      <c r="G353" s="252" t="s">
        <v>760</v>
      </c>
      <c r="H353" s="14"/>
      <c r="I353" s="147">
        <v>22.290639639640929</v>
      </c>
      <c r="J353" s="121"/>
      <c r="K353" s="147">
        <f>M353-I353</f>
        <v>-1.3872374585601079</v>
      </c>
      <c r="L353" s="125"/>
      <c r="M353" s="147">
        <v>20.903402181080821</v>
      </c>
      <c r="O353" s="147">
        <v>0.15408160302151921</v>
      </c>
      <c r="P353" s="267"/>
      <c r="Q353" s="147">
        <v>20.749320578059301</v>
      </c>
    </row>
    <row r="354" spans="1:17" x14ac:dyDescent="0.2">
      <c r="E354" s="14"/>
      <c r="F354" s="14"/>
      <c r="G354" s="14"/>
      <c r="H354" s="14"/>
      <c r="I354" s="147"/>
      <c r="J354" s="121"/>
      <c r="K354" s="147"/>
      <c r="L354" s="125"/>
      <c r="M354" s="147"/>
      <c r="O354" s="147"/>
      <c r="P354" s="125"/>
      <c r="Q354" s="147"/>
    </row>
    <row r="355" spans="1:17" x14ac:dyDescent="0.2">
      <c r="A355" s="6"/>
      <c r="C355" s="1" t="s">
        <v>22</v>
      </c>
      <c r="D355" s="9"/>
      <c r="F355" s="5"/>
      <c r="G355" s="5"/>
      <c r="H355" s="5"/>
      <c r="I355" s="137"/>
      <c r="J355" s="137"/>
      <c r="K355" s="137"/>
      <c r="L355" s="137"/>
      <c r="M355" s="137"/>
      <c r="O355" s="137"/>
      <c r="P355" s="125"/>
      <c r="Q355" s="137"/>
    </row>
    <row r="356" spans="1:17" x14ac:dyDescent="0.2">
      <c r="C356" s="9"/>
      <c r="D356" s="9"/>
      <c r="E356" s="14" t="s">
        <v>240</v>
      </c>
      <c r="F356" s="14"/>
      <c r="G356" s="14"/>
      <c r="H356" s="14"/>
      <c r="I356" s="147"/>
      <c r="J356" s="121"/>
      <c r="K356" s="147"/>
      <c r="L356" s="125"/>
      <c r="M356" s="147"/>
      <c r="O356" s="147"/>
      <c r="P356" s="125"/>
      <c r="Q356" s="147"/>
    </row>
    <row r="357" spans="1:17" x14ac:dyDescent="0.2">
      <c r="A357" s="6">
        <f>MAX(A$332:A356)+1</f>
        <v>14</v>
      </c>
      <c r="C357" s="9"/>
      <c r="D357" s="9"/>
      <c r="E357" s="270" t="s">
        <v>127</v>
      </c>
      <c r="F357" s="270"/>
      <c r="G357" s="252" t="s">
        <v>760</v>
      </c>
      <c r="H357" s="270"/>
      <c r="I357" s="147">
        <v>69.394599999999997</v>
      </c>
      <c r="J357" s="121"/>
      <c r="K357" s="147">
        <f>M357-I357</f>
        <v>-6.9720721793386531</v>
      </c>
      <c r="L357" s="125"/>
      <c r="M357" s="147">
        <v>62.422527820661344</v>
      </c>
      <c r="O357" s="147">
        <v>62.422527820661344</v>
      </c>
      <c r="P357" s="125"/>
      <c r="Q357" s="147">
        <v>0</v>
      </c>
    </row>
    <row r="358" spans="1:17" x14ac:dyDescent="0.2">
      <c r="A358" s="6">
        <f>MAX(A$332:A357)+1</f>
        <v>15</v>
      </c>
      <c r="C358" s="9"/>
      <c r="D358" s="9"/>
      <c r="E358" s="270" t="s">
        <v>128</v>
      </c>
      <c r="F358" s="270"/>
      <c r="G358" s="252" t="s">
        <v>760</v>
      </c>
      <c r="H358" s="270"/>
      <c r="I358" s="147">
        <v>33.057699999999997</v>
      </c>
      <c r="J358" s="121"/>
      <c r="K358" s="147">
        <f>M358-I358</f>
        <v>-3.3213055552294222</v>
      </c>
      <c r="L358" s="125"/>
      <c r="M358" s="147">
        <v>29.736394444770575</v>
      </c>
      <c r="O358" s="147">
        <v>29.736394444770575</v>
      </c>
      <c r="P358" s="125"/>
      <c r="Q358" s="147">
        <v>0</v>
      </c>
    </row>
    <row r="359" spans="1:17" x14ac:dyDescent="0.2">
      <c r="A359" s="6">
        <f>MAX(A$332:A358)+1</f>
        <v>16</v>
      </c>
      <c r="C359" s="9"/>
      <c r="D359" s="9"/>
      <c r="E359" s="270" t="s">
        <v>129</v>
      </c>
      <c r="F359" s="270"/>
      <c r="G359" s="252" t="s">
        <v>760</v>
      </c>
      <c r="H359" s="270"/>
      <c r="I359" s="147">
        <v>28.335999999999999</v>
      </c>
      <c r="J359" s="121"/>
      <c r="K359" s="147">
        <f>M359-I359</f>
        <v>-2.8469165795860221</v>
      </c>
      <c r="L359" s="125"/>
      <c r="M359" s="147">
        <v>25.489083420413976</v>
      </c>
      <c r="O359" s="147">
        <v>25.489083420413976</v>
      </c>
      <c r="P359" s="125"/>
      <c r="Q359" s="147">
        <v>0</v>
      </c>
    </row>
    <row r="360" spans="1:17" x14ac:dyDescent="0.2">
      <c r="A360" s="6"/>
      <c r="B360" s="9"/>
      <c r="C360" s="9"/>
      <c r="D360" s="9"/>
      <c r="E360" s="14"/>
      <c r="F360" s="14"/>
      <c r="G360" s="14"/>
      <c r="H360" s="14"/>
      <c r="I360" s="147"/>
      <c r="J360" s="121"/>
      <c r="K360" s="147"/>
      <c r="L360" s="125"/>
      <c r="M360" s="147"/>
      <c r="O360" s="147"/>
      <c r="P360" s="125"/>
      <c r="Q360" s="147"/>
    </row>
    <row r="361" spans="1:17" x14ac:dyDescent="0.2">
      <c r="A361" s="6"/>
      <c r="B361" s="9"/>
      <c r="C361" s="9"/>
      <c r="D361" s="9"/>
      <c r="E361" s="14" t="s">
        <v>239</v>
      </c>
      <c r="F361" s="14"/>
      <c r="G361" s="14"/>
      <c r="H361" s="14"/>
      <c r="I361" s="147"/>
      <c r="J361" s="121"/>
      <c r="K361" s="147"/>
      <c r="L361" s="125"/>
      <c r="M361" s="147"/>
      <c r="O361" s="147"/>
      <c r="P361" s="125"/>
      <c r="Q361" s="147"/>
    </row>
    <row r="362" spans="1:17" x14ac:dyDescent="0.2">
      <c r="A362" s="6">
        <f>MAX(A$332:A361)+1</f>
        <v>17</v>
      </c>
      <c r="B362" s="9"/>
      <c r="C362" s="9"/>
      <c r="D362" s="9"/>
      <c r="E362" s="270" t="s">
        <v>130</v>
      </c>
      <c r="F362" s="270"/>
      <c r="G362" s="252" t="s">
        <v>760</v>
      </c>
      <c r="H362" s="270"/>
      <c r="I362" s="147">
        <v>2.0339</v>
      </c>
      <c r="J362" s="121"/>
      <c r="K362" s="147">
        <f>M362-I362</f>
        <v>-0.73344919055625146</v>
      </c>
      <c r="L362" s="125"/>
      <c r="M362" s="147">
        <v>1.3004508094437486</v>
      </c>
      <c r="O362" s="147">
        <v>0.92598463130691588</v>
      </c>
      <c r="P362" s="125"/>
      <c r="Q362" s="147">
        <v>0.37446617813683281</v>
      </c>
    </row>
    <row r="363" spans="1:17" x14ac:dyDescent="0.2">
      <c r="A363" s="6">
        <f>MAX(A$332:A362)+1</f>
        <v>18</v>
      </c>
      <c r="B363" s="9"/>
      <c r="C363" s="9"/>
      <c r="D363" s="9"/>
      <c r="E363" s="270" t="s">
        <v>131</v>
      </c>
      <c r="F363" s="270"/>
      <c r="G363" s="252" t="s">
        <v>760</v>
      </c>
      <c r="H363" s="270"/>
      <c r="I363" s="147">
        <v>0.87250000000000005</v>
      </c>
      <c r="J363" s="121"/>
      <c r="K363" s="147">
        <f>M363-I363</f>
        <v>-0.73344919055625135</v>
      </c>
      <c r="L363" s="125"/>
      <c r="M363" s="147">
        <v>0.1390508094437487</v>
      </c>
      <c r="O363" s="147">
        <v>-0.2354153686930841</v>
      </c>
      <c r="P363" s="125"/>
      <c r="Q363" s="147">
        <v>0.37446617813683281</v>
      </c>
    </row>
    <row r="364" spans="1:17" x14ac:dyDescent="0.2">
      <c r="A364" s="6"/>
      <c r="B364" s="9"/>
      <c r="C364" s="9"/>
      <c r="D364" s="9"/>
      <c r="I364" s="125"/>
      <c r="J364" s="125"/>
      <c r="K364" s="125"/>
      <c r="L364" s="125"/>
      <c r="M364" s="125"/>
      <c r="O364" s="125"/>
      <c r="P364" s="125"/>
      <c r="Q364" s="125"/>
    </row>
    <row r="365" spans="1:17" x14ac:dyDescent="0.2">
      <c r="A365" s="6"/>
      <c r="B365" s="9"/>
      <c r="C365" s="9"/>
      <c r="D365" s="9"/>
      <c r="E365" s="14" t="s">
        <v>135</v>
      </c>
      <c r="F365" s="14"/>
      <c r="G365" s="14"/>
      <c r="H365" s="14"/>
      <c r="I365" s="147"/>
      <c r="J365" s="121"/>
      <c r="K365" s="147"/>
      <c r="L365" s="125"/>
      <c r="M365" s="147"/>
      <c r="O365" s="147"/>
      <c r="P365" s="125"/>
      <c r="Q365" s="147"/>
    </row>
    <row r="366" spans="1:17" x14ac:dyDescent="0.2">
      <c r="A366" s="6">
        <f>MAX(A$332:A365)+1</f>
        <v>19</v>
      </c>
      <c r="B366" s="9"/>
      <c r="C366" s="9"/>
      <c r="D366" s="9"/>
      <c r="E366" s="38" t="s">
        <v>85</v>
      </c>
      <c r="F366" s="38"/>
      <c r="G366" s="8" t="s">
        <v>767</v>
      </c>
      <c r="H366" s="38"/>
      <c r="I366" s="253">
        <v>755.88</v>
      </c>
      <c r="J366" s="121"/>
      <c r="K366" s="253">
        <f>M366-I366</f>
        <v>-255.88</v>
      </c>
      <c r="L366" s="125"/>
      <c r="M366" s="253">
        <v>500</v>
      </c>
      <c r="N366" s="125"/>
      <c r="O366" s="253">
        <v>500</v>
      </c>
      <c r="P366" s="399"/>
      <c r="Q366" s="253">
        <v>0</v>
      </c>
    </row>
    <row r="367" spans="1:17" x14ac:dyDescent="0.2">
      <c r="A367" s="6">
        <f>MAX(A$332:A366)+1</f>
        <v>20</v>
      </c>
      <c r="B367" s="9"/>
      <c r="C367" s="9"/>
      <c r="D367" s="9"/>
      <c r="E367" s="38" t="s">
        <v>399</v>
      </c>
      <c r="F367" s="38"/>
      <c r="G367" s="252" t="s">
        <v>760</v>
      </c>
      <c r="H367" s="38"/>
      <c r="I367" s="147">
        <v>3.5886</v>
      </c>
      <c r="J367" s="121"/>
      <c r="K367" s="147">
        <f>M367-I367</f>
        <v>-1.5325913359767345</v>
      </c>
      <c r="L367" s="125"/>
      <c r="M367" s="147">
        <v>2.0560086640232655</v>
      </c>
      <c r="O367" s="147">
        <f>M367-Q367</f>
        <v>1.8230495372173456</v>
      </c>
      <c r="P367" s="517"/>
      <c r="Q367" s="147">
        <v>0.23295912680591982</v>
      </c>
    </row>
    <row r="368" spans="1:17" x14ac:dyDescent="0.2">
      <c r="A368" s="6"/>
      <c r="B368" s="9"/>
      <c r="C368" s="9"/>
      <c r="D368" s="9"/>
      <c r="E368" s="21"/>
      <c r="F368" s="21"/>
      <c r="G368" s="21"/>
      <c r="H368" s="21"/>
      <c r="I368" s="126"/>
      <c r="J368" s="121"/>
      <c r="K368" s="126"/>
      <c r="L368" s="137"/>
      <c r="M368" s="126"/>
      <c r="O368" s="126"/>
      <c r="P368" s="125"/>
      <c r="Q368" s="126"/>
    </row>
    <row r="369" spans="1:17" x14ac:dyDescent="0.2">
      <c r="A369" s="6">
        <f>MAX(A$332:A368)+1</f>
        <v>21</v>
      </c>
      <c r="B369" s="9"/>
      <c r="C369" s="9"/>
      <c r="D369" s="9"/>
      <c r="E369" s="14" t="s">
        <v>87</v>
      </c>
      <c r="F369" s="14"/>
      <c r="G369" s="252" t="s">
        <v>760</v>
      </c>
      <c r="H369" s="14"/>
      <c r="I369" s="147">
        <v>0</v>
      </c>
      <c r="J369" s="121"/>
      <c r="K369" s="147">
        <f>M369-I369</f>
        <v>1.4501104261380173</v>
      </c>
      <c r="L369" s="125"/>
      <c r="M369" s="147">
        <v>1.4501104261380173</v>
      </c>
      <c r="O369" s="147">
        <v>-6.4526225850942004E-2</v>
      </c>
      <c r="P369" s="267"/>
      <c r="Q369" s="147">
        <v>1.5146366519889594</v>
      </c>
    </row>
    <row r="370" spans="1:17" x14ac:dyDescent="0.2">
      <c r="A370" s="6"/>
      <c r="B370" s="9"/>
      <c r="C370" s="9"/>
      <c r="D370" s="9"/>
      <c r="E370" s="21"/>
      <c r="F370" s="21"/>
      <c r="G370" s="21"/>
      <c r="H370" s="21"/>
      <c r="I370" s="126"/>
      <c r="J370" s="121"/>
      <c r="K370" s="126"/>
      <c r="L370" s="137"/>
      <c r="M370" s="126"/>
      <c r="O370" s="126"/>
      <c r="P370" s="267"/>
      <c r="Q370" s="126"/>
    </row>
    <row r="371" spans="1:17" x14ac:dyDescent="0.2">
      <c r="A371" s="6">
        <f>MAX(A$332:A370)+1</f>
        <v>22</v>
      </c>
      <c r="B371" s="9"/>
      <c r="E371" s="14" t="s">
        <v>167</v>
      </c>
      <c r="F371" s="14"/>
      <c r="G371" s="252" t="s">
        <v>760</v>
      </c>
      <c r="H371" s="14"/>
      <c r="I371" s="147">
        <v>22.290639639640929</v>
      </c>
      <c r="J371" s="121"/>
      <c r="K371" s="147">
        <f>M371-I371</f>
        <v>-1.3872374585601079</v>
      </c>
      <c r="L371" s="125"/>
      <c r="M371" s="147">
        <v>20.903402181080821</v>
      </c>
      <c r="O371" s="147">
        <v>0.15408160302151921</v>
      </c>
      <c r="P371" s="267"/>
      <c r="Q371" s="147">
        <v>20.749320578059301</v>
      </c>
    </row>
    <row r="372" spans="1:17" x14ac:dyDescent="0.2">
      <c r="A372" s="6"/>
      <c r="B372" s="9"/>
      <c r="E372" s="14"/>
      <c r="F372" s="14"/>
      <c r="G372" s="14"/>
      <c r="H372" s="14"/>
      <c r="I372" s="147"/>
      <c r="J372" s="121"/>
      <c r="K372" s="147"/>
      <c r="L372" s="125"/>
      <c r="M372" s="147"/>
      <c r="O372" s="147"/>
      <c r="P372" s="267"/>
      <c r="Q372" s="147"/>
    </row>
    <row r="373" spans="1:17" x14ac:dyDescent="0.2">
      <c r="A373" s="6"/>
      <c r="B373" s="9"/>
      <c r="C373" s="1" t="s">
        <v>23</v>
      </c>
      <c r="D373" s="9"/>
      <c r="F373" s="5"/>
      <c r="G373" s="5"/>
      <c r="H373" s="5"/>
      <c r="I373" s="137"/>
      <c r="J373" s="137"/>
      <c r="K373" s="137"/>
      <c r="L373" s="137"/>
      <c r="M373" s="137"/>
      <c r="O373" s="137"/>
      <c r="P373" s="125"/>
      <c r="Q373" s="137"/>
    </row>
    <row r="374" spans="1:17" x14ac:dyDescent="0.2">
      <c r="A374" s="6">
        <f>MAX(A$332:A373)+1</f>
        <v>23</v>
      </c>
      <c r="B374" s="9"/>
      <c r="E374" s="14" t="s">
        <v>85</v>
      </c>
      <c r="F374" s="14"/>
      <c r="G374" s="8" t="s">
        <v>767</v>
      </c>
      <c r="H374" s="14"/>
      <c r="I374" s="253">
        <v>755.88</v>
      </c>
      <c r="J374" s="121"/>
      <c r="K374" s="253">
        <f>M374-I374</f>
        <v>-255.88</v>
      </c>
      <c r="L374" s="125"/>
      <c r="M374" s="253">
        <v>500</v>
      </c>
      <c r="N374" s="125"/>
      <c r="O374" s="253">
        <v>500</v>
      </c>
      <c r="P374" s="399"/>
      <c r="Q374" s="253">
        <v>0</v>
      </c>
    </row>
    <row r="375" spans="1:17" x14ac:dyDescent="0.2">
      <c r="A375" s="6">
        <f>MAX(A$332:A374)+1</f>
        <v>24</v>
      </c>
      <c r="C375" s="9"/>
      <c r="D375" s="9"/>
      <c r="E375" s="14" t="s">
        <v>399</v>
      </c>
      <c r="F375" s="14"/>
      <c r="G375" s="252" t="s">
        <v>760</v>
      </c>
      <c r="H375" s="14"/>
      <c r="I375" s="147">
        <v>3.4476824540554114</v>
      </c>
      <c r="J375" s="121"/>
      <c r="K375" s="147">
        <f>M375-I375</f>
        <v>-1.3916737900321459</v>
      </c>
      <c r="L375" s="125"/>
      <c r="M375" s="147">
        <v>2.0560086640232655</v>
      </c>
      <c r="O375" s="147">
        <f>M375-Q375</f>
        <v>1.8230495372173456</v>
      </c>
      <c r="P375" s="517"/>
      <c r="Q375" s="147">
        <v>0.23295912680591982</v>
      </c>
    </row>
    <row r="376" spans="1:17" x14ac:dyDescent="0.2">
      <c r="A376" s="6"/>
      <c r="B376" s="9"/>
      <c r="C376" s="9"/>
      <c r="D376" s="9"/>
      <c r="E376" s="21"/>
      <c r="F376" s="21"/>
      <c r="G376" s="21"/>
      <c r="H376" s="21"/>
      <c r="I376" s="126"/>
      <c r="J376" s="121"/>
      <c r="K376" s="126"/>
      <c r="L376" s="137"/>
      <c r="M376" s="126"/>
      <c r="O376" s="126"/>
      <c r="P376" s="125"/>
      <c r="Q376" s="126"/>
    </row>
    <row r="377" spans="1:17" x14ac:dyDescent="0.2">
      <c r="C377" s="9"/>
      <c r="D377" s="9"/>
      <c r="E377" s="14" t="s">
        <v>141</v>
      </c>
      <c r="F377" s="14"/>
      <c r="G377" s="14"/>
      <c r="H377" s="14"/>
      <c r="I377" s="147"/>
      <c r="J377" s="121"/>
      <c r="K377" s="147"/>
      <c r="L377" s="125"/>
      <c r="M377" s="147"/>
      <c r="O377" s="147"/>
      <c r="P377" s="125"/>
      <c r="Q377" s="147"/>
    </row>
    <row r="378" spans="1:17" x14ac:dyDescent="0.2">
      <c r="A378" s="6">
        <f>MAX(A$332:A377)+1</f>
        <v>25</v>
      </c>
      <c r="C378" s="9"/>
      <c r="D378" s="9"/>
      <c r="E378" s="38" t="s">
        <v>240</v>
      </c>
      <c r="F378" s="38"/>
      <c r="G378" s="252" t="s">
        <v>766</v>
      </c>
      <c r="H378" s="38"/>
      <c r="I378" s="147">
        <v>41.215699999999998</v>
      </c>
      <c r="J378" s="121"/>
      <c r="K378" s="147">
        <f>M378-I378</f>
        <v>-1.6676598349353924</v>
      </c>
      <c r="L378" s="125"/>
      <c r="M378" s="147">
        <v>39.548040165064606</v>
      </c>
      <c r="O378" s="147">
        <v>39.548040165064606</v>
      </c>
      <c r="P378" s="125"/>
      <c r="Q378" s="147">
        <v>0</v>
      </c>
    </row>
    <row r="379" spans="1:17" x14ac:dyDescent="0.2">
      <c r="A379" s="6">
        <f>MAX(A$332:A378)+1</f>
        <v>26</v>
      </c>
      <c r="B379" s="9"/>
      <c r="C379" s="9"/>
      <c r="D379" s="9"/>
      <c r="E379" s="38" t="s">
        <v>239</v>
      </c>
      <c r="F379" s="38"/>
      <c r="G379" s="252" t="s">
        <v>760</v>
      </c>
      <c r="H379" s="38"/>
      <c r="I379" s="147">
        <v>3.5497469625757372</v>
      </c>
      <c r="J379" s="121"/>
      <c r="K379" s="147">
        <f>M379-I379</f>
        <v>0.20181862148874252</v>
      </c>
      <c r="L379" s="125"/>
      <c r="M379" s="147">
        <v>3.7515655840644797</v>
      </c>
      <c r="O379" s="147">
        <v>3.3768469625757374</v>
      </c>
      <c r="P379" s="267"/>
      <c r="Q379" s="147">
        <v>0.37471862148874258</v>
      </c>
    </row>
    <row r="380" spans="1:17" x14ac:dyDescent="0.2">
      <c r="A380" s="6"/>
      <c r="C380" s="9"/>
      <c r="D380" s="9"/>
      <c r="E380" s="21"/>
      <c r="F380" s="21"/>
      <c r="G380" s="21"/>
      <c r="H380" s="21"/>
      <c r="I380" s="126"/>
      <c r="J380" s="121"/>
      <c r="K380" s="126"/>
      <c r="L380" s="137"/>
      <c r="M380" s="126"/>
      <c r="O380" s="126"/>
      <c r="P380" s="125"/>
      <c r="Q380" s="126"/>
    </row>
    <row r="381" spans="1:17" x14ac:dyDescent="0.2">
      <c r="A381" s="6">
        <f>MAX(A$332:A380)+1</f>
        <v>27</v>
      </c>
      <c r="B381" s="9"/>
      <c r="E381" s="14" t="s">
        <v>87</v>
      </c>
      <c r="F381" s="14"/>
      <c r="G381" s="252" t="s">
        <v>760</v>
      </c>
      <c r="H381" s="14"/>
      <c r="I381" s="147">
        <v>0</v>
      </c>
      <c r="J381" s="121"/>
      <c r="K381" s="147">
        <f>M381-I381</f>
        <v>0.94185603603450829</v>
      </c>
      <c r="L381" s="125"/>
      <c r="M381" s="147">
        <v>0.94185603603450829</v>
      </c>
      <c r="O381" s="147">
        <v>-4.0314727666520112E-2</v>
      </c>
      <c r="P381" s="267"/>
      <c r="Q381" s="147">
        <v>0.9821707637010284</v>
      </c>
    </row>
    <row r="382" spans="1:17" x14ac:dyDescent="0.2">
      <c r="A382" s="6"/>
      <c r="B382" s="9"/>
      <c r="E382" s="21"/>
      <c r="F382" s="21"/>
      <c r="G382" s="21"/>
      <c r="H382" s="21"/>
      <c r="I382" s="126"/>
      <c r="J382" s="121"/>
      <c r="K382" s="126"/>
      <c r="L382" s="137"/>
      <c r="M382" s="126"/>
      <c r="O382" s="126"/>
      <c r="P382" s="267"/>
      <c r="Q382" s="126"/>
    </row>
    <row r="383" spans="1:17" x14ac:dyDescent="0.2">
      <c r="A383" s="6">
        <f>MAX(A$332:A382)+1</f>
        <v>28</v>
      </c>
      <c r="B383" s="9"/>
      <c r="C383" s="9"/>
      <c r="D383" s="9"/>
      <c r="E383" s="14" t="s">
        <v>167</v>
      </c>
      <c r="F383" s="14"/>
      <c r="G383" s="252" t="s">
        <v>760</v>
      </c>
      <c r="H383" s="14"/>
      <c r="I383" s="147">
        <v>22.290639639640929</v>
      </c>
      <c r="J383" s="121"/>
      <c r="K383" s="147">
        <f>M383-I383</f>
        <v>-1.3872374585601079</v>
      </c>
      <c r="L383" s="125"/>
      <c r="M383" s="147">
        <v>20.903402181080821</v>
      </c>
      <c r="O383" s="147">
        <v>0.15408160302151921</v>
      </c>
      <c r="P383" s="267"/>
      <c r="Q383" s="147">
        <v>20.749320578059301</v>
      </c>
    </row>
    <row r="384" spans="1:17" x14ac:dyDescent="0.2">
      <c r="A384" s="6"/>
      <c r="B384" s="9"/>
      <c r="O384" s="1"/>
      <c r="P384" s="1"/>
      <c r="Q384" s="1"/>
    </row>
    <row r="385" spans="1:17" x14ac:dyDescent="0.2">
      <c r="A385" s="6"/>
      <c r="B385" s="9"/>
      <c r="C385" s="1" t="s">
        <v>24</v>
      </c>
      <c r="D385" s="9"/>
      <c r="F385" s="5"/>
      <c r="G385" s="5"/>
      <c r="H385" s="5"/>
      <c r="I385" s="6"/>
      <c r="J385" s="6"/>
      <c r="K385" s="6"/>
      <c r="L385" s="6"/>
      <c r="M385" s="6"/>
      <c r="O385" s="6"/>
      <c r="Q385" s="6"/>
    </row>
    <row r="386" spans="1:17" x14ac:dyDescent="0.2">
      <c r="A386" s="6"/>
      <c r="B386" s="9"/>
      <c r="E386" s="14" t="s">
        <v>141</v>
      </c>
      <c r="F386" s="14"/>
      <c r="G386" s="14"/>
      <c r="H386" s="14"/>
      <c r="I386" s="43"/>
      <c r="J386" s="15"/>
      <c r="K386" s="43"/>
      <c r="M386" s="43"/>
      <c r="O386" s="43"/>
      <c r="Q386" s="43"/>
    </row>
    <row r="387" spans="1:17" x14ac:dyDescent="0.2">
      <c r="A387" s="6">
        <f>MAX(A$332:A386)+1</f>
        <v>29</v>
      </c>
      <c r="B387" s="9"/>
      <c r="C387" s="9"/>
      <c r="D387" s="9"/>
      <c r="E387" s="38" t="s">
        <v>240</v>
      </c>
      <c r="F387" s="38"/>
      <c r="G387" s="252" t="s">
        <v>766</v>
      </c>
      <c r="H387" s="38"/>
      <c r="I387" s="147">
        <v>34.034500000000001</v>
      </c>
      <c r="J387" s="121"/>
      <c r="K387" s="147">
        <f>M387-I387</f>
        <v>4.8055486010046167</v>
      </c>
      <c r="L387" s="125"/>
      <c r="M387" s="147">
        <v>38.840048601004618</v>
      </c>
      <c r="O387" s="147">
        <v>38.840048601004618</v>
      </c>
      <c r="P387" s="125"/>
      <c r="Q387" s="147">
        <v>0</v>
      </c>
    </row>
    <row r="388" spans="1:17" x14ac:dyDescent="0.2">
      <c r="A388" s="6">
        <f>MAX(A$332:A387)+1</f>
        <v>30</v>
      </c>
      <c r="B388" s="9"/>
      <c r="E388" s="38" t="s">
        <v>239</v>
      </c>
      <c r="F388" s="38"/>
      <c r="G388" s="252" t="s">
        <v>760</v>
      </c>
      <c r="H388" s="38"/>
      <c r="I388" s="147">
        <v>0.45379999999999998</v>
      </c>
      <c r="J388" s="121"/>
      <c r="K388" s="147">
        <f>M388-I388</f>
        <v>-6.4993963997778126E-3</v>
      </c>
      <c r="L388" s="125"/>
      <c r="M388" s="147">
        <v>0.44730060360022217</v>
      </c>
      <c r="O388" s="147">
        <v>0</v>
      </c>
      <c r="P388" s="125"/>
      <c r="Q388" s="147">
        <v>0.44730060360022217</v>
      </c>
    </row>
    <row r="389" spans="1:17" x14ac:dyDescent="0.2">
      <c r="A389" s="6"/>
      <c r="B389" s="9"/>
      <c r="E389" s="14" t="s">
        <v>135</v>
      </c>
      <c r="F389" s="14"/>
      <c r="G389" s="14"/>
      <c r="H389" s="14"/>
      <c r="I389" s="147"/>
      <c r="J389" s="121"/>
      <c r="K389" s="147"/>
      <c r="L389" s="125"/>
      <c r="M389" s="147"/>
      <c r="O389" s="147"/>
      <c r="P389" s="125"/>
      <c r="Q389" s="147"/>
    </row>
    <row r="390" spans="1:17" x14ac:dyDescent="0.2">
      <c r="A390" s="6">
        <f>MAX(A$332:A389)+1</f>
        <v>31</v>
      </c>
      <c r="E390" s="38" t="s">
        <v>399</v>
      </c>
      <c r="F390" s="38"/>
      <c r="G390" s="252" t="s">
        <v>760</v>
      </c>
      <c r="H390" s="38"/>
      <c r="I390" s="147">
        <v>2.4513716001416475</v>
      </c>
      <c r="J390" s="121"/>
      <c r="K390" s="147">
        <f>M390-I390</f>
        <v>-1.0375638744889328</v>
      </c>
      <c r="L390" s="125"/>
      <c r="M390" s="147">
        <v>1.4138077256527146</v>
      </c>
      <c r="O390" s="147">
        <v>1.1698139083547279</v>
      </c>
      <c r="P390" s="267"/>
      <c r="Q390" s="147">
        <v>0.24399381729798686</v>
      </c>
    </row>
    <row r="391" spans="1:17" x14ac:dyDescent="0.2">
      <c r="I391" s="147"/>
      <c r="J391" s="121"/>
      <c r="K391" s="147"/>
      <c r="L391" s="125"/>
      <c r="M391" s="147"/>
      <c r="O391" s="147"/>
      <c r="P391" s="267"/>
      <c r="Q391" s="147"/>
    </row>
    <row r="392" spans="1:17" x14ac:dyDescent="0.2">
      <c r="A392" s="6">
        <f>MAX(A$332:A391)+1</f>
        <v>32</v>
      </c>
      <c r="C392" s="9"/>
      <c r="D392" s="9"/>
      <c r="E392" s="14" t="s">
        <v>87</v>
      </c>
      <c r="F392" s="14"/>
      <c r="G392" s="252" t="s">
        <v>760</v>
      </c>
      <c r="H392" s="14"/>
      <c r="I392" s="147">
        <v>0</v>
      </c>
      <c r="J392" s="121"/>
      <c r="K392" s="147">
        <f>M392-I392</f>
        <v>1.5901127786796216</v>
      </c>
      <c r="L392" s="125"/>
      <c r="M392" s="147">
        <v>1.5901127786796216</v>
      </c>
      <c r="O392" s="147">
        <v>-7.1195458367127012E-2</v>
      </c>
      <c r="P392" s="267"/>
      <c r="Q392" s="147">
        <v>1.6613082370467487</v>
      </c>
    </row>
    <row r="393" spans="1:17" x14ac:dyDescent="0.2">
      <c r="A393" s="6"/>
      <c r="I393" s="125"/>
      <c r="J393" s="125"/>
      <c r="K393" s="125"/>
      <c r="L393" s="125"/>
      <c r="M393" s="125"/>
      <c r="O393" s="125"/>
      <c r="P393" s="267"/>
      <c r="Q393" s="125"/>
    </row>
    <row r="394" spans="1:17" x14ac:dyDescent="0.2">
      <c r="A394" s="6">
        <f>MAX(A$332:A393)+1</f>
        <v>33</v>
      </c>
      <c r="B394" s="9"/>
      <c r="C394" s="9"/>
      <c r="D394" s="9"/>
      <c r="E394" s="14" t="s">
        <v>167</v>
      </c>
      <c r="F394" s="14"/>
      <c r="G394" s="252" t="s">
        <v>760</v>
      </c>
      <c r="H394" s="14"/>
      <c r="I394" s="147">
        <v>22.290639639640929</v>
      </c>
      <c r="J394" s="121"/>
      <c r="K394" s="147">
        <f>M394-I394</f>
        <v>-1.3872374585601079</v>
      </c>
      <c r="L394" s="125"/>
      <c r="M394" s="147">
        <v>20.903402181080821</v>
      </c>
      <c r="O394" s="147">
        <v>0.15408160302151921</v>
      </c>
      <c r="P394" s="267"/>
      <c r="Q394" s="147">
        <v>20.749320578059301</v>
      </c>
    </row>
    <row r="395" spans="1:17" x14ac:dyDescent="0.2">
      <c r="A395" s="6"/>
      <c r="B395" s="9"/>
      <c r="I395" s="125"/>
      <c r="J395" s="125"/>
      <c r="K395" s="125"/>
      <c r="L395" s="125"/>
      <c r="M395" s="125"/>
      <c r="O395" s="125"/>
      <c r="P395" s="125"/>
      <c r="Q395" s="125"/>
    </row>
    <row r="396" spans="1:17" x14ac:dyDescent="0.2">
      <c r="A396" s="6"/>
      <c r="B396" s="9"/>
      <c r="C396" s="1" t="s">
        <v>25</v>
      </c>
      <c r="D396" s="9"/>
      <c r="F396" s="5"/>
      <c r="G396" s="5"/>
      <c r="H396" s="5"/>
      <c r="I396" s="137"/>
      <c r="J396" s="137"/>
      <c r="K396" s="137"/>
      <c r="L396" s="137"/>
      <c r="M396" s="137"/>
      <c r="O396" s="137"/>
      <c r="P396" s="125"/>
      <c r="Q396" s="137"/>
    </row>
    <row r="397" spans="1:17" x14ac:dyDescent="0.2">
      <c r="E397" s="14" t="s">
        <v>141</v>
      </c>
      <c r="F397" s="14"/>
      <c r="G397" s="14"/>
      <c r="H397" s="14"/>
      <c r="I397" s="147"/>
      <c r="J397" s="121"/>
      <c r="K397" s="147"/>
      <c r="L397" s="125"/>
      <c r="M397" s="147"/>
      <c r="O397" s="147"/>
      <c r="P397" s="125"/>
      <c r="Q397" s="147"/>
    </row>
    <row r="398" spans="1:17" x14ac:dyDescent="0.2">
      <c r="A398" s="6">
        <f>MAX(A$332:A397)+1</f>
        <v>34</v>
      </c>
      <c r="B398" s="9"/>
      <c r="C398" s="9"/>
      <c r="D398" s="9"/>
      <c r="E398" s="38" t="s">
        <v>240</v>
      </c>
      <c r="F398" s="38"/>
      <c r="G398" s="252" t="s">
        <v>766</v>
      </c>
      <c r="H398" s="38"/>
      <c r="I398" s="147">
        <v>27.228400000000001</v>
      </c>
      <c r="J398" s="121"/>
      <c r="K398" s="147">
        <f>M398-I398</f>
        <v>2.3690037366936068</v>
      </c>
      <c r="L398" s="125"/>
      <c r="M398" s="147">
        <v>29.597403736693607</v>
      </c>
      <c r="O398" s="147">
        <v>29.597403736693607</v>
      </c>
      <c r="P398" s="125"/>
      <c r="Q398" s="147">
        <v>0</v>
      </c>
    </row>
    <row r="399" spans="1:17" x14ac:dyDescent="0.2">
      <c r="A399" s="6">
        <f>MAX(A$332:A398)+1</f>
        <v>35</v>
      </c>
      <c r="B399" s="9"/>
      <c r="E399" s="38" t="s">
        <v>239</v>
      </c>
      <c r="F399" s="38"/>
      <c r="G399" s="252" t="s">
        <v>760</v>
      </c>
      <c r="H399" s="38"/>
      <c r="I399" s="147">
        <v>0.30399999999999999</v>
      </c>
      <c r="J399" s="121"/>
      <c r="K399" s="147">
        <f>M399-I399</f>
        <v>6.2856443119691796E-2</v>
      </c>
      <c r="L399" s="125"/>
      <c r="M399" s="147">
        <v>0.36685644311969179</v>
      </c>
      <c r="O399" s="147">
        <v>0</v>
      </c>
      <c r="P399" s="125"/>
      <c r="Q399" s="147">
        <v>0.36685644311969179</v>
      </c>
    </row>
    <row r="400" spans="1:17" x14ac:dyDescent="0.2">
      <c r="A400" s="6"/>
      <c r="B400" s="9"/>
      <c r="C400" s="9"/>
      <c r="D400" s="9"/>
      <c r="E400" s="14"/>
      <c r="F400" s="14"/>
      <c r="G400" s="14"/>
      <c r="H400" s="14"/>
      <c r="I400" s="147"/>
      <c r="J400" s="121"/>
      <c r="K400" s="147"/>
      <c r="L400" s="125"/>
      <c r="M400" s="147"/>
      <c r="O400" s="147"/>
      <c r="P400" s="125"/>
      <c r="Q400" s="147"/>
    </row>
    <row r="401" spans="1:17" x14ac:dyDescent="0.2">
      <c r="A401" s="6">
        <f>MAX(A$332:A400)+1</f>
        <v>36</v>
      </c>
      <c r="E401" s="14" t="s">
        <v>87</v>
      </c>
      <c r="F401" s="14"/>
      <c r="G401" s="252" t="s">
        <v>760</v>
      </c>
      <c r="H401" s="38"/>
      <c r="I401" s="147">
        <v>0</v>
      </c>
      <c r="J401" s="121"/>
      <c r="K401" s="147">
        <f>M401-I401</f>
        <v>1.2601616778816673</v>
      </c>
      <c r="L401" s="125"/>
      <c r="M401" s="147">
        <v>1.2601616778816673</v>
      </c>
      <c r="O401" s="147">
        <v>-5.5477718129616757E-2</v>
      </c>
      <c r="P401" s="267"/>
      <c r="Q401" s="147">
        <v>1.315639396011284</v>
      </c>
    </row>
    <row r="402" spans="1:17" x14ac:dyDescent="0.2">
      <c r="A402" s="6"/>
      <c r="B402" s="9"/>
      <c r="C402" s="9"/>
      <c r="D402" s="9"/>
      <c r="E402" s="14"/>
      <c r="F402" s="14"/>
      <c r="G402" s="14"/>
      <c r="H402" s="14"/>
      <c r="I402" s="147"/>
      <c r="J402" s="121"/>
      <c r="K402" s="147"/>
      <c r="L402" s="125"/>
      <c r="M402" s="147"/>
      <c r="O402" s="147"/>
      <c r="P402" s="125"/>
      <c r="Q402" s="147"/>
    </row>
    <row r="403" spans="1:17" x14ac:dyDescent="0.2">
      <c r="A403" s="6">
        <f>MAX(A$332:A402)+1</f>
        <v>37</v>
      </c>
      <c r="B403" s="9"/>
      <c r="C403" s="9"/>
      <c r="D403" s="9"/>
      <c r="E403" s="14" t="s">
        <v>167</v>
      </c>
      <c r="F403" s="14"/>
      <c r="G403" s="252" t="s">
        <v>760</v>
      </c>
      <c r="H403" s="14"/>
      <c r="I403" s="147">
        <v>22.290639639640929</v>
      </c>
      <c r="J403" s="121"/>
      <c r="K403" s="147">
        <f>M403-I403</f>
        <v>-1.3872374585601079</v>
      </c>
      <c r="L403" s="125"/>
      <c r="M403" s="147">
        <v>20.903402181080821</v>
      </c>
      <c r="O403" s="147">
        <v>0.15408160302151921</v>
      </c>
      <c r="P403" s="267"/>
      <c r="Q403" s="147">
        <v>20.749320578059301</v>
      </c>
    </row>
    <row r="404" spans="1:17" x14ac:dyDescent="0.2">
      <c r="F404" s="14"/>
      <c r="G404" s="14"/>
      <c r="H404" s="14"/>
      <c r="I404" s="43"/>
      <c r="J404" s="15"/>
      <c r="K404" s="43"/>
      <c r="M404" s="43"/>
      <c r="O404" s="43"/>
      <c r="P404" s="74"/>
      <c r="Q404" s="43"/>
    </row>
    <row r="405" spans="1:17" x14ac:dyDescent="0.2">
      <c r="A405" s="555" t="s">
        <v>781</v>
      </c>
      <c r="B405" s="555"/>
      <c r="C405" s="555"/>
      <c r="D405" s="555"/>
      <c r="E405" s="555"/>
      <c r="F405" s="555"/>
      <c r="G405" s="555"/>
      <c r="H405" s="555"/>
      <c r="I405" s="555"/>
      <c r="J405" s="555"/>
      <c r="K405" s="555"/>
      <c r="L405" s="555"/>
      <c r="M405" s="555"/>
      <c r="N405" s="555"/>
      <c r="O405" s="555"/>
      <c r="P405" s="555"/>
      <c r="Q405" s="555"/>
    </row>
    <row r="406" spans="1:17" x14ac:dyDescent="0.2">
      <c r="A406" s="4" t="s">
        <v>952</v>
      </c>
      <c r="B406" s="2"/>
      <c r="C406" s="3"/>
      <c r="D406" s="3"/>
      <c r="E406" s="3"/>
      <c r="F406" s="3"/>
      <c r="G406" s="3"/>
      <c r="H406" s="3"/>
      <c r="I406" s="3"/>
      <c r="J406" s="3"/>
      <c r="K406" s="3"/>
      <c r="L406" s="3"/>
      <c r="M406" s="3"/>
      <c r="N406" s="3"/>
      <c r="O406" s="3"/>
      <c r="P406" s="3"/>
      <c r="Q406" s="3"/>
    </row>
    <row r="407" spans="1:17" x14ac:dyDescent="0.2">
      <c r="A407" s="4"/>
      <c r="B407" s="2"/>
      <c r="C407" s="3"/>
      <c r="D407" s="3"/>
      <c r="E407" s="3"/>
      <c r="F407" s="3"/>
      <c r="G407" s="3"/>
      <c r="H407" s="3"/>
      <c r="I407" s="3"/>
      <c r="J407" s="3"/>
      <c r="K407" s="3"/>
      <c r="L407" s="3"/>
      <c r="M407" s="3"/>
      <c r="N407" s="3"/>
      <c r="O407" s="3"/>
      <c r="P407" s="3"/>
      <c r="Q407" s="3"/>
    </row>
    <row r="408" spans="1:17" x14ac:dyDescent="0.2">
      <c r="A408" s="21"/>
      <c r="B408" s="21"/>
      <c r="C408" s="21"/>
      <c r="D408" s="21"/>
      <c r="E408" s="3"/>
      <c r="F408" s="21"/>
      <c r="G408" s="21"/>
      <c r="H408" s="21"/>
      <c r="O408" s="553" t="s">
        <v>398</v>
      </c>
      <c r="P408" s="553"/>
      <c r="Q408" s="553"/>
    </row>
    <row r="409" spans="1:17" x14ac:dyDescent="0.2">
      <c r="A409" s="2"/>
      <c r="B409" s="2"/>
      <c r="C409" s="2"/>
      <c r="D409" s="2"/>
      <c r="E409" s="21"/>
      <c r="F409" s="2"/>
      <c r="G409" s="2"/>
      <c r="H409" s="2"/>
      <c r="I409" s="2"/>
      <c r="J409" s="21"/>
      <c r="K409" s="3"/>
      <c r="M409" s="2"/>
      <c r="O409" s="554"/>
      <c r="P409" s="554"/>
      <c r="Q409" s="554"/>
    </row>
    <row r="410" spans="1:17" x14ac:dyDescent="0.2">
      <c r="A410" s="24" t="s">
        <v>0</v>
      </c>
      <c r="B410" s="24"/>
      <c r="C410" s="400" t="s">
        <v>349</v>
      </c>
      <c r="D410" s="24"/>
      <c r="E410" s="2"/>
      <c r="F410" s="24"/>
      <c r="G410" s="24"/>
      <c r="H410" s="24"/>
      <c r="I410" s="2" t="s">
        <v>771</v>
      </c>
      <c r="J410" s="24"/>
      <c r="K410" s="24" t="s">
        <v>770</v>
      </c>
      <c r="L410" s="24"/>
      <c r="M410" s="2" t="s">
        <v>80</v>
      </c>
      <c r="N410" s="523"/>
      <c r="O410" s="523"/>
      <c r="P410" s="523"/>
      <c r="Q410" s="523"/>
    </row>
    <row r="411" spans="1:17" x14ac:dyDescent="0.2">
      <c r="A411" s="519" t="s">
        <v>1</v>
      </c>
      <c r="B411" s="9"/>
      <c r="C411" s="401" t="s">
        <v>1</v>
      </c>
      <c r="D411" s="9"/>
      <c r="E411" s="10" t="s">
        <v>33</v>
      </c>
      <c r="F411" s="9"/>
      <c r="G411" s="519" t="s">
        <v>48</v>
      </c>
      <c r="H411" s="9"/>
      <c r="I411" s="519" t="s">
        <v>1143</v>
      </c>
      <c r="J411" s="6"/>
      <c r="K411" s="519" t="s">
        <v>361</v>
      </c>
      <c r="L411" s="6"/>
      <c r="M411" s="519" t="s">
        <v>1144</v>
      </c>
      <c r="O411" s="210" t="s">
        <v>397</v>
      </c>
      <c r="Q411" s="210" t="s">
        <v>262</v>
      </c>
    </row>
    <row r="412" spans="1:17" x14ac:dyDescent="0.2">
      <c r="A412" s="6"/>
      <c r="B412" s="9"/>
      <c r="I412" s="6" t="s">
        <v>234</v>
      </c>
      <c r="J412" s="6"/>
      <c r="K412" s="11" t="s">
        <v>235</v>
      </c>
      <c r="L412" s="6"/>
      <c r="M412" s="6" t="s">
        <v>58</v>
      </c>
      <c r="O412" s="211" t="s">
        <v>263</v>
      </c>
      <c r="Q412" s="211" t="s">
        <v>63</v>
      </c>
    </row>
    <row r="413" spans="1:17" x14ac:dyDescent="0.2">
      <c r="A413" s="6"/>
      <c r="B413" s="9"/>
      <c r="C413" s="9"/>
      <c r="D413" s="9"/>
      <c r="I413" s="125"/>
      <c r="J413" s="125"/>
      <c r="K413" s="125"/>
      <c r="L413" s="125"/>
      <c r="M413" s="125"/>
      <c r="O413" s="125"/>
      <c r="P413" s="125"/>
      <c r="Q413" s="125"/>
    </row>
    <row r="414" spans="1:17" x14ac:dyDescent="0.2">
      <c r="A414" s="6"/>
      <c r="B414" s="9"/>
      <c r="C414" s="1" t="s">
        <v>26</v>
      </c>
      <c r="D414" s="9"/>
      <c r="F414" s="5"/>
      <c r="G414" s="5"/>
      <c r="H414" s="5"/>
      <c r="I414" s="137"/>
      <c r="J414" s="137"/>
      <c r="K414" s="137"/>
      <c r="L414" s="137"/>
      <c r="M414" s="137"/>
      <c r="O414" s="137"/>
      <c r="P414" s="125"/>
      <c r="Q414" s="137"/>
    </row>
    <row r="415" spans="1:17" x14ac:dyDescent="0.2">
      <c r="A415" s="6">
        <f>MAX(A$332:A414)+1</f>
        <v>38</v>
      </c>
      <c r="B415" s="9"/>
      <c r="E415" s="14" t="s">
        <v>85</v>
      </c>
      <c r="F415" s="14"/>
      <c r="G415" s="8" t="s">
        <v>767</v>
      </c>
      <c r="H415" s="14"/>
      <c r="I415" s="253">
        <v>2155.61</v>
      </c>
      <c r="J415" s="121"/>
      <c r="K415" s="253">
        <f>M415-I415</f>
        <v>844.38999999999987</v>
      </c>
      <c r="L415" s="125"/>
      <c r="M415" s="253">
        <v>3000</v>
      </c>
      <c r="N415" s="125"/>
      <c r="O415" s="253">
        <v>3000</v>
      </c>
      <c r="P415" s="399"/>
      <c r="Q415" s="253">
        <v>0</v>
      </c>
    </row>
    <row r="416" spans="1:17" x14ac:dyDescent="0.2">
      <c r="A416" s="6"/>
      <c r="B416" s="9"/>
      <c r="E416" s="14" t="s">
        <v>768</v>
      </c>
      <c r="F416" s="14"/>
      <c r="G416" s="252"/>
      <c r="H416" s="14"/>
      <c r="I416" s="147"/>
      <c r="J416" s="121"/>
      <c r="K416" s="147"/>
      <c r="L416" s="125"/>
      <c r="M416" s="147"/>
      <c r="O416" s="147"/>
      <c r="P416" s="125"/>
      <c r="Q416" s="147"/>
    </row>
    <row r="417" spans="1:17" x14ac:dyDescent="0.2">
      <c r="A417" s="6"/>
      <c r="C417" s="9"/>
      <c r="D417" s="9"/>
      <c r="E417" s="38" t="s">
        <v>248</v>
      </c>
      <c r="F417" s="38"/>
      <c r="G417" s="38"/>
      <c r="H417" s="38"/>
      <c r="I417" s="147"/>
      <c r="J417" s="121"/>
      <c r="K417" s="147"/>
      <c r="L417" s="125"/>
      <c r="M417" s="147"/>
      <c r="O417" s="147"/>
      <c r="P417" s="125"/>
      <c r="Q417" s="147"/>
    </row>
    <row r="418" spans="1:17" x14ac:dyDescent="0.2">
      <c r="A418" s="6">
        <f>MAX(A$332:A417)+1</f>
        <v>39</v>
      </c>
      <c r="B418" s="9"/>
      <c r="C418" s="9"/>
      <c r="D418" s="9"/>
      <c r="E418" s="274" t="s">
        <v>205</v>
      </c>
      <c r="F418" s="274"/>
      <c r="G418" s="252" t="s">
        <v>766</v>
      </c>
      <c r="H418" s="274"/>
      <c r="I418" s="147">
        <v>44.595399999999998</v>
      </c>
      <c r="J418" s="121"/>
      <c r="K418" s="147">
        <f>M418-I418</f>
        <v>-6.7807047572707617</v>
      </c>
      <c r="L418" s="125"/>
      <c r="M418" s="147">
        <v>37.814695242729236</v>
      </c>
      <c r="O418" s="147">
        <v>37.705466610365306</v>
      </c>
      <c r="P418" s="125"/>
      <c r="Q418" s="147">
        <v>0.10922863236393014</v>
      </c>
    </row>
    <row r="419" spans="1:17" x14ac:dyDescent="0.2">
      <c r="A419" s="6">
        <f>MAX(A$332:A418)+1</f>
        <v>40</v>
      </c>
      <c r="B419" s="9"/>
      <c r="C419" s="9"/>
      <c r="D419" s="9"/>
      <c r="E419" s="274" t="s">
        <v>206</v>
      </c>
      <c r="F419" s="274"/>
      <c r="G419" s="252" t="s">
        <v>766</v>
      </c>
      <c r="H419" s="274"/>
      <c r="I419" s="147">
        <v>31.676299999999998</v>
      </c>
      <c r="J419" s="121"/>
      <c r="K419" s="147">
        <f>M419-I419</f>
        <v>-4.7847200042686673</v>
      </c>
      <c r="L419" s="125"/>
      <c r="M419" s="147">
        <v>26.89157999573133</v>
      </c>
      <c r="O419" s="147">
        <v>26.7823513633674</v>
      </c>
      <c r="P419" s="125"/>
      <c r="Q419" s="147">
        <v>0.10922863236393023</v>
      </c>
    </row>
    <row r="420" spans="1:17" x14ac:dyDescent="0.2">
      <c r="A420" s="6"/>
      <c r="B420" s="9"/>
      <c r="C420" s="9"/>
      <c r="D420" s="9"/>
      <c r="E420" s="38" t="s">
        <v>229</v>
      </c>
      <c r="F420" s="38"/>
      <c r="G420" s="38"/>
      <c r="H420" s="38"/>
      <c r="I420" s="147"/>
      <c r="J420" s="121"/>
      <c r="K420" s="147"/>
      <c r="L420" s="125"/>
      <c r="M420" s="147"/>
      <c r="O420" s="147"/>
      <c r="P420" s="125"/>
      <c r="Q420" s="147"/>
    </row>
    <row r="421" spans="1:17" x14ac:dyDescent="0.2">
      <c r="A421" s="6">
        <f>MAX(A$332:A420)+1</f>
        <v>41</v>
      </c>
      <c r="B421" s="9"/>
      <c r="C421" s="9"/>
      <c r="D421" s="9"/>
      <c r="E421" s="274" t="s">
        <v>249</v>
      </c>
      <c r="F421" s="274"/>
      <c r="G421" s="252" t="s">
        <v>760</v>
      </c>
      <c r="H421" s="274"/>
      <c r="I421" s="147">
        <v>0.14000000000000001</v>
      </c>
      <c r="J421" s="121"/>
      <c r="K421" s="147">
        <f>M421-I421</f>
        <v>-0.14000000000000001</v>
      </c>
      <c r="L421" s="125"/>
      <c r="M421" s="147">
        <v>0</v>
      </c>
      <c r="O421" s="147">
        <v>0</v>
      </c>
      <c r="P421" s="125"/>
      <c r="Q421" s="147">
        <v>0</v>
      </c>
    </row>
    <row r="422" spans="1:17" x14ac:dyDescent="0.2">
      <c r="A422" s="6">
        <f>MAX(A$332:A421)+1</f>
        <v>42</v>
      </c>
      <c r="B422" s="9"/>
      <c r="C422" s="9"/>
      <c r="D422" s="9"/>
      <c r="E422" s="274" t="s">
        <v>531</v>
      </c>
      <c r="F422" s="274"/>
      <c r="G422" s="252" t="s">
        <v>760</v>
      </c>
      <c r="H422" s="274"/>
      <c r="I422" s="147">
        <v>2.1870000000000003</v>
      </c>
      <c r="J422" s="121"/>
      <c r="K422" s="147">
        <f>M422-I422</f>
        <v>-1.8541970397508858</v>
      </c>
      <c r="L422" s="125"/>
      <c r="M422" s="147">
        <v>0.33280296024911438</v>
      </c>
      <c r="O422" s="147">
        <v>0.32044078492256517</v>
      </c>
      <c r="P422" s="125"/>
      <c r="Q422" s="147">
        <v>1.2362175326549192E-2</v>
      </c>
    </row>
    <row r="423" spans="1:17" x14ac:dyDescent="0.2">
      <c r="A423" s="6"/>
      <c r="B423" s="9"/>
      <c r="C423" s="9"/>
      <c r="D423" s="9"/>
      <c r="E423" s="14"/>
      <c r="F423" s="14"/>
      <c r="G423" s="14"/>
      <c r="H423" s="14"/>
      <c r="I423" s="147"/>
      <c r="J423" s="121"/>
      <c r="K423" s="147"/>
      <c r="L423" s="125"/>
      <c r="M423" s="147"/>
      <c r="O423" s="147"/>
      <c r="P423" s="125"/>
      <c r="Q423" s="147"/>
    </row>
    <row r="424" spans="1:17" x14ac:dyDescent="0.2">
      <c r="A424" s="6">
        <f>MAX(A$332:A423)+1</f>
        <v>43</v>
      </c>
      <c r="C424" s="9"/>
      <c r="D424" s="9"/>
      <c r="E424" s="38" t="s">
        <v>209</v>
      </c>
      <c r="F424" s="38"/>
      <c r="G424" s="252" t="s">
        <v>763</v>
      </c>
      <c r="H424" s="38"/>
      <c r="I424" s="251">
        <v>3.5799999999999998E-3</v>
      </c>
      <c r="J424" s="121"/>
      <c r="K424" s="249">
        <f>M424-I424</f>
        <v>4.4500000000000008E-3</v>
      </c>
      <c r="L424" s="125"/>
      <c r="M424" s="251">
        <v>8.0300000000000007E-3</v>
      </c>
      <c r="O424" s="249">
        <v>0</v>
      </c>
      <c r="P424" s="125"/>
      <c r="Q424" s="249">
        <f>M424</f>
        <v>8.0300000000000007E-3</v>
      </c>
    </row>
    <row r="425" spans="1:17" x14ac:dyDescent="0.2">
      <c r="C425" s="9"/>
      <c r="D425" s="9"/>
      <c r="E425" s="21"/>
      <c r="F425" s="21"/>
      <c r="G425" s="21"/>
      <c r="H425" s="21"/>
      <c r="I425" s="126"/>
      <c r="J425" s="121"/>
      <c r="K425" s="126"/>
      <c r="L425" s="137"/>
      <c r="M425" s="126"/>
      <c r="O425" s="126"/>
      <c r="P425" s="125"/>
      <c r="Q425" s="126"/>
    </row>
    <row r="426" spans="1:17" x14ac:dyDescent="0.2">
      <c r="A426" s="6"/>
      <c r="B426" s="9"/>
      <c r="C426" s="9"/>
      <c r="D426" s="9"/>
      <c r="E426" s="269" t="s">
        <v>769</v>
      </c>
      <c r="F426" s="269"/>
      <c r="G426" s="269"/>
      <c r="H426" s="269"/>
      <c r="I426" s="147"/>
      <c r="J426" s="121"/>
      <c r="K426" s="147"/>
      <c r="L426" s="125"/>
      <c r="M426" s="147"/>
      <c r="O426" s="147"/>
      <c r="P426" s="125"/>
      <c r="Q426" s="147"/>
    </row>
    <row r="427" spans="1:17" x14ac:dyDescent="0.2">
      <c r="A427" s="6"/>
      <c r="C427" s="9"/>
      <c r="D427" s="9"/>
      <c r="E427" s="270" t="s">
        <v>211</v>
      </c>
      <c r="F427" s="270"/>
      <c r="G427" s="270"/>
      <c r="H427" s="270"/>
      <c r="I427" s="147"/>
      <c r="J427" s="121"/>
      <c r="K427" s="147"/>
      <c r="L427" s="125"/>
      <c r="M427" s="147"/>
      <c r="O427" s="147"/>
      <c r="P427" s="125"/>
      <c r="Q427" s="147"/>
    </row>
    <row r="428" spans="1:17" x14ac:dyDescent="0.2">
      <c r="A428" s="6">
        <f>MAX(A$332:A427)+1</f>
        <v>44</v>
      </c>
      <c r="B428" s="9"/>
      <c r="C428" s="9"/>
      <c r="D428" s="9"/>
      <c r="E428" s="274" t="s">
        <v>212</v>
      </c>
      <c r="F428" s="274"/>
      <c r="G428" s="8" t="s">
        <v>764</v>
      </c>
      <c r="H428" s="274"/>
      <c r="I428" s="158">
        <v>1.2E-2</v>
      </c>
      <c r="J428" s="121"/>
      <c r="K428" s="158">
        <f>M428-I428</f>
        <v>4.3815540477659294E-3</v>
      </c>
      <c r="L428" s="125"/>
      <c r="M428" s="158">
        <v>1.638155404776593E-2</v>
      </c>
      <c r="O428" s="158">
        <v>1.5120989694891167E-2</v>
      </c>
      <c r="P428" s="516"/>
      <c r="Q428" s="158">
        <v>1.2605643528747624E-3</v>
      </c>
    </row>
    <row r="429" spans="1:17" x14ac:dyDescent="0.2">
      <c r="A429" s="6"/>
      <c r="B429" s="9"/>
      <c r="C429" s="9"/>
      <c r="D429" s="9"/>
      <c r="E429" s="270" t="s">
        <v>213</v>
      </c>
      <c r="F429" s="270"/>
      <c r="G429" s="270"/>
      <c r="H429" s="270"/>
      <c r="I429" s="147"/>
      <c r="J429" s="121"/>
      <c r="K429" s="147"/>
      <c r="L429" s="125"/>
      <c r="M429" s="147"/>
      <c r="O429" s="147"/>
      <c r="P429" s="516"/>
      <c r="Q429" s="147"/>
    </row>
    <row r="430" spans="1:17" x14ac:dyDescent="0.2">
      <c r="A430" s="6">
        <f>MAX(A$332:A429)+1</f>
        <v>45</v>
      </c>
      <c r="B430" s="9"/>
      <c r="E430" s="274" t="s">
        <v>765</v>
      </c>
      <c r="F430" s="274"/>
      <c r="G430" s="8" t="s">
        <v>764</v>
      </c>
      <c r="H430" s="274"/>
      <c r="I430" s="158">
        <v>1.8779999999999999</v>
      </c>
      <c r="J430" s="121"/>
      <c r="K430" s="158">
        <f>M430-I430</f>
        <v>0.58976097634885627</v>
      </c>
      <c r="L430" s="125"/>
      <c r="M430" s="158">
        <v>2.4677609763488562</v>
      </c>
      <c r="O430" s="158">
        <v>1.9200109546404482</v>
      </c>
      <c r="P430" s="516"/>
      <c r="Q430" s="158">
        <v>0.5477500217084077</v>
      </c>
    </row>
    <row r="431" spans="1:17" x14ac:dyDescent="0.2">
      <c r="A431" s="6">
        <f>MAX(A$332:A430)+1</f>
        <v>46</v>
      </c>
      <c r="E431" s="274" t="s">
        <v>215</v>
      </c>
      <c r="F431" s="274"/>
      <c r="G431" s="8" t="s">
        <v>764</v>
      </c>
      <c r="H431" s="274"/>
      <c r="I431" s="158">
        <v>1.4730000000000001</v>
      </c>
      <c r="J431" s="121"/>
      <c r="K431" s="158">
        <f>M431-I431</f>
        <v>0.74480820066612075</v>
      </c>
      <c r="L431" s="125"/>
      <c r="M431" s="158">
        <v>2.2178082006661208</v>
      </c>
      <c r="O431" s="158">
        <v>1.6700581789577129</v>
      </c>
      <c r="P431" s="516"/>
      <c r="Q431" s="158">
        <v>0.5477500217084077</v>
      </c>
    </row>
    <row r="432" spans="1:17" x14ac:dyDescent="0.2">
      <c r="A432" s="6">
        <f>MAX(A$332:A431)+1</f>
        <v>47</v>
      </c>
      <c r="B432" s="9"/>
      <c r="E432" s="274" t="s">
        <v>216</v>
      </c>
      <c r="F432" s="274"/>
      <c r="G432" s="8" t="s">
        <v>764</v>
      </c>
      <c r="H432" s="274"/>
      <c r="I432" s="158">
        <v>1.4730000000000001</v>
      </c>
      <c r="J432" s="121"/>
      <c r="K432" s="158">
        <f>M432-I432</f>
        <v>0.74480820066612075</v>
      </c>
      <c r="L432" s="125"/>
      <c r="M432" s="158">
        <v>2.2178082006661208</v>
      </c>
      <c r="O432" s="158">
        <v>1.6700581789577129</v>
      </c>
      <c r="P432" s="516"/>
      <c r="Q432" s="158">
        <v>0.5477500217084077</v>
      </c>
    </row>
    <row r="433" spans="1:17" x14ac:dyDescent="0.2">
      <c r="A433" s="6">
        <f>MAX(A$332:A432)+1</f>
        <v>48</v>
      </c>
      <c r="B433" s="9"/>
      <c r="E433" s="274" t="s">
        <v>217</v>
      </c>
      <c r="F433" s="274"/>
      <c r="G433" s="8" t="s">
        <v>764</v>
      </c>
      <c r="H433" s="274"/>
      <c r="I433" s="158">
        <v>1.4730000000000001</v>
      </c>
      <c r="J433" s="121"/>
      <c r="K433" s="158">
        <f>M433-I433</f>
        <v>0.74480820066612075</v>
      </c>
      <c r="L433" s="125"/>
      <c r="M433" s="158">
        <v>2.2178082006661208</v>
      </c>
      <c r="O433" s="158">
        <v>1.6700581789577129</v>
      </c>
      <c r="P433" s="516"/>
      <c r="Q433" s="158">
        <v>0.5477500217084077</v>
      </c>
    </row>
    <row r="434" spans="1:17" x14ac:dyDescent="0.2">
      <c r="A434" s="6"/>
      <c r="B434" s="9"/>
      <c r="E434" s="270" t="s">
        <v>218</v>
      </c>
      <c r="F434" s="270"/>
      <c r="G434" s="270"/>
      <c r="H434" s="270"/>
      <c r="I434" s="147"/>
      <c r="J434" s="121"/>
      <c r="K434" s="147"/>
      <c r="L434" s="125"/>
      <c r="M434" s="147"/>
      <c r="O434" s="43"/>
      <c r="Q434" s="43"/>
    </row>
    <row r="435" spans="1:17" x14ac:dyDescent="0.2">
      <c r="A435" s="6">
        <f>MAX(A$332:A434)+1</f>
        <v>49</v>
      </c>
      <c r="B435" s="9"/>
      <c r="E435" s="274" t="s">
        <v>108</v>
      </c>
      <c r="F435" s="274"/>
      <c r="G435" s="8" t="s">
        <v>759</v>
      </c>
      <c r="H435" s="274"/>
      <c r="I435" s="158">
        <v>1.2E-2</v>
      </c>
      <c r="J435" s="121"/>
      <c r="K435" s="158">
        <f>M435-I435</f>
        <v>-1.2E-2</v>
      </c>
      <c r="L435" s="125"/>
      <c r="M435" s="158">
        <v>0</v>
      </c>
      <c r="O435" s="158">
        <v>0</v>
      </c>
      <c r="Q435" s="158">
        <v>0</v>
      </c>
    </row>
    <row r="436" spans="1:17" x14ac:dyDescent="0.2">
      <c r="E436" s="269"/>
      <c r="F436" s="269"/>
      <c r="G436" s="269"/>
      <c r="H436" s="269"/>
      <c r="I436" s="147"/>
      <c r="J436" s="121"/>
      <c r="K436" s="147"/>
      <c r="L436" s="125"/>
      <c r="M436" s="147"/>
      <c r="O436" s="43"/>
      <c r="Q436" s="43"/>
    </row>
    <row r="437" spans="1:17" x14ac:dyDescent="0.2">
      <c r="A437" s="6">
        <f>MAX(A$332:A436)+1</f>
        <v>50</v>
      </c>
      <c r="B437" s="9"/>
      <c r="E437" s="38" t="s">
        <v>237</v>
      </c>
      <c r="F437" s="38"/>
      <c r="G437" s="8" t="s">
        <v>763</v>
      </c>
      <c r="H437" s="38"/>
      <c r="I437" s="251">
        <v>4.45E-3</v>
      </c>
      <c r="J437" s="121"/>
      <c r="K437" s="249">
        <f>M437-I437</f>
        <v>3.8900000000000002E-3</v>
      </c>
      <c r="L437" s="125"/>
      <c r="M437" s="251">
        <v>8.3400000000000002E-3</v>
      </c>
      <c r="O437" s="249">
        <v>0</v>
      </c>
      <c r="Q437" s="249">
        <f>M437</f>
        <v>8.3400000000000002E-3</v>
      </c>
    </row>
    <row r="438" spans="1:17" x14ac:dyDescent="0.2">
      <c r="A438" s="6"/>
      <c r="B438" s="9"/>
      <c r="O438" s="1"/>
      <c r="P438" s="1"/>
      <c r="Q438" s="1"/>
    </row>
    <row r="439" spans="1:17" x14ac:dyDescent="0.2">
      <c r="C439" s="1" t="s">
        <v>27</v>
      </c>
      <c r="D439" s="9"/>
      <c r="F439" s="5"/>
      <c r="G439" s="5"/>
      <c r="H439" s="5"/>
      <c r="I439" s="6"/>
      <c r="J439" s="6"/>
      <c r="K439" s="6"/>
      <c r="L439" s="6"/>
      <c r="M439" s="6"/>
      <c r="O439" s="6"/>
      <c r="Q439" s="6"/>
    </row>
    <row r="440" spans="1:17" x14ac:dyDescent="0.2">
      <c r="A440" s="6">
        <f>MAX(A$332:A439)+1</f>
        <v>51</v>
      </c>
      <c r="E440" s="14" t="s">
        <v>85</v>
      </c>
      <c r="F440" s="14"/>
      <c r="G440" s="8" t="s">
        <v>767</v>
      </c>
      <c r="H440" s="14"/>
      <c r="I440" s="253">
        <v>6803.81</v>
      </c>
      <c r="J440" s="121"/>
      <c r="K440" s="253">
        <f>M440-I440</f>
        <v>-3803.8100000000004</v>
      </c>
      <c r="L440" s="125"/>
      <c r="M440" s="253">
        <v>3000</v>
      </c>
      <c r="N440" s="125"/>
      <c r="O440" s="253">
        <v>3000</v>
      </c>
      <c r="P440" s="399"/>
      <c r="Q440" s="253">
        <v>0</v>
      </c>
    </row>
    <row r="441" spans="1:17" x14ac:dyDescent="0.2">
      <c r="A441" s="6"/>
      <c r="E441" s="14" t="s">
        <v>768</v>
      </c>
      <c r="F441" s="14"/>
      <c r="G441" s="252"/>
      <c r="H441" s="14"/>
      <c r="I441" s="147"/>
      <c r="J441" s="121"/>
      <c r="K441" s="147"/>
      <c r="L441" s="125"/>
      <c r="M441" s="147"/>
      <c r="O441" s="147"/>
      <c r="P441" s="125"/>
      <c r="Q441" s="147"/>
    </row>
    <row r="442" spans="1:17" x14ac:dyDescent="0.2">
      <c r="A442" s="6"/>
      <c r="B442" s="9"/>
      <c r="C442" s="9"/>
      <c r="D442" s="9"/>
      <c r="E442" s="38" t="s">
        <v>248</v>
      </c>
      <c r="F442" s="38"/>
      <c r="G442" s="38"/>
      <c r="H442" s="38"/>
      <c r="I442" s="147"/>
      <c r="J442" s="121"/>
      <c r="K442" s="147"/>
      <c r="L442" s="125"/>
      <c r="M442" s="147"/>
      <c r="O442" s="147"/>
      <c r="P442" s="125"/>
      <c r="Q442" s="147"/>
    </row>
    <row r="443" spans="1:17" x14ac:dyDescent="0.2">
      <c r="A443" s="6">
        <f>MAX(A$332:A442)+1</f>
        <v>52</v>
      </c>
      <c r="B443" s="9"/>
      <c r="C443" s="9"/>
      <c r="D443" s="9"/>
      <c r="E443" s="274" t="s">
        <v>222</v>
      </c>
      <c r="F443" s="274"/>
      <c r="G443" s="252" t="s">
        <v>766</v>
      </c>
      <c r="H443" s="274"/>
      <c r="I443" s="147">
        <v>33.160600000000002</v>
      </c>
      <c r="J443" s="121"/>
      <c r="K443" s="147">
        <f>M443-I443</f>
        <v>5.2501575691635196</v>
      </c>
      <c r="L443" s="125"/>
      <c r="M443" s="147">
        <v>38.410757569163522</v>
      </c>
      <c r="O443" s="147">
        <v>37.837935254143069</v>
      </c>
      <c r="P443" s="125"/>
      <c r="Q443" s="147">
        <v>0.57282231502045433</v>
      </c>
    </row>
    <row r="444" spans="1:17" x14ac:dyDescent="0.2">
      <c r="A444" s="6">
        <f>MAX(A$332:A443)+1</f>
        <v>53</v>
      </c>
      <c r="B444" s="9"/>
      <c r="C444" s="9"/>
      <c r="D444" s="9"/>
      <c r="E444" s="274" t="s">
        <v>223</v>
      </c>
      <c r="F444" s="274"/>
      <c r="G444" s="252" t="s">
        <v>766</v>
      </c>
      <c r="H444" s="274"/>
      <c r="I444" s="147">
        <v>18.477399999999999</v>
      </c>
      <c r="J444" s="121"/>
      <c r="K444" s="147">
        <f>M444-I444</f>
        <v>3.1790777635015743</v>
      </c>
      <c r="L444" s="125"/>
      <c r="M444" s="147">
        <v>21.656477763501574</v>
      </c>
      <c r="O444" s="147">
        <v>21.083655448481121</v>
      </c>
      <c r="P444" s="125"/>
      <c r="Q444" s="147">
        <v>0.57282231502045422</v>
      </c>
    </row>
    <row r="445" spans="1:17" x14ac:dyDescent="0.2">
      <c r="C445" s="9"/>
      <c r="D445" s="9"/>
      <c r="E445" s="38" t="s">
        <v>229</v>
      </c>
      <c r="F445" s="38"/>
      <c r="G445" s="38"/>
      <c r="H445" s="38"/>
      <c r="I445" s="147"/>
      <c r="J445" s="121"/>
      <c r="K445" s="147"/>
      <c r="L445" s="125"/>
      <c r="M445" s="147"/>
      <c r="O445" s="147"/>
      <c r="P445" s="125"/>
      <c r="Q445" s="147"/>
    </row>
    <row r="446" spans="1:17" x14ac:dyDescent="0.2">
      <c r="A446" s="6">
        <f>MAX(A$332:A445)+1</f>
        <v>54</v>
      </c>
      <c r="B446" s="9"/>
      <c r="C446" s="9"/>
      <c r="D446" s="9"/>
      <c r="E446" s="274" t="s">
        <v>249</v>
      </c>
      <c r="F446" s="274"/>
      <c r="G446" s="252" t="s">
        <v>760</v>
      </c>
      <c r="H446" s="274"/>
      <c r="I446" s="147">
        <v>3.0599999999999999E-2</v>
      </c>
      <c r="J446" s="121"/>
      <c r="K446" s="147">
        <f>M446-I446</f>
        <v>-3.0599999999999999E-2</v>
      </c>
      <c r="L446" s="125"/>
      <c r="M446" s="147">
        <v>0</v>
      </c>
      <c r="O446" s="147">
        <v>0</v>
      </c>
      <c r="P446" s="125"/>
      <c r="Q446" s="147">
        <v>0</v>
      </c>
    </row>
    <row r="447" spans="1:17" x14ac:dyDescent="0.2">
      <c r="A447" s="6">
        <f>MAX(A$332:A446)+1</f>
        <v>55</v>
      </c>
      <c r="C447" s="9"/>
      <c r="D447" s="9"/>
      <c r="E447" s="274" t="s">
        <v>531</v>
      </c>
      <c r="F447" s="274"/>
      <c r="G447" s="252" t="s">
        <v>760</v>
      </c>
      <c r="H447" s="274"/>
      <c r="I447" s="147">
        <v>2.7176994245423147</v>
      </c>
      <c r="J447" s="121"/>
      <c r="K447" s="147">
        <f>M447-I447</f>
        <v>-1.328245836178926</v>
      </c>
      <c r="L447" s="125"/>
      <c r="M447" s="147">
        <v>1.3894535883633887</v>
      </c>
      <c r="O447" s="147">
        <v>1.3770287867744766</v>
      </c>
      <c r="P447" s="125"/>
      <c r="Q447" s="147">
        <v>1.2424801588912154E-2</v>
      </c>
    </row>
    <row r="448" spans="1:17" x14ac:dyDescent="0.2">
      <c r="C448" s="9"/>
      <c r="D448" s="9"/>
      <c r="E448" s="14"/>
      <c r="F448" s="14"/>
      <c r="G448" s="14"/>
      <c r="H448" s="14"/>
      <c r="I448" s="147"/>
      <c r="J448" s="121"/>
      <c r="K448" s="147"/>
      <c r="L448" s="125"/>
      <c r="M448" s="147"/>
      <c r="O448" s="147"/>
      <c r="P448" s="125"/>
      <c r="Q448" s="147"/>
    </row>
    <row r="449" spans="1:17" x14ac:dyDescent="0.2">
      <c r="A449" s="6">
        <f>MAX(A$332:A448)+1</f>
        <v>56</v>
      </c>
      <c r="B449" s="9"/>
      <c r="C449" s="9"/>
      <c r="D449" s="9"/>
      <c r="E449" s="38" t="s">
        <v>209</v>
      </c>
      <c r="F449" s="38"/>
      <c r="G449" s="252" t="s">
        <v>763</v>
      </c>
      <c r="H449" s="38"/>
      <c r="I449" s="251">
        <v>3.0899999999999999E-3</v>
      </c>
      <c r="J449" s="121"/>
      <c r="K449" s="249">
        <f>M449-I449</f>
        <v>4.9400000000000008E-3</v>
      </c>
      <c r="L449" s="125"/>
      <c r="M449" s="251">
        <v>8.0300000000000007E-3</v>
      </c>
      <c r="O449" s="249">
        <v>0</v>
      </c>
      <c r="P449" s="125"/>
      <c r="Q449" s="249">
        <f>M449</f>
        <v>8.0300000000000007E-3</v>
      </c>
    </row>
    <row r="450" spans="1:17" x14ac:dyDescent="0.2">
      <c r="C450" s="9"/>
      <c r="D450" s="9"/>
      <c r="F450" s="14"/>
      <c r="G450" s="21"/>
      <c r="H450" s="14"/>
      <c r="I450" s="147"/>
      <c r="J450" s="121"/>
      <c r="K450" s="147"/>
      <c r="L450" s="125"/>
      <c r="M450" s="147"/>
      <c r="O450" s="147"/>
      <c r="P450" s="125"/>
      <c r="Q450" s="147"/>
    </row>
    <row r="451" spans="1:17" x14ac:dyDescent="0.2">
      <c r="A451" s="6"/>
      <c r="B451" s="9"/>
      <c r="C451" s="9"/>
      <c r="D451" s="9"/>
      <c r="E451" s="269" t="s">
        <v>1060</v>
      </c>
      <c r="F451" s="269"/>
      <c r="G451" s="269"/>
      <c r="H451" s="269"/>
      <c r="I451" s="147"/>
      <c r="J451" s="121"/>
      <c r="K451" s="147"/>
      <c r="L451" s="125"/>
      <c r="M451" s="147"/>
      <c r="O451" s="147"/>
      <c r="P451" s="125"/>
      <c r="Q451" s="147"/>
    </row>
    <row r="452" spans="1:17" x14ac:dyDescent="0.2">
      <c r="A452" s="6"/>
      <c r="B452" s="9"/>
      <c r="C452" s="9"/>
      <c r="D452" s="9"/>
      <c r="E452" s="270" t="s">
        <v>211</v>
      </c>
      <c r="F452" s="270"/>
      <c r="G452" s="270"/>
      <c r="H452" s="270"/>
      <c r="I452" s="147"/>
      <c r="J452" s="121"/>
      <c r="K452" s="147"/>
      <c r="L452" s="125"/>
      <c r="M452" s="147"/>
      <c r="O452" s="147"/>
      <c r="P452" s="125"/>
      <c r="Q452" s="147"/>
    </row>
    <row r="453" spans="1:17" x14ac:dyDescent="0.2">
      <c r="A453" s="6">
        <f>MAX(A$332:A452)+1</f>
        <v>57</v>
      </c>
      <c r="B453" s="9"/>
      <c r="C453" s="9"/>
      <c r="D453" s="9"/>
      <c r="E453" s="274" t="s">
        <v>212</v>
      </c>
      <c r="F453" s="274"/>
      <c r="G453" s="8" t="s">
        <v>764</v>
      </c>
      <c r="H453" s="274"/>
      <c r="I453" s="158">
        <v>1.2E-2</v>
      </c>
      <c r="J453" s="121"/>
      <c r="K453" s="158">
        <f>M453-I453</f>
        <v>4.3815540477659294E-3</v>
      </c>
      <c r="L453" s="125"/>
      <c r="M453" s="158">
        <v>1.638155404776593E-2</v>
      </c>
      <c r="O453" s="158">
        <v>1.5120989694891167E-2</v>
      </c>
      <c r="P453" s="516"/>
      <c r="Q453" s="158">
        <v>1.2605643528747624E-3</v>
      </c>
    </row>
    <row r="454" spans="1:17" x14ac:dyDescent="0.2">
      <c r="A454" s="6"/>
      <c r="B454" s="9"/>
      <c r="E454" s="270" t="s">
        <v>213</v>
      </c>
      <c r="F454" s="270"/>
      <c r="G454" s="270"/>
      <c r="H454" s="270"/>
      <c r="I454" s="147"/>
      <c r="J454" s="121"/>
      <c r="K454" s="147"/>
      <c r="L454" s="125"/>
      <c r="M454" s="147"/>
      <c r="O454" s="147"/>
      <c r="P454" s="125"/>
      <c r="Q454" s="147"/>
    </row>
    <row r="455" spans="1:17" x14ac:dyDescent="0.2">
      <c r="A455" s="6">
        <f>MAX(A$332:A454)+1</f>
        <v>58</v>
      </c>
      <c r="B455" s="9"/>
      <c r="E455" s="274" t="s">
        <v>765</v>
      </c>
      <c r="F455" s="274"/>
      <c r="G455" s="8" t="s">
        <v>764</v>
      </c>
      <c r="H455" s="274"/>
      <c r="I455" s="158">
        <v>1.8779999999999999</v>
      </c>
      <c r="J455" s="121"/>
      <c r="K455" s="158">
        <f>M455-I455</f>
        <v>0.58976097634885627</v>
      </c>
      <c r="L455" s="125"/>
      <c r="M455" s="158">
        <v>2.4677609763488562</v>
      </c>
      <c r="O455" s="158">
        <v>1.9200109546404482</v>
      </c>
      <c r="P455" s="516"/>
      <c r="Q455" s="158">
        <v>0.5477500217084077</v>
      </c>
    </row>
    <row r="456" spans="1:17" x14ac:dyDescent="0.2">
      <c r="A456" s="6">
        <f>MAX(A$332:A455)+1</f>
        <v>59</v>
      </c>
      <c r="B456" s="9"/>
      <c r="E456" s="274" t="s">
        <v>215</v>
      </c>
      <c r="F456" s="274"/>
      <c r="G456" s="8" t="s">
        <v>764</v>
      </c>
      <c r="H456" s="274"/>
      <c r="I456" s="158">
        <v>1.4730000000000001</v>
      </c>
      <c r="J456" s="121"/>
      <c r="K456" s="158">
        <f>M456-I456</f>
        <v>0.74480820066612075</v>
      </c>
      <c r="L456" s="125"/>
      <c r="M456" s="158">
        <v>2.2178082006661208</v>
      </c>
      <c r="O456" s="158">
        <v>1.6700581789577129</v>
      </c>
      <c r="P456" s="516"/>
      <c r="Q456" s="158">
        <v>0.5477500217084077</v>
      </c>
    </row>
    <row r="457" spans="1:17" x14ac:dyDescent="0.2">
      <c r="A457" s="6">
        <f>MAX(A$332:A456)+1</f>
        <v>60</v>
      </c>
      <c r="E457" s="274" t="s">
        <v>216</v>
      </c>
      <c r="F457" s="274"/>
      <c r="G457" s="8" t="s">
        <v>764</v>
      </c>
      <c r="H457" s="274"/>
      <c r="I457" s="158">
        <v>1.4730000000000001</v>
      </c>
      <c r="J457" s="121"/>
      <c r="K457" s="158">
        <f>M457-I457</f>
        <v>0.74480820066612075</v>
      </c>
      <c r="L457" s="125"/>
      <c r="M457" s="158">
        <v>2.2178082006661208</v>
      </c>
      <c r="O457" s="158">
        <v>1.6700581789577129</v>
      </c>
      <c r="P457" s="516"/>
      <c r="Q457" s="158">
        <v>0.5477500217084077</v>
      </c>
    </row>
    <row r="458" spans="1:17" x14ac:dyDescent="0.2">
      <c r="A458" s="6">
        <f>MAX(A$332:A457)+1</f>
        <v>61</v>
      </c>
      <c r="B458" s="9"/>
      <c r="E458" s="274" t="s">
        <v>217</v>
      </c>
      <c r="F458" s="274"/>
      <c r="G458" s="8" t="s">
        <v>764</v>
      </c>
      <c r="H458" s="274"/>
      <c r="I458" s="158">
        <v>1.4730000000000001</v>
      </c>
      <c r="J458" s="121"/>
      <c r="K458" s="158">
        <f>M458-I458</f>
        <v>0.74480820066612075</v>
      </c>
      <c r="L458" s="125"/>
      <c r="M458" s="158">
        <v>2.2178082006661208</v>
      </c>
      <c r="O458" s="158">
        <v>1.6700581789577129</v>
      </c>
      <c r="P458" s="516"/>
      <c r="Q458" s="158">
        <v>0.5477500217084077</v>
      </c>
    </row>
    <row r="459" spans="1:17" x14ac:dyDescent="0.2">
      <c r="A459" s="6"/>
      <c r="E459" s="270" t="s">
        <v>218</v>
      </c>
      <c r="F459" s="270"/>
      <c r="G459" s="270"/>
      <c r="H459" s="270"/>
      <c r="I459" s="147"/>
      <c r="J459" s="121"/>
      <c r="K459" s="147"/>
      <c r="L459" s="125"/>
      <c r="M459" s="147"/>
      <c r="O459" s="147"/>
      <c r="P459" s="125"/>
      <c r="Q459" s="147"/>
    </row>
    <row r="460" spans="1:17" x14ac:dyDescent="0.2">
      <c r="A460" s="6">
        <f>MAX(A$332:A459)+1</f>
        <v>62</v>
      </c>
      <c r="B460" s="9"/>
      <c r="E460" s="274" t="s">
        <v>108</v>
      </c>
      <c r="F460" s="274"/>
      <c r="G460" s="8" t="s">
        <v>759</v>
      </c>
      <c r="H460" s="274"/>
      <c r="I460" s="158">
        <v>1.2E-2</v>
      </c>
      <c r="J460" s="121"/>
      <c r="K460" s="158">
        <f>M460-I460</f>
        <v>-1.2E-2</v>
      </c>
      <c r="L460" s="125"/>
      <c r="M460" s="158">
        <v>0</v>
      </c>
      <c r="O460" s="158">
        <v>0</v>
      </c>
      <c r="P460" s="125"/>
      <c r="Q460" s="158">
        <v>0</v>
      </c>
    </row>
    <row r="461" spans="1:17" x14ac:dyDescent="0.2">
      <c r="A461" s="6"/>
      <c r="B461" s="9"/>
      <c r="E461" s="269"/>
      <c r="F461" s="269"/>
      <c r="G461" s="269"/>
      <c r="H461" s="269"/>
      <c r="I461" s="147"/>
      <c r="J461" s="121"/>
      <c r="K461" s="147"/>
      <c r="L461" s="125"/>
      <c r="M461" s="147"/>
      <c r="O461" s="147"/>
      <c r="P461" s="125"/>
      <c r="Q461" s="147"/>
    </row>
    <row r="462" spans="1:17" x14ac:dyDescent="0.2">
      <c r="A462" s="6">
        <f>MAX(A$332:A461)+1</f>
        <v>63</v>
      </c>
      <c r="E462" s="38" t="s">
        <v>237</v>
      </c>
      <c r="F462" s="38"/>
      <c r="G462" s="8" t="s">
        <v>763</v>
      </c>
      <c r="H462" s="38"/>
      <c r="I462" s="251">
        <v>4.45E-3</v>
      </c>
      <c r="J462" s="121"/>
      <c r="K462" s="249">
        <f>M462-I462</f>
        <v>3.8900000000000002E-3</v>
      </c>
      <c r="L462" s="125"/>
      <c r="M462" s="251">
        <v>8.3400000000000002E-3</v>
      </c>
      <c r="O462" s="158">
        <v>0</v>
      </c>
      <c r="P462" s="125"/>
      <c r="Q462" s="249">
        <f>M462</f>
        <v>8.3400000000000002E-3</v>
      </c>
    </row>
    <row r="463" spans="1:17" x14ac:dyDescent="0.2">
      <c r="A463" s="6"/>
      <c r="B463" s="9"/>
      <c r="I463" s="125"/>
      <c r="J463" s="125"/>
      <c r="K463" s="125"/>
      <c r="L463" s="125"/>
      <c r="M463" s="125"/>
      <c r="O463" s="125"/>
      <c r="P463" s="125"/>
      <c r="Q463" s="125"/>
    </row>
    <row r="464" spans="1:17" x14ac:dyDescent="0.2">
      <c r="A464" s="6"/>
      <c r="B464" s="9"/>
      <c r="C464" s="1" t="s">
        <v>28</v>
      </c>
      <c r="D464" s="9"/>
      <c r="F464" s="5"/>
      <c r="G464" s="5"/>
      <c r="H464" s="5"/>
      <c r="I464" s="137"/>
      <c r="J464" s="137"/>
      <c r="K464" s="137"/>
      <c r="L464" s="137"/>
      <c r="M464" s="137"/>
      <c r="O464" s="137"/>
      <c r="P464" s="125"/>
      <c r="Q464" s="137"/>
    </row>
    <row r="465" spans="1:17" x14ac:dyDescent="0.2">
      <c r="A465" s="6">
        <f>MAX(A$332:A464)+1</f>
        <v>64</v>
      </c>
      <c r="B465" s="9"/>
      <c r="E465" s="14" t="s">
        <v>85</v>
      </c>
      <c r="F465" s="14"/>
      <c r="G465" s="8" t="s">
        <v>767</v>
      </c>
      <c r="H465" s="14"/>
      <c r="I465" s="253">
        <v>22703.73</v>
      </c>
      <c r="J465" s="121"/>
      <c r="K465" s="253">
        <f>M465-I465</f>
        <v>9234.9229867992362</v>
      </c>
      <c r="L465" s="125"/>
      <c r="M465" s="253">
        <v>31938.652986799236</v>
      </c>
      <c r="N465" s="125"/>
      <c r="O465" s="253">
        <v>31938.652986799236</v>
      </c>
      <c r="P465" s="399"/>
      <c r="Q465" s="253">
        <v>0</v>
      </c>
    </row>
    <row r="466" spans="1:17" x14ac:dyDescent="0.2">
      <c r="A466" s="6"/>
      <c r="B466" s="9"/>
      <c r="E466" s="14" t="s">
        <v>1083</v>
      </c>
      <c r="F466" s="14"/>
      <c r="G466" s="14"/>
      <c r="H466" s="14"/>
      <c r="I466" s="147"/>
      <c r="J466" s="121"/>
      <c r="K466" s="147"/>
      <c r="L466" s="125"/>
      <c r="M466" s="147"/>
      <c r="O466" s="147"/>
      <c r="P466" s="125"/>
      <c r="Q466" s="147"/>
    </row>
    <row r="467" spans="1:17" x14ac:dyDescent="0.2">
      <c r="A467" s="6">
        <f>MAX(A$332:A466)+1</f>
        <v>65</v>
      </c>
      <c r="C467" s="9"/>
      <c r="D467" s="9"/>
      <c r="E467" s="38" t="s">
        <v>248</v>
      </c>
      <c r="F467" s="38"/>
      <c r="G467" s="252" t="s">
        <v>766</v>
      </c>
      <c r="H467" s="38"/>
      <c r="I467" s="147">
        <v>20.7133</v>
      </c>
      <c r="J467" s="121"/>
      <c r="K467" s="147">
        <f>M467-I467</f>
        <v>4.5611247821803325</v>
      </c>
      <c r="L467" s="125"/>
      <c r="M467" s="147">
        <v>25.274424782180333</v>
      </c>
      <c r="O467" s="147">
        <v>24.575021762085683</v>
      </c>
      <c r="P467" s="125"/>
      <c r="Q467" s="147">
        <v>0.69940302009465039</v>
      </c>
    </row>
    <row r="468" spans="1:17" x14ac:dyDescent="0.2">
      <c r="A468" s="6">
        <f>MAX(A$332:A467)+1</f>
        <v>66</v>
      </c>
      <c r="B468" s="9"/>
      <c r="C468" s="9"/>
      <c r="D468" s="9"/>
      <c r="E468" s="38" t="s">
        <v>229</v>
      </c>
      <c r="F468" s="38"/>
      <c r="G468" s="252" t="s">
        <v>760</v>
      </c>
      <c r="H468" s="38"/>
      <c r="I468" s="147">
        <v>8.2100000000000006E-2</v>
      </c>
      <c r="J468" s="121"/>
      <c r="K468" s="147">
        <f>M468-I468</f>
        <v>-8.2100000000000006E-2</v>
      </c>
      <c r="L468" s="125"/>
      <c r="M468" s="147">
        <v>0</v>
      </c>
      <c r="O468" s="147">
        <v>0</v>
      </c>
      <c r="P468" s="125"/>
      <c r="Q468" s="147">
        <v>0</v>
      </c>
    </row>
    <row r="469" spans="1:17" x14ac:dyDescent="0.2">
      <c r="A469" s="6">
        <f>MAX(A$332:A468)+1</f>
        <v>67</v>
      </c>
      <c r="B469" s="9"/>
      <c r="C469" s="9"/>
      <c r="D469" s="9"/>
      <c r="E469" s="38" t="s">
        <v>209</v>
      </c>
      <c r="F469" s="38"/>
      <c r="G469" s="252" t="s">
        <v>763</v>
      </c>
      <c r="H469" s="38"/>
      <c r="I469" s="251">
        <v>4.1900000000000001E-3</v>
      </c>
      <c r="J469" s="121"/>
      <c r="K469" s="251">
        <f>M469-I469</f>
        <v>3.8400000000000005E-3</v>
      </c>
      <c r="L469" s="125"/>
      <c r="M469" s="251">
        <v>8.0300000000000007E-3</v>
      </c>
      <c r="O469" s="147">
        <v>0</v>
      </c>
      <c r="P469" s="125"/>
      <c r="Q469" s="251">
        <f>M469</f>
        <v>8.0300000000000007E-3</v>
      </c>
    </row>
    <row r="470" spans="1:17" x14ac:dyDescent="0.2">
      <c r="A470" s="6"/>
      <c r="B470" s="9"/>
      <c r="C470" s="9"/>
      <c r="D470" s="9"/>
      <c r="E470" s="14"/>
      <c r="F470" s="14"/>
      <c r="G470" s="14"/>
      <c r="H470" s="14"/>
      <c r="I470" s="147"/>
      <c r="J470" s="121"/>
      <c r="K470" s="147"/>
      <c r="L470" s="125"/>
      <c r="M470" s="147"/>
      <c r="O470" s="147"/>
      <c r="P470" s="125"/>
      <c r="Q470" s="147"/>
    </row>
    <row r="471" spans="1:17" x14ac:dyDescent="0.2">
      <c r="A471" s="6"/>
      <c r="B471" s="9"/>
      <c r="E471" s="269" t="s">
        <v>1060</v>
      </c>
      <c r="F471" s="269"/>
      <c r="G471" s="269"/>
      <c r="H471" s="269"/>
      <c r="I471" s="147"/>
      <c r="J471" s="121"/>
      <c r="K471" s="147"/>
      <c r="L471" s="125"/>
      <c r="M471" s="147"/>
      <c r="O471" s="147"/>
      <c r="P471" s="125"/>
      <c r="Q471" s="147"/>
    </row>
    <row r="472" spans="1:17" x14ac:dyDescent="0.2">
      <c r="A472" s="6"/>
      <c r="B472" s="9"/>
      <c r="E472" s="270" t="s">
        <v>211</v>
      </c>
      <c r="F472" s="270"/>
      <c r="G472" s="270"/>
      <c r="H472" s="270"/>
      <c r="I472" s="147"/>
      <c r="J472" s="121"/>
      <c r="K472" s="147"/>
      <c r="L472" s="125"/>
      <c r="M472" s="147"/>
      <c r="O472" s="147"/>
      <c r="P472" s="125"/>
      <c r="Q472" s="147"/>
    </row>
    <row r="473" spans="1:17" x14ac:dyDescent="0.2">
      <c r="A473" s="6">
        <f>MAX(A$332:A472)+1</f>
        <v>68</v>
      </c>
      <c r="B473" s="9"/>
      <c r="E473" s="274" t="s">
        <v>212</v>
      </c>
      <c r="F473" s="274"/>
      <c r="G473" s="8" t="s">
        <v>764</v>
      </c>
      <c r="H473" s="274"/>
      <c r="I473" s="158">
        <v>1.2E-2</v>
      </c>
      <c r="J473" s="121"/>
      <c r="K473" s="158">
        <f>M473-I473</f>
        <v>4.3815540477659294E-3</v>
      </c>
      <c r="L473" s="125"/>
      <c r="M473" s="158">
        <v>1.638155404776593E-2</v>
      </c>
      <c r="O473" s="158">
        <v>1.5120989694891167E-2</v>
      </c>
      <c r="P473" s="516"/>
      <c r="Q473" s="158">
        <v>1.2605643528747624E-3</v>
      </c>
    </row>
    <row r="474" spans="1:17" x14ac:dyDescent="0.2">
      <c r="A474" s="6"/>
      <c r="E474" s="270" t="s">
        <v>213</v>
      </c>
      <c r="F474" s="270"/>
      <c r="G474" s="270"/>
      <c r="H474" s="270"/>
      <c r="I474" s="147"/>
      <c r="J474" s="121"/>
      <c r="K474" s="147"/>
      <c r="L474" s="125"/>
      <c r="M474" s="147"/>
      <c r="O474" s="147"/>
      <c r="P474" s="267"/>
      <c r="Q474" s="147"/>
    </row>
    <row r="475" spans="1:17" x14ac:dyDescent="0.2">
      <c r="A475" s="6">
        <f>MAX(A$332:A474)+1</f>
        <v>69</v>
      </c>
      <c r="E475" s="274" t="s">
        <v>765</v>
      </c>
      <c r="F475" s="274"/>
      <c r="G475" s="8" t="s">
        <v>764</v>
      </c>
      <c r="H475" s="274"/>
      <c r="I475" s="158">
        <v>1.8779999999999999</v>
      </c>
      <c r="J475" s="121"/>
      <c r="K475" s="158">
        <f>M475-I475</f>
        <v>0.58976097634885627</v>
      </c>
      <c r="L475" s="125"/>
      <c r="M475" s="158">
        <v>2.4677609763488562</v>
      </c>
      <c r="O475" s="158">
        <v>1.9200109546404482</v>
      </c>
      <c r="P475" s="516"/>
      <c r="Q475" s="158">
        <v>0.5477500217084077</v>
      </c>
    </row>
    <row r="476" spans="1:17" x14ac:dyDescent="0.2">
      <c r="A476" s="6">
        <f>MAX(A$332:A475)+1</f>
        <v>70</v>
      </c>
      <c r="B476" s="9"/>
      <c r="E476" s="274" t="s">
        <v>215</v>
      </c>
      <c r="F476" s="274"/>
      <c r="G476" s="8" t="s">
        <v>764</v>
      </c>
      <c r="H476" s="274"/>
      <c r="I476" s="158">
        <v>1.4730000000000001</v>
      </c>
      <c r="J476" s="121"/>
      <c r="K476" s="158">
        <f>M476-I476</f>
        <v>0.74480820066612075</v>
      </c>
      <c r="L476" s="125"/>
      <c r="M476" s="158">
        <v>2.2178082006661208</v>
      </c>
      <c r="O476" s="158">
        <v>1.6700581789577129</v>
      </c>
      <c r="P476" s="516"/>
      <c r="Q476" s="158">
        <v>0.5477500217084077</v>
      </c>
    </row>
    <row r="477" spans="1:17" x14ac:dyDescent="0.2">
      <c r="A477" s="6">
        <f>MAX(A$332:A476)+1</f>
        <v>71</v>
      </c>
      <c r="B477" s="9"/>
      <c r="E477" s="274" t="s">
        <v>216</v>
      </c>
      <c r="F477" s="274"/>
      <c r="G477" s="8" t="s">
        <v>764</v>
      </c>
      <c r="H477" s="274"/>
      <c r="I477" s="158">
        <v>1.4730000000000001</v>
      </c>
      <c r="J477" s="121"/>
      <c r="K477" s="158">
        <f>M477-I477</f>
        <v>0.74480820066612075</v>
      </c>
      <c r="L477" s="125"/>
      <c r="M477" s="158">
        <v>2.2178082006661208</v>
      </c>
      <c r="O477" s="158">
        <v>1.6700581789577129</v>
      </c>
      <c r="P477" s="516"/>
      <c r="Q477" s="158">
        <v>0.5477500217084077</v>
      </c>
    </row>
    <row r="478" spans="1:17" x14ac:dyDescent="0.2">
      <c r="A478" s="6">
        <f>MAX(A$332:A477)+1</f>
        <v>72</v>
      </c>
      <c r="B478" s="9"/>
      <c r="E478" s="274" t="s">
        <v>217</v>
      </c>
      <c r="F478" s="274"/>
      <c r="G478" s="8" t="s">
        <v>764</v>
      </c>
      <c r="H478" s="274"/>
      <c r="I478" s="158">
        <v>1.4730000000000001</v>
      </c>
      <c r="J478" s="121"/>
      <c r="K478" s="158">
        <f>M478-I478</f>
        <v>0.74480820066612075</v>
      </c>
      <c r="L478" s="125"/>
      <c r="M478" s="158">
        <v>2.2178082006661208</v>
      </c>
      <c r="O478" s="158">
        <v>1.6700581789577129</v>
      </c>
      <c r="P478" s="516"/>
      <c r="Q478" s="158">
        <v>0.5477500217084077</v>
      </c>
    </row>
    <row r="479" spans="1:17" x14ac:dyDescent="0.2">
      <c r="A479" s="6"/>
      <c r="B479" s="9"/>
      <c r="E479" s="270" t="s">
        <v>218</v>
      </c>
      <c r="F479" s="270"/>
      <c r="G479" s="270"/>
      <c r="H479" s="270"/>
      <c r="I479" s="147"/>
      <c r="J479" s="121"/>
      <c r="K479" s="147"/>
      <c r="L479" s="125"/>
      <c r="M479" s="147"/>
      <c r="O479" s="147"/>
      <c r="P479" s="125"/>
      <c r="Q479" s="147"/>
    </row>
    <row r="480" spans="1:17" x14ac:dyDescent="0.2">
      <c r="A480" s="6">
        <f>MAX(A$332:A479)+1</f>
        <v>73</v>
      </c>
      <c r="B480" s="9"/>
      <c r="E480" s="274" t="s">
        <v>108</v>
      </c>
      <c r="F480" s="274"/>
      <c r="G480" s="8" t="s">
        <v>759</v>
      </c>
      <c r="H480" s="274"/>
      <c r="I480" s="158">
        <v>1.2E-2</v>
      </c>
      <c r="J480" s="121"/>
      <c r="K480" s="158">
        <f>M480-I480</f>
        <v>-1.2E-2</v>
      </c>
      <c r="L480" s="125"/>
      <c r="M480" s="158">
        <v>0</v>
      </c>
      <c r="O480" s="158">
        <v>0</v>
      </c>
      <c r="P480" s="125"/>
      <c r="Q480" s="158">
        <v>0</v>
      </c>
    </row>
    <row r="481" spans="1:17" x14ac:dyDescent="0.2">
      <c r="A481" s="6"/>
      <c r="B481" s="9"/>
      <c r="E481" s="269"/>
      <c r="F481" s="269"/>
      <c r="G481" s="269"/>
      <c r="H481" s="269"/>
      <c r="I481" s="147"/>
      <c r="J481" s="121"/>
      <c r="K481" s="147"/>
      <c r="L481" s="125"/>
      <c r="M481" s="147"/>
      <c r="O481" s="147"/>
      <c r="P481" s="125"/>
      <c r="Q481" s="147"/>
    </row>
    <row r="482" spans="1:17" x14ac:dyDescent="0.2">
      <c r="A482" s="6">
        <f>MAX(A$332:A481)+1</f>
        <v>74</v>
      </c>
      <c r="B482" s="9"/>
      <c r="E482" s="38" t="s">
        <v>237</v>
      </c>
      <c r="F482" s="38"/>
      <c r="G482" s="8" t="s">
        <v>763</v>
      </c>
      <c r="H482" s="38"/>
      <c r="I482" s="251">
        <v>4.45E-3</v>
      </c>
      <c r="J482" s="121"/>
      <c r="K482" s="249">
        <f>M482-I482</f>
        <v>3.8900000000000002E-3</v>
      </c>
      <c r="L482" s="125"/>
      <c r="M482" s="251">
        <v>8.3400000000000002E-3</v>
      </c>
      <c r="O482" s="249">
        <v>0</v>
      </c>
      <c r="P482" s="125"/>
      <c r="Q482" s="249">
        <f>M482</f>
        <v>8.3400000000000002E-3</v>
      </c>
    </row>
    <row r="483" spans="1:17" x14ac:dyDescent="0.2">
      <c r="A483" s="6"/>
      <c r="B483" s="9"/>
      <c r="C483" s="9"/>
      <c r="D483" s="9"/>
      <c r="O483" s="1"/>
      <c r="P483" s="1"/>
      <c r="Q483" s="1"/>
    </row>
    <row r="484" spans="1:17" x14ac:dyDescent="0.2">
      <c r="A484" s="171" t="s">
        <v>29</v>
      </c>
      <c r="B484" s="40"/>
      <c r="O484" s="1"/>
      <c r="P484" s="1"/>
      <c r="Q484" s="1"/>
    </row>
    <row r="485" spans="1:17" ht="12.75" customHeight="1" x14ac:dyDescent="0.2">
      <c r="A485" s="406" t="s">
        <v>267</v>
      </c>
      <c r="B485" s="184"/>
      <c r="C485" s="184" t="s">
        <v>1065</v>
      </c>
      <c r="D485" s="247"/>
      <c r="F485" s="247"/>
      <c r="G485" s="247"/>
      <c r="H485" s="247"/>
      <c r="I485" s="247"/>
      <c r="J485" s="247"/>
      <c r="K485" s="247"/>
      <c r="L485" s="247"/>
      <c r="M485" s="247"/>
      <c r="N485" s="247"/>
      <c r="O485" s="247"/>
      <c r="P485" s="247"/>
      <c r="Q485" s="247"/>
    </row>
    <row r="486" spans="1:17" x14ac:dyDescent="0.2">
      <c r="A486" s="406" t="s">
        <v>268</v>
      </c>
      <c r="B486" s="184"/>
      <c r="C486" s="184" t="s">
        <v>1059</v>
      </c>
      <c r="D486" s="247"/>
      <c r="E486" s="247"/>
      <c r="F486" s="247"/>
      <c r="G486" s="247"/>
      <c r="H486" s="247"/>
      <c r="I486" s="247"/>
      <c r="J486" s="247"/>
      <c r="K486" s="247"/>
      <c r="L486" s="247"/>
      <c r="M486" s="247"/>
      <c r="N486" s="247"/>
      <c r="O486" s="247"/>
      <c r="P486" s="247"/>
      <c r="Q486" s="247"/>
    </row>
    <row r="487" spans="1:17" x14ac:dyDescent="0.2">
      <c r="A487" s="406" t="s">
        <v>269</v>
      </c>
      <c r="B487" s="402"/>
      <c r="C487" s="402" t="s">
        <v>961</v>
      </c>
      <c r="E487" s="247"/>
      <c r="O487" s="1"/>
      <c r="P487" s="1"/>
      <c r="Q487" s="1"/>
    </row>
    <row r="488" spans="1:17" ht="12.75" customHeight="1" x14ac:dyDescent="0.2">
      <c r="A488" s="6"/>
      <c r="O488" s="1"/>
      <c r="P488" s="1"/>
      <c r="Q488" s="1"/>
    </row>
    <row r="489" spans="1:17" ht="12.75" customHeight="1" x14ac:dyDescent="0.2">
      <c r="A489" s="4" t="s">
        <v>804</v>
      </c>
      <c r="B489" s="3"/>
      <c r="C489" s="3"/>
      <c r="D489" s="3"/>
      <c r="E489" s="3"/>
      <c r="F489" s="3"/>
      <c r="G489" s="3"/>
      <c r="H489" s="3"/>
      <c r="I489" s="3"/>
      <c r="J489" s="3"/>
      <c r="K489" s="3"/>
      <c r="L489" s="3"/>
      <c r="M489" s="3"/>
      <c r="N489" s="3"/>
      <c r="O489" s="537"/>
      <c r="P489" s="537"/>
      <c r="Q489" s="537"/>
    </row>
    <row r="490" spans="1:17" ht="12.75" customHeight="1" x14ac:dyDescent="0.2">
      <c r="A490" s="4" t="s">
        <v>39</v>
      </c>
      <c r="B490" s="3"/>
      <c r="C490" s="3"/>
      <c r="D490" s="3"/>
      <c r="E490" s="3"/>
      <c r="F490" s="3"/>
      <c r="G490" s="3"/>
      <c r="H490" s="3"/>
      <c r="I490" s="3"/>
      <c r="J490" s="3"/>
      <c r="K490" s="3"/>
      <c r="L490" s="3"/>
      <c r="M490" s="3"/>
      <c r="N490" s="3"/>
      <c r="O490" s="537"/>
      <c r="P490" s="537"/>
      <c r="Q490" s="537"/>
    </row>
    <row r="491" spans="1:17" ht="12.75" customHeight="1" x14ac:dyDescent="0.2">
      <c r="A491" s="4"/>
      <c r="B491" s="3"/>
      <c r="C491" s="3"/>
      <c r="D491" s="3"/>
      <c r="E491" s="3"/>
      <c r="F491" s="3"/>
      <c r="G491" s="3"/>
      <c r="H491" s="3"/>
      <c r="I491" s="3"/>
      <c r="J491" s="3"/>
      <c r="K491" s="3"/>
      <c r="L491" s="3"/>
      <c r="M491" s="3"/>
      <c r="O491" s="538"/>
      <c r="P491" s="538"/>
      <c r="Q491" s="538"/>
    </row>
    <row r="492" spans="1:17" ht="12.75" customHeight="1" x14ac:dyDescent="0.2">
      <c r="I492" s="523"/>
      <c r="J492" s="538"/>
      <c r="K492" s="538"/>
      <c r="L492" s="538"/>
      <c r="M492" s="523"/>
      <c r="O492" s="553" t="s">
        <v>398</v>
      </c>
      <c r="P492" s="553"/>
      <c r="Q492" s="553"/>
    </row>
    <row r="493" spans="1:17" ht="12.75" customHeight="1" x14ac:dyDescent="0.2">
      <c r="I493" s="538"/>
      <c r="J493" s="21"/>
      <c r="K493" s="3"/>
      <c r="M493" s="538"/>
      <c r="O493" s="554"/>
      <c r="P493" s="554"/>
      <c r="Q493" s="554"/>
    </row>
    <row r="494" spans="1:17" ht="12.75" customHeight="1" x14ac:dyDescent="0.2">
      <c r="A494" s="24" t="s">
        <v>0</v>
      </c>
      <c r="B494" s="24"/>
      <c r="C494" s="24" t="s">
        <v>349</v>
      </c>
      <c r="D494" s="24"/>
      <c r="E494" s="24"/>
      <c r="F494" s="24"/>
      <c r="G494" s="24"/>
      <c r="I494" s="2" t="s">
        <v>238</v>
      </c>
      <c r="J494" s="24"/>
      <c r="K494" s="539" t="s">
        <v>770</v>
      </c>
      <c r="L494" s="24"/>
      <c r="M494" s="2" t="s">
        <v>80</v>
      </c>
      <c r="O494" s="523"/>
      <c r="P494" s="523"/>
      <c r="Q494" s="523"/>
    </row>
    <row r="495" spans="1:17" ht="12.75" customHeight="1" x14ac:dyDescent="0.2">
      <c r="A495" s="519" t="s">
        <v>1</v>
      </c>
      <c r="B495" s="9"/>
      <c r="C495" s="519" t="s">
        <v>778</v>
      </c>
      <c r="D495" s="9"/>
      <c r="E495" s="10" t="s">
        <v>33</v>
      </c>
      <c r="F495" s="9"/>
      <c r="G495" s="519" t="s">
        <v>48</v>
      </c>
      <c r="H495" s="538"/>
      <c r="I495" s="519" t="s">
        <v>236</v>
      </c>
      <c r="K495" s="37" t="s">
        <v>361</v>
      </c>
      <c r="M495" s="25" t="s">
        <v>62</v>
      </c>
      <c r="O495" s="210" t="s">
        <v>397</v>
      </c>
      <c r="Q495" s="210" t="s">
        <v>262</v>
      </c>
    </row>
    <row r="496" spans="1:17" ht="12.75" customHeight="1" x14ac:dyDescent="0.2">
      <c r="A496" s="538"/>
      <c r="B496" s="538"/>
      <c r="C496" s="538"/>
      <c r="D496" s="538"/>
      <c r="E496" s="538"/>
      <c r="F496" s="538"/>
      <c r="G496" s="538"/>
      <c r="H496" s="538"/>
      <c r="I496" s="406" t="s">
        <v>3</v>
      </c>
      <c r="J496" s="539"/>
      <c r="K496" s="11" t="s">
        <v>235</v>
      </c>
      <c r="L496" s="539"/>
      <c r="M496" s="406" t="s">
        <v>119</v>
      </c>
      <c r="O496" s="211" t="s">
        <v>263</v>
      </c>
      <c r="Q496" s="211" t="s">
        <v>63</v>
      </c>
    </row>
    <row r="497" spans="1:17" ht="12.75" customHeight="1" x14ac:dyDescent="0.2">
      <c r="A497" s="538"/>
      <c r="B497" s="538"/>
      <c r="C497" s="538"/>
      <c r="D497" s="538"/>
      <c r="E497" s="538"/>
      <c r="F497" s="538"/>
      <c r="G497" s="538"/>
      <c r="H497" s="538"/>
      <c r="I497" s="406"/>
      <c r="J497" s="539"/>
      <c r="K497" s="11"/>
      <c r="L497" s="539"/>
      <c r="M497" s="406"/>
      <c r="O497" s="538"/>
      <c r="P497" s="538"/>
      <c r="Q497" s="538"/>
    </row>
    <row r="498" spans="1:17" ht="12.75" customHeight="1" x14ac:dyDescent="0.2">
      <c r="A498" s="538"/>
      <c r="B498" s="538"/>
      <c r="C498" s="55" t="s">
        <v>342</v>
      </c>
      <c r="D498" s="538"/>
      <c r="E498" s="538"/>
      <c r="F498" s="538"/>
      <c r="G498" s="538"/>
      <c r="H498" s="538"/>
      <c r="I498" s="405"/>
      <c r="J498" s="540"/>
      <c r="K498" s="403"/>
      <c r="L498" s="540"/>
      <c r="M498" s="405"/>
      <c r="O498" s="538"/>
      <c r="P498" s="538"/>
      <c r="Q498" s="538"/>
    </row>
    <row r="499" spans="1:17" ht="12.75" customHeight="1" x14ac:dyDescent="0.2">
      <c r="A499" s="6">
        <v>1</v>
      </c>
      <c r="B499" s="538"/>
      <c r="C499" s="538"/>
      <c r="D499" s="538"/>
      <c r="E499" s="14" t="s">
        <v>346</v>
      </c>
      <c r="F499" s="14"/>
      <c r="G499" s="8" t="s">
        <v>759</v>
      </c>
      <c r="H499" s="538"/>
      <c r="I499" s="158">
        <v>0.155</v>
      </c>
      <c r="J499" s="540"/>
      <c r="K499" s="158">
        <v>0</v>
      </c>
      <c r="L499" s="540"/>
      <c r="M499" s="158">
        <v>0.155</v>
      </c>
      <c r="O499" s="271">
        <v>0.155</v>
      </c>
      <c r="P499" s="538"/>
      <c r="Q499" s="271">
        <v>0</v>
      </c>
    </row>
    <row r="500" spans="1:17" ht="12.75" customHeight="1" x14ac:dyDescent="0.2">
      <c r="A500" s="6">
        <f>MAX(A$498:A499)+1</f>
        <v>2</v>
      </c>
      <c r="B500" s="538"/>
      <c r="C500" s="538"/>
      <c r="D500" s="538"/>
      <c r="E500" s="14" t="s">
        <v>347</v>
      </c>
      <c r="F500" s="14"/>
      <c r="G500" s="8" t="s">
        <v>759</v>
      </c>
      <c r="H500" s="538"/>
      <c r="I500" s="158">
        <v>6.0000000000000001E-3</v>
      </c>
      <c r="J500" s="540"/>
      <c r="K500" s="158">
        <v>0</v>
      </c>
      <c r="L500" s="540"/>
      <c r="M500" s="158">
        <v>6.0000000000000001E-3</v>
      </c>
      <c r="O500" s="271">
        <v>6.0000000000000001E-3</v>
      </c>
      <c r="P500" s="538"/>
      <c r="Q500" s="271">
        <v>0</v>
      </c>
    </row>
    <row r="501" spans="1:17" ht="12.75" customHeight="1" x14ac:dyDescent="0.2">
      <c r="A501" s="538"/>
      <c r="B501" s="538"/>
      <c r="C501" s="538"/>
      <c r="D501" s="538"/>
      <c r="E501" s="270"/>
      <c r="F501" s="270"/>
      <c r="G501" s="270"/>
      <c r="H501" s="538"/>
      <c r="I501" s="540"/>
      <c r="J501" s="540"/>
      <c r="K501" s="540"/>
      <c r="L501" s="540"/>
      <c r="M501" s="540"/>
      <c r="O501" s="538"/>
      <c r="P501" s="538"/>
      <c r="Q501" s="538"/>
    </row>
    <row r="502" spans="1:17" ht="12.75" customHeight="1" x14ac:dyDescent="0.2">
      <c r="A502" s="538"/>
      <c r="B502" s="538"/>
      <c r="C502" s="55" t="s">
        <v>344</v>
      </c>
      <c r="D502" s="538"/>
      <c r="E502" s="538"/>
      <c r="F502" s="538"/>
      <c r="G502" s="538"/>
      <c r="H502" s="538"/>
      <c r="I502" s="405"/>
      <c r="J502" s="540"/>
      <c r="K502" s="403"/>
      <c r="L502" s="540"/>
      <c r="M502" s="405"/>
      <c r="O502" s="538"/>
      <c r="P502" s="538"/>
      <c r="Q502" s="538"/>
    </row>
    <row r="503" spans="1:17" ht="12.75" customHeight="1" x14ac:dyDescent="0.2">
      <c r="A503" s="6">
        <f>MAX(A$498:A502)+1</f>
        <v>3</v>
      </c>
      <c r="B503" s="538"/>
      <c r="C503" s="538"/>
      <c r="D503" s="538"/>
      <c r="E503" s="14" t="s">
        <v>345</v>
      </c>
      <c r="F503" s="14"/>
      <c r="G503" s="252" t="s">
        <v>764</v>
      </c>
      <c r="H503" s="538"/>
      <c r="I503" s="158">
        <v>1.3209</v>
      </c>
      <c r="J503" s="540"/>
      <c r="K503" s="158">
        <v>0.17110000000000003</v>
      </c>
      <c r="L503" s="540"/>
      <c r="M503" s="158">
        <v>1.492</v>
      </c>
      <c r="O503" s="271">
        <v>1.492</v>
      </c>
      <c r="P503" s="538"/>
      <c r="Q503" s="271">
        <v>0</v>
      </c>
    </row>
    <row r="504" spans="1:17" ht="12.75" customHeight="1" x14ac:dyDescent="0.2">
      <c r="A504" s="6">
        <f>MAX(A$498:A503)+1</f>
        <v>4</v>
      </c>
      <c r="B504" s="538"/>
      <c r="C504" s="538"/>
      <c r="D504" s="538"/>
      <c r="E504" s="14" t="s">
        <v>341</v>
      </c>
      <c r="F504" s="14"/>
      <c r="G504" s="252" t="s">
        <v>764</v>
      </c>
      <c r="H504" s="538"/>
      <c r="I504" s="158">
        <v>5.21E-2</v>
      </c>
      <c r="J504" s="540"/>
      <c r="K504" s="158">
        <v>6.8000000000000005E-3</v>
      </c>
      <c r="L504" s="540"/>
      <c r="M504" s="158">
        <v>5.8900000000000001E-2</v>
      </c>
      <c r="O504" s="271">
        <v>5.8900000000000001E-2</v>
      </c>
      <c r="P504" s="538"/>
      <c r="Q504" s="271">
        <v>0</v>
      </c>
    </row>
    <row r="505" spans="1:17" ht="12.75" customHeight="1" x14ac:dyDescent="0.2">
      <c r="A505" s="538"/>
      <c r="B505" s="538"/>
      <c r="C505" s="538"/>
      <c r="D505" s="538"/>
      <c r="E505" s="270"/>
      <c r="F505" s="270"/>
      <c r="G505" s="270"/>
      <c r="H505" s="538"/>
      <c r="I505" s="405"/>
      <c r="J505" s="540"/>
      <c r="K505" s="403"/>
      <c r="L505" s="540"/>
      <c r="M505" s="405"/>
      <c r="O505" s="538"/>
      <c r="P505" s="538"/>
      <c r="Q505" s="538"/>
    </row>
    <row r="506" spans="1:17" ht="12.75" customHeight="1" x14ac:dyDescent="0.2">
      <c r="C506" s="55" t="s">
        <v>40</v>
      </c>
      <c r="E506" s="538"/>
      <c r="F506" s="538"/>
      <c r="G506" s="538"/>
      <c r="I506" s="540"/>
      <c r="J506" s="540"/>
      <c r="K506" s="540"/>
      <c r="L506" s="540"/>
      <c r="M506" s="540"/>
      <c r="O506" s="538"/>
      <c r="P506" s="538"/>
      <c r="Q506" s="538"/>
    </row>
    <row r="507" spans="1:17" ht="12.75" customHeight="1" x14ac:dyDescent="0.2">
      <c r="E507" s="14" t="s">
        <v>320</v>
      </c>
      <c r="F507" s="14"/>
      <c r="G507" s="14"/>
      <c r="I507" s="125"/>
      <c r="J507" s="125"/>
      <c r="K507" s="125"/>
      <c r="L507" s="125"/>
      <c r="M507" s="125"/>
      <c r="O507" s="538"/>
      <c r="P507" s="538"/>
      <c r="Q507" s="538"/>
    </row>
    <row r="508" spans="1:17" ht="12.75" customHeight="1" x14ac:dyDescent="0.2">
      <c r="A508" s="6">
        <f>MAX(A$498:A507)+1</f>
        <v>5</v>
      </c>
      <c r="E508" s="38" t="s">
        <v>99</v>
      </c>
      <c r="F508" s="38"/>
      <c r="G508" s="252" t="s">
        <v>764</v>
      </c>
      <c r="I508" s="158">
        <v>3.76</v>
      </c>
      <c r="J508" s="125"/>
      <c r="K508" s="158">
        <v>-0.29399999999999959</v>
      </c>
      <c r="L508" s="125"/>
      <c r="M508" s="158">
        <v>3.4660000000000002</v>
      </c>
      <c r="O508" s="271">
        <v>3.4660000000000002</v>
      </c>
      <c r="P508" s="538"/>
      <c r="Q508" s="271">
        <v>0</v>
      </c>
    </row>
    <row r="509" spans="1:17" ht="12.75" customHeight="1" x14ac:dyDescent="0.2">
      <c r="A509" s="6">
        <f>MAX(A$498:A508)+1</f>
        <v>6</v>
      </c>
      <c r="E509" s="38" t="s">
        <v>95</v>
      </c>
      <c r="F509" s="38"/>
      <c r="G509" s="252" t="s">
        <v>764</v>
      </c>
      <c r="I509" s="158">
        <v>3.19</v>
      </c>
      <c r="J509" s="125"/>
      <c r="K509" s="158">
        <v>-0.67899999999999983</v>
      </c>
      <c r="L509" s="125"/>
      <c r="M509" s="158">
        <v>2.5110000000000001</v>
      </c>
      <c r="O509" s="271">
        <v>2.5110000000000001</v>
      </c>
      <c r="P509" s="538"/>
      <c r="Q509" s="271">
        <v>0</v>
      </c>
    </row>
    <row r="510" spans="1:17" ht="12.75" customHeight="1" x14ac:dyDescent="0.2">
      <c r="A510" s="6">
        <f>MAX(A$498:A509)+1</f>
        <v>7</v>
      </c>
      <c r="E510" s="270" t="s">
        <v>100</v>
      </c>
      <c r="F510" s="270"/>
      <c r="G510" s="252" t="s">
        <v>764</v>
      </c>
      <c r="I510" s="158">
        <v>0.56999999999999995</v>
      </c>
      <c r="J510" s="125"/>
      <c r="K510" s="158">
        <v>0.81700000000000006</v>
      </c>
      <c r="L510" s="125"/>
      <c r="M510" s="158">
        <v>1.387</v>
      </c>
      <c r="O510" s="271">
        <v>1.387</v>
      </c>
      <c r="P510" s="538"/>
      <c r="Q510" s="271">
        <v>0</v>
      </c>
    </row>
    <row r="511" spans="1:17" ht="12.75" customHeight="1" x14ac:dyDescent="0.2">
      <c r="A511" s="6">
        <f>MAX(A$498:A510)+1</f>
        <v>8</v>
      </c>
      <c r="E511" s="38" t="s">
        <v>324</v>
      </c>
      <c r="F511" s="38"/>
      <c r="G511" s="252" t="s">
        <v>764</v>
      </c>
      <c r="I511" s="158">
        <v>4.6479999999999997</v>
      </c>
      <c r="J511" s="125"/>
      <c r="K511" s="158">
        <v>-0.23199999999999932</v>
      </c>
      <c r="L511" s="125"/>
      <c r="M511" s="158">
        <v>4.4160000000000004</v>
      </c>
      <c r="O511" s="271">
        <v>4.4160000000000004</v>
      </c>
      <c r="P511" s="538"/>
      <c r="Q511" s="271">
        <v>0</v>
      </c>
    </row>
    <row r="512" spans="1:17" ht="12.75" customHeight="1" x14ac:dyDescent="0.2">
      <c r="A512" s="6">
        <f>MAX(A$498:A511)+1</f>
        <v>9</v>
      </c>
      <c r="E512" s="273" t="s">
        <v>323</v>
      </c>
      <c r="F512" s="273"/>
      <c r="G512" s="252" t="s">
        <v>764</v>
      </c>
      <c r="I512" s="158">
        <v>7.6999999999999999E-2</v>
      </c>
      <c r="J512" s="125"/>
      <c r="K512" s="158">
        <v>-2.6000000000000002E-2</v>
      </c>
      <c r="L512" s="125"/>
      <c r="M512" s="158">
        <v>5.0999999999999997E-2</v>
      </c>
      <c r="O512" s="271">
        <v>5.0999999999999997E-2</v>
      </c>
      <c r="P512" s="538"/>
      <c r="Q512" s="271">
        <v>0</v>
      </c>
    </row>
    <row r="513" spans="1:17" ht="12.75" customHeight="1" x14ac:dyDescent="0.2">
      <c r="E513" s="538"/>
      <c r="F513" s="538"/>
      <c r="G513" s="538"/>
      <c r="H513" s="538"/>
      <c r="I513" s="538"/>
      <c r="J513" s="538"/>
      <c r="K513" s="538"/>
      <c r="L513" s="538"/>
      <c r="M513" s="538"/>
      <c r="O513" s="538"/>
      <c r="P513" s="538"/>
      <c r="Q513" s="538"/>
    </row>
    <row r="514" spans="1:17" ht="12.75" customHeight="1" x14ac:dyDescent="0.2">
      <c r="A514" s="6"/>
      <c r="E514" s="14" t="s">
        <v>321</v>
      </c>
      <c r="F514" s="14"/>
      <c r="G514" s="14"/>
      <c r="I514" s="538"/>
      <c r="J514" s="276"/>
      <c r="K514" s="158"/>
      <c r="L514" s="272"/>
      <c r="M514" s="276"/>
      <c r="O514" s="538"/>
      <c r="P514" s="538"/>
      <c r="Q514" s="538"/>
    </row>
    <row r="515" spans="1:17" ht="12.75" customHeight="1" x14ac:dyDescent="0.2">
      <c r="A515" s="6">
        <f>MAX(A$498:A514)+1</f>
        <v>10</v>
      </c>
      <c r="E515" s="38" t="s">
        <v>109</v>
      </c>
      <c r="F515" s="38"/>
      <c r="G515" s="8" t="s">
        <v>759</v>
      </c>
      <c r="H515" s="538"/>
      <c r="I515" s="158" t="s">
        <v>301</v>
      </c>
      <c r="J515" s="538"/>
      <c r="K515" s="158" t="s">
        <v>938</v>
      </c>
      <c r="L515" s="538"/>
      <c r="M515" s="276" t="s">
        <v>301</v>
      </c>
      <c r="O515" s="271">
        <v>0</v>
      </c>
      <c r="P515" s="538"/>
      <c r="Q515" s="271" t="s">
        <v>301</v>
      </c>
    </row>
    <row r="516" spans="1:17" ht="12.75" customHeight="1" x14ac:dyDescent="0.2">
      <c r="A516" s="6">
        <f>MAX(A$498:A515)+1</f>
        <v>11</v>
      </c>
      <c r="C516" s="538"/>
      <c r="D516" s="538"/>
      <c r="E516" s="38" t="s">
        <v>112</v>
      </c>
      <c r="F516" s="38"/>
      <c r="G516" s="8" t="s">
        <v>759</v>
      </c>
      <c r="H516" s="538"/>
      <c r="I516" s="158" t="s">
        <v>301</v>
      </c>
      <c r="J516" s="538"/>
      <c r="K516" s="158" t="s">
        <v>938</v>
      </c>
      <c r="L516" s="538"/>
      <c r="M516" s="276" t="s">
        <v>301</v>
      </c>
      <c r="N516" s="538"/>
      <c r="O516" s="271">
        <v>0</v>
      </c>
      <c r="P516" s="538"/>
      <c r="Q516" s="271" t="s">
        <v>301</v>
      </c>
    </row>
    <row r="517" spans="1:17" ht="12.75" customHeight="1" x14ac:dyDescent="0.2">
      <c r="C517" s="538"/>
      <c r="D517" s="538"/>
      <c r="E517" s="538"/>
      <c r="F517" s="538"/>
      <c r="G517" s="538"/>
      <c r="H517" s="538"/>
      <c r="I517" s="538"/>
      <c r="J517" s="538"/>
      <c r="K517" s="538"/>
      <c r="L517" s="538"/>
      <c r="M517" s="538"/>
      <c r="N517" s="538"/>
      <c r="O517" s="538"/>
      <c r="P517" s="538"/>
      <c r="Q517" s="538"/>
    </row>
    <row r="518" spans="1:17" ht="12.75" customHeight="1" x14ac:dyDescent="0.2">
      <c r="A518" s="6"/>
      <c r="E518" s="14" t="s">
        <v>325</v>
      </c>
      <c r="F518" s="14"/>
      <c r="G518" s="14"/>
      <c r="I518" s="125"/>
      <c r="J518" s="125"/>
      <c r="K518" s="125"/>
      <c r="L518" s="125"/>
      <c r="M518" s="125"/>
      <c r="O518" s="538"/>
      <c r="P518" s="538"/>
      <c r="Q518" s="538"/>
    </row>
    <row r="519" spans="1:17" ht="12.75" customHeight="1" x14ac:dyDescent="0.2">
      <c r="A519" s="6">
        <f>MAX(A$498:A518)+1</f>
        <v>12</v>
      </c>
      <c r="E519" s="38" t="s">
        <v>803</v>
      </c>
      <c r="F519" s="38"/>
      <c r="G519" s="252" t="s">
        <v>764</v>
      </c>
      <c r="I519" s="158">
        <v>9.0239999999999991</v>
      </c>
      <c r="J519" s="125"/>
      <c r="K519" s="158">
        <v>-0.70559999999999867</v>
      </c>
      <c r="L519" s="125"/>
      <c r="M519" s="158">
        <v>8.3184000000000005</v>
      </c>
      <c r="O519" s="271">
        <v>8.3184000000000005</v>
      </c>
      <c r="P519" s="538"/>
      <c r="Q519" s="271">
        <v>0</v>
      </c>
    </row>
    <row r="520" spans="1:17" ht="12.75" customHeight="1" x14ac:dyDescent="0.2">
      <c r="A520" s="6"/>
      <c r="E520" s="38"/>
      <c r="F520" s="38"/>
      <c r="G520" s="252"/>
      <c r="I520" s="158"/>
      <c r="J520" s="125"/>
      <c r="K520" s="158"/>
      <c r="L520" s="125"/>
      <c r="M520" s="158"/>
      <c r="O520" s="271"/>
      <c r="P520" s="538"/>
      <c r="Q520" s="271"/>
    </row>
    <row r="521" spans="1:17" ht="12.75" customHeight="1" x14ac:dyDescent="0.2">
      <c r="A521" s="6"/>
      <c r="E521" s="14" t="s">
        <v>789</v>
      </c>
      <c r="F521" s="14"/>
      <c r="G521" s="14"/>
      <c r="I521" s="276"/>
      <c r="J521" s="276"/>
      <c r="K521" s="272"/>
      <c r="L521" s="272"/>
      <c r="M521" s="276"/>
      <c r="O521" s="538"/>
      <c r="P521" s="538"/>
      <c r="Q521" s="538"/>
    </row>
    <row r="522" spans="1:17" ht="12.75" customHeight="1" x14ac:dyDescent="0.2">
      <c r="A522" s="6"/>
      <c r="E522" s="38" t="s">
        <v>326</v>
      </c>
      <c r="F522" s="38"/>
      <c r="G522" s="38"/>
      <c r="I522" s="125"/>
      <c r="J522" s="125"/>
      <c r="K522" s="125"/>
      <c r="L522" s="125"/>
      <c r="M522" s="125"/>
      <c r="O522" s="538"/>
      <c r="P522" s="538"/>
      <c r="Q522" s="538"/>
    </row>
    <row r="523" spans="1:17" ht="12.75" customHeight="1" x14ac:dyDescent="0.2">
      <c r="A523" s="6">
        <f>MAX(A$498:A522)+1</f>
        <v>13</v>
      </c>
      <c r="E523" s="39" t="s">
        <v>103</v>
      </c>
      <c r="F523" s="39"/>
      <c r="G523" s="8" t="s">
        <v>759</v>
      </c>
      <c r="I523" s="158">
        <v>0.124</v>
      </c>
      <c r="J523" s="275" t="s">
        <v>277</v>
      </c>
      <c r="K523" s="158">
        <v>-9.999999999999995E-3</v>
      </c>
      <c r="L523" s="272"/>
      <c r="M523" s="158">
        <v>0.114</v>
      </c>
      <c r="N523" s="275" t="s">
        <v>277</v>
      </c>
      <c r="O523" s="271">
        <v>0</v>
      </c>
      <c r="P523" s="538"/>
      <c r="Q523" s="271" t="s">
        <v>537</v>
      </c>
    </row>
    <row r="524" spans="1:17" ht="12.75" customHeight="1" x14ac:dyDescent="0.2">
      <c r="A524" s="6">
        <f>MAX(A$498:A523)+1</f>
        <v>14</v>
      </c>
      <c r="E524" s="39" t="s">
        <v>801</v>
      </c>
      <c r="F524" s="39"/>
      <c r="G524" s="8" t="s">
        <v>759</v>
      </c>
      <c r="I524" s="158">
        <v>0.105</v>
      </c>
      <c r="J524" s="275" t="s">
        <v>277</v>
      </c>
      <c r="K524" s="158">
        <v>-2.1999999999999992E-2</v>
      </c>
      <c r="L524" s="272"/>
      <c r="M524" s="158">
        <v>8.3000000000000004E-2</v>
      </c>
      <c r="N524" s="275" t="s">
        <v>277</v>
      </c>
      <c r="O524" s="271">
        <v>0</v>
      </c>
      <c r="P524" s="538"/>
      <c r="Q524" s="271" t="s">
        <v>537</v>
      </c>
    </row>
    <row r="525" spans="1:17" ht="12.75" customHeight="1" x14ac:dyDescent="0.2">
      <c r="A525" s="6">
        <f>MAX(A$498:A524)+1</f>
        <v>15</v>
      </c>
      <c r="E525" s="274" t="s">
        <v>800</v>
      </c>
      <c r="F525" s="274"/>
      <c r="G525" s="8" t="s">
        <v>759</v>
      </c>
      <c r="I525" s="158">
        <v>1.9E-2</v>
      </c>
      <c r="J525" s="275" t="s">
        <v>277</v>
      </c>
      <c r="K525" s="158">
        <v>2.7E-2</v>
      </c>
      <c r="L525" s="272"/>
      <c r="M525" s="158">
        <v>4.5999999999999999E-2</v>
      </c>
      <c r="N525" s="275" t="s">
        <v>277</v>
      </c>
      <c r="O525" s="271">
        <v>0</v>
      </c>
      <c r="P525" s="538"/>
      <c r="Q525" s="271" t="s">
        <v>537</v>
      </c>
    </row>
    <row r="526" spans="1:17" ht="12.75" customHeight="1" x14ac:dyDescent="0.2">
      <c r="A526" s="6"/>
      <c r="E526" s="39"/>
      <c r="F526" s="39"/>
      <c r="G526" s="39"/>
      <c r="I526" s="125"/>
      <c r="J526" s="125"/>
      <c r="K526" s="125"/>
      <c r="L526" s="125"/>
      <c r="M526" s="125"/>
      <c r="O526" s="538"/>
      <c r="P526" s="538"/>
      <c r="Q526" s="271" t="s">
        <v>537</v>
      </c>
    </row>
    <row r="527" spans="1:17" ht="12.75" customHeight="1" x14ac:dyDescent="0.2">
      <c r="A527" s="6">
        <f>MAX(A$498:A526)+1</f>
        <v>16</v>
      </c>
      <c r="E527" s="39" t="s">
        <v>324</v>
      </c>
      <c r="F527" s="58"/>
      <c r="G527" s="8" t="s">
        <v>759</v>
      </c>
      <c r="I527" s="158">
        <v>0.153</v>
      </c>
      <c r="J527" s="275" t="s">
        <v>277</v>
      </c>
      <c r="K527" s="158">
        <v>-8.0000000000000071E-3</v>
      </c>
      <c r="L527" s="125"/>
      <c r="M527" s="158">
        <v>0.14499999999999999</v>
      </c>
      <c r="N527" s="275" t="s">
        <v>277</v>
      </c>
      <c r="O527" s="271">
        <v>0</v>
      </c>
      <c r="P527" s="538"/>
      <c r="Q527" s="271" t="s">
        <v>537</v>
      </c>
    </row>
    <row r="528" spans="1:17" ht="12.75" customHeight="1" x14ac:dyDescent="0.2">
      <c r="A528" s="6"/>
      <c r="E528" s="274"/>
      <c r="F528" s="274"/>
      <c r="G528" s="274"/>
      <c r="I528" s="158"/>
      <c r="J528" s="125"/>
      <c r="K528" s="158"/>
      <c r="L528" s="125"/>
      <c r="M528" s="158"/>
      <c r="O528" s="538"/>
      <c r="P528" s="538"/>
      <c r="Q528" s="538"/>
    </row>
    <row r="529" spans="1:17" ht="12.75" customHeight="1" x14ac:dyDescent="0.2">
      <c r="A529" s="6"/>
      <c r="C529" s="1" t="s">
        <v>43</v>
      </c>
      <c r="E529" s="538"/>
      <c r="F529" s="538"/>
      <c r="G529" s="538"/>
      <c r="I529" s="540"/>
      <c r="J529" s="540"/>
      <c r="K529" s="540"/>
      <c r="L529" s="540"/>
      <c r="M529" s="540"/>
      <c r="O529" s="538"/>
      <c r="P529" s="538"/>
      <c r="Q529" s="538"/>
    </row>
    <row r="530" spans="1:17" ht="12.75" customHeight="1" x14ac:dyDescent="0.2">
      <c r="A530" s="6"/>
      <c r="E530" s="14" t="s">
        <v>320</v>
      </c>
      <c r="F530" s="14"/>
      <c r="G530" s="14"/>
      <c r="I530" s="125"/>
      <c r="J530" s="125"/>
      <c r="K530" s="125"/>
      <c r="L530" s="125"/>
      <c r="M530" s="125"/>
      <c r="O530" s="538"/>
      <c r="P530" s="538"/>
      <c r="Q530" s="538"/>
    </row>
    <row r="531" spans="1:17" ht="12.75" customHeight="1" x14ac:dyDescent="0.2">
      <c r="A531" s="6">
        <f>MAX(A$498:A530)+1</f>
        <v>17</v>
      </c>
      <c r="E531" s="38" t="s">
        <v>103</v>
      </c>
      <c r="F531" s="38"/>
      <c r="G531" s="252" t="s">
        <v>764</v>
      </c>
      <c r="I531" s="158">
        <v>3.76</v>
      </c>
      <c r="J531" s="125"/>
      <c r="K531" s="158">
        <v>-0.2940095195443817</v>
      </c>
      <c r="L531" s="125"/>
      <c r="M531" s="158">
        <v>3.4659904804556181</v>
      </c>
      <c r="O531" s="271">
        <v>3.4659904804556181</v>
      </c>
      <c r="P531" s="538"/>
      <c r="Q531" s="271">
        <v>0</v>
      </c>
    </row>
    <row r="532" spans="1:17" ht="12.75" customHeight="1" x14ac:dyDescent="0.2">
      <c r="A532" s="6">
        <f>MAX(A$498:A531)+1</f>
        <v>18</v>
      </c>
      <c r="E532" s="38" t="s">
        <v>95</v>
      </c>
      <c r="F532" s="38"/>
      <c r="G532" s="252" t="s">
        <v>764</v>
      </c>
      <c r="H532" s="538"/>
      <c r="I532" s="158">
        <v>3.19</v>
      </c>
      <c r="J532" s="540"/>
      <c r="K532" s="158">
        <v>-0.67863959154252607</v>
      </c>
      <c r="L532" s="540"/>
      <c r="M532" s="158">
        <v>2.5113604084574739</v>
      </c>
      <c r="O532" s="271">
        <v>2.5113604084574739</v>
      </c>
      <c r="P532" s="538"/>
      <c r="Q532" s="271">
        <v>0</v>
      </c>
    </row>
    <row r="533" spans="1:17" ht="12.75" customHeight="1" x14ac:dyDescent="0.2">
      <c r="A533" s="6">
        <f>MAX(A$498:A532)+1</f>
        <v>19</v>
      </c>
      <c r="E533" s="38" t="s">
        <v>100</v>
      </c>
      <c r="F533" s="38"/>
      <c r="G533" s="252" t="s">
        <v>764</v>
      </c>
      <c r="I533" s="158">
        <v>0.56999999999999995</v>
      </c>
      <c r="J533" s="125"/>
      <c r="K533" s="158">
        <v>0.81710759276068223</v>
      </c>
      <c r="L533" s="125"/>
      <c r="M533" s="158">
        <v>1.3871075927606822</v>
      </c>
      <c r="O533" s="271">
        <v>1.3871075927606822</v>
      </c>
      <c r="P533" s="538"/>
      <c r="Q533" s="271">
        <v>0</v>
      </c>
    </row>
    <row r="534" spans="1:17" ht="12.75" customHeight="1" x14ac:dyDescent="0.2">
      <c r="A534" s="6">
        <f>MAX(A$498:A533)+1</f>
        <v>20</v>
      </c>
      <c r="E534" s="38" t="s">
        <v>802</v>
      </c>
      <c r="F534" s="38"/>
      <c r="G534" s="252" t="s">
        <v>764</v>
      </c>
      <c r="I534" s="158">
        <v>0.88800000000000001</v>
      </c>
      <c r="J534" s="125"/>
      <c r="K534" s="158">
        <v>6.1586433001539209E-2</v>
      </c>
      <c r="L534" s="125"/>
      <c r="M534" s="158">
        <v>0.94958643300153922</v>
      </c>
      <c r="N534" s="15"/>
      <c r="O534" s="271">
        <v>0.94958643300153922</v>
      </c>
      <c r="P534" s="538"/>
      <c r="Q534" s="271">
        <v>0</v>
      </c>
    </row>
    <row r="535" spans="1:17" ht="12.75" customHeight="1" x14ac:dyDescent="0.2">
      <c r="A535" s="6">
        <f>MAX(A$498:A534)+1</f>
        <v>21</v>
      </c>
      <c r="E535" s="38" t="s">
        <v>798</v>
      </c>
      <c r="F535" s="38"/>
      <c r="G535" s="252" t="s">
        <v>764</v>
      </c>
      <c r="I535" s="158">
        <v>0.88800000000000001</v>
      </c>
      <c r="J535" s="125"/>
      <c r="K535" s="158">
        <v>6.1586433001539209E-2</v>
      </c>
      <c r="L535" s="125"/>
      <c r="M535" s="158">
        <v>0.94958643300153922</v>
      </c>
      <c r="N535" s="15"/>
      <c r="O535" s="271">
        <v>0.94958643300153922</v>
      </c>
      <c r="P535" s="538"/>
      <c r="Q535" s="271">
        <v>0</v>
      </c>
    </row>
    <row r="536" spans="1:17" ht="12.75" customHeight="1" x14ac:dyDescent="0.2">
      <c r="A536" s="6">
        <f>MAX(A$498:A535)+1</f>
        <v>22</v>
      </c>
      <c r="E536" s="38" t="s">
        <v>102</v>
      </c>
      <c r="F536" s="38"/>
      <c r="G536" s="252" t="s">
        <v>764</v>
      </c>
      <c r="I536" s="158">
        <v>1.5669999999999999</v>
      </c>
      <c r="J536" s="125"/>
      <c r="K536" s="158">
        <v>-0.22735068958363702</v>
      </c>
      <c r="L536" s="125"/>
      <c r="M536" s="158">
        <v>1.3396493104163629</v>
      </c>
      <c r="O536" s="271">
        <v>1.3396493104163629</v>
      </c>
      <c r="P536" s="538"/>
      <c r="Q536" s="271">
        <v>0</v>
      </c>
    </row>
    <row r="537" spans="1:17" ht="12.75" customHeight="1" x14ac:dyDescent="0.2">
      <c r="A537" s="6">
        <f>MAX(A$498:A536)+1</f>
        <v>23</v>
      </c>
      <c r="E537" s="38" t="s">
        <v>554</v>
      </c>
      <c r="F537" s="38"/>
      <c r="G537" s="252" t="s">
        <v>764</v>
      </c>
      <c r="I537" s="158">
        <v>2.3260000000000001</v>
      </c>
      <c r="J537" s="125"/>
      <c r="K537" s="158">
        <v>4.3140000000000001</v>
      </c>
      <c r="L537" s="125"/>
      <c r="M537" s="158">
        <v>6.64</v>
      </c>
      <c r="O537" s="271">
        <v>6.64</v>
      </c>
      <c r="P537" s="538"/>
      <c r="Q537" s="271">
        <v>0</v>
      </c>
    </row>
    <row r="538" spans="1:17" ht="12.75" customHeight="1" x14ac:dyDescent="0.2">
      <c r="A538" s="6">
        <f>MAX(A$498:A537)+1</f>
        <v>24</v>
      </c>
      <c r="E538" s="38" t="s">
        <v>555</v>
      </c>
      <c r="F538" s="38"/>
      <c r="G538" s="252" t="s">
        <v>764</v>
      </c>
      <c r="I538" s="158">
        <v>2.3260000000000001</v>
      </c>
      <c r="J538" s="125"/>
      <c r="K538" s="158">
        <v>-0.50700000000000012</v>
      </c>
      <c r="L538" s="125"/>
      <c r="M538" s="158">
        <v>1.819</v>
      </c>
      <c r="O538" s="271">
        <v>1.819</v>
      </c>
      <c r="P538" s="538"/>
      <c r="Q538" s="271">
        <v>0</v>
      </c>
    </row>
    <row r="539" spans="1:17" ht="12.75" customHeight="1" x14ac:dyDescent="0.2">
      <c r="A539" s="6">
        <f>MAX(A$498:A538)+1</f>
        <v>25</v>
      </c>
      <c r="E539" s="38" t="s">
        <v>627</v>
      </c>
      <c r="F539" s="38"/>
      <c r="G539" s="252" t="s">
        <v>764</v>
      </c>
      <c r="I539" s="158">
        <v>3.2000000000000001E-2</v>
      </c>
      <c r="J539" s="125"/>
      <c r="K539" s="158">
        <v>-1.6088652927485039E-2</v>
      </c>
      <c r="L539" s="125"/>
      <c r="M539" s="158">
        <v>1.5911347072514962E-2</v>
      </c>
      <c r="O539" s="271">
        <v>1.5911347072514962E-2</v>
      </c>
      <c r="P539" s="538"/>
      <c r="Q539" s="271">
        <v>0</v>
      </c>
    </row>
    <row r="540" spans="1:17" ht="12.75" customHeight="1" x14ac:dyDescent="0.2">
      <c r="A540" s="6">
        <f>MAX(A$498:A539)+1</f>
        <v>26</v>
      </c>
      <c r="E540" s="38" t="s">
        <v>628</v>
      </c>
      <c r="F540" s="38"/>
      <c r="G540" s="252" t="s">
        <v>764</v>
      </c>
      <c r="I540" s="158">
        <v>0.152</v>
      </c>
      <c r="J540" s="125"/>
      <c r="K540" s="158">
        <v>-0.12813297939122756</v>
      </c>
      <c r="L540" s="125"/>
      <c r="M540" s="158">
        <v>2.3867020608772445E-2</v>
      </c>
      <c r="O540" s="271">
        <v>2.3867020608772445E-2</v>
      </c>
      <c r="P540" s="538"/>
      <c r="Q540" s="271">
        <v>0</v>
      </c>
    </row>
    <row r="541" spans="1:17" ht="12.75" customHeight="1" x14ac:dyDescent="0.2">
      <c r="A541" s="6"/>
      <c r="E541" s="273"/>
      <c r="F541" s="273"/>
      <c r="G541" s="252"/>
      <c r="H541" s="538"/>
      <c r="I541" s="158"/>
      <c r="J541" s="125"/>
      <c r="K541" s="158"/>
      <c r="L541" s="125"/>
      <c r="M541" s="158"/>
      <c r="O541" s="271"/>
      <c r="P541" s="538"/>
      <c r="Q541" s="271"/>
    </row>
    <row r="542" spans="1:17" ht="12.75" customHeight="1" x14ac:dyDescent="0.2">
      <c r="A542" s="6">
        <f>MAX(A$498:A541)+1</f>
        <v>27</v>
      </c>
      <c r="E542" s="14" t="s">
        <v>327</v>
      </c>
      <c r="F542" s="14"/>
      <c r="G542" s="8" t="s">
        <v>759</v>
      </c>
      <c r="I542" s="158" t="s">
        <v>537</v>
      </c>
      <c r="J542" s="276"/>
      <c r="K542" s="158" t="s">
        <v>938</v>
      </c>
      <c r="L542" s="272"/>
      <c r="M542" s="158" t="s">
        <v>537</v>
      </c>
      <c r="O542" s="271">
        <v>0</v>
      </c>
      <c r="P542" s="538"/>
      <c r="Q542" s="271" t="s">
        <v>537</v>
      </c>
    </row>
    <row r="543" spans="1:17" ht="12.75" customHeight="1" x14ac:dyDescent="0.2">
      <c r="A543" s="538"/>
      <c r="B543" s="538"/>
      <c r="C543" s="538"/>
      <c r="D543" s="538"/>
      <c r="E543" s="538"/>
      <c r="F543" s="538"/>
      <c r="G543" s="538"/>
      <c r="H543" s="538"/>
      <c r="I543" s="406"/>
      <c r="J543" s="539"/>
      <c r="K543" s="11"/>
      <c r="L543" s="539"/>
      <c r="M543" s="406"/>
      <c r="O543" s="211"/>
      <c r="Q543" s="211"/>
    </row>
    <row r="544" spans="1:17" ht="12.75" customHeight="1" x14ac:dyDescent="0.2">
      <c r="A544" s="6"/>
      <c r="B544" s="9"/>
      <c r="C544" s="1" t="s">
        <v>940</v>
      </c>
      <c r="D544" s="9"/>
      <c r="E544" s="9"/>
      <c r="F544" s="9"/>
      <c r="G544" s="6"/>
      <c r="H544" s="538"/>
      <c r="I544" s="406"/>
      <c r="J544" s="539"/>
      <c r="K544" s="11"/>
      <c r="L544" s="539"/>
      <c r="M544" s="406"/>
      <c r="O544" s="211"/>
      <c r="Q544" s="211"/>
    </row>
    <row r="545" spans="1:17" ht="12.75" customHeight="1" x14ac:dyDescent="0.2">
      <c r="A545" s="6"/>
      <c r="B545" s="9"/>
      <c r="C545" s="21"/>
      <c r="D545" s="9"/>
      <c r="E545" s="14" t="s">
        <v>789</v>
      </c>
      <c r="F545" s="538"/>
      <c r="G545" s="538"/>
      <c r="H545" s="538"/>
      <c r="I545" s="538"/>
      <c r="J545" s="276"/>
      <c r="K545" s="158"/>
      <c r="L545" s="272"/>
      <c r="M545" s="158"/>
      <c r="O545" s="271"/>
      <c r="P545" s="538"/>
      <c r="Q545" s="271"/>
    </row>
    <row r="546" spans="1:17" ht="12.75" customHeight="1" x14ac:dyDescent="0.2">
      <c r="A546" s="6">
        <f>MAX(A$498:A545)+1</f>
        <v>28</v>
      </c>
      <c r="B546" s="9"/>
      <c r="C546" s="21"/>
      <c r="D546" s="9"/>
      <c r="E546" s="38" t="s">
        <v>103</v>
      </c>
      <c r="F546" s="538"/>
      <c r="G546" s="8" t="s">
        <v>759</v>
      </c>
      <c r="H546" s="538"/>
      <c r="I546" s="158">
        <v>0.124</v>
      </c>
      <c r="J546" s="405" t="s">
        <v>277</v>
      </c>
      <c r="K546" s="158">
        <v>-1.0049628039815295E-2</v>
      </c>
      <c r="L546" s="272"/>
      <c r="M546" s="158">
        <v>0.1139503719601847</v>
      </c>
      <c r="N546" s="405" t="s">
        <v>277</v>
      </c>
      <c r="O546" s="271">
        <v>0.1139503719601847</v>
      </c>
      <c r="P546" s="538"/>
      <c r="Q546" s="271" t="s">
        <v>537</v>
      </c>
    </row>
    <row r="547" spans="1:17" ht="12.75" customHeight="1" x14ac:dyDescent="0.2">
      <c r="A547" s="6">
        <f>MAX(A$498:A546)+1</f>
        <v>29</v>
      </c>
      <c r="B547" s="9"/>
      <c r="C547" s="21"/>
      <c r="D547" s="9"/>
      <c r="E547" s="38" t="s">
        <v>801</v>
      </c>
      <c r="F547" s="538"/>
      <c r="G547" s="8" t="s">
        <v>759</v>
      </c>
      <c r="H547" s="538"/>
      <c r="I547" s="158">
        <v>0.105</v>
      </c>
      <c r="J547" s="405" t="s">
        <v>277</v>
      </c>
      <c r="K547" s="158">
        <v>-2.2434726297288529E-2</v>
      </c>
      <c r="L547" s="272"/>
      <c r="M547" s="158">
        <v>8.2565273702711467E-2</v>
      </c>
      <c r="N547" s="405" t="s">
        <v>277</v>
      </c>
      <c r="O547" s="271">
        <v>8.2565273702711467E-2</v>
      </c>
      <c r="P547" s="538"/>
      <c r="Q547" s="271" t="s">
        <v>537</v>
      </c>
    </row>
    <row r="548" spans="1:17" ht="12.75" customHeight="1" x14ac:dyDescent="0.2">
      <c r="A548" s="6">
        <f>MAX(A$498:A547)+1</f>
        <v>30</v>
      </c>
      <c r="B548" s="9"/>
      <c r="C548" s="21"/>
      <c r="D548" s="9"/>
      <c r="E548" s="38" t="s">
        <v>800</v>
      </c>
      <c r="F548" s="538"/>
      <c r="G548" s="8" t="s">
        <v>759</v>
      </c>
      <c r="H548" s="538"/>
      <c r="I548" s="158">
        <v>1.9E-2</v>
      </c>
      <c r="J548" s="405" t="s">
        <v>277</v>
      </c>
      <c r="K548" s="158">
        <v>2.6603537296241615E-2</v>
      </c>
      <c r="L548" s="125"/>
      <c r="M548" s="158">
        <v>4.5603537296241614E-2</v>
      </c>
      <c r="N548" s="405" t="s">
        <v>277</v>
      </c>
      <c r="O548" s="271">
        <v>4.5603537296241614E-2</v>
      </c>
      <c r="P548" s="538"/>
      <c r="Q548" s="271" t="s">
        <v>537</v>
      </c>
    </row>
    <row r="549" spans="1:17" ht="12.75" customHeight="1" x14ac:dyDescent="0.2">
      <c r="A549" s="6">
        <f>MAX(A$498:A548)+1</f>
        <v>31</v>
      </c>
      <c r="B549" s="9"/>
      <c r="C549" s="21"/>
      <c r="D549" s="9"/>
      <c r="E549" s="38" t="s">
        <v>799</v>
      </c>
      <c r="F549" s="538"/>
      <c r="G549" s="8" t="s">
        <v>759</v>
      </c>
      <c r="H549" s="538"/>
      <c r="I549" s="158">
        <v>0.124</v>
      </c>
      <c r="J549" s="405" t="s">
        <v>277</v>
      </c>
      <c r="K549" s="158">
        <v>-1.0049628039815295E-2</v>
      </c>
      <c r="L549" s="125"/>
      <c r="M549" s="158">
        <v>0.1139503719601847</v>
      </c>
      <c r="N549" s="405" t="s">
        <v>277</v>
      </c>
      <c r="O549" s="271">
        <v>0.1139503719601847</v>
      </c>
      <c r="P549" s="538"/>
      <c r="Q549" s="271" t="s">
        <v>537</v>
      </c>
    </row>
    <row r="550" spans="1:17" ht="12.75" customHeight="1" x14ac:dyDescent="0.2">
      <c r="A550" s="6">
        <f>MAX(A$498:A549)+1</f>
        <v>32</v>
      </c>
      <c r="B550" s="9"/>
      <c r="C550" s="21"/>
      <c r="D550" s="9"/>
      <c r="E550" s="38" t="s">
        <v>798</v>
      </c>
      <c r="F550" s="538"/>
      <c r="G550" s="8" t="s">
        <v>759</v>
      </c>
      <c r="H550" s="538"/>
      <c r="I550" s="158">
        <v>0.124</v>
      </c>
      <c r="J550" s="405" t="s">
        <v>277</v>
      </c>
      <c r="K550" s="158">
        <v>-1.0049628039815295E-2</v>
      </c>
      <c r="L550" s="125"/>
      <c r="M550" s="158">
        <v>0.1139503719601847</v>
      </c>
      <c r="N550" s="405" t="s">
        <v>277</v>
      </c>
      <c r="O550" s="271">
        <v>0.1139503719601847</v>
      </c>
      <c r="P550" s="538"/>
      <c r="Q550" s="271" t="s">
        <v>537</v>
      </c>
    </row>
    <row r="551" spans="1:17" ht="12.75" customHeight="1" x14ac:dyDescent="0.2">
      <c r="A551" s="6">
        <f>MAX(A$498:A550)+1</f>
        <v>33</v>
      </c>
      <c r="B551" s="9"/>
      <c r="C551" s="21"/>
      <c r="D551" s="9"/>
      <c r="E551" s="38" t="s">
        <v>797</v>
      </c>
      <c r="F551" s="538"/>
      <c r="G551" s="8" t="s">
        <v>759</v>
      </c>
      <c r="H551" s="538"/>
      <c r="I551" s="158">
        <v>5.1999999999999998E-2</v>
      </c>
      <c r="J551" s="405" t="s">
        <v>277</v>
      </c>
      <c r="K551" s="158">
        <v>-7.9567350000099776E-3</v>
      </c>
      <c r="L551" s="125"/>
      <c r="M551" s="158">
        <v>4.404326499999002E-2</v>
      </c>
      <c r="N551" s="405" t="s">
        <v>277</v>
      </c>
      <c r="O551" s="271">
        <v>4.404326499999002E-2</v>
      </c>
      <c r="P551" s="538"/>
      <c r="Q551" s="271" t="s">
        <v>537</v>
      </c>
    </row>
    <row r="552" spans="1:17" ht="12.75" customHeight="1" x14ac:dyDescent="0.2">
      <c r="A552" s="6">
        <f>MAX(A$498:A551)+1</f>
        <v>34</v>
      </c>
      <c r="B552" s="9"/>
      <c r="C552" s="21"/>
      <c r="D552" s="9"/>
      <c r="E552" s="38" t="s">
        <v>796</v>
      </c>
      <c r="F552" s="538"/>
      <c r="G552" s="8" t="s">
        <v>759</v>
      </c>
      <c r="H552" s="538"/>
      <c r="I552" s="158">
        <v>7.5999999999999998E-2</v>
      </c>
      <c r="J552" s="405" t="s">
        <v>277</v>
      </c>
      <c r="K552" s="158">
        <v>0.14230596933216555</v>
      </c>
      <c r="L552" s="125"/>
      <c r="M552" s="158">
        <v>0.21830596933216556</v>
      </c>
      <c r="N552" s="405" t="s">
        <v>277</v>
      </c>
      <c r="O552" s="271">
        <v>0.21830596933216556</v>
      </c>
      <c r="P552" s="538"/>
      <c r="Q552" s="271" t="s">
        <v>537</v>
      </c>
    </row>
    <row r="553" spans="1:17" ht="12.75" customHeight="1" x14ac:dyDescent="0.2">
      <c r="A553" s="6">
        <f>MAX(A$498:A552)+1</f>
        <v>35</v>
      </c>
      <c r="B553" s="9"/>
      <c r="C553" s="21"/>
      <c r="D553" s="9"/>
      <c r="E553" s="38" t="s">
        <v>795</v>
      </c>
      <c r="F553" s="538"/>
      <c r="G553" s="8" t="s">
        <v>759</v>
      </c>
      <c r="H553" s="538"/>
      <c r="I553" s="158">
        <v>7.5999999999999998E-2</v>
      </c>
      <c r="J553" s="405" t="s">
        <v>277</v>
      </c>
      <c r="K553" s="158">
        <v>-1.6190145388447791E-2</v>
      </c>
      <c r="L553" s="125"/>
      <c r="M553" s="158">
        <v>5.9809854611552207E-2</v>
      </c>
      <c r="N553" s="405" t="s">
        <v>277</v>
      </c>
      <c r="O553" s="271">
        <v>5.9809854611552207E-2</v>
      </c>
      <c r="P553" s="538"/>
      <c r="Q553" s="271" t="s">
        <v>537</v>
      </c>
    </row>
    <row r="554" spans="1:17" ht="12.75" customHeight="1" x14ac:dyDescent="0.2">
      <c r="A554" s="6">
        <f>MAX(A$498:A553)+1</f>
        <v>36</v>
      </c>
      <c r="B554" s="9"/>
      <c r="C554" s="21"/>
      <c r="D554" s="9"/>
      <c r="E554" s="38" t="s">
        <v>794</v>
      </c>
      <c r="F554" s="538"/>
      <c r="G554" s="8" t="s">
        <v>759</v>
      </c>
      <c r="H554" s="538"/>
      <c r="I554" s="158">
        <v>1E-3</v>
      </c>
      <c r="J554" s="405" t="s">
        <v>277</v>
      </c>
      <c r="K554" s="158">
        <v>-4.7688721953375462E-4</v>
      </c>
      <c r="L554" s="125"/>
      <c r="M554" s="158">
        <v>5.231127804662454E-4</v>
      </c>
      <c r="N554" s="405" t="s">
        <v>277</v>
      </c>
      <c r="O554" s="271">
        <v>5.231127804662454E-4</v>
      </c>
      <c r="P554" s="538"/>
      <c r="Q554" s="271" t="s">
        <v>537</v>
      </c>
    </row>
    <row r="555" spans="1:17" ht="12.75" customHeight="1" x14ac:dyDescent="0.2">
      <c r="A555" s="6">
        <f>MAX(A$498:A554)+1</f>
        <v>37</v>
      </c>
      <c r="B555" s="9"/>
      <c r="C555" s="21"/>
      <c r="D555" s="9"/>
      <c r="E555" s="38" t="s">
        <v>793</v>
      </c>
      <c r="F555" s="538"/>
      <c r="G555" s="8" t="s">
        <v>759</v>
      </c>
      <c r="H555" s="538"/>
      <c r="I555" s="158">
        <v>5.0000000000000001E-3</v>
      </c>
      <c r="J555" s="405" t="s">
        <v>277</v>
      </c>
      <c r="K555" s="158">
        <v>-4.2153308293006323E-3</v>
      </c>
      <c r="L555" s="125"/>
      <c r="M555" s="158">
        <v>7.8466917069936815E-4</v>
      </c>
      <c r="N555" s="405" t="s">
        <v>277</v>
      </c>
      <c r="O555" s="271">
        <v>7.8466917069936815E-4</v>
      </c>
      <c r="P555" s="538"/>
      <c r="Q555" s="271" t="s">
        <v>537</v>
      </c>
    </row>
    <row r="556" spans="1:17" ht="12.75" customHeight="1" x14ac:dyDescent="0.2">
      <c r="A556" s="6"/>
      <c r="B556" s="9"/>
      <c r="C556" s="21"/>
      <c r="D556" s="9"/>
      <c r="E556" s="38"/>
      <c r="F556" s="538"/>
      <c r="G556" s="8"/>
      <c r="H556" s="538"/>
      <c r="I556" s="158"/>
      <c r="J556" s="125"/>
      <c r="K556" s="158"/>
      <c r="L556" s="125"/>
      <c r="M556" s="158"/>
      <c r="O556" s="271"/>
      <c r="P556" s="538"/>
      <c r="Q556" s="271"/>
    </row>
    <row r="557" spans="1:17" ht="12.75" customHeight="1" x14ac:dyDescent="0.2">
      <c r="A557" s="6"/>
      <c r="C557" s="1" t="s">
        <v>343</v>
      </c>
      <c r="E557" s="538"/>
      <c r="F557" s="538"/>
      <c r="G557" s="538"/>
      <c r="I557" s="125"/>
      <c r="J557" s="125"/>
      <c r="K557" s="125"/>
      <c r="L557" s="125"/>
      <c r="M557" s="125"/>
      <c r="N557" s="538"/>
      <c r="O557" s="538"/>
      <c r="P557" s="538"/>
      <c r="Q557" s="538"/>
    </row>
    <row r="558" spans="1:17" ht="12.75" customHeight="1" x14ac:dyDescent="0.2">
      <c r="E558" s="14" t="s">
        <v>328</v>
      </c>
      <c r="F558" s="14"/>
      <c r="G558" s="8" t="s">
        <v>767</v>
      </c>
      <c r="I558" s="253">
        <v>1047.53</v>
      </c>
      <c r="J558" s="121"/>
      <c r="K558" s="253">
        <v>-578.33999999999992</v>
      </c>
      <c r="L558" s="125"/>
      <c r="M558" s="253">
        <v>469.19</v>
      </c>
      <c r="N558" s="125"/>
      <c r="O558" s="253">
        <v>469.19</v>
      </c>
      <c r="P558" s="399"/>
      <c r="Q558" s="253">
        <v>0</v>
      </c>
    </row>
    <row r="559" spans="1:17" ht="12.75" customHeight="1" x14ac:dyDescent="0.2">
      <c r="A559" s="6">
        <f>MAX(A$498:A558)+1</f>
        <v>38</v>
      </c>
      <c r="E559" s="14" t="s">
        <v>329</v>
      </c>
      <c r="F559" s="14"/>
      <c r="G559" s="8" t="s">
        <v>767</v>
      </c>
      <c r="I559" s="253">
        <v>1047.53</v>
      </c>
      <c r="J559" s="121"/>
      <c r="K559" s="253">
        <v>14.049999999999955</v>
      </c>
      <c r="L559" s="125"/>
      <c r="M559" s="253">
        <v>1061.58</v>
      </c>
      <c r="N559" s="125"/>
      <c r="O559" s="253">
        <v>1061.58</v>
      </c>
      <c r="P559" s="399"/>
      <c r="Q559" s="253">
        <v>0</v>
      </c>
    </row>
    <row r="560" spans="1:17" ht="12.75" customHeight="1" x14ac:dyDescent="0.2">
      <c r="A560" s="6">
        <f>MAX(A$498:A559)+1</f>
        <v>39</v>
      </c>
      <c r="E560" s="269" t="s">
        <v>330</v>
      </c>
      <c r="F560" s="269"/>
      <c r="G560" s="8" t="s">
        <v>759</v>
      </c>
      <c r="I560" s="158">
        <v>3.7999999999999999E-2</v>
      </c>
      <c r="J560" s="125"/>
      <c r="K560" s="158">
        <v>5.9999999999999984E-3</v>
      </c>
      <c r="L560" s="125"/>
      <c r="M560" s="158">
        <v>4.3999999999999997E-2</v>
      </c>
      <c r="N560" s="538"/>
      <c r="O560" s="271">
        <v>4.3999999999999997E-2</v>
      </c>
      <c r="P560" s="538"/>
      <c r="Q560" s="271">
        <v>0</v>
      </c>
    </row>
    <row r="561" spans="1:17" ht="12.75" customHeight="1" x14ac:dyDescent="0.2">
      <c r="A561" s="6">
        <f>MAX(A$498:A560)+1</f>
        <v>40</v>
      </c>
      <c r="E561" s="269" t="s">
        <v>792</v>
      </c>
      <c r="F561" s="269"/>
      <c r="G561" s="8" t="s">
        <v>759</v>
      </c>
      <c r="I561" s="158">
        <v>8.9999999999999993E-3</v>
      </c>
      <c r="J561" s="276"/>
      <c r="K561" s="158">
        <v>1.6687282301356132E-2</v>
      </c>
      <c r="L561" s="272"/>
      <c r="M561" s="158">
        <v>2.568728230135613E-2</v>
      </c>
      <c r="N561" s="538"/>
      <c r="O561" s="271">
        <v>0</v>
      </c>
      <c r="P561" s="538"/>
      <c r="Q561" s="404">
        <v>2.568728230135613E-2</v>
      </c>
    </row>
    <row r="562" spans="1:17" ht="12.75" customHeight="1" x14ac:dyDescent="0.2">
      <c r="A562" s="6">
        <f>MAX(A$498:A561)+1</f>
        <v>41</v>
      </c>
      <c r="E562" s="269" t="s">
        <v>791</v>
      </c>
      <c r="F562" s="269"/>
      <c r="G562" s="8" t="s">
        <v>759</v>
      </c>
      <c r="I562" s="158" t="s">
        <v>537</v>
      </c>
      <c r="J562" s="125"/>
      <c r="K562" s="158" t="s">
        <v>938</v>
      </c>
      <c r="L562" s="125"/>
      <c r="M562" s="198" t="s">
        <v>537</v>
      </c>
      <c r="N562" s="538"/>
      <c r="O562" s="271">
        <v>0</v>
      </c>
      <c r="P562" s="538"/>
      <c r="Q562" s="271" t="s">
        <v>537</v>
      </c>
    </row>
    <row r="563" spans="1:17" ht="12.75" customHeight="1" x14ac:dyDescent="0.2">
      <c r="A563" s="6"/>
      <c r="C563" s="538"/>
      <c r="D563" s="538"/>
      <c r="E563" s="14"/>
      <c r="F563" s="14"/>
      <c r="G563" s="14"/>
      <c r="H563" s="538"/>
      <c r="I563" s="158"/>
      <c r="J563" s="540"/>
      <c r="K563" s="158"/>
      <c r="L563" s="540"/>
      <c r="M563" s="158"/>
      <c r="N563" s="538"/>
      <c r="O563" s="538"/>
      <c r="P563" s="538"/>
      <c r="Q563" s="538"/>
    </row>
    <row r="564" spans="1:17" ht="12.75" customHeight="1" x14ac:dyDescent="0.2">
      <c r="A564" s="6">
        <f>MAX(A$498:A563)+1</f>
        <v>42</v>
      </c>
      <c r="C564" s="538"/>
      <c r="D564" s="538"/>
      <c r="E564" s="56" t="s">
        <v>790</v>
      </c>
      <c r="F564" s="56"/>
      <c r="G564" s="8" t="s">
        <v>759</v>
      </c>
      <c r="H564" s="538"/>
      <c r="I564" s="158">
        <v>0.124</v>
      </c>
      <c r="J564" s="540"/>
      <c r="K564" s="158">
        <v>5.7864418130258444E-3</v>
      </c>
      <c r="L564" s="540"/>
      <c r="M564" s="158">
        <v>0.12978644181302584</v>
      </c>
      <c r="N564" s="538"/>
      <c r="O564" s="271">
        <v>0.10409915951166972</v>
      </c>
      <c r="P564" s="404"/>
      <c r="Q564" s="404">
        <v>2.568728230135613E-2</v>
      </c>
    </row>
    <row r="565" spans="1:17" ht="12.75" customHeight="1" x14ac:dyDescent="0.2">
      <c r="A565" s="6">
        <f>MAX(A$498:A564)+1</f>
        <v>43</v>
      </c>
      <c r="C565" s="538"/>
      <c r="D565" s="538"/>
      <c r="E565" s="56" t="s">
        <v>789</v>
      </c>
      <c r="F565" s="56"/>
      <c r="G565" s="8" t="s">
        <v>759</v>
      </c>
      <c r="H565" s="538"/>
      <c r="I565" s="158">
        <v>0.115</v>
      </c>
      <c r="J565" s="405" t="s">
        <v>277</v>
      </c>
      <c r="K565" s="158">
        <v>-1.0900840488330288E-2</v>
      </c>
      <c r="L565" s="540"/>
      <c r="M565" s="158">
        <v>0.10409915951166972</v>
      </c>
      <c r="N565" s="405" t="s">
        <v>277</v>
      </c>
      <c r="O565" s="271">
        <v>0.10409915951166972</v>
      </c>
      <c r="P565" s="538"/>
      <c r="Q565" s="271" t="s">
        <v>537</v>
      </c>
    </row>
    <row r="566" spans="1:17" ht="12.75" customHeight="1" x14ac:dyDescent="0.2">
      <c r="A566" s="538"/>
      <c r="B566" s="538"/>
      <c r="C566" s="538"/>
      <c r="D566" s="538"/>
      <c r="E566" s="538"/>
      <c r="F566" s="538"/>
      <c r="G566" s="538"/>
      <c r="H566" s="538"/>
      <c r="I566" s="538"/>
      <c r="J566" s="538"/>
      <c r="K566" s="538"/>
      <c r="L566" s="538"/>
      <c r="M566" s="538"/>
      <c r="N566" s="538"/>
      <c r="O566" s="538"/>
      <c r="P566" s="538"/>
      <c r="Q566" s="538"/>
    </row>
    <row r="567" spans="1:17" ht="12.75" customHeight="1" x14ac:dyDescent="0.2">
      <c r="A567" s="4" t="s">
        <v>804</v>
      </c>
      <c r="B567" s="537"/>
      <c r="C567" s="537"/>
      <c r="D567" s="537"/>
      <c r="E567" s="537"/>
      <c r="F567" s="537"/>
      <c r="G567" s="537"/>
      <c r="H567" s="537"/>
      <c r="I567" s="537"/>
      <c r="J567" s="537"/>
      <c r="K567" s="537"/>
      <c r="L567" s="537"/>
      <c r="M567" s="537"/>
      <c r="N567" s="3"/>
      <c r="O567" s="537"/>
      <c r="P567" s="537"/>
      <c r="Q567" s="537"/>
    </row>
    <row r="568" spans="1:17" ht="12.75" customHeight="1" x14ac:dyDescent="0.2">
      <c r="A568" s="4" t="s">
        <v>939</v>
      </c>
      <c r="B568" s="537"/>
      <c r="C568" s="537"/>
      <c r="D568" s="537"/>
      <c r="E568" s="537"/>
      <c r="F568" s="537"/>
      <c r="G568" s="537"/>
      <c r="H568" s="537"/>
      <c r="I568" s="537"/>
      <c r="J568" s="537"/>
      <c r="K568" s="537"/>
      <c r="L568" s="537"/>
      <c r="M568" s="537"/>
      <c r="N568" s="3"/>
      <c r="O568" s="537"/>
      <c r="P568" s="537"/>
      <c r="Q568" s="537"/>
    </row>
    <row r="569" spans="1:17" ht="12.75" customHeight="1" x14ac:dyDescent="0.2">
      <c r="A569" s="541"/>
      <c r="B569" s="537"/>
      <c r="C569" s="537"/>
      <c r="D569" s="537"/>
      <c r="E569" s="537"/>
      <c r="F569" s="537"/>
      <c r="G569" s="537"/>
      <c r="H569" s="537"/>
      <c r="I569" s="540"/>
      <c r="J569" s="540"/>
      <c r="K569" s="540"/>
      <c r="L569" s="540"/>
      <c r="M569" s="540"/>
      <c r="O569" s="538"/>
      <c r="P569" s="538"/>
      <c r="Q569" s="538"/>
    </row>
    <row r="570" spans="1:17" ht="12.75" customHeight="1" x14ac:dyDescent="0.2">
      <c r="I570" s="523"/>
      <c r="J570" s="538"/>
      <c r="K570" s="538"/>
      <c r="L570" s="538"/>
      <c r="M570" s="523"/>
      <c r="O570" s="553" t="s">
        <v>398</v>
      </c>
      <c r="P570" s="553"/>
      <c r="Q570" s="553"/>
    </row>
    <row r="571" spans="1:17" ht="12.75" customHeight="1" x14ac:dyDescent="0.2">
      <c r="I571" s="538"/>
      <c r="J571" s="21"/>
      <c r="K571" s="3"/>
      <c r="M571" s="538"/>
      <c r="O571" s="554"/>
      <c r="P571" s="554"/>
      <c r="Q571" s="554"/>
    </row>
    <row r="572" spans="1:17" ht="12.75" customHeight="1" x14ac:dyDescent="0.2">
      <c r="A572" s="24" t="s">
        <v>0</v>
      </c>
      <c r="B572" s="24"/>
      <c r="C572" s="24" t="s">
        <v>349</v>
      </c>
      <c r="D572" s="24"/>
      <c r="E572" s="24"/>
      <c r="F572" s="24"/>
      <c r="G572" s="24"/>
      <c r="I572" s="2" t="s">
        <v>238</v>
      </c>
      <c r="J572" s="24"/>
      <c r="K572" s="539" t="s">
        <v>770</v>
      </c>
      <c r="L572" s="24"/>
      <c r="M572" s="2" t="s">
        <v>80</v>
      </c>
      <c r="O572" s="523"/>
      <c r="P572" s="523"/>
      <c r="Q572" s="523"/>
    </row>
    <row r="573" spans="1:17" ht="12.75" customHeight="1" x14ac:dyDescent="0.2">
      <c r="A573" s="519" t="s">
        <v>1</v>
      </c>
      <c r="B573" s="9"/>
      <c r="C573" s="519" t="s">
        <v>778</v>
      </c>
      <c r="D573" s="9"/>
      <c r="E573" s="10" t="s">
        <v>33</v>
      </c>
      <c r="F573" s="9"/>
      <c r="G573" s="519" t="s">
        <v>48</v>
      </c>
      <c r="H573" s="538"/>
      <c r="I573" s="519" t="s">
        <v>236</v>
      </c>
      <c r="K573" s="37" t="s">
        <v>361</v>
      </c>
      <c r="M573" s="25" t="s">
        <v>62</v>
      </c>
      <c r="O573" s="210" t="s">
        <v>397</v>
      </c>
      <c r="Q573" s="210" t="s">
        <v>262</v>
      </c>
    </row>
    <row r="574" spans="1:17" ht="12.75" customHeight="1" x14ac:dyDescent="0.2">
      <c r="A574" s="538"/>
      <c r="B574" s="538"/>
      <c r="C574" s="538"/>
      <c r="D574" s="538"/>
      <c r="E574" s="538"/>
      <c r="F574" s="538"/>
      <c r="G574" s="538"/>
      <c r="H574" s="538"/>
      <c r="I574" s="406" t="s">
        <v>3</v>
      </c>
      <c r="J574" s="539"/>
      <c r="K574" s="11" t="s">
        <v>235</v>
      </c>
      <c r="L574" s="539"/>
      <c r="M574" s="406" t="s">
        <v>119</v>
      </c>
      <c r="O574" s="211" t="s">
        <v>263</v>
      </c>
      <c r="Q574" s="211" t="s">
        <v>63</v>
      </c>
    </row>
    <row r="575" spans="1:17" ht="12.75" customHeight="1" x14ac:dyDescent="0.2">
      <c r="C575" s="538"/>
      <c r="D575" s="538"/>
      <c r="E575" s="538"/>
      <c r="F575" s="538"/>
      <c r="G575" s="538"/>
      <c r="I575" s="125"/>
      <c r="J575" s="125"/>
      <c r="K575" s="125"/>
      <c r="L575" s="125"/>
      <c r="M575" s="125"/>
      <c r="N575" s="538"/>
      <c r="O575" s="538"/>
      <c r="P575" s="538"/>
      <c r="Q575" s="538"/>
    </row>
    <row r="576" spans="1:17" ht="12.75" customHeight="1" x14ac:dyDescent="0.2">
      <c r="A576" s="6"/>
      <c r="C576" s="1" t="s">
        <v>41</v>
      </c>
      <c r="D576" s="538"/>
      <c r="E576" s="538"/>
      <c r="F576" s="538"/>
      <c r="G576" s="538"/>
      <c r="I576" s="125"/>
      <c r="J576" s="540"/>
      <c r="K576" s="540"/>
      <c r="L576" s="540"/>
      <c r="M576" s="540"/>
      <c r="N576" s="538"/>
      <c r="O576" s="538"/>
      <c r="P576" s="538"/>
      <c r="Q576" s="538"/>
    </row>
    <row r="577" spans="1:17" ht="12.75" customHeight="1" x14ac:dyDescent="0.2">
      <c r="A577" s="6">
        <f>MAX(A$498:A576)+1</f>
        <v>44</v>
      </c>
      <c r="C577" s="538"/>
      <c r="D577" s="538"/>
      <c r="E577" s="269" t="s">
        <v>115</v>
      </c>
      <c r="F577" s="269"/>
      <c r="G577" s="8" t="s">
        <v>767</v>
      </c>
      <c r="I577" s="253">
        <v>1666.51</v>
      </c>
      <c r="J577" s="121"/>
      <c r="K577" s="253">
        <v>2.5899999999999181</v>
      </c>
      <c r="L577" s="125"/>
      <c r="M577" s="253">
        <v>1669.1</v>
      </c>
      <c r="N577" s="125"/>
      <c r="O577" s="253">
        <v>1669.1</v>
      </c>
      <c r="P577" s="399"/>
      <c r="Q577" s="253">
        <v>0</v>
      </c>
    </row>
    <row r="578" spans="1:17" ht="12.75" customHeight="1" x14ac:dyDescent="0.2">
      <c r="A578" s="6"/>
      <c r="C578" s="538"/>
      <c r="D578" s="538"/>
      <c r="E578" s="269" t="s">
        <v>259</v>
      </c>
      <c r="F578" s="269"/>
      <c r="G578" s="269"/>
      <c r="H578" s="538"/>
      <c r="I578" s="540"/>
      <c r="J578" s="540"/>
      <c r="K578" s="540"/>
      <c r="L578" s="540"/>
      <c r="M578" s="540"/>
      <c r="N578" s="538"/>
      <c r="O578" s="538"/>
      <c r="P578" s="538"/>
      <c r="Q578" s="538"/>
    </row>
    <row r="579" spans="1:17" ht="12.75" customHeight="1" x14ac:dyDescent="0.2">
      <c r="A579" s="6">
        <f>MAX(A$498:A578)+1</f>
        <v>45</v>
      </c>
      <c r="C579" s="538"/>
      <c r="D579" s="538"/>
      <c r="E579" s="270" t="s">
        <v>332</v>
      </c>
      <c r="F579" s="270"/>
      <c r="G579" s="252" t="s">
        <v>764</v>
      </c>
      <c r="H579" s="538"/>
      <c r="I579" s="158">
        <v>0.84199999999999997</v>
      </c>
      <c r="J579" s="540"/>
      <c r="K579" s="158">
        <v>0.23601329036603069</v>
      </c>
      <c r="L579" s="540"/>
      <c r="M579" s="158">
        <v>1.0780132903660307</v>
      </c>
      <c r="N579" s="538"/>
      <c r="O579" s="404">
        <v>1.0780132903660307</v>
      </c>
      <c r="P579" s="538"/>
      <c r="Q579" s="271">
        <v>0</v>
      </c>
    </row>
    <row r="580" spans="1:17" ht="12.75" customHeight="1" x14ac:dyDescent="0.2">
      <c r="A580" s="6">
        <f>MAX(A$498:A579)+1</f>
        <v>46</v>
      </c>
      <c r="C580" s="538"/>
      <c r="D580" s="538"/>
      <c r="E580" s="270" t="s">
        <v>331</v>
      </c>
      <c r="F580" s="270"/>
      <c r="G580" s="252" t="s">
        <v>764</v>
      </c>
      <c r="I580" s="158">
        <v>2.3260000000000001</v>
      </c>
      <c r="J580" s="540"/>
      <c r="K580" s="158">
        <v>-0.50678358889862052</v>
      </c>
      <c r="L580" s="540"/>
      <c r="M580" s="158">
        <v>1.8192164111013795</v>
      </c>
      <c r="N580" s="538"/>
      <c r="O580" s="404">
        <v>1.8192164111013795</v>
      </c>
      <c r="P580" s="538"/>
      <c r="Q580" s="271">
        <v>0</v>
      </c>
    </row>
    <row r="581" spans="1:17" ht="12.75" customHeight="1" x14ac:dyDescent="0.2">
      <c r="A581" s="6">
        <f>MAX(A$498:A580)+1</f>
        <v>47</v>
      </c>
      <c r="B581" s="538"/>
      <c r="C581" s="538"/>
      <c r="D581" s="538"/>
      <c r="E581" s="269" t="s">
        <v>116</v>
      </c>
      <c r="F581" s="269"/>
      <c r="G581" s="8" t="s">
        <v>759</v>
      </c>
      <c r="I581" s="158">
        <v>3.7999999999999999E-2</v>
      </c>
      <c r="J581" s="540"/>
      <c r="K581" s="158">
        <v>5.9999999999999984E-3</v>
      </c>
      <c r="L581" s="540"/>
      <c r="M581" s="158">
        <v>4.3999999999999997E-2</v>
      </c>
      <c r="N581" s="538"/>
      <c r="O581" s="271">
        <v>4.3999999999999997E-2</v>
      </c>
      <c r="P581" s="538"/>
      <c r="Q581" s="271">
        <v>0</v>
      </c>
    </row>
    <row r="582" spans="1:17" ht="12.75" customHeight="1" x14ac:dyDescent="0.2">
      <c r="A582" s="6"/>
      <c r="B582" s="538"/>
      <c r="C582" s="538"/>
      <c r="D582" s="538"/>
      <c r="E582" s="269" t="s">
        <v>333</v>
      </c>
      <c r="F582" s="269"/>
      <c r="G582" s="269"/>
      <c r="H582" s="538"/>
      <c r="I582" s="540"/>
      <c r="J582" s="540"/>
      <c r="K582" s="540"/>
      <c r="L582" s="540"/>
      <c r="M582" s="540"/>
      <c r="N582" s="538"/>
      <c r="O582" s="538"/>
      <c r="P582" s="538"/>
      <c r="Q582" s="540"/>
    </row>
    <row r="583" spans="1:17" ht="12.75" customHeight="1" x14ac:dyDescent="0.2">
      <c r="A583" s="6">
        <f>MAX(A$498:A582)+1</f>
        <v>48</v>
      </c>
      <c r="B583" s="538"/>
      <c r="C583" s="538"/>
      <c r="D583" s="538"/>
      <c r="E583" s="270" t="s">
        <v>336</v>
      </c>
      <c r="F583" s="270"/>
      <c r="G583" s="8" t="s">
        <v>759</v>
      </c>
      <c r="H583" s="538"/>
      <c r="I583" s="158">
        <v>8.9999999999999993E-3</v>
      </c>
      <c r="J583" s="540"/>
      <c r="K583" s="158">
        <v>1.7000000000000001E-2</v>
      </c>
      <c r="L583" s="540"/>
      <c r="M583" s="158">
        <v>2.5999999999999999E-2</v>
      </c>
      <c r="N583" s="538"/>
      <c r="O583" s="271">
        <v>0</v>
      </c>
      <c r="P583" s="538"/>
      <c r="Q583" s="271">
        <v>2.5999999999999999E-2</v>
      </c>
    </row>
    <row r="584" spans="1:17" ht="12.75" customHeight="1" x14ac:dyDescent="0.2">
      <c r="A584" s="6">
        <f>MAX(A$498:A583)+1</f>
        <v>49</v>
      </c>
      <c r="B584" s="538"/>
      <c r="C584" s="538"/>
      <c r="D584" s="538"/>
      <c r="E584" s="270" t="s">
        <v>337</v>
      </c>
      <c r="F584" s="270"/>
      <c r="G584" s="8" t="s">
        <v>759</v>
      </c>
      <c r="H584" s="538"/>
      <c r="I584" s="158">
        <v>8.9999999999999993E-3</v>
      </c>
      <c r="J584" s="540"/>
      <c r="K584" s="158">
        <v>1.7000000000000001E-2</v>
      </c>
      <c r="L584" s="540"/>
      <c r="M584" s="158">
        <v>2.5999999999999999E-2</v>
      </c>
      <c r="N584" s="538"/>
      <c r="O584" s="271">
        <v>0</v>
      </c>
      <c r="P584" s="538"/>
      <c r="Q584" s="271">
        <v>2.5999999999999999E-2</v>
      </c>
    </row>
    <row r="585" spans="1:17" ht="12.75" customHeight="1" x14ac:dyDescent="0.2">
      <c r="A585" s="6">
        <f>MAX(A$498:A584)+1</f>
        <v>50</v>
      </c>
      <c r="B585" s="538"/>
      <c r="C585" s="538"/>
      <c r="D585" s="538"/>
      <c r="E585" s="270" t="s">
        <v>338</v>
      </c>
      <c r="F585" s="270"/>
      <c r="G585" s="8" t="s">
        <v>759</v>
      </c>
      <c r="I585" s="158" t="s">
        <v>537</v>
      </c>
      <c r="J585" s="540"/>
      <c r="K585" s="158" t="s">
        <v>938</v>
      </c>
      <c r="L585" s="540"/>
      <c r="M585" s="158" t="s">
        <v>537</v>
      </c>
      <c r="N585" s="538"/>
      <c r="O585" s="271">
        <v>0</v>
      </c>
      <c r="P585" s="538"/>
      <c r="Q585" s="271" t="s">
        <v>537</v>
      </c>
    </row>
    <row r="586" spans="1:17" ht="12.75" customHeight="1" x14ac:dyDescent="0.2">
      <c r="A586" s="6">
        <f>MAX(A$498:A585)+1</f>
        <v>51</v>
      </c>
      <c r="B586" s="538"/>
      <c r="C586" s="538"/>
      <c r="D586" s="538"/>
      <c r="E586" s="270" t="s">
        <v>339</v>
      </c>
      <c r="F586" s="270"/>
      <c r="G586" s="8" t="s">
        <v>759</v>
      </c>
      <c r="I586" s="158" t="s">
        <v>537</v>
      </c>
      <c r="J586" s="540"/>
      <c r="K586" s="158" t="s">
        <v>938</v>
      </c>
      <c r="L586" s="540"/>
      <c r="M586" s="158" t="s">
        <v>537</v>
      </c>
      <c r="N586" s="538"/>
      <c r="O586" s="271">
        <v>0</v>
      </c>
      <c r="P586" s="538"/>
      <c r="Q586" s="271" t="s">
        <v>537</v>
      </c>
    </row>
    <row r="587" spans="1:17" ht="12.75" customHeight="1" x14ac:dyDescent="0.2">
      <c r="A587" s="538"/>
      <c r="B587" s="538"/>
      <c r="C587" s="538"/>
      <c r="D587" s="538"/>
      <c r="E587" s="269" t="s">
        <v>340</v>
      </c>
      <c r="F587" s="269"/>
      <c r="G587" s="269"/>
      <c r="I587" s="540"/>
      <c r="J587" s="540"/>
      <c r="K587" s="540"/>
      <c r="L587" s="540"/>
      <c r="M587" s="158"/>
      <c r="N587" s="538"/>
      <c r="O587" s="538"/>
      <c r="P587" s="538"/>
      <c r="Q587" s="538"/>
    </row>
    <row r="588" spans="1:17" ht="12.75" customHeight="1" x14ac:dyDescent="0.2">
      <c r="A588" s="6">
        <f>MAX(A$498:A587)+1</f>
        <v>52</v>
      </c>
      <c r="B588" s="538"/>
      <c r="C588" s="538"/>
      <c r="D588" s="538"/>
      <c r="E588" s="270" t="s">
        <v>336</v>
      </c>
      <c r="F588" s="270"/>
      <c r="G588" s="8" t="s">
        <v>759</v>
      </c>
      <c r="I588" s="158">
        <v>1.0999999999999999E-2</v>
      </c>
      <c r="J588" s="540"/>
      <c r="K588" s="158">
        <v>1.4999999999999999E-2</v>
      </c>
      <c r="L588" s="540"/>
      <c r="M588" s="158">
        <v>2.5999999999999999E-2</v>
      </c>
      <c r="N588" s="538"/>
      <c r="O588" s="271">
        <v>0</v>
      </c>
      <c r="P588" s="538"/>
      <c r="Q588" s="271">
        <v>2.5999999999999999E-2</v>
      </c>
    </row>
    <row r="589" spans="1:17" ht="12.75" customHeight="1" x14ac:dyDescent="0.2">
      <c r="A589" s="6">
        <f>MAX(A$498:A588)+1</f>
        <v>53</v>
      </c>
      <c r="B589" s="538"/>
      <c r="C589" s="538"/>
      <c r="D589" s="538"/>
      <c r="E589" s="270" t="s">
        <v>337</v>
      </c>
      <c r="F589" s="270"/>
      <c r="G589" s="8" t="s">
        <v>759</v>
      </c>
      <c r="I589" s="158">
        <v>2.5999999999999999E-2</v>
      </c>
      <c r="J589" s="540"/>
      <c r="K589" s="158">
        <v>3.0000000000000002E-2</v>
      </c>
      <c r="L589" s="540"/>
      <c r="M589" s="158">
        <v>5.6000000000000001E-2</v>
      </c>
      <c r="N589" s="538"/>
      <c r="O589" s="271">
        <v>0</v>
      </c>
      <c r="P589" s="538"/>
      <c r="Q589" s="271">
        <v>5.6000000000000001E-2</v>
      </c>
    </row>
    <row r="590" spans="1:17" ht="12.75" customHeight="1" x14ac:dyDescent="0.2">
      <c r="A590" s="6">
        <f>MAX(A$498:A589)+1</f>
        <v>54</v>
      </c>
      <c r="B590" s="538"/>
      <c r="C590" s="538"/>
      <c r="D590" s="538"/>
      <c r="E590" s="270" t="s">
        <v>338</v>
      </c>
      <c r="F590" s="270"/>
      <c r="G590" s="8" t="s">
        <v>759</v>
      </c>
      <c r="I590" s="158" t="s">
        <v>537</v>
      </c>
      <c r="J590" s="540"/>
      <c r="K590" s="158" t="s">
        <v>938</v>
      </c>
      <c r="L590" s="540"/>
      <c r="M590" s="158" t="s">
        <v>537</v>
      </c>
      <c r="N590" s="538"/>
      <c r="O590" s="271">
        <v>0</v>
      </c>
      <c r="P590" s="538"/>
      <c r="Q590" s="271" t="s">
        <v>537</v>
      </c>
    </row>
    <row r="591" spans="1:17" ht="12.75" customHeight="1" x14ac:dyDescent="0.2">
      <c r="A591" s="6">
        <f>MAX(A$498:A590)+1</f>
        <v>55</v>
      </c>
      <c r="B591" s="538"/>
      <c r="C591" s="538"/>
      <c r="D591" s="538"/>
      <c r="E591" s="270" t="s">
        <v>339</v>
      </c>
      <c r="F591" s="270"/>
      <c r="G591" s="8" t="s">
        <v>759</v>
      </c>
      <c r="I591" s="158" t="s">
        <v>537</v>
      </c>
      <c r="J591" s="540"/>
      <c r="K591" s="158" t="s">
        <v>938</v>
      </c>
      <c r="L591" s="540"/>
      <c r="M591" s="158" t="s">
        <v>537</v>
      </c>
      <c r="N591" s="538"/>
      <c r="O591" s="271">
        <v>0</v>
      </c>
      <c r="P591" s="538"/>
      <c r="Q591" s="271" t="s">
        <v>537</v>
      </c>
    </row>
    <row r="592" spans="1:17" ht="12.75" customHeight="1" x14ac:dyDescent="0.2">
      <c r="A592" s="6"/>
      <c r="B592" s="538"/>
      <c r="C592" s="538"/>
      <c r="D592" s="538"/>
      <c r="E592" s="538"/>
      <c r="F592" s="538"/>
      <c r="G592" s="538"/>
      <c r="H592" s="538"/>
      <c r="I592" s="538"/>
      <c r="J592" s="538"/>
      <c r="K592" s="538"/>
      <c r="L592" s="538"/>
      <c r="M592" s="538"/>
      <c r="N592" s="538"/>
      <c r="O592" s="538"/>
      <c r="P592" s="538"/>
      <c r="Q592" s="538"/>
    </row>
    <row r="593" spans="1:17" ht="12.75" customHeight="1" x14ac:dyDescent="0.2">
      <c r="A593" s="6"/>
      <c r="B593" s="538"/>
      <c r="C593" s="538"/>
      <c r="D593" s="538"/>
      <c r="E593" s="55" t="s">
        <v>341</v>
      </c>
      <c r="F593" s="55"/>
      <c r="G593" s="55"/>
      <c r="H593" s="55"/>
      <c r="I593" s="540"/>
      <c r="J593" s="540"/>
      <c r="K593" s="540"/>
      <c r="L593" s="540"/>
      <c r="M593" s="540"/>
      <c r="N593" s="538"/>
      <c r="O593" s="538"/>
      <c r="P593" s="538"/>
      <c r="Q593" s="538"/>
    </row>
    <row r="594" spans="1:17" ht="12.75" customHeight="1" x14ac:dyDescent="0.2">
      <c r="A594" s="6"/>
      <c r="B594" s="538"/>
      <c r="C594" s="538"/>
      <c r="D594" s="538"/>
      <c r="E594" s="269" t="s">
        <v>333</v>
      </c>
      <c r="F594" s="269"/>
      <c r="G594" s="269"/>
      <c r="H594" s="55"/>
      <c r="I594" s="540"/>
      <c r="J594" s="540"/>
      <c r="K594" s="540"/>
      <c r="L594" s="540"/>
      <c r="M594" s="540"/>
      <c r="N594" s="538"/>
      <c r="O594" s="538"/>
      <c r="P594" s="538"/>
      <c r="Q594" s="538"/>
    </row>
    <row r="595" spans="1:17" ht="12.75" customHeight="1" x14ac:dyDescent="0.2">
      <c r="A595" s="6">
        <f>MAX(A$498:A594)+1</f>
        <v>56</v>
      </c>
      <c r="B595" s="538"/>
      <c r="C595" s="538"/>
      <c r="D595" s="538"/>
      <c r="E595" s="270" t="s">
        <v>336</v>
      </c>
      <c r="F595" s="270"/>
      <c r="G595" s="8" t="s">
        <v>759</v>
      </c>
      <c r="H595" s="55"/>
      <c r="I595" s="158">
        <v>7.4999999999999997E-2</v>
      </c>
      <c r="J595" s="540"/>
      <c r="K595" s="158">
        <v>0.03</v>
      </c>
      <c r="L595" s="540"/>
      <c r="M595" s="158">
        <v>0.105</v>
      </c>
      <c r="N595" s="538"/>
      <c r="O595" s="271">
        <v>0.08</v>
      </c>
      <c r="P595" s="538"/>
      <c r="Q595" s="271">
        <v>2.4999999999999994E-2</v>
      </c>
    </row>
    <row r="596" spans="1:17" ht="12.75" customHeight="1" x14ac:dyDescent="0.2">
      <c r="A596" s="6">
        <f>MAX(A$498:A595)+1</f>
        <v>57</v>
      </c>
      <c r="B596" s="538"/>
      <c r="C596" s="538"/>
      <c r="D596" s="538"/>
      <c r="E596" s="270" t="s">
        <v>337</v>
      </c>
      <c r="F596" s="270"/>
      <c r="G596" s="8" t="s">
        <v>759</v>
      </c>
      <c r="H596" s="55"/>
      <c r="I596" s="158">
        <v>0.124</v>
      </c>
      <c r="J596" s="540"/>
      <c r="K596" s="158">
        <v>6.0000000000000053E-3</v>
      </c>
      <c r="L596" s="540"/>
      <c r="M596" s="158">
        <v>0.13</v>
      </c>
      <c r="N596" s="538"/>
      <c r="O596" s="271">
        <v>0.104</v>
      </c>
      <c r="P596" s="538"/>
      <c r="Q596" s="271">
        <v>2.6000000000000009E-2</v>
      </c>
    </row>
    <row r="597" spans="1:17" ht="12.75" customHeight="1" x14ac:dyDescent="0.2">
      <c r="A597" s="6">
        <f>MAX(A$498:A596)+1</f>
        <v>58</v>
      </c>
      <c r="B597" s="538"/>
      <c r="C597" s="538"/>
      <c r="D597" s="538"/>
      <c r="E597" s="270" t="s">
        <v>338</v>
      </c>
      <c r="F597" s="270"/>
      <c r="G597" s="8" t="s">
        <v>759</v>
      </c>
      <c r="H597" s="55"/>
      <c r="I597" s="158">
        <v>6.6000000000000003E-2</v>
      </c>
      <c r="J597" s="405" t="s">
        <v>277</v>
      </c>
      <c r="K597" s="158">
        <v>1.3999999999999999E-2</v>
      </c>
      <c r="L597" s="540"/>
      <c r="M597" s="158">
        <v>0.08</v>
      </c>
      <c r="N597" s="405" t="s">
        <v>277</v>
      </c>
      <c r="O597" s="271">
        <v>0.08</v>
      </c>
      <c r="P597" s="538"/>
      <c r="Q597" s="271" t="s">
        <v>537</v>
      </c>
    </row>
    <row r="598" spans="1:17" ht="12.75" customHeight="1" x14ac:dyDescent="0.2">
      <c r="A598" s="6">
        <f>MAX(A$498:A597)+1</f>
        <v>59</v>
      </c>
      <c r="B598" s="538"/>
      <c r="C598" s="538"/>
      <c r="D598" s="538"/>
      <c r="E598" s="270" t="s">
        <v>339</v>
      </c>
      <c r="F598" s="270"/>
      <c r="G598" s="8" t="s">
        <v>759</v>
      </c>
      <c r="H598" s="55"/>
      <c r="I598" s="158">
        <v>0.114</v>
      </c>
      <c r="J598" s="405" t="s">
        <v>277</v>
      </c>
      <c r="K598" s="158">
        <v>-1.0000000000000009E-2</v>
      </c>
      <c r="L598" s="540"/>
      <c r="M598" s="158">
        <v>0.104</v>
      </c>
      <c r="N598" s="405" t="s">
        <v>277</v>
      </c>
      <c r="O598" s="271">
        <v>0.104</v>
      </c>
      <c r="P598" s="538"/>
      <c r="Q598" s="271" t="s">
        <v>537</v>
      </c>
    </row>
    <row r="599" spans="1:17" ht="12.75" customHeight="1" x14ac:dyDescent="0.2">
      <c r="A599" s="6"/>
      <c r="B599" s="538"/>
      <c r="C599" s="538"/>
      <c r="D599" s="538"/>
      <c r="E599" s="269" t="s">
        <v>340</v>
      </c>
      <c r="F599" s="269"/>
      <c r="G599" s="269"/>
      <c r="H599" s="55"/>
      <c r="I599" s="158"/>
      <c r="J599" s="540"/>
      <c r="K599" s="540"/>
      <c r="L599" s="540"/>
      <c r="M599" s="158"/>
      <c r="N599" s="538"/>
      <c r="O599" s="271"/>
      <c r="P599" s="538"/>
      <c r="Q599" s="538"/>
    </row>
    <row r="600" spans="1:17" ht="12.75" customHeight="1" x14ac:dyDescent="0.2">
      <c r="A600" s="6">
        <f>MAX(A$498:A599)+1</f>
        <v>60</v>
      </c>
      <c r="B600" s="538"/>
      <c r="C600" s="538"/>
      <c r="D600" s="538"/>
      <c r="E600" s="270" t="s">
        <v>336</v>
      </c>
      <c r="F600" s="270"/>
      <c r="G600" s="8" t="s">
        <v>759</v>
      </c>
      <c r="H600" s="55"/>
      <c r="I600" s="158">
        <v>3.7999999999999999E-2</v>
      </c>
      <c r="J600" s="540"/>
      <c r="K600" s="158">
        <v>2.3E-2</v>
      </c>
      <c r="L600" s="540"/>
      <c r="M600" s="158">
        <v>6.0999999999999999E-2</v>
      </c>
      <c r="N600" s="538"/>
      <c r="O600" s="271">
        <v>3.5000000000000003E-2</v>
      </c>
      <c r="P600" s="538"/>
      <c r="Q600" s="271">
        <v>2.5999999999999995E-2</v>
      </c>
    </row>
    <row r="601" spans="1:17" ht="12.75" customHeight="1" x14ac:dyDescent="0.2">
      <c r="A601" s="6">
        <f>MAX(A$498:A600)+1</f>
        <v>61</v>
      </c>
      <c r="B601" s="538"/>
      <c r="C601" s="538"/>
      <c r="D601" s="538"/>
      <c r="E601" s="270" t="s">
        <v>337</v>
      </c>
      <c r="F601" s="270"/>
      <c r="G601" s="8" t="s">
        <v>759</v>
      </c>
      <c r="H601" s="55"/>
      <c r="I601" s="158">
        <v>0.10199999999999999</v>
      </c>
      <c r="J601" s="540"/>
      <c r="K601" s="158">
        <v>1.3000000000000012E-2</v>
      </c>
      <c r="L601" s="540"/>
      <c r="M601" s="158">
        <v>0.115</v>
      </c>
      <c r="N601" s="538"/>
      <c r="O601" s="271">
        <v>0.06</v>
      </c>
      <c r="P601" s="538"/>
      <c r="Q601" s="271">
        <v>5.5000000000000007E-2</v>
      </c>
    </row>
    <row r="602" spans="1:17" ht="12.75" customHeight="1" x14ac:dyDescent="0.2">
      <c r="A602" s="6">
        <f>MAX(A$498:A601)+1</f>
        <v>62</v>
      </c>
      <c r="B602" s="538"/>
      <c r="C602" s="538"/>
      <c r="D602" s="538"/>
      <c r="E602" s="270" t="s">
        <v>338</v>
      </c>
      <c r="F602" s="270"/>
      <c r="G602" s="8" t="s">
        <v>759</v>
      </c>
      <c r="H602" s="55"/>
      <c r="I602" s="158">
        <v>2.8000000000000001E-2</v>
      </c>
      <c r="J602" s="405" t="s">
        <v>277</v>
      </c>
      <c r="K602" s="158">
        <v>7.0000000000000027E-3</v>
      </c>
      <c r="L602" s="540"/>
      <c r="M602" s="158">
        <v>3.5000000000000003E-2</v>
      </c>
      <c r="N602" s="405" t="s">
        <v>277</v>
      </c>
      <c r="O602" s="271">
        <v>3.5000000000000003E-2</v>
      </c>
      <c r="P602" s="538"/>
      <c r="Q602" s="271" t="s">
        <v>537</v>
      </c>
    </row>
    <row r="603" spans="1:17" ht="12.75" customHeight="1" x14ac:dyDescent="0.2">
      <c r="A603" s="6">
        <f>MAX(A$498:A602)+1</f>
        <v>63</v>
      </c>
      <c r="B603" s="538"/>
      <c r="C603" s="538"/>
      <c r="D603" s="538"/>
      <c r="E603" s="270" t="s">
        <v>339</v>
      </c>
      <c r="F603" s="270"/>
      <c r="G603" s="8" t="s">
        <v>759</v>
      </c>
      <c r="H603" s="55"/>
      <c r="I603" s="158">
        <v>7.5999999999999998E-2</v>
      </c>
      <c r="J603" s="405" t="s">
        <v>277</v>
      </c>
      <c r="K603" s="158">
        <v>-1.6E-2</v>
      </c>
      <c r="L603" s="540"/>
      <c r="M603" s="158">
        <v>0.06</v>
      </c>
      <c r="N603" s="405" t="s">
        <v>277</v>
      </c>
      <c r="O603" s="271">
        <v>0.06</v>
      </c>
      <c r="P603" s="538"/>
      <c r="Q603" s="271" t="s">
        <v>537</v>
      </c>
    </row>
    <row r="604" spans="1:17" ht="12.75" customHeight="1" x14ac:dyDescent="0.2">
      <c r="A604" s="538"/>
      <c r="B604" s="538"/>
      <c r="C604" s="538"/>
      <c r="D604" s="538"/>
      <c r="E604" s="538"/>
      <c r="F604" s="538"/>
      <c r="G604" s="538"/>
      <c r="H604" s="538"/>
      <c r="I604" s="540"/>
      <c r="J604" s="540"/>
      <c r="K604" s="540"/>
      <c r="L604" s="540"/>
      <c r="M604" s="540"/>
      <c r="O604" s="538"/>
      <c r="P604" s="538"/>
      <c r="Q604" s="538"/>
    </row>
    <row r="605" spans="1:17" ht="12.75" customHeight="1" x14ac:dyDescent="0.2">
      <c r="A605" s="65"/>
      <c r="B605" s="538"/>
      <c r="C605" s="55" t="s">
        <v>42</v>
      </c>
      <c r="D605" s="538"/>
      <c r="E605" s="538"/>
      <c r="F605" s="538"/>
      <c r="G605" s="538"/>
      <c r="H605" s="55"/>
      <c r="I605" s="540"/>
      <c r="J605" s="540"/>
      <c r="K605" s="540"/>
      <c r="L605" s="540"/>
      <c r="M605" s="540"/>
      <c r="N605" s="538"/>
      <c r="O605" s="538"/>
      <c r="P605" s="538"/>
      <c r="Q605" s="538"/>
    </row>
    <row r="606" spans="1:17" ht="12.75" customHeight="1" x14ac:dyDescent="0.2">
      <c r="A606" s="6">
        <f>MAX(A$498:A605)+1</f>
        <v>64</v>
      </c>
      <c r="B606" s="55"/>
      <c r="C606" s="538"/>
      <c r="D606" s="538"/>
      <c r="E606" s="269" t="s">
        <v>115</v>
      </c>
      <c r="F606" s="269"/>
      <c r="G606" s="8" t="s">
        <v>767</v>
      </c>
      <c r="H606" s="55"/>
      <c r="I606" s="253">
        <v>2061.1465092884437</v>
      </c>
      <c r="J606" s="121"/>
      <c r="K606" s="253">
        <v>50.993490711556205</v>
      </c>
      <c r="L606" s="125"/>
      <c r="M606" s="253">
        <v>2112.14</v>
      </c>
      <c r="N606" s="125"/>
      <c r="O606" s="253">
        <v>2112.14</v>
      </c>
      <c r="P606" s="399"/>
      <c r="Q606" s="253">
        <v>0</v>
      </c>
    </row>
    <row r="607" spans="1:17" ht="12.75" customHeight="1" x14ac:dyDescent="0.2">
      <c r="A607" s="6"/>
      <c r="B607" s="55"/>
      <c r="C607" s="538"/>
      <c r="D607" s="538"/>
      <c r="E607" s="56" t="s">
        <v>319</v>
      </c>
      <c r="F607" s="56"/>
      <c r="G607" s="56"/>
      <c r="H607" s="55"/>
      <c r="I607" s="540"/>
      <c r="J607" s="540"/>
      <c r="K607" s="540"/>
      <c r="L607" s="540"/>
      <c r="M607" s="540"/>
      <c r="N607" s="538"/>
      <c r="O607" s="538"/>
      <c r="P607" s="538"/>
      <c r="Q607" s="538"/>
    </row>
    <row r="608" spans="1:17" ht="12.75" customHeight="1" x14ac:dyDescent="0.2">
      <c r="A608" s="6"/>
      <c r="B608" s="55"/>
      <c r="C608" s="538"/>
      <c r="D608" s="538"/>
      <c r="E608" s="57" t="s">
        <v>320</v>
      </c>
      <c r="F608" s="57"/>
      <c r="G608" s="57"/>
      <c r="H608" s="55"/>
      <c r="I608" s="540"/>
      <c r="J608" s="540"/>
      <c r="K608" s="540"/>
      <c r="L608" s="540"/>
      <c r="M608" s="540"/>
      <c r="N608" s="538"/>
      <c r="O608" s="538"/>
      <c r="P608" s="538"/>
      <c r="Q608" s="538"/>
    </row>
    <row r="609" spans="1:17" ht="12.75" customHeight="1" x14ac:dyDescent="0.2">
      <c r="A609" s="6">
        <f>MAX(A$498:A608)+1</f>
        <v>65</v>
      </c>
      <c r="B609" s="55"/>
      <c r="C609" s="538"/>
      <c r="D609" s="538"/>
      <c r="E609" s="59" t="s">
        <v>254</v>
      </c>
      <c r="F609" s="59"/>
      <c r="G609" s="252" t="s">
        <v>764</v>
      </c>
      <c r="H609" s="55"/>
      <c r="I609" s="158">
        <v>4.569</v>
      </c>
      <c r="J609" s="540"/>
      <c r="K609" s="158">
        <v>0.11500000000000021</v>
      </c>
      <c r="L609" s="540"/>
      <c r="M609" s="158">
        <v>4.6840000000000002</v>
      </c>
      <c r="N609" s="538"/>
      <c r="O609" s="271">
        <v>4.6840000000000002</v>
      </c>
      <c r="P609" s="538"/>
      <c r="Q609" s="271">
        <v>0</v>
      </c>
    </row>
    <row r="610" spans="1:17" ht="12.75" customHeight="1" x14ac:dyDescent="0.2">
      <c r="A610" s="6">
        <f>MAX(A$498:A609)+1</f>
        <v>66</v>
      </c>
      <c r="B610" s="55"/>
      <c r="C610" s="538"/>
      <c r="D610" s="538"/>
      <c r="E610" s="59" t="s">
        <v>255</v>
      </c>
      <c r="F610" s="59"/>
      <c r="G610" s="252" t="s">
        <v>764</v>
      </c>
      <c r="H610" s="55"/>
      <c r="I610" s="158">
        <v>2.8029999999999999</v>
      </c>
      <c r="J610" s="540"/>
      <c r="K610" s="158">
        <v>0.69100000000000028</v>
      </c>
      <c r="L610" s="540"/>
      <c r="M610" s="158">
        <v>3.4940000000000002</v>
      </c>
      <c r="N610" s="538"/>
      <c r="O610" s="271">
        <v>3.4940000000000002</v>
      </c>
      <c r="P610" s="538"/>
      <c r="Q610" s="271">
        <v>0</v>
      </c>
    </row>
    <row r="611" spans="1:17" ht="12.75" customHeight="1" x14ac:dyDescent="0.2">
      <c r="A611" s="6">
        <f>MAX(A$498:A610)+1</f>
        <v>67</v>
      </c>
      <c r="B611" s="55"/>
      <c r="C611" s="538"/>
      <c r="D611" s="538"/>
      <c r="E611" s="59" t="s">
        <v>256</v>
      </c>
      <c r="F611" s="59"/>
      <c r="G611" s="252" t="s">
        <v>764</v>
      </c>
      <c r="H611" s="55"/>
      <c r="I611" s="158">
        <v>2.8029999999999999</v>
      </c>
      <c r="J611" s="540"/>
      <c r="K611" s="158">
        <v>0.69100000000000028</v>
      </c>
      <c r="L611" s="540"/>
      <c r="M611" s="158">
        <v>3.4940000000000002</v>
      </c>
      <c r="N611" s="538"/>
      <c r="O611" s="271">
        <v>3.4940000000000002</v>
      </c>
      <c r="P611" s="538"/>
      <c r="Q611" s="271">
        <v>0</v>
      </c>
    </row>
    <row r="612" spans="1:17" ht="12.75" customHeight="1" x14ac:dyDescent="0.2">
      <c r="A612" s="6"/>
      <c r="B612" s="55"/>
      <c r="C612" s="538"/>
      <c r="D612" s="538"/>
      <c r="E612" s="538"/>
      <c r="F612" s="538"/>
      <c r="G612" s="538"/>
      <c r="H612" s="538"/>
      <c r="I612" s="540"/>
      <c r="J612" s="540"/>
      <c r="K612" s="540"/>
      <c r="L612" s="540"/>
      <c r="M612" s="540"/>
      <c r="N612" s="538"/>
      <c r="O612" s="538"/>
      <c r="P612" s="538"/>
      <c r="Q612" s="538"/>
    </row>
    <row r="613" spans="1:17" ht="12.75" customHeight="1" x14ac:dyDescent="0.2">
      <c r="A613" s="6"/>
      <c r="B613" s="55"/>
      <c r="C613" s="538"/>
      <c r="D613" s="538"/>
      <c r="E613" s="55" t="s">
        <v>788</v>
      </c>
      <c r="F613" s="55"/>
      <c r="G613" s="55"/>
      <c r="H613" s="55"/>
      <c r="I613" s="540"/>
      <c r="J613" s="540"/>
      <c r="K613" s="540"/>
      <c r="L613" s="540"/>
      <c r="M613" s="540"/>
      <c r="N613" s="538"/>
      <c r="O613" s="538"/>
      <c r="P613" s="538"/>
      <c r="Q613" s="538"/>
    </row>
    <row r="614" spans="1:17" ht="12.75" customHeight="1" x14ac:dyDescent="0.2">
      <c r="A614" s="6">
        <f>MAX(A$498:A613)+1</f>
        <v>68</v>
      </c>
      <c r="B614" s="55"/>
      <c r="C614" s="538"/>
      <c r="D614" s="538"/>
      <c r="E614" s="57" t="s">
        <v>787</v>
      </c>
      <c r="F614" s="57"/>
      <c r="G614" s="8" t="s">
        <v>759</v>
      </c>
      <c r="H614" s="55"/>
      <c r="I614" s="158" t="s">
        <v>537</v>
      </c>
      <c r="J614" s="540"/>
      <c r="K614" s="158" t="s">
        <v>938</v>
      </c>
      <c r="L614" s="540"/>
      <c r="M614" s="158" t="s">
        <v>537</v>
      </c>
      <c r="N614" s="538"/>
      <c r="O614" s="271">
        <v>0</v>
      </c>
      <c r="P614" s="538"/>
      <c r="Q614" s="271" t="s">
        <v>537</v>
      </c>
    </row>
    <row r="615" spans="1:17" ht="12.75" customHeight="1" x14ac:dyDescent="0.2">
      <c r="A615" s="6">
        <f>MAX(A$498:A614)+1</f>
        <v>69</v>
      </c>
      <c r="B615" s="55"/>
      <c r="C615" s="538"/>
      <c r="D615" s="538"/>
      <c r="E615" s="57" t="s">
        <v>786</v>
      </c>
      <c r="F615" s="57"/>
      <c r="G615" s="8" t="s">
        <v>759</v>
      </c>
      <c r="H615" s="55"/>
      <c r="I615" s="158" t="s">
        <v>537</v>
      </c>
      <c r="J615" s="540"/>
      <c r="K615" s="158" t="s">
        <v>938</v>
      </c>
      <c r="L615" s="540"/>
      <c r="M615" s="158" t="s">
        <v>537</v>
      </c>
      <c r="N615" s="538"/>
      <c r="O615" s="271">
        <v>0</v>
      </c>
      <c r="P615" s="538"/>
      <c r="Q615" s="271" t="s">
        <v>537</v>
      </c>
    </row>
    <row r="616" spans="1:17" ht="12.75" customHeight="1" x14ac:dyDescent="0.2">
      <c r="A616" s="6">
        <f>MAX(A$498:A615)+1</f>
        <v>70</v>
      </c>
      <c r="B616" s="538"/>
      <c r="C616" s="538"/>
      <c r="D616" s="538"/>
      <c r="E616" s="57" t="s">
        <v>785</v>
      </c>
      <c r="F616" s="57"/>
      <c r="G616" s="8" t="s">
        <v>759</v>
      </c>
      <c r="H616" s="55"/>
      <c r="I616" s="158" t="s">
        <v>537</v>
      </c>
      <c r="J616" s="540"/>
      <c r="K616" s="158" t="s">
        <v>938</v>
      </c>
      <c r="L616" s="540"/>
      <c r="M616" s="158" t="s">
        <v>537</v>
      </c>
      <c r="N616" s="538"/>
      <c r="O616" s="271">
        <v>0</v>
      </c>
      <c r="P616" s="538"/>
      <c r="Q616" s="271" t="s">
        <v>537</v>
      </c>
    </row>
    <row r="617" spans="1:17" ht="12.75" customHeight="1" x14ac:dyDescent="0.2">
      <c r="A617" s="6">
        <f>MAX(A$498:A616)+1</f>
        <v>71</v>
      </c>
      <c r="B617" s="538"/>
      <c r="C617" s="538"/>
      <c r="D617" s="538"/>
      <c r="E617" s="57" t="s">
        <v>784</v>
      </c>
      <c r="F617" s="57"/>
      <c r="G617" s="8" t="s">
        <v>759</v>
      </c>
      <c r="H617" s="55"/>
      <c r="I617" s="158" t="s">
        <v>537</v>
      </c>
      <c r="J617" s="540"/>
      <c r="K617" s="158" t="s">
        <v>938</v>
      </c>
      <c r="L617" s="540"/>
      <c r="M617" s="158" t="s">
        <v>537</v>
      </c>
      <c r="N617" s="538"/>
      <c r="O617" s="271">
        <v>0</v>
      </c>
      <c r="P617" s="538"/>
      <c r="Q617" s="271" t="s">
        <v>537</v>
      </c>
    </row>
    <row r="618" spans="1:17" ht="12.75" customHeight="1" x14ac:dyDescent="0.2">
      <c r="A618" s="6">
        <f>MAX(A$498:A617)+1</f>
        <v>72</v>
      </c>
      <c r="B618" s="538"/>
      <c r="C618" s="538"/>
      <c r="D618" s="538"/>
      <c r="E618" s="57" t="s">
        <v>783</v>
      </c>
      <c r="F618" s="57"/>
      <c r="G618" s="8" t="s">
        <v>759</v>
      </c>
      <c r="H618" s="55"/>
      <c r="I618" s="158" t="s">
        <v>537</v>
      </c>
      <c r="J618" s="540"/>
      <c r="K618" s="158" t="s">
        <v>938</v>
      </c>
      <c r="L618" s="540"/>
      <c r="M618" s="158" t="s">
        <v>537</v>
      </c>
      <c r="N618" s="538"/>
      <c r="O618" s="271">
        <v>0</v>
      </c>
      <c r="P618" s="538"/>
      <c r="Q618" s="271" t="s">
        <v>537</v>
      </c>
    </row>
    <row r="619" spans="1:17" ht="12.75" customHeight="1" x14ac:dyDescent="0.2">
      <c r="A619" s="6">
        <f>MAX(A$498:A618)+1</f>
        <v>73</v>
      </c>
      <c r="B619" s="538"/>
      <c r="C619" s="538"/>
      <c r="D619" s="538"/>
      <c r="E619" s="57" t="s">
        <v>782</v>
      </c>
      <c r="F619" s="57"/>
      <c r="G619" s="8" t="s">
        <v>759</v>
      </c>
      <c r="H619" s="55"/>
      <c r="I619" s="158" t="s">
        <v>537</v>
      </c>
      <c r="J619" s="540"/>
      <c r="K619" s="158" t="s">
        <v>938</v>
      </c>
      <c r="L619" s="540"/>
      <c r="M619" s="158" t="s">
        <v>537</v>
      </c>
      <c r="N619" s="538"/>
      <c r="O619" s="271">
        <v>0</v>
      </c>
      <c r="P619" s="538"/>
      <c r="Q619" s="271" t="s">
        <v>537</v>
      </c>
    </row>
    <row r="620" spans="1:17" ht="12.75" customHeight="1" x14ac:dyDescent="0.2">
      <c r="A620" s="6"/>
      <c r="B620" s="538"/>
      <c r="C620" s="538"/>
      <c r="D620" s="538"/>
      <c r="E620" s="57"/>
      <c r="F620" s="57"/>
      <c r="G620" s="57"/>
      <c r="H620" s="55"/>
      <c r="I620" s="158"/>
      <c r="J620" s="540"/>
      <c r="K620" s="540"/>
      <c r="L620" s="540"/>
      <c r="M620" s="158"/>
      <c r="N620" s="538"/>
      <c r="O620" s="538"/>
      <c r="P620" s="538"/>
      <c r="Q620" s="538"/>
    </row>
    <row r="621" spans="1:17" ht="12.75" customHeight="1" x14ac:dyDescent="0.2">
      <c r="A621" s="6"/>
      <c r="B621" s="538"/>
      <c r="C621" s="538"/>
      <c r="D621" s="538"/>
      <c r="E621" s="56" t="s">
        <v>341</v>
      </c>
      <c r="F621" s="56"/>
      <c r="G621" s="56"/>
      <c r="H621" s="55"/>
      <c r="I621" s="540"/>
      <c r="J621" s="540"/>
      <c r="K621" s="540"/>
      <c r="L621" s="540"/>
      <c r="M621" s="540"/>
      <c r="N621" s="538"/>
      <c r="O621" s="538"/>
      <c r="P621" s="538"/>
      <c r="Q621" s="538"/>
    </row>
    <row r="622" spans="1:17" ht="12.75" customHeight="1" x14ac:dyDescent="0.2">
      <c r="A622" s="6"/>
      <c r="B622" s="538"/>
      <c r="C622" s="538"/>
      <c r="D622" s="538"/>
      <c r="E622" s="57" t="s">
        <v>327</v>
      </c>
      <c r="F622" s="57"/>
      <c r="G622" s="57"/>
      <c r="H622" s="55"/>
      <c r="I622" s="540"/>
      <c r="J622" s="540"/>
      <c r="K622" s="540"/>
      <c r="L622" s="540"/>
      <c r="M622" s="540"/>
      <c r="N622" s="538"/>
      <c r="O622" s="538"/>
      <c r="P622" s="538"/>
      <c r="Q622" s="538"/>
    </row>
    <row r="623" spans="1:17" ht="12.75" customHeight="1" x14ac:dyDescent="0.2">
      <c r="A623" s="6">
        <f>MAX(A$498:A622)+1</f>
        <v>74</v>
      </c>
      <c r="B623" s="538"/>
      <c r="C623" s="538"/>
      <c r="D623" s="538"/>
      <c r="E623" s="59" t="s">
        <v>787</v>
      </c>
      <c r="F623" s="59"/>
      <c r="G623" s="8" t="s">
        <v>759</v>
      </c>
      <c r="H623" s="55"/>
      <c r="I623" s="158">
        <v>0.156</v>
      </c>
      <c r="J623" s="405" t="s">
        <v>277</v>
      </c>
      <c r="K623" s="158">
        <v>-2.0000000000000018E-3</v>
      </c>
      <c r="L623" s="540"/>
      <c r="M623" s="158">
        <v>0.154</v>
      </c>
      <c r="N623" s="405" t="s">
        <v>277</v>
      </c>
      <c r="O623" s="271">
        <v>0</v>
      </c>
      <c r="P623" s="538"/>
      <c r="Q623" s="271" t="s">
        <v>537</v>
      </c>
    </row>
    <row r="624" spans="1:17" ht="12.75" customHeight="1" x14ac:dyDescent="0.2">
      <c r="A624" s="6">
        <f>MAX(A$498:A623)+1</f>
        <v>75</v>
      </c>
      <c r="B624" s="538"/>
      <c r="C624" s="538"/>
      <c r="D624" s="538"/>
      <c r="E624" s="59" t="s">
        <v>786</v>
      </c>
      <c r="F624" s="59"/>
      <c r="G624" s="8" t="s">
        <v>759</v>
      </c>
      <c r="H624" s="55"/>
      <c r="I624" s="158">
        <v>0.156</v>
      </c>
      <c r="J624" s="405" t="s">
        <v>277</v>
      </c>
      <c r="K624" s="158">
        <v>-2.0000000000000018E-3</v>
      </c>
      <c r="L624" s="540"/>
      <c r="M624" s="158">
        <v>0.154</v>
      </c>
      <c r="N624" s="405" t="s">
        <v>277</v>
      </c>
      <c r="O624" s="271">
        <v>0</v>
      </c>
      <c r="P624" s="538"/>
      <c r="Q624" s="271" t="s">
        <v>537</v>
      </c>
    </row>
    <row r="625" spans="1:17" ht="12.75" customHeight="1" x14ac:dyDescent="0.2">
      <c r="A625" s="6">
        <f>MAX(A$498:A624)+1</f>
        <v>76</v>
      </c>
      <c r="B625" s="538"/>
      <c r="C625" s="538"/>
      <c r="D625" s="538"/>
      <c r="E625" s="59" t="s">
        <v>785</v>
      </c>
      <c r="F625" s="59"/>
      <c r="G625" s="8" t="s">
        <v>759</v>
      </c>
      <c r="H625" s="55"/>
      <c r="I625" s="158">
        <v>9.5000000000000001E-2</v>
      </c>
      <c r="J625" s="405" t="s">
        <v>277</v>
      </c>
      <c r="K625" s="158">
        <v>2.0000000000000004E-2</v>
      </c>
      <c r="L625" s="540"/>
      <c r="M625" s="158">
        <v>0.115</v>
      </c>
      <c r="N625" s="405" t="s">
        <v>277</v>
      </c>
      <c r="O625" s="271">
        <v>0</v>
      </c>
      <c r="P625" s="538"/>
      <c r="Q625" s="271" t="s">
        <v>537</v>
      </c>
    </row>
    <row r="626" spans="1:17" ht="12.75" customHeight="1" x14ac:dyDescent="0.2">
      <c r="A626" s="6">
        <f>MAX(A$498:A625)+1</f>
        <v>77</v>
      </c>
      <c r="B626" s="538"/>
      <c r="C626" s="538"/>
      <c r="D626" s="538"/>
      <c r="E626" s="59" t="s">
        <v>784</v>
      </c>
      <c r="F626" s="59"/>
      <c r="G626" s="8" t="s">
        <v>759</v>
      </c>
      <c r="H626" s="55"/>
      <c r="I626" s="158">
        <v>9.5000000000000001E-2</v>
      </c>
      <c r="J626" s="405" t="s">
        <v>277</v>
      </c>
      <c r="K626" s="158">
        <v>2.0000000000000004E-2</v>
      </c>
      <c r="L626" s="540"/>
      <c r="M626" s="158">
        <v>0.115</v>
      </c>
      <c r="N626" s="405" t="s">
        <v>277</v>
      </c>
      <c r="O626" s="271">
        <v>0</v>
      </c>
      <c r="P626" s="538"/>
      <c r="Q626" s="271" t="s">
        <v>537</v>
      </c>
    </row>
    <row r="627" spans="1:17" ht="12.75" customHeight="1" x14ac:dyDescent="0.2">
      <c r="A627" s="6">
        <f>MAX(A$498:A626)+1</f>
        <v>78</v>
      </c>
      <c r="B627" s="538"/>
      <c r="C627" s="538"/>
      <c r="D627" s="538"/>
      <c r="E627" s="59" t="s">
        <v>783</v>
      </c>
      <c r="F627" s="59"/>
      <c r="G627" s="8" t="s">
        <v>759</v>
      </c>
      <c r="H627" s="55"/>
      <c r="I627" s="158">
        <v>9.5000000000000001E-2</v>
      </c>
      <c r="J627" s="405" t="s">
        <v>277</v>
      </c>
      <c r="K627" s="158">
        <v>2.0000000000000004E-2</v>
      </c>
      <c r="L627" s="540"/>
      <c r="M627" s="158">
        <v>0.115</v>
      </c>
      <c r="N627" s="405" t="s">
        <v>277</v>
      </c>
      <c r="O627" s="271">
        <v>0</v>
      </c>
      <c r="P627" s="538"/>
      <c r="Q627" s="271" t="s">
        <v>537</v>
      </c>
    </row>
    <row r="628" spans="1:17" ht="12.75" customHeight="1" x14ac:dyDescent="0.2">
      <c r="A628" s="6">
        <f>MAX(A$498:A627)+1</f>
        <v>79</v>
      </c>
      <c r="B628" s="538"/>
      <c r="C628" s="538"/>
      <c r="D628" s="538"/>
      <c r="E628" s="59" t="s">
        <v>782</v>
      </c>
      <c r="F628" s="59"/>
      <c r="G628" s="8" t="s">
        <v>759</v>
      </c>
      <c r="H628" s="55"/>
      <c r="I628" s="158">
        <v>9.5000000000000001E-2</v>
      </c>
      <c r="J628" s="405" t="s">
        <v>277</v>
      </c>
      <c r="K628" s="158">
        <v>2.0000000000000004E-2</v>
      </c>
      <c r="L628" s="540"/>
      <c r="M628" s="158">
        <v>0.115</v>
      </c>
      <c r="N628" s="405" t="s">
        <v>277</v>
      </c>
      <c r="O628" s="271">
        <v>0</v>
      </c>
      <c r="P628" s="538"/>
      <c r="Q628" s="271" t="s">
        <v>537</v>
      </c>
    </row>
    <row r="629" spans="1:17" ht="12.75" customHeight="1" x14ac:dyDescent="0.2">
      <c r="A629" s="6"/>
      <c r="B629" s="538"/>
      <c r="C629" s="538"/>
      <c r="D629" s="538"/>
      <c r="E629" s="538"/>
      <c r="F629" s="538"/>
      <c r="G629" s="538"/>
      <c r="H629" s="538"/>
      <c r="I629" s="538"/>
      <c r="J629" s="538"/>
      <c r="K629" s="538"/>
      <c r="L629" s="538"/>
      <c r="M629" s="538"/>
      <c r="N629" s="538"/>
      <c r="O629" s="538"/>
      <c r="P629" s="538"/>
      <c r="Q629" s="538"/>
    </row>
    <row r="630" spans="1:17" ht="12.75" customHeight="1" x14ac:dyDescent="0.2">
      <c r="A630" s="54" t="s">
        <v>29</v>
      </c>
      <c r="B630" s="538"/>
      <c r="C630" s="538"/>
      <c r="D630" s="538"/>
      <c r="E630" s="538"/>
      <c r="F630" s="538"/>
      <c r="G630" s="538"/>
      <c r="H630" s="538"/>
      <c r="I630" s="538"/>
      <c r="J630" s="538"/>
      <c r="K630" s="538"/>
      <c r="L630" s="538"/>
      <c r="M630" s="538"/>
      <c r="N630" s="538"/>
      <c r="O630" s="538"/>
      <c r="P630" s="538"/>
      <c r="Q630" s="538"/>
    </row>
    <row r="631" spans="1:17" ht="12.75" customHeight="1" x14ac:dyDescent="0.2">
      <c r="A631" s="406" t="s">
        <v>267</v>
      </c>
      <c r="B631" s="538"/>
      <c r="C631" s="402" t="s">
        <v>1079</v>
      </c>
      <c r="D631" s="538"/>
      <c r="E631" s="538"/>
      <c r="F631" s="538"/>
      <c r="G631" s="538"/>
      <c r="H631" s="538"/>
      <c r="I631" s="538"/>
      <c r="J631" s="538"/>
      <c r="K631" s="538"/>
      <c r="L631" s="538"/>
      <c r="M631" s="538"/>
      <c r="N631" s="538"/>
      <c r="O631" s="538"/>
      <c r="P631" s="538"/>
      <c r="Q631" s="538"/>
    </row>
    <row r="632" spans="1:17" ht="12.75" customHeight="1" x14ac:dyDescent="0.2">
      <c r="A632" s="406" t="s">
        <v>268</v>
      </c>
      <c r="B632" s="538"/>
      <c r="C632" s="402" t="s">
        <v>961</v>
      </c>
      <c r="D632" s="538"/>
      <c r="E632" s="538"/>
      <c r="F632" s="538"/>
      <c r="G632" s="538"/>
      <c r="H632" s="538"/>
      <c r="I632" s="538"/>
      <c r="J632" s="538"/>
      <c r="K632" s="538"/>
      <c r="L632" s="538"/>
      <c r="M632" s="538"/>
      <c r="N632" s="538"/>
      <c r="O632" s="538"/>
      <c r="P632" s="538"/>
      <c r="Q632" s="538"/>
    </row>
    <row r="633" spans="1:17" ht="12.75" customHeight="1" x14ac:dyDescent="0.2">
      <c r="A633" s="406" t="s">
        <v>269</v>
      </c>
      <c r="B633" s="538"/>
      <c r="C633" s="184" t="s">
        <v>980</v>
      </c>
      <c r="D633" s="538"/>
      <c r="E633" s="538"/>
      <c r="F633" s="538"/>
      <c r="G633" s="538"/>
      <c r="H633" s="538"/>
      <c r="I633" s="538"/>
      <c r="J633" s="538"/>
      <c r="K633" s="538"/>
      <c r="L633" s="538"/>
      <c r="M633" s="538"/>
      <c r="N633" s="538"/>
      <c r="O633" s="538"/>
      <c r="P633" s="538"/>
      <c r="Q633" s="538"/>
    </row>
    <row r="634" spans="1:17" ht="12.75" customHeight="1" x14ac:dyDescent="0.2">
      <c r="A634" s="406" t="s">
        <v>277</v>
      </c>
      <c r="B634" s="538"/>
      <c r="C634" s="268" t="s">
        <v>322</v>
      </c>
      <c r="D634" s="538"/>
      <c r="E634" s="538"/>
      <c r="F634" s="538"/>
      <c r="G634" s="538"/>
      <c r="H634" s="538"/>
      <c r="I634" s="538"/>
      <c r="J634" s="538"/>
      <c r="K634" s="538"/>
      <c r="L634" s="538"/>
      <c r="M634" s="538"/>
      <c r="N634" s="538"/>
      <c r="O634" s="538"/>
      <c r="P634" s="538"/>
      <c r="Q634" s="538"/>
    </row>
  </sheetData>
  <mergeCells count="16">
    <mergeCell ref="O492:Q493"/>
    <mergeCell ref="O570:Q571"/>
    <mergeCell ref="A2:Q2"/>
    <mergeCell ref="A3:Q3"/>
    <mergeCell ref="O5:Q5"/>
    <mergeCell ref="O6:Q6"/>
    <mergeCell ref="O96:Q97"/>
    <mergeCell ref="A93:Q93"/>
    <mergeCell ref="O192:Q193"/>
    <mergeCell ref="O287:Q288"/>
    <mergeCell ref="O326:Q327"/>
    <mergeCell ref="O408:Q409"/>
    <mergeCell ref="A189:Q189"/>
    <mergeCell ref="A284:Q284"/>
    <mergeCell ref="A323:Q323"/>
    <mergeCell ref="A405:Q405"/>
  </mergeCells>
  <pageMargins left="0.7" right="0.7" top="0.75" bottom="0.75" header="0.3" footer="0.3"/>
  <pageSetup scale="58" fitToHeight="0" orientation="portrait" blackAndWhite="1" r:id="rId1"/>
  <headerFooter>
    <oddHeader xml:space="preserve">&amp;R&amp;"Arial,Regular"&amp;10Filed: 2022-11-30
EB-2022-0200
Exhibit 8
Tab 2
Schedule 8
Attachment 4
Page &amp;P of &amp;N
</oddHeader>
  </headerFooter>
  <rowBreaks count="7" manualBreakCount="7">
    <brk id="91" max="16" man="1"/>
    <brk id="187" max="16" man="1"/>
    <brk id="282" max="16" man="1"/>
    <brk id="321" max="16" man="1"/>
    <brk id="403" max="16" man="1"/>
    <brk id="487" max="16" man="1"/>
    <brk id="565" max="1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0942-BB38-4397-B3B6-7F3E422612E7}">
  <sheetPr codeName="Sheet7">
    <pageSetUpPr fitToPage="1"/>
  </sheetPr>
  <dimension ref="A1:P37"/>
  <sheetViews>
    <sheetView view="pageLayout" zoomScaleNormal="100" zoomScaleSheetLayoutView="85" workbookViewId="0"/>
  </sheetViews>
  <sheetFormatPr defaultColWidth="10.28515625" defaultRowHeight="12.75" x14ac:dyDescent="0.2"/>
  <cols>
    <col min="1" max="1" width="4.7109375" style="66" customWidth="1"/>
    <col min="2" max="2" width="1.7109375" style="66" customWidth="1"/>
    <col min="3" max="3" width="39" style="66" customWidth="1"/>
    <col min="4" max="4" width="1.7109375" style="66" customWidth="1"/>
    <col min="5" max="7" width="13.28515625" style="66" customWidth="1"/>
    <col min="8" max="8" width="1.7109375" style="66" customWidth="1"/>
    <col min="9" max="9" width="15.28515625" style="66" customWidth="1"/>
    <col min="10" max="10" width="1.7109375" style="66" customWidth="1"/>
    <col min="11" max="13" width="13.28515625" style="66" customWidth="1"/>
    <col min="14" max="14" width="1.7109375" style="66" customWidth="1"/>
    <col min="15" max="15" width="13.28515625" style="66" customWidth="1"/>
    <col min="16" max="16384" width="10.28515625" style="66"/>
  </cols>
  <sheetData>
    <row r="1" spans="1:16" x14ac:dyDescent="0.2">
      <c r="L1" s="366"/>
      <c r="N1" s="367"/>
      <c r="O1" s="367"/>
    </row>
    <row r="2" spans="1:16" x14ac:dyDescent="0.2">
      <c r="L2" s="366"/>
      <c r="N2" s="367"/>
      <c r="O2" s="367"/>
    </row>
    <row r="3" spans="1:16" x14ac:dyDescent="0.2">
      <c r="L3" s="366"/>
      <c r="N3" s="367"/>
      <c r="O3" s="367"/>
    </row>
    <row r="4" spans="1:16" x14ac:dyDescent="0.2">
      <c r="A4" s="324" t="s">
        <v>499</v>
      </c>
      <c r="B4" s="324"/>
      <c r="C4" s="324"/>
      <c r="D4" s="324"/>
      <c r="E4" s="407"/>
      <c r="F4" s="407"/>
      <c r="G4" s="407"/>
      <c r="H4" s="407"/>
      <c r="I4" s="407"/>
      <c r="J4" s="407"/>
      <c r="K4" s="407"/>
      <c r="L4" s="407"/>
      <c r="M4" s="407"/>
      <c r="N4" s="407"/>
      <c r="O4" s="407"/>
      <c r="P4" s="366"/>
    </row>
    <row r="5" spans="1:16" x14ac:dyDescent="0.2">
      <c r="A5" s="324"/>
      <c r="B5" s="324"/>
      <c r="C5" s="324"/>
      <c r="D5" s="324"/>
      <c r="E5" s="407"/>
      <c r="F5" s="407"/>
      <c r="G5" s="407"/>
      <c r="H5" s="407"/>
      <c r="I5" s="407"/>
      <c r="J5" s="407"/>
      <c r="K5" s="407"/>
      <c r="L5" s="407"/>
      <c r="M5" s="407"/>
      <c r="N5" s="407"/>
      <c r="O5" s="407"/>
      <c r="P5" s="366"/>
    </row>
    <row r="6" spans="1:16" x14ac:dyDescent="0.2">
      <c r="E6" s="408" t="s">
        <v>283</v>
      </c>
      <c r="F6" s="408"/>
      <c r="G6" s="408"/>
      <c r="H6" s="366"/>
      <c r="I6" s="366"/>
      <c r="J6" s="366"/>
      <c r="K6" s="556" t="s">
        <v>311</v>
      </c>
      <c r="L6" s="556"/>
      <c r="M6" s="556"/>
      <c r="N6" s="409"/>
      <c r="O6" s="409"/>
      <c r="P6" s="366"/>
    </row>
    <row r="7" spans="1:16" ht="25.5" x14ac:dyDescent="0.2">
      <c r="A7" s="410" t="s">
        <v>261</v>
      </c>
      <c r="C7" s="75" t="s">
        <v>33</v>
      </c>
      <c r="E7" s="526" t="s">
        <v>262</v>
      </c>
      <c r="F7" s="526" t="s">
        <v>397</v>
      </c>
      <c r="G7" s="526" t="s">
        <v>94</v>
      </c>
      <c r="H7" s="360"/>
      <c r="I7" s="528" t="s">
        <v>310</v>
      </c>
      <c r="J7" s="366"/>
      <c r="K7" s="526" t="s">
        <v>262</v>
      </c>
      <c r="L7" s="526" t="s">
        <v>397</v>
      </c>
      <c r="M7" s="526" t="s">
        <v>94</v>
      </c>
      <c r="N7" s="360"/>
      <c r="O7" s="528" t="s">
        <v>284</v>
      </c>
      <c r="P7" s="366"/>
    </row>
    <row r="8" spans="1:16" x14ac:dyDescent="0.2">
      <c r="A8" s="454"/>
      <c r="E8" s="411" t="s">
        <v>3</v>
      </c>
      <c r="F8" s="411" t="s">
        <v>4</v>
      </c>
      <c r="G8" s="411" t="s">
        <v>119</v>
      </c>
      <c r="H8" s="360"/>
      <c r="I8" s="411" t="s">
        <v>263</v>
      </c>
      <c r="J8" s="366"/>
      <c r="K8" s="411" t="s">
        <v>63</v>
      </c>
      <c r="L8" s="411" t="s">
        <v>264</v>
      </c>
      <c r="M8" s="411" t="s">
        <v>38</v>
      </c>
      <c r="N8" s="411"/>
      <c r="O8" s="411" t="s">
        <v>70</v>
      </c>
      <c r="P8" s="366"/>
    </row>
    <row r="9" spans="1:16" x14ac:dyDescent="0.2">
      <c r="E9" s="360"/>
      <c r="F9" s="360"/>
      <c r="G9" s="360"/>
      <c r="H9" s="360"/>
      <c r="I9" s="360"/>
      <c r="J9" s="366"/>
      <c r="K9" s="360"/>
      <c r="L9" s="360"/>
      <c r="M9" s="360"/>
      <c r="N9" s="360"/>
      <c r="O9" s="360"/>
      <c r="P9" s="366"/>
    </row>
    <row r="10" spans="1:16" x14ac:dyDescent="0.2">
      <c r="A10" s="454"/>
      <c r="C10" s="76" t="s">
        <v>266</v>
      </c>
      <c r="E10" s="360"/>
      <c r="F10" s="360"/>
      <c r="G10" s="360"/>
      <c r="H10" s="360"/>
      <c r="I10" s="360"/>
      <c r="J10" s="366"/>
      <c r="K10" s="360"/>
      <c r="L10" s="360"/>
      <c r="M10" s="360"/>
      <c r="N10" s="360"/>
      <c r="O10" s="360"/>
      <c r="P10" s="366"/>
    </row>
    <row r="11" spans="1:16" x14ac:dyDescent="0.2">
      <c r="A11" s="454"/>
      <c r="C11" s="532"/>
      <c r="E11" s="412"/>
      <c r="F11" s="412"/>
      <c r="G11" s="412"/>
      <c r="H11" s="412"/>
      <c r="I11" s="412"/>
      <c r="J11" s="366"/>
      <c r="K11" s="412"/>
      <c r="L11" s="412"/>
      <c r="M11" s="412"/>
      <c r="N11" s="412"/>
      <c r="O11" s="412"/>
      <c r="P11" s="366"/>
    </row>
    <row r="12" spans="1:16" x14ac:dyDescent="0.2">
      <c r="A12" s="454">
        <v>1</v>
      </c>
      <c r="B12" s="96"/>
      <c r="C12" s="532" t="s">
        <v>305</v>
      </c>
      <c r="E12" s="293">
        <v>3293.8470156641856</v>
      </c>
      <c r="F12" s="293">
        <v>78641.256182514597</v>
      </c>
      <c r="G12" s="293">
        <f>E12+F12</f>
        <v>81935.103198178782</v>
      </c>
      <c r="H12" s="412"/>
      <c r="I12" s="413"/>
      <c r="J12" s="366"/>
      <c r="K12" s="412"/>
      <c r="L12" s="414"/>
      <c r="M12" s="414"/>
      <c r="N12" s="412"/>
      <c r="O12" s="412"/>
      <c r="P12" s="366"/>
    </row>
    <row r="13" spans="1:16" x14ac:dyDescent="0.2">
      <c r="A13" s="454">
        <v>2</v>
      </c>
      <c r="B13" s="96"/>
      <c r="C13" s="96" t="s">
        <v>308</v>
      </c>
      <c r="E13" s="415">
        <v>0</v>
      </c>
      <c r="F13" s="415">
        <v>-39130.201735495466</v>
      </c>
      <c r="G13" s="415">
        <f>E13+F13</f>
        <v>-39130.201735495466</v>
      </c>
      <c r="H13" s="412"/>
      <c r="I13" s="413"/>
      <c r="J13" s="366"/>
      <c r="K13" s="412"/>
      <c r="L13" s="414"/>
      <c r="M13" s="414"/>
      <c r="N13" s="412"/>
      <c r="O13" s="412"/>
      <c r="P13" s="366"/>
    </row>
    <row r="14" spans="1:16" x14ac:dyDescent="0.2">
      <c r="A14" s="454">
        <v>3</v>
      </c>
      <c r="B14" s="96"/>
      <c r="C14" s="532" t="s">
        <v>212</v>
      </c>
      <c r="E14" s="293">
        <f>SUM(E12:E13)</f>
        <v>3293.8470156641856</v>
      </c>
      <c r="F14" s="293">
        <f>SUM(F12:F13)</f>
        <v>39511.054447019131</v>
      </c>
      <c r="G14" s="293">
        <f>SUM(G12:G13)</f>
        <v>42804.901462683316</v>
      </c>
      <c r="H14" s="412"/>
      <c r="I14" s="413">
        <v>217749495.04114625</v>
      </c>
      <c r="J14" s="366"/>
      <c r="K14" s="414">
        <f>E14/$I14*1000/12</f>
        <v>1.2605643528747624E-3</v>
      </c>
      <c r="L14" s="414">
        <f>F14/$I14*1000/12</f>
        <v>1.5120989694891167E-2</v>
      </c>
      <c r="M14" s="414">
        <f>SUM(K14:L14)</f>
        <v>1.638155404776593E-2</v>
      </c>
      <c r="N14" s="414"/>
      <c r="O14" s="414"/>
      <c r="P14" s="366"/>
    </row>
    <row r="15" spans="1:16" x14ac:dyDescent="0.2">
      <c r="A15" s="454"/>
      <c r="E15" s="293"/>
      <c r="F15" s="293"/>
      <c r="G15" s="293"/>
      <c r="H15" s="360"/>
      <c r="I15" s="367"/>
      <c r="J15" s="366"/>
      <c r="K15" s="360"/>
      <c r="L15" s="360"/>
      <c r="M15" s="360"/>
      <c r="N15" s="360"/>
      <c r="O15" s="360"/>
      <c r="P15" s="366"/>
    </row>
    <row r="16" spans="1:16" x14ac:dyDescent="0.2">
      <c r="A16" s="454">
        <v>4</v>
      </c>
      <c r="C16" s="532" t="s">
        <v>306</v>
      </c>
      <c r="E16" s="293">
        <v>9952.0457581929568</v>
      </c>
      <c r="F16" s="293">
        <v>102269.76523412352</v>
      </c>
      <c r="G16" s="293">
        <f>E16+F16</f>
        <v>112221.81099231647</v>
      </c>
      <c r="H16" s="412"/>
      <c r="I16" s="366"/>
      <c r="J16" s="366"/>
      <c r="K16" s="366"/>
      <c r="L16" s="366"/>
      <c r="M16" s="366"/>
      <c r="N16" s="366"/>
      <c r="O16" s="366"/>
      <c r="P16" s="366"/>
    </row>
    <row r="17" spans="1:16" x14ac:dyDescent="0.2">
      <c r="A17" s="454">
        <v>5</v>
      </c>
      <c r="C17" s="532" t="s">
        <v>309</v>
      </c>
      <c r="E17" s="415">
        <v>23590.657623593441</v>
      </c>
      <c r="F17" s="415">
        <v>0</v>
      </c>
      <c r="G17" s="415">
        <f>E17+F17</f>
        <v>23590.657623593441</v>
      </c>
      <c r="H17" s="412"/>
      <c r="I17" s="413"/>
      <c r="J17" s="366"/>
      <c r="K17" s="414"/>
      <c r="L17" s="414"/>
      <c r="M17" s="414"/>
      <c r="N17" s="414"/>
      <c r="O17" s="414"/>
      <c r="P17" s="366"/>
    </row>
    <row r="18" spans="1:16" x14ac:dyDescent="0.2">
      <c r="A18" s="454">
        <v>6</v>
      </c>
      <c r="C18" s="532" t="s">
        <v>270</v>
      </c>
      <c r="E18" s="293">
        <f>SUM(E16:E17)</f>
        <v>33542.703381786399</v>
      </c>
      <c r="F18" s="293">
        <f>SUM(F16:F17)</f>
        <v>102269.76523412352</v>
      </c>
      <c r="G18" s="293">
        <f>SUM(G16:G17)</f>
        <v>135812.46861590992</v>
      </c>
      <c r="H18" s="412"/>
      <c r="I18" s="413">
        <v>5103103.9179101288</v>
      </c>
      <c r="J18" s="366"/>
      <c r="K18" s="414">
        <f>E18/$I18*1000/12</f>
        <v>0.5477500217084077</v>
      </c>
      <c r="L18" s="414">
        <f>F18/$I18*1000/12</f>
        <v>1.6700581789577129</v>
      </c>
      <c r="M18" s="414">
        <f>SUM(K18:L18)</f>
        <v>2.2178082006661208</v>
      </c>
      <c r="N18" s="414"/>
      <c r="O18" s="414"/>
      <c r="P18" s="366"/>
    </row>
    <row r="19" spans="1:16" x14ac:dyDescent="0.2">
      <c r="A19" s="454">
        <v>7</v>
      </c>
      <c r="C19" s="532" t="s">
        <v>982</v>
      </c>
      <c r="E19" s="415">
        <v>0</v>
      </c>
      <c r="F19" s="415">
        <v>15306.419866548944</v>
      </c>
      <c r="G19" s="415">
        <f>E19+F19</f>
        <v>15306.419866548944</v>
      </c>
      <c r="H19" s="412"/>
      <c r="I19" s="413"/>
      <c r="J19" s="366"/>
      <c r="K19" s="412"/>
      <c r="L19" s="412"/>
      <c r="M19" s="412"/>
      <c r="N19" s="412"/>
      <c r="O19" s="412"/>
      <c r="P19" s="366"/>
    </row>
    <row r="20" spans="1:16" x14ac:dyDescent="0.2">
      <c r="A20" s="454">
        <v>8</v>
      </c>
      <c r="C20" s="532" t="s">
        <v>272</v>
      </c>
      <c r="E20" s="293">
        <f>SUM(E18:E19)</f>
        <v>33542.703381786399</v>
      </c>
      <c r="F20" s="293">
        <f>SUM(F18:F19)</f>
        <v>117576.18510067246</v>
      </c>
      <c r="G20" s="293">
        <f>SUM(G18:G19)</f>
        <v>151118.88848245886</v>
      </c>
      <c r="H20" s="412"/>
      <c r="I20" s="413">
        <f>I$18</f>
        <v>5103103.9179101288</v>
      </c>
      <c r="J20" s="366"/>
      <c r="K20" s="414">
        <f>E20/$I20*1000/12</f>
        <v>0.5477500217084077</v>
      </c>
      <c r="L20" s="414">
        <f>F20/$I20*1000/12</f>
        <v>1.9200109546404482</v>
      </c>
      <c r="M20" s="414">
        <f>SUM(K20:L20)</f>
        <v>2.4677609763488562</v>
      </c>
      <c r="N20" s="414"/>
      <c r="O20" s="414"/>
      <c r="P20" s="366"/>
    </row>
    <row r="21" spans="1:16" x14ac:dyDescent="0.2">
      <c r="A21" s="454"/>
      <c r="C21" s="532"/>
      <c r="E21" s="293"/>
      <c r="F21" s="293"/>
      <c r="G21" s="293"/>
      <c r="H21" s="412"/>
      <c r="I21" s="413"/>
      <c r="J21" s="366"/>
      <c r="K21" s="414"/>
      <c r="L21" s="414"/>
      <c r="M21" s="414"/>
      <c r="N21" s="414"/>
      <c r="O21" s="414"/>
      <c r="P21" s="366"/>
    </row>
    <row r="22" spans="1:16" ht="13.5" thickBot="1" x14ac:dyDescent="0.25">
      <c r="A22" s="454">
        <v>9</v>
      </c>
      <c r="B22" s="96"/>
      <c r="C22" s="532" t="s">
        <v>274</v>
      </c>
      <c r="E22" s="416">
        <f>+E14+E20</f>
        <v>36836.550397450585</v>
      </c>
      <c r="F22" s="416">
        <f>+F14+F20</f>
        <v>157087.2395476916</v>
      </c>
      <c r="G22" s="416">
        <f>+G14+G20</f>
        <v>193923.78994514217</v>
      </c>
      <c r="H22" s="412"/>
      <c r="I22" s="413">
        <f>I$18</f>
        <v>5103103.9179101288</v>
      </c>
      <c r="J22" s="366"/>
      <c r="K22" s="414">
        <f>E22/$I22*1000/12</f>
        <v>0.60153831520993595</v>
      </c>
      <c r="L22" s="414">
        <f>F22/$I22*1000/12</f>
        <v>2.5652237356361645</v>
      </c>
      <c r="M22" s="414">
        <f>SUM(K22:L22)</f>
        <v>3.1667620508461005</v>
      </c>
      <c r="N22" s="414"/>
      <c r="O22" s="414"/>
      <c r="P22" s="366"/>
    </row>
    <row r="23" spans="1:16" ht="13.5" thickTop="1" x14ac:dyDescent="0.2">
      <c r="A23" s="454"/>
      <c r="C23" s="334"/>
      <c r="E23" s="293"/>
      <c r="F23" s="293"/>
      <c r="G23" s="293"/>
      <c r="H23" s="412"/>
      <c r="I23" s="413"/>
      <c r="J23" s="366"/>
      <c r="K23" s="412"/>
      <c r="L23" s="412"/>
      <c r="M23" s="412"/>
      <c r="N23" s="412"/>
      <c r="O23" s="412"/>
      <c r="P23" s="366"/>
    </row>
    <row r="24" spans="1:16" x14ac:dyDescent="0.2">
      <c r="A24" s="454"/>
      <c r="B24" s="96"/>
      <c r="C24" s="334" t="s">
        <v>276</v>
      </c>
      <c r="E24" s="320"/>
      <c r="F24" s="320"/>
      <c r="G24" s="320"/>
      <c r="H24" s="412"/>
      <c r="I24" s="367"/>
      <c r="J24" s="366"/>
      <c r="K24" s="366"/>
      <c r="L24" s="366"/>
      <c r="M24" s="366"/>
      <c r="N24" s="366"/>
      <c r="O24" s="366"/>
      <c r="P24" s="366"/>
    </row>
    <row r="25" spans="1:16" x14ac:dyDescent="0.2">
      <c r="A25" s="454"/>
      <c r="B25" s="96"/>
      <c r="C25" s="334"/>
      <c r="E25" s="320"/>
      <c r="F25" s="320"/>
      <c r="G25" s="320"/>
      <c r="H25" s="412"/>
      <c r="I25" s="367"/>
      <c r="J25" s="366"/>
      <c r="K25" s="366"/>
      <c r="L25" s="366"/>
      <c r="M25" s="366"/>
      <c r="N25" s="366"/>
      <c r="O25" s="366"/>
      <c r="P25" s="366"/>
    </row>
    <row r="26" spans="1:16" ht="13.5" thickBot="1" x14ac:dyDescent="0.25">
      <c r="A26" s="454">
        <v>10</v>
      </c>
      <c r="B26" s="96"/>
      <c r="C26" s="532" t="s">
        <v>307</v>
      </c>
      <c r="E26" s="416">
        <v>21450.839493121355</v>
      </c>
      <c r="F26" s="416">
        <v>0</v>
      </c>
      <c r="G26" s="416">
        <f t="shared" ref="G26" si="0">SUM(E26:F26)</f>
        <v>21450.839493121355</v>
      </c>
      <c r="H26" s="412"/>
      <c r="I26" s="413">
        <v>484613885.98061395</v>
      </c>
      <c r="J26" s="366"/>
      <c r="K26" s="414">
        <f>E26/$I26*1000</f>
        <v>4.4263773931520103E-2</v>
      </c>
      <c r="L26" s="414">
        <f>F26/$I26*1000</f>
        <v>0</v>
      </c>
      <c r="M26" s="414">
        <f>SUM(K26:L26)</f>
        <v>4.4263773931520103E-2</v>
      </c>
      <c r="N26" s="414"/>
      <c r="O26" s="183">
        <f>M26/5.309</f>
        <v>8.3374974442494074E-3</v>
      </c>
      <c r="P26" s="366"/>
    </row>
    <row r="27" spans="1:16" ht="13.5" thickTop="1" x14ac:dyDescent="0.2">
      <c r="E27" s="366"/>
      <c r="F27" s="366"/>
      <c r="G27" s="366"/>
      <c r="H27" s="366"/>
      <c r="I27" s="366"/>
      <c r="J27" s="366"/>
      <c r="K27" s="366"/>
      <c r="L27" s="366"/>
      <c r="M27" s="366"/>
      <c r="N27" s="366"/>
      <c r="O27" s="366"/>
      <c r="P27" s="366"/>
    </row>
    <row r="28" spans="1:16" x14ac:dyDescent="0.2">
      <c r="A28" s="76" t="s">
        <v>29</v>
      </c>
    </row>
    <row r="29" spans="1:16" x14ac:dyDescent="0.2">
      <c r="A29" s="77" t="s">
        <v>267</v>
      </c>
      <c r="C29" s="366" t="s">
        <v>984</v>
      </c>
    </row>
    <row r="30" spans="1:16" x14ac:dyDescent="0.2">
      <c r="A30" s="77" t="s">
        <v>268</v>
      </c>
      <c r="C30" s="366" t="s">
        <v>981</v>
      </c>
    </row>
    <row r="31" spans="1:16" x14ac:dyDescent="0.2">
      <c r="A31" s="77" t="s">
        <v>269</v>
      </c>
      <c r="C31" s="366" t="s">
        <v>985</v>
      </c>
    </row>
    <row r="32" spans="1:16" x14ac:dyDescent="0.2">
      <c r="A32" s="77" t="s">
        <v>277</v>
      </c>
      <c r="C32" s="366" t="s">
        <v>983</v>
      </c>
    </row>
    <row r="33" spans="1:12" x14ac:dyDescent="0.2">
      <c r="A33" s="77" t="s">
        <v>278</v>
      </c>
      <c r="C33" s="366" t="s">
        <v>757</v>
      </c>
    </row>
    <row r="34" spans="1:12" x14ac:dyDescent="0.2">
      <c r="C34" s="66" t="s">
        <v>758</v>
      </c>
      <c r="H34" s="366"/>
      <c r="I34" s="366"/>
      <c r="J34" s="366"/>
      <c r="K34" s="366"/>
      <c r="L34" s="366"/>
    </row>
    <row r="35" spans="1:12" x14ac:dyDescent="0.2">
      <c r="A35" s="77" t="s">
        <v>279</v>
      </c>
      <c r="C35" s="66" t="s">
        <v>986</v>
      </c>
      <c r="H35" s="366"/>
      <c r="I35" s="366"/>
      <c r="J35" s="366"/>
      <c r="K35" s="366"/>
      <c r="L35" s="366"/>
    </row>
    <row r="36" spans="1:12" x14ac:dyDescent="0.2">
      <c r="H36" s="366"/>
      <c r="I36" s="366"/>
      <c r="J36" s="366"/>
      <c r="K36" s="366"/>
      <c r="L36" s="366"/>
    </row>
    <row r="37" spans="1:12" x14ac:dyDescent="0.2">
      <c r="H37" s="366"/>
      <c r="I37" s="366"/>
      <c r="J37" s="366"/>
      <c r="K37" s="366"/>
      <c r="L37" s="366"/>
    </row>
  </sheetData>
  <mergeCells count="1">
    <mergeCell ref="K6:M6"/>
  </mergeCells>
  <pageMargins left="0.7" right="0.7" top="0.75" bottom="0.75" header="0.3" footer="0.3"/>
  <pageSetup scale="76" orientation="landscape" r:id="rId1"/>
  <headerFooter>
    <oddHeader>&amp;R&amp;"Arial,Regular"&amp;10Filed: 2022-11-30
EB-2022-0200
Exhibit 8
Tab 2
Schedule 8
Attachment 5
Page 1 of 2</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E6B6D-C2CA-4F1B-A4CD-B00F8A55E26C}">
  <sheetPr codeName="Sheet8">
    <pageSetUpPr fitToPage="1"/>
  </sheetPr>
  <dimension ref="A1:T58"/>
  <sheetViews>
    <sheetView view="pageLayout" zoomScaleNormal="90" zoomScaleSheetLayoutView="80" workbookViewId="0"/>
  </sheetViews>
  <sheetFormatPr defaultColWidth="9.28515625" defaultRowHeight="12.75" x14ac:dyDescent="0.2"/>
  <cols>
    <col min="1" max="1" width="4.7109375" style="366" customWidth="1"/>
    <col min="2" max="2" width="1.7109375" style="366" customWidth="1"/>
    <col min="3" max="3" width="48" style="366" customWidth="1"/>
    <col min="4" max="4" width="1.7109375" style="366" customWidth="1"/>
    <col min="5" max="7" width="11.140625" style="366" customWidth="1"/>
    <col min="8" max="8" width="1.7109375" style="366" customWidth="1"/>
    <col min="9" max="11" width="11.140625" style="366" customWidth="1"/>
    <col min="12" max="12" width="1.7109375" style="366" customWidth="1"/>
    <col min="13" max="13" width="11.140625" style="366" customWidth="1"/>
    <col min="14" max="14" width="1.7109375" style="366" customWidth="1"/>
    <col min="15" max="15" width="15.7109375" style="366" bestFit="1" customWidth="1"/>
    <col min="16" max="16" width="1.7109375" style="366" customWidth="1"/>
    <col min="17" max="16384" width="9.28515625" style="366"/>
  </cols>
  <sheetData>
    <row r="1" spans="1:20" x14ac:dyDescent="0.2">
      <c r="O1" s="367"/>
    </row>
    <row r="2" spans="1:20" x14ac:dyDescent="0.2">
      <c r="O2" s="367"/>
    </row>
    <row r="3" spans="1:20" x14ac:dyDescent="0.2">
      <c r="O3" s="367"/>
    </row>
    <row r="4" spans="1:20" x14ac:dyDescent="0.2">
      <c r="A4" s="557" t="s">
        <v>499</v>
      </c>
      <c r="B4" s="557"/>
      <c r="C4" s="557"/>
      <c r="D4" s="557"/>
      <c r="E4" s="557"/>
      <c r="F4" s="557"/>
      <c r="G4" s="557"/>
      <c r="H4" s="557"/>
      <c r="I4" s="557"/>
      <c r="J4" s="557"/>
      <c r="K4" s="557"/>
      <c r="L4" s="557"/>
      <c r="M4" s="557"/>
      <c r="N4" s="557"/>
      <c r="O4" s="557"/>
    </row>
    <row r="5" spans="1:20" x14ac:dyDescent="0.2">
      <c r="A5" s="557"/>
      <c r="B5" s="557"/>
      <c r="C5" s="557"/>
      <c r="D5" s="557"/>
      <c r="E5" s="557"/>
      <c r="F5" s="557"/>
      <c r="G5" s="557"/>
      <c r="H5" s="557"/>
      <c r="I5" s="557"/>
      <c r="J5" s="557"/>
      <c r="K5" s="557"/>
      <c r="L5" s="557"/>
      <c r="M5" s="557"/>
      <c r="N5" s="557"/>
      <c r="O5" s="557"/>
    </row>
    <row r="7" spans="1:20" x14ac:dyDescent="0.2">
      <c r="E7" s="556" t="s">
        <v>265</v>
      </c>
      <c r="F7" s="556"/>
      <c r="G7" s="556"/>
      <c r="H7" s="556"/>
      <c r="I7" s="556"/>
      <c r="J7" s="556"/>
      <c r="K7" s="556"/>
    </row>
    <row r="8" spans="1:20" x14ac:dyDescent="0.2">
      <c r="A8" s="558" t="s">
        <v>261</v>
      </c>
      <c r="E8" s="560" t="s">
        <v>759</v>
      </c>
      <c r="F8" s="560"/>
      <c r="G8" s="560"/>
      <c r="I8" s="560" t="s">
        <v>760</v>
      </c>
      <c r="J8" s="560"/>
      <c r="K8" s="560"/>
      <c r="M8" s="527" t="s">
        <v>275</v>
      </c>
    </row>
    <row r="9" spans="1:20" x14ac:dyDescent="0.2">
      <c r="A9" s="559"/>
      <c r="C9" s="417" t="s">
        <v>33</v>
      </c>
      <c r="E9" s="526" t="s">
        <v>262</v>
      </c>
      <c r="F9" s="526" t="s">
        <v>397</v>
      </c>
      <c r="G9" s="526" t="s">
        <v>94</v>
      </c>
      <c r="I9" s="526" t="s">
        <v>262</v>
      </c>
      <c r="J9" s="526" t="s">
        <v>397</v>
      </c>
      <c r="K9" s="526" t="s">
        <v>94</v>
      </c>
      <c r="M9" s="418" t="s">
        <v>2</v>
      </c>
      <c r="O9" s="526" t="s">
        <v>285</v>
      </c>
    </row>
    <row r="10" spans="1:20" x14ac:dyDescent="0.2">
      <c r="A10" s="360"/>
      <c r="E10" s="411" t="s">
        <v>3</v>
      </c>
      <c r="F10" s="411" t="s">
        <v>4</v>
      </c>
      <c r="G10" s="411" t="s">
        <v>739</v>
      </c>
      <c r="H10" s="411"/>
      <c r="I10" s="411" t="s">
        <v>263</v>
      </c>
      <c r="J10" s="411" t="s">
        <v>63</v>
      </c>
      <c r="K10" s="411" t="s">
        <v>740</v>
      </c>
      <c r="L10" s="411"/>
      <c r="M10" s="411" t="s">
        <v>38</v>
      </c>
      <c r="N10" s="411"/>
      <c r="O10" s="411"/>
    </row>
    <row r="11" spans="1:20" x14ac:dyDescent="0.2">
      <c r="G11" s="360"/>
      <c r="K11" s="360"/>
    </row>
    <row r="12" spans="1:20" x14ac:dyDescent="0.2">
      <c r="C12" s="376" t="s">
        <v>286</v>
      </c>
      <c r="G12" s="360"/>
      <c r="K12" s="360"/>
    </row>
    <row r="13" spans="1:20" x14ac:dyDescent="0.2">
      <c r="E13" s="414"/>
      <c r="F13" s="414"/>
      <c r="G13" s="360"/>
      <c r="I13" s="414"/>
      <c r="J13" s="414"/>
      <c r="K13" s="360"/>
      <c r="M13" s="157"/>
      <c r="O13" s="157"/>
    </row>
    <row r="14" spans="1:20" x14ac:dyDescent="0.2">
      <c r="A14" s="360">
        <v>1</v>
      </c>
      <c r="C14" s="366" t="s">
        <v>287</v>
      </c>
      <c r="E14" s="414">
        <f>'Attach 5 p.1'!K14</f>
        <v>1.2605643528747624E-3</v>
      </c>
      <c r="F14" s="414">
        <f>'Attach 5 p.1'!L14</f>
        <v>1.5120989694891167E-2</v>
      </c>
      <c r="G14" s="414">
        <f>'Attach 5 p.1'!M14</f>
        <v>1.638155404776593E-2</v>
      </c>
      <c r="I14" s="419">
        <f>E14*39.08/10</f>
        <v>4.9262854910345714E-3</v>
      </c>
      <c r="J14" s="420">
        <f>F14*39.08/10</f>
        <v>5.9092827727634675E-2</v>
      </c>
      <c r="K14" s="421">
        <f>G14*39.08/10</f>
        <v>6.4019113218669252E-2</v>
      </c>
      <c r="M14" s="157"/>
      <c r="O14" s="157" t="s">
        <v>987</v>
      </c>
      <c r="R14" s="420"/>
      <c r="S14" s="420"/>
      <c r="T14" s="420"/>
    </row>
    <row r="15" spans="1:20" x14ac:dyDescent="0.2">
      <c r="A15" s="360"/>
      <c r="E15" s="414"/>
      <c r="F15" s="414"/>
      <c r="G15" s="360"/>
      <c r="I15" s="419"/>
      <c r="J15" s="419"/>
      <c r="K15" s="360"/>
      <c r="M15" s="157"/>
      <c r="O15" s="157"/>
    </row>
    <row r="16" spans="1:20" x14ac:dyDescent="0.2">
      <c r="A16" s="360">
        <f>MAX(A$14:A15)+1</f>
        <v>2</v>
      </c>
      <c r="C16" s="366" t="s">
        <v>288</v>
      </c>
      <c r="E16" s="414">
        <f>'Attach 5 p.1'!K20</f>
        <v>0.5477500217084077</v>
      </c>
      <c r="F16" s="414">
        <f>'Attach 5 p.1'!L20</f>
        <v>1.9200109546404482</v>
      </c>
      <c r="G16" s="414">
        <f>'Attach 5 p.1'!M20</f>
        <v>2.4677609763488562</v>
      </c>
      <c r="I16" s="419">
        <f>E16*39.08/10</f>
        <v>2.1406070848364571</v>
      </c>
      <c r="J16" s="420">
        <f>F16*39.08/10</f>
        <v>7.5034028107348716</v>
      </c>
      <c r="K16" s="421">
        <f>G16*39.08/10</f>
        <v>9.6440098955713296</v>
      </c>
      <c r="M16" s="157"/>
      <c r="O16" s="157" t="s">
        <v>988</v>
      </c>
    </row>
    <row r="17" spans="1:15" x14ac:dyDescent="0.2">
      <c r="A17" s="360"/>
      <c r="C17" s="366" t="s">
        <v>280</v>
      </c>
      <c r="E17" s="414"/>
      <c r="F17" s="414"/>
      <c r="I17" s="419"/>
      <c r="J17" s="419"/>
      <c r="M17" s="157"/>
      <c r="O17" s="157"/>
    </row>
    <row r="18" spans="1:15" x14ac:dyDescent="0.2">
      <c r="A18" s="360">
        <f>MAX(A$14:A17)+1</f>
        <v>3</v>
      </c>
      <c r="C18" s="356" t="s">
        <v>281</v>
      </c>
      <c r="E18" s="422">
        <v>0</v>
      </c>
      <c r="F18" s="422">
        <f>G18</f>
        <v>3.4659904804556181</v>
      </c>
      <c r="G18" s="422">
        <v>3.4659904804556181</v>
      </c>
      <c r="I18" s="423">
        <f>E18*39.08/10</f>
        <v>0</v>
      </c>
      <c r="J18" s="424">
        <f>F18*39.08/10</f>
        <v>13.545090797620555</v>
      </c>
      <c r="K18" s="425">
        <f>G18*39.08/10</f>
        <v>13.545090797620555</v>
      </c>
      <c r="M18" s="157"/>
      <c r="O18" s="157" t="s">
        <v>289</v>
      </c>
    </row>
    <row r="19" spans="1:15" x14ac:dyDescent="0.2">
      <c r="A19" s="360">
        <f>MAX(A$14:A18)+1</f>
        <v>4</v>
      </c>
      <c r="C19" s="366" t="s">
        <v>290</v>
      </c>
      <c r="E19" s="426">
        <f>SUM(E16:E18)</f>
        <v>0.5477500217084077</v>
      </c>
      <c r="F19" s="426">
        <f>SUM(F16:F18)</f>
        <v>5.3860014350960661</v>
      </c>
      <c r="G19" s="426">
        <f>SUM(G16:G18)</f>
        <v>5.9337514568044742</v>
      </c>
      <c r="I19" s="426">
        <f>SUM(I16:I18)</f>
        <v>2.1406070848364571</v>
      </c>
      <c r="J19" s="426">
        <f>SUM(J16:J18)</f>
        <v>21.048493608355425</v>
      </c>
      <c r="K19" s="421">
        <f>SUM(K16:K18)</f>
        <v>23.189100693191882</v>
      </c>
      <c r="M19" s="157"/>
      <c r="O19" s="157"/>
    </row>
    <row r="20" spans="1:15" x14ac:dyDescent="0.2">
      <c r="A20" s="360"/>
      <c r="E20" s="414"/>
      <c r="F20" s="414"/>
      <c r="G20" s="414"/>
      <c r="I20" s="419"/>
      <c r="J20" s="419"/>
      <c r="K20" s="360"/>
      <c r="M20" s="157"/>
      <c r="O20" s="157"/>
    </row>
    <row r="21" spans="1:15" x14ac:dyDescent="0.2">
      <c r="A21" s="360">
        <f>MAX(A$14:A20)+1</f>
        <v>5</v>
      </c>
      <c r="C21" s="366" t="s">
        <v>291</v>
      </c>
      <c r="E21" s="414">
        <v>2.5024637433752939E-2</v>
      </c>
      <c r="F21" s="414">
        <f>'Attach 5 p.1'!L26</f>
        <v>0</v>
      </c>
      <c r="G21" s="414">
        <v>2.5024637433752939E-2</v>
      </c>
      <c r="I21" s="419">
        <f>E21*39.08/10</f>
        <v>9.7796283091106481E-2</v>
      </c>
      <c r="J21" s="420">
        <f>F21*39.08/10</f>
        <v>0</v>
      </c>
      <c r="K21" s="421">
        <f>G21*39.08/10</f>
        <v>9.7796283091106481E-2</v>
      </c>
      <c r="M21" s="183">
        <v>3.6238720093741137E-3</v>
      </c>
      <c r="O21" s="157" t="s">
        <v>294</v>
      </c>
    </row>
    <row r="22" spans="1:15" x14ac:dyDescent="0.2">
      <c r="A22" s="360"/>
      <c r="C22" s="366" t="s">
        <v>292</v>
      </c>
      <c r="E22" s="414"/>
      <c r="F22" s="414"/>
      <c r="G22" s="414"/>
      <c r="I22" s="419"/>
      <c r="J22" s="419"/>
      <c r="K22" s="421"/>
      <c r="M22" s="183"/>
      <c r="O22" s="157"/>
    </row>
    <row r="23" spans="1:15" x14ac:dyDescent="0.2">
      <c r="A23" s="360">
        <f>MAX(A$14:A22)+1</f>
        <v>6</v>
      </c>
      <c r="C23" s="356" t="s">
        <v>293</v>
      </c>
      <c r="E23" s="414">
        <f>G23</f>
        <v>2.5817644353432648E-2</v>
      </c>
      <c r="F23" s="414">
        <v>0</v>
      </c>
      <c r="G23" s="422">
        <v>2.5817644353432648E-2</v>
      </c>
      <c r="I23" s="419">
        <f>E23*39.08/10</f>
        <v>0.10089535413321478</v>
      </c>
      <c r="J23" s="420">
        <f>F23*39.08/10</f>
        <v>0</v>
      </c>
      <c r="K23" s="425">
        <f>G23*39.08/10</f>
        <v>0.10089535413321478</v>
      </c>
      <c r="M23" s="183"/>
      <c r="O23" s="157" t="s">
        <v>301</v>
      </c>
    </row>
    <row r="24" spans="1:15" x14ac:dyDescent="0.2">
      <c r="A24" s="360">
        <f>MAX(A$14:A23)+1</f>
        <v>7</v>
      </c>
      <c r="C24" s="366" t="s">
        <v>295</v>
      </c>
      <c r="E24" s="414"/>
      <c r="F24" s="414"/>
      <c r="G24" s="414">
        <f>SUM(G21:G23)</f>
        <v>5.0842281787185584E-2</v>
      </c>
      <c r="I24" s="414"/>
      <c r="J24" s="414"/>
      <c r="K24" s="419">
        <f>SUM(K21:K23)</f>
        <v>0.19869163722432126</v>
      </c>
      <c r="M24" s="183">
        <v>3.6238720093741137E-3</v>
      </c>
      <c r="O24" s="157" t="str">
        <f>O21</f>
        <v>Note (2)</v>
      </c>
    </row>
    <row r="25" spans="1:15" x14ac:dyDescent="0.2">
      <c r="A25" s="360"/>
      <c r="E25" s="414"/>
      <c r="F25" s="414"/>
      <c r="G25" s="414"/>
      <c r="I25" s="414"/>
      <c r="J25" s="414"/>
      <c r="K25" s="421"/>
      <c r="M25" s="367"/>
      <c r="O25" s="157"/>
    </row>
    <row r="26" spans="1:15" x14ac:dyDescent="0.2">
      <c r="A26" s="360"/>
      <c r="C26" s="376" t="s">
        <v>296</v>
      </c>
      <c r="D26" s="414"/>
      <c r="E26" s="414"/>
      <c r="F26" s="414"/>
      <c r="G26" s="414"/>
      <c r="H26" s="414"/>
      <c r="I26" s="414"/>
      <c r="J26" s="414"/>
      <c r="K26" s="414"/>
      <c r="L26" s="360"/>
      <c r="M26" s="157"/>
      <c r="N26" s="360"/>
      <c r="O26" s="157"/>
    </row>
    <row r="27" spans="1:15" x14ac:dyDescent="0.2">
      <c r="A27" s="360"/>
      <c r="C27" s="157"/>
      <c r="D27" s="414"/>
      <c r="E27" s="414"/>
      <c r="F27" s="414"/>
      <c r="G27" s="414"/>
      <c r="H27" s="414"/>
      <c r="I27" s="414"/>
      <c r="J27" s="414"/>
      <c r="K27" s="414"/>
      <c r="L27" s="360"/>
      <c r="M27" s="157"/>
      <c r="N27" s="360"/>
      <c r="O27" s="157"/>
    </row>
    <row r="28" spans="1:15" x14ac:dyDescent="0.2">
      <c r="A28" s="360">
        <f>MAX(A$14:A27)+1</f>
        <v>8</v>
      </c>
      <c r="B28" s="356"/>
      <c r="C28" s="427" t="s">
        <v>212</v>
      </c>
      <c r="D28" s="414"/>
      <c r="E28" s="414">
        <f>'Attach 5 p.1'!K14</f>
        <v>1.2605643528747624E-3</v>
      </c>
      <c r="F28" s="414">
        <f>'Attach 5 p.1'!L14</f>
        <v>1.5120989694891167E-2</v>
      </c>
      <c r="G28" s="414">
        <f>'Attach 5 p.1'!M14</f>
        <v>1.638155404776593E-2</v>
      </c>
      <c r="H28" s="414"/>
      <c r="I28" s="414"/>
      <c r="J28" s="414"/>
      <c r="K28" s="414"/>
      <c r="L28" s="360"/>
      <c r="M28" s="157"/>
      <c r="N28" s="360"/>
      <c r="O28" s="157" t="s">
        <v>987</v>
      </c>
    </row>
    <row r="29" spans="1:15" x14ac:dyDescent="0.2">
      <c r="A29" s="360"/>
      <c r="C29" s="427"/>
      <c r="D29" s="414"/>
      <c r="E29" s="414"/>
      <c r="F29" s="414"/>
      <c r="G29" s="414"/>
      <c r="H29" s="414"/>
      <c r="I29" s="414"/>
      <c r="J29" s="414"/>
      <c r="K29" s="414"/>
      <c r="L29" s="360"/>
      <c r="M29" s="157"/>
      <c r="N29" s="360"/>
      <c r="O29" s="157"/>
    </row>
    <row r="30" spans="1:15" x14ac:dyDescent="0.2">
      <c r="A30" s="360"/>
      <c r="C30" s="427" t="s">
        <v>297</v>
      </c>
      <c r="D30" s="414"/>
      <c r="E30" s="414"/>
      <c r="F30" s="414"/>
      <c r="G30" s="414"/>
      <c r="H30" s="414"/>
      <c r="I30" s="414"/>
      <c r="J30" s="414"/>
      <c r="K30" s="414"/>
      <c r="L30" s="360"/>
      <c r="M30" s="157"/>
      <c r="N30" s="360"/>
      <c r="O30" s="157"/>
    </row>
    <row r="31" spans="1:15" x14ac:dyDescent="0.2">
      <c r="A31" s="360">
        <f>MAX(A$14:A30)+1</f>
        <v>9</v>
      </c>
      <c r="C31" s="428" t="s">
        <v>271</v>
      </c>
      <c r="D31" s="414"/>
      <c r="E31" s="414">
        <f>'Attach 5 p.1'!K18</f>
        <v>0.5477500217084077</v>
      </c>
      <c r="F31" s="414">
        <f>'Attach 5 p.1'!L18</f>
        <v>1.6700581789577129</v>
      </c>
      <c r="G31" s="414">
        <f>'Attach 5 p.1'!M18</f>
        <v>2.2178082006661208</v>
      </c>
      <c r="H31" s="414"/>
      <c r="I31" s="414"/>
      <c r="J31" s="414"/>
      <c r="K31" s="414"/>
      <c r="L31" s="360"/>
      <c r="M31" s="157"/>
      <c r="N31" s="360"/>
      <c r="O31" s="157" t="s">
        <v>989</v>
      </c>
    </row>
    <row r="32" spans="1:15" x14ac:dyDescent="0.2">
      <c r="A32" s="360">
        <f>MAX(A$14:A31)+1</f>
        <v>10</v>
      </c>
      <c r="C32" s="428" t="s">
        <v>273</v>
      </c>
      <c r="D32" s="414"/>
      <c r="E32" s="414">
        <f>'Attach 5 p.1'!K20</f>
        <v>0.5477500217084077</v>
      </c>
      <c r="F32" s="414">
        <f>'Attach 5 p.1'!L20</f>
        <v>1.9200109546404482</v>
      </c>
      <c r="G32" s="414">
        <f>'Attach 5 p.1'!M20</f>
        <v>2.4677609763488562</v>
      </c>
      <c r="H32" s="414"/>
      <c r="I32" s="414"/>
      <c r="J32" s="414"/>
      <c r="K32" s="414"/>
      <c r="L32" s="360"/>
      <c r="M32" s="157"/>
      <c r="N32" s="360"/>
      <c r="O32" s="157" t="s">
        <v>988</v>
      </c>
    </row>
    <row r="33" spans="1:15" x14ac:dyDescent="0.2">
      <c r="A33" s="360"/>
      <c r="C33" s="412"/>
      <c r="D33" s="414"/>
      <c r="E33" s="414"/>
      <c r="F33" s="414"/>
      <c r="G33" s="414"/>
      <c r="H33" s="414"/>
      <c r="I33" s="414"/>
      <c r="J33" s="414"/>
      <c r="K33" s="414"/>
      <c r="L33" s="360"/>
      <c r="M33" s="157"/>
      <c r="N33" s="360"/>
      <c r="O33" s="157"/>
    </row>
    <row r="34" spans="1:15" x14ac:dyDescent="0.2">
      <c r="A34" s="360"/>
      <c r="C34" s="157" t="s">
        <v>298</v>
      </c>
      <c r="D34" s="414"/>
      <c r="E34" s="414"/>
      <c r="F34" s="414"/>
      <c r="G34" s="414"/>
      <c r="H34" s="414"/>
      <c r="I34" s="414"/>
      <c r="J34" s="414"/>
      <c r="K34" s="414"/>
      <c r="L34" s="360"/>
      <c r="M34" s="157"/>
      <c r="N34" s="360"/>
      <c r="O34" s="157"/>
    </row>
    <row r="35" spans="1:15" x14ac:dyDescent="0.2">
      <c r="A35" s="360">
        <f>MAX(A$14:A34)+1</f>
        <v>11</v>
      </c>
      <c r="C35" s="428" t="s">
        <v>299</v>
      </c>
      <c r="D35" s="414"/>
      <c r="E35" s="414"/>
      <c r="F35" s="414"/>
      <c r="G35" s="414"/>
      <c r="H35" s="414"/>
      <c r="I35" s="414"/>
      <c r="J35" s="414"/>
      <c r="K35" s="421"/>
      <c r="L35" s="360"/>
      <c r="M35" s="183">
        <f>'Attach 5 p.1'!$O$26</f>
        <v>8.3374974442494074E-3</v>
      </c>
      <c r="N35" s="360"/>
      <c r="O35" s="157" t="s">
        <v>990</v>
      </c>
    </row>
    <row r="36" spans="1:15" x14ac:dyDescent="0.2">
      <c r="A36" s="360"/>
      <c r="C36" s="358"/>
      <c r="D36" s="414"/>
      <c r="E36" s="414"/>
      <c r="F36" s="414"/>
      <c r="G36" s="414"/>
      <c r="H36" s="414"/>
      <c r="I36" s="414"/>
      <c r="J36" s="414"/>
      <c r="K36" s="414"/>
      <c r="L36" s="360"/>
      <c r="M36" s="157"/>
      <c r="N36" s="360"/>
      <c r="O36" s="157"/>
    </row>
    <row r="37" spans="1:15" x14ac:dyDescent="0.2">
      <c r="A37" s="360"/>
      <c r="B37" s="356"/>
      <c r="C37" s="358" t="s">
        <v>300</v>
      </c>
      <c r="D37" s="414"/>
      <c r="E37" s="298"/>
      <c r="F37" s="298"/>
      <c r="G37" s="414"/>
      <c r="H37" s="414"/>
      <c r="I37" s="414"/>
      <c r="J37" s="414"/>
      <c r="K37" s="414"/>
      <c r="L37" s="360"/>
      <c r="M37" s="157"/>
      <c r="N37" s="360"/>
      <c r="O37" s="157"/>
    </row>
    <row r="38" spans="1:15" x14ac:dyDescent="0.2">
      <c r="A38" s="360"/>
      <c r="B38" s="356"/>
      <c r="C38" s="358"/>
      <c r="D38" s="414"/>
      <c r="E38" s="298"/>
      <c r="F38" s="298"/>
      <c r="G38" s="414"/>
      <c r="H38" s="414"/>
      <c r="I38" s="414"/>
      <c r="J38" s="414"/>
      <c r="K38" s="414"/>
      <c r="L38" s="360"/>
      <c r="M38" s="157"/>
      <c r="N38" s="360"/>
      <c r="O38" s="157"/>
    </row>
    <row r="39" spans="1:15" x14ac:dyDescent="0.2">
      <c r="A39" s="360">
        <f>MAX(A$14:A38)+1</f>
        <v>12</v>
      </c>
      <c r="B39" s="356"/>
      <c r="C39" s="157" t="s">
        <v>266</v>
      </c>
      <c r="D39" s="414"/>
      <c r="E39" s="414">
        <f>'Attach 5 p.1'!K22</f>
        <v>0.60153831520993595</v>
      </c>
      <c r="F39" s="414">
        <f>'Attach 5 p.1'!L22</f>
        <v>2.5652237356361645</v>
      </c>
      <c r="G39" s="414">
        <f>'Attach 5 p.1'!M22</f>
        <v>3.1667620508461005</v>
      </c>
      <c r="H39" s="414"/>
      <c r="I39" s="414"/>
      <c r="J39" s="414"/>
      <c r="K39" s="414"/>
      <c r="L39" s="360"/>
      <c r="M39" s="157"/>
      <c r="N39" s="360"/>
      <c r="O39" s="157" t="s">
        <v>991</v>
      </c>
    </row>
    <row r="40" spans="1:15" x14ac:dyDescent="0.2">
      <c r="A40" s="360"/>
      <c r="B40" s="356"/>
      <c r="C40" s="366" t="s">
        <v>280</v>
      </c>
      <c r="D40" s="414"/>
      <c r="E40" s="298"/>
      <c r="F40" s="298"/>
      <c r="G40" s="414"/>
      <c r="H40" s="414"/>
      <c r="I40" s="414"/>
      <c r="J40" s="414"/>
      <c r="K40" s="414"/>
      <c r="L40" s="360"/>
      <c r="M40" s="157"/>
      <c r="N40" s="360"/>
      <c r="O40" s="157"/>
    </row>
    <row r="41" spans="1:15" x14ac:dyDescent="0.2">
      <c r="A41" s="360">
        <f>MAX(A$14:A40)+1</f>
        <v>13</v>
      </c>
      <c r="B41" s="356"/>
      <c r="C41" s="356" t="s">
        <v>281</v>
      </c>
      <c r="D41" s="414"/>
      <c r="E41" s="414">
        <v>0</v>
      </c>
      <c r="F41" s="414">
        <f>G41</f>
        <v>3.4659904804556181</v>
      </c>
      <c r="G41" s="414">
        <v>3.4659904804556181</v>
      </c>
      <c r="H41" s="414"/>
      <c r="I41" s="414"/>
      <c r="J41" s="414"/>
      <c r="K41" s="414"/>
      <c r="L41" s="360"/>
      <c r="M41" s="157"/>
      <c r="N41" s="360"/>
      <c r="O41" s="157" t="s">
        <v>289</v>
      </c>
    </row>
    <row r="42" spans="1:15" x14ac:dyDescent="0.2">
      <c r="A42" s="360">
        <f>MAX(A$14:A41)+1</f>
        <v>14</v>
      </c>
      <c r="C42" s="356" t="s">
        <v>282</v>
      </c>
      <c r="D42" s="414"/>
      <c r="E42" s="414">
        <f>G42</f>
        <v>14.46008</v>
      </c>
      <c r="F42" s="414">
        <v>0</v>
      </c>
      <c r="G42" s="298">
        <v>14.46008</v>
      </c>
      <c r="H42" s="414"/>
      <c r="I42" s="414"/>
      <c r="J42" s="414"/>
      <c r="K42" s="414"/>
      <c r="L42" s="360"/>
      <c r="M42" s="157"/>
      <c r="N42" s="360"/>
      <c r="O42" s="157"/>
    </row>
    <row r="43" spans="1:15" x14ac:dyDescent="0.2">
      <c r="A43" s="360">
        <f>MAX(A$14:A42)+1</f>
        <v>15</v>
      </c>
      <c r="C43" s="356" t="s">
        <v>302</v>
      </c>
      <c r="D43" s="414"/>
      <c r="E43" s="422">
        <v>0</v>
      </c>
      <c r="F43" s="422">
        <f>G43</f>
        <v>-0.65750728521781698</v>
      </c>
      <c r="G43" s="422">
        <v>-0.65750728521781698</v>
      </c>
      <c r="H43" s="414"/>
      <c r="I43" s="414"/>
      <c r="J43" s="414"/>
      <c r="K43" s="414"/>
      <c r="L43" s="360"/>
      <c r="M43" s="157"/>
      <c r="N43" s="360"/>
      <c r="O43" s="157" t="s">
        <v>537</v>
      </c>
    </row>
    <row r="44" spans="1:15" x14ac:dyDescent="0.2">
      <c r="A44" s="360">
        <f>MAX(A$14:A43)+1</f>
        <v>16</v>
      </c>
      <c r="C44" s="157" t="s">
        <v>274</v>
      </c>
      <c r="D44" s="414"/>
      <c r="E44" s="414">
        <f>SUM(E39:E43)</f>
        <v>15.061618315209936</v>
      </c>
      <c r="F44" s="414">
        <f>SUM(F39:F43)</f>
        <v>5.3737069308739658</v>
      </c>
      <c r="G44" s="414">
        <f>SUM(G39:G43)</f>
        <v>20.435325246083899</v>
      </c>
      <c r="H44" s="414"/>
      <c r="I44" s="414"/>
      <c r="J44" s="414"/>
      <c r="K44" s="414"/>
      <c r="L44" s="360"/>
      <c r="M44" s="157"/>
      <c r="N44" s="360"/>
      <c r="O44" s="157"/>
    </row>
    <row r="45" spans="1:15" x14ac:dyDescent="0.2">
      <c r="A45" s="360"/>
      <c r="C45" s="356"/>
      <c r="D45" s="414"/>
      <c r="E45" s="298"/>
      <c r="F45" s="298"/>
      <c r="G45" s="414"/>
      <c r="H45" s="414"/>
      <c r="I45" s="414"/>
      <c r="J45" s="414"/>
      <c r="K45" s="414"/>
      <c r="L45" s="360"/>
      <c r="M45" s="157"/>
      <c r="N45" s="360"/>
      <c r="O45" s="157"/>
    </row>
    <row r="46" spans="1:15" x14ac:dyDescent="0.2">
      <c r="A46" s="360">
        <f>MAX(A$14:A45)+1</f>
        <v>17</v>
      </c>
      <c r="B46" s="356"/>
      <c r="C46" s="157" t="s">
        <v>276</v>
      </c>
      <c r="D46" s="414"/>
      <c r="E46" s="414">
        <f>'Attach 5 p.1'!K26</f>
        <v>4.4263773931520103E-2</v>
      </c>
      <c r="F46" s="414">
        <f>'Attach 5 p.1'!L26</f>
        <v>0</v>
      </c>
      <c r="G46" s="414">
        <f>'Attach 5 p.1'!M26</f>
        <v>4.4263773931520103E-2</v>
      </c>
      <c r="H46" s="414"/>
      <c r="I46" s="414"/>
      <c r="J46" s="414"/>
      <c r="K46" s="414"/>
      <c r="L46" s="360"/>
      <c r="M46" s="157"/>
      <c r="N46" s="360"/>
      <c r="O46" s="157" t="s">
        <v>990</v>
      </c>
    </row>
    <row r="47" spans="1:15" x14ac:dyDescent="0.2">
      <c r="B47" s="356"/>
      <c r="C47" s="366" t="s">
        <v>292</v>
      </c>
      <c r="D47" s="414"/>
      <c r="E47" s="298"/>
      <c r="F47" s="298"/>
      <c r="G47" s="298"/>
      <c r="H47" s="414"/>
      <c r="I47" s="414"/>
      <c r="J47" s="414"/>
      <c r="K47" s="414"/>
      <c r="L47" s="360"/>
      <c r="M47" s="157"/>
      <c r="N47" s="360"/>
      <c r="O47" s="157"/>
    </row>
    <row r="48" spans="1:15" x14ac:dyDescent="0.2">
      <c r="A48" s="360">
        <f>MAX(A$14:A47)+1</f>
        <v>18</v>
      </c>
      <c r="B48" s="356"/>
      <c r="C48" s="356" t="s">
        <v>293</v>
      </c>
      <c r="D48" s="414"/>
      <c r="E48" s="414">
        <f>G48</f>
        <v>2.5817644353432648E-2</v>
      </c>
      <c r="F48" s="414">
        <v>0</v>
      </c>
      <c r="G48" s="298">
        <v>2.5817644353432648E-2</v>
      </c>
      <c r="H48" s="414"/>
      <c r="I48" s="414"/>
      <c r="J48" s="414"/>
      <c r="K48" s="414"/>
      <c r="L48" s="360"/>
      <c r="M48" s="157"/>
      <c r="N48" s="360"/>
      <c r="O48" s="157" t="s">
        <v>301</v>
      </c>
    </row>
    <row r="49" spans="1:15" x14ac:dyDescent="0.2">
      <c r="A49" s="360">
        <f>MAX(A$14:A48)+1</f>
        <v>19</v>
      </c>
      <c r="B49" s="356"/>
      <c r="C49" s="356" t="s">
        <v>303</v>
      </c>
      <c r="D49" s="414"/>
      <c r="E49" s="422">
        <f>G49</f>
        <v>3.7641257843924296E-2</v>
      </c>
      <c r="F49" s="422">
        <v>0</v>
      </c>
      <c r="G49" s="422">
        <v>3.7641257843924296E-2</v>
      </c>
      <c r="H49" s="414"/>
      <c r="I49" s="414"/>
      <c r="J49" s="414"/>
      <c r="K49" s="414"/>
      <c r="L49" s="360"/>
      <c r="M49" s="157"/>
      <c r="N49" s="360"/>
      <c r="O49" s="157" t="s">
        <v>538</v>
      </c>
    </row>
    <row r="50" spans="1:15" x14ac:dyDescent="0.2">
      <c r="A50" s="360">
        <f>MAX(A$14:A49)+1</f>
        <v>20</v>
      </c>
      <c r="B50" s="356"/>
      <c r="C50" s="157" t="s">
        <v>304</v>
      </c>
      <c r="D50" s="414"/>
      <c r="E50" s="414">
        <f>SUM(E46:E49)</f>
        <v>0.10772267612887704</v>
      </c>
      <c r="F50" s="414">
        <f>SUM(F46:F49)</f>
        <v>0</v>
      </c>
      <c r="G50" s="414">
        <f>SUM(G46:G49)</f>
        <v>0.10772267612887704</v>
      </c>
      <c r="H50" s="414"/>
      <c r="I50" s="414"/>
      <c r="J50" s="414"/>
      <c r="K50" s="414"/>
      <c r="L50" s="360"/>
      <c r="M50" s="157"/>
      <c r="N50" s="360"/>
      <c r="O50" s="157"/>
    </row>
    <row r="51" spans="1:15" x14ac:dyDescent="0.2">
      <c r="A51" s="360"/>
      <c r="D51" s="414"/>
      <c r="E51" s="298"/>
      <c r="F51" s="298"/>
      <c r="G51" s="414"/>
      <c r="H51" s="414"/>
      <c r="I51" s="414"/>
      <c r="J51" s="414"/>
      <c r="K51" s="414"/>
      <c r="L51" s="360"/>
      <c r="M51" s="157"/>
      <c r="N51" s="360"/>
      <c r="O51" s="157"/>
    </row>
    <row r="52" spans="1:15" x14ac:dyDescent="0.2">
      <c r="A52" s="376" t="s">
        <v>29</v>
      </c>
      <c r="D52" s="414"/>
      <c r="E52" s="298"/>
      <c r="F52" s="298"/>
      <c r="G52" s="414"/>
      <c r="H52" s="414"/>
      <c r="I52" s="298"/>
      <c r="J52" s="298"/>
      <c r="K52" s="414"/>
      <c r="M52" s="157"/>
      <c r="O52" s="157"/>
    </row>
    <row r="53" spans="1:15" x14ac:dyDescent="0.2">
      <c r="A53" s="411" t="s">
        <v>267</v>
      </c>
      <c r="C53" s="366" t="s">
        <v>1067</v>
      </c>
      <c r="D53" s="414"/>
      <c r="E53" s="298"/>
      <c r="F53" s="298"/>
      <c r="G53" s="414"/>
      <c r="H53" s="414"/>
      <c r="I53" s="298"/>
      <c r="J53" s="298"/>
      <c r="K53" s="414"/>
    </row>
    <row r="54" spans="1:15" x14ac:dyDescent="0.2">
      <c r="A54" s="411" t="s">
        <v>268</v>
      </c>
      <c r="C54" s="366" t="s">
        <v>992</v>
      </c>
      <c r="D54" s="414"/>
      <c r="E54" s="414"/>
      <c r="F54" s="414"/>
      <c r="G54" s="414"/>
      <c r="H54" s="414"/>
      <c r="I54" s="414"/>
      <c r="J54" s="414"/>
      <c r="K54" s="414"/>
    </row>
    <row r="55" spans="1:15" x14ac:dyDescent="0.2">
      <c r="A55" s="411" t="s">
        <v>269</v>
      </c>
      <c r="C55" s="366" t="s">
        <v>641</v>
      </c>
      <c r="D55" s="414"/>
      <c r="E55" s="414"/>
      <c r="F55" s="414"/>
      <c r="G55" s="414"/>
      <c r="H55" s="414"/>
      <c r="I55" s="414"/>
      <c r="J55" s="414"/>
      <c r="K55" s="414"/>
    </row>
    <row r="56" spans="1:15" x14ac:dyDescent="0.2">
      <c r="A56" s="411" t="s">
        <v>277</v>
      </c>
      <c r="C56" s="366" t="s">
        <v>993</v>
      </c>
      <c r="D56" s="414"/>
      <c r="E56" s="414"/>
      <c r="F56" s="414"/>
      <c r="G56" s="414"/>
      <c r="H56" s="414"/>
      <c r="I56" s="414"/>
      <c r="J56" s="414"/>
      <c r="K56" s="414"/>
    </row>
    <row r="57" spans="1:15" x14ac:dyDescent="0.2">
      <c r="A57" s="411" t="s">
        <v>278</v>
      </c>
      <c r="C57" s="366" t="s">
        <v>642</v>
      </c>
      <c r="D57" s="414"/>
      <c r="E57" s="414"/>
      <c r="F57" s="414"/>
      <c r="G57" s="414"/>
      <c r="H57" s="414"/>
      <c r="I57" s="414"/>
      <c r="J57" s="414"/>
      <c r="K57" s="414"/>
    </row>
    <row r="58" spans="1:15" x14ac:dyDescent="0.2">
      <c r="A58" s="411"/>
    </row>
  </sheetData>
  <mergeCells count="6">
    <mergeCell ref="A5:O5"/>
    <mergeCell ref="A8:A9"/>
    <mergeCell ref="E7:K7"/>
    <mergeCell ref="A4:O4"/>
    <mergeCell ref="E8:G8"/>
    <mergeCell ref="I8:K8"/>
  </mergeCells>
  <pageMargins left="0.7" right="0.7" top="0.75" bottom="0.75" header="0.3" footer="0.3"/>
  <pageSetup scale="71" orientation="landscape" r:id="rId1"/>
  <headerFooter>
    <oddHeader>&amp;R&amp;"Arial,Regular"&amp;10Filed: 2022-11-30
EB-2022-0200
Exhibit 8
Tab 2
Schedule 8
Attachment 5
Page 2 of 2</oddHeader>
  </headerFooter>
  <colBreaks count="1" manualBreakCount="1">
    <brk id="1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AE30F-63CD-4489-B2E9-9F765B82B60F}">
  <sheetPr codeName="Sheet9">
    <pageSetUpPr fitToPage="1"/>
  </sheetPr>
  <dimension ref="A1:P340"/>
  <sheetViews>
    <sheetView view="pageLayout" zoomScaleNormal="80" zoomScaleSheetLayoutView="80" workbookViewId="0"/>
  </sheetViews>
  <sheetFormatPr defaultColWidth="8.85546875" defaultRowHeight="12.75" x14ac:dyDescent="0.2"/>
  <cols>
    <col min="1" max="1" width="5" style="366" customWidth="1"/>
    <col min="2" max="2" width="1.7109375" style="366" customWidth="1"/>
    <col min="3" max="3" width="73.85546875" style="366" customWidth="1"/>
    <col min="4" max="4" width="14.140625" style="366" customWidth="1"/>
    <col min="5" max="5" width="1.7109375" style="366" customWidth="1"/>
    <col min="6" max="6" width="14.140625" style="366" customWidth="1"/>
    <col min="7" max="7" width="3.28515625" style="366" customWidth="1"/>
    <col min="8" max="8" width="15.28515625" style="366" customWidth="1"/>
    <col min="9" max="9" width="2" style="366" customWidth="1"/>
    <col min="10" max="10" width="15.28515625" style="366" customWidth="1"/>
    <col min="11" max="11" width="2" style="366" customWidth="1"/>
    <col min="12" max="16384" width="8.85546875" style="366"/>
  </cols>
  <sheetData>
    <row r="1" spans="1:16" x14ac:dyDescent="0.2">
      <c r="A1" s="440"/>
      <c r="B1" s="440"/>
      <c r="C1" s="440"/>
      <c r="D1" s="440"/>
      <c r="E1" s="440"/>
      <c r="F1" s="440"/>
      <c r="G1" s="440"/>
      <c r="H1" s="440"/>
      <c r="I1" s="440"/>
      <c r="J1" s="440"/>
    </row>
    <row r="2" spans="1:16" x14ac:dyDescent="0.2">
      <c r="A2" s="440"/>
      <c r="B2" s="440"/>
      <c r="C2" s="440"/>
      <c r="D2" s="440"/>
      <c r="E2" s="440"/>
      <c r="F2" s="440"/>
      <c r="G2" s="440"/>
      <c r="H2" s="440"/>
      <c r="I2" s="440"/>
      <c r="J2" s="440"/>
    </row>
    <row r="3" spans="1:16" x14ac:dyDescent="0.2">
      <c r="A3" s="440"/>
      <c r="B3" s="440"/>
      <c r="C3" s="440"/>
      <c r="D3" s="440"/>
      <c r="E3" s="440"/>
      <c r="F3" s="440"/>
      <c r="G3" s="440"/>
      <c r="H3" s="440"/>
      <c r="I3" s="440"/>
      <c r="J3" s="440"/>
    </row>
    <row r="4" spans="1:16" x14ac:dyDescent="0.2">
      <c r="A4" s="440"/>
      <c r="B4" s="440"/>
      <c r="C4" s="440"/>
      <c r="D4" s="440"/>
      <c r="E4" s="440"/>
      <c r="F4" s="440"/>
      <c r="G4" s="440"/>
      <c r="H4" s="440"/>
      <c r="I4" s="440"/>
      <c r="J4" s="440"/>
    </row>
    <row r="5" spans="1:16" x14ac:dyDescent="0.2">
      <c r="A5" s="440"/>
      <c r="B5" s="440"/>
      <c r="C5" s="440"/>
      <c r="D5" s="440"/>
      <c r="E5" s="440"/>
      <c r="F5" s="440"/>
      <c r="G5" s="440"/>
      <c r="H5" s="440"/>
      <c r="I5" s="440"/>
      <c r="J5" s="440"/>
    </row>
    <row r="6" spans="1:16" x14ac:dyDescent="0.2">
      <c r="A6" s="557" t="s">
        <v>348</v>
      </c>
      <c r="B6" s="557"/>
      <c r="C6" s="557"/>
      <c r="D6" s="557"/>
      <c r="E6" s="557"/>
      <c r="F6" s="557"/>
      <c r="G6" s="409"/>
      <c r="H6" s="391"/>
      <c r="I6" s="169"/>
      <c r="J6" s="169"/>
      <c r="K6" s="28"/>
    </row>
    <row r="7" spans="1:16" x14ac:dyDescent="0.2">
      <c r="A7" s="64"/>
      <c r="B7" s="64"/>
      <c r="C7" s="64"/>
      <c r="D7" s="63"/>
      <c r="E7" s="28"/>
      <c r="F7" s="63"/>
      <c r="G7" s="28"/>
      <c r="H7" s="62"/>
      <c r="K7" s="28"/>
    </row>
    <row r="8" spans="1:16" x14ac:dyDescent="0.2">
      <c r="A8" s="64" t="s">
        <v>0</v>
      </c>
      <c r="B8" s="33"/>
      <c r="C8" s="33"/>
      <c r="D8" s="62"/>
      <c r="E8" s="28"/>
      <c r="F8" s="64"/>
      <c r="G8" s="28"/>
      <c r="H8" s="60"/>
      <c r="K8" s="28"/>
      <c r="L8" s="28"/>
      <c r="M8" s="28"/>
      <c r="N8" s="28"/>
      <c r="O8" s="28"/>
      <c r="P8" s="28"/>
    </row>
    <row r="9" spans="1:16" x14ac:dyDescent="0.2">
      <c r="A9" s="520" t="s">
        <v>1</v>
      </c>
      <c r="B9" s="33"/>
      <c r="C9" s="185" t="s">
        <v>33</v>
      </c>
      <c r="D9" s="232"/>
      <c r="E9" s="28"/>
      <c r="F9" s="526" t="s">
        <v>350</v>
      </c>
      <c r="G9" s="28"/>
      <c r="H9" s="441"/>
      <c r="K9" s="28"/>
      <c r="L9" s="28"/>
      <c r="M9" s="28"/>
      <c r="N9" s="28"/>
      <c r="O9" s="28"/>
      <c r="P9" s="28"/>
    </row>
    <row r="10" spans="1:16" x14ac:dyDescent="0.2">
      <c r="A10" s="64"/>
      <c r="B10" s="33"/>
      <c r="C10" s="33"/>
      <c r="D10" s="63"/>
      <c r="E10" s="64"/>
      <c r="F10" s="64" t="s">
        <v>3</v>
      </c>
      <c r="G10" s="64"/>
      <c r="H10" s="60"/>
      <c r="I10" s="64"/>
      <c r="J10" s="64"/>
      <c r="K10" s="64"/>
      <c r="L10" s="28"/>
      <c r="M10" s="28"/>
      <c r="N10" s="28"/>
      <c r="O10" s="28"/>
      <c r="P10" s="28"/>
    </row>
    <row r="11" spans="1:16" x14ac:dyDescent="0.2">
      <c r="A11" s="64"/>
      <c r="B11" s="33"/>
      <c r="C11" s="33"/>
      <c r="D11" s="64"/>
      <c r="E11" s="64"/>
      <c r="F11" s="64"/>
      <c r="G11" s="28"/>
      <c r="H11" s="28"/>
      <c r="I11" s="64"/>
      <c r="J11" s="429"/>
      <c r="K11" s="64"/>
      <c r="L11" s="28"/>
      <c r="M11" s="28"/>
      <c r="N11" s="28"/>
      <c r="O11" s="28"/>
      <c r="P11" s="28"/>
    </row>
    <row r="12" spans="1:16" x14ac:dyDescent="0.2">
      <c r="A12" s="64"/>
      <c r="B12" s="33"/>
      <c r="C12" s="31" t="s">
        <v>749</v>
      </c>
      <c r="D12" s="64"/>
      <c r="E12" s="64"/>
      <c r="F12" s="64"/>
      <c r="G12" s="28"/>
      <c r="H12" s="28"/>
      <c r="I12" s="64"/>
      <c r="J12" s="64"/>
      <c r="K12" s="64"/>
      <c r="L12" s="28"/>
      <c r="M12" s="28"/>
      <c r="N12" s="28"/>
      <c r="O12" s="28"/>
      <c r="P12" s="28"/>
    </row>
    <row r="13" spans="1:16" x14ac:dyDescent="0.2">
      <c r="A13" s="64"/>
      <c r="B13" s="33"/>
      <c r="C13" s="372"/>
      <c r="D13" s="64"/>
      <c r="E13" s="64"/>
      <c r="F13" s="64"/>
      <c r="G13" s="28"/>
      <c r="H13" s="28"/>
      <c r="I13" s="64"/>
      <c r="J13" s="64"/>
      <c r="K13" s="64"/>
      <c r="L13" s="28"/>
      <c r="M13" s="28"/>
      <c r="N13" s="28"/>
      <c r="O13" s="28"/>
      <c r="P13" s="28"/>
    </row>
    <row r="14" spans="1:16" x14ac:dyDescent="0.2">
      <c r="A14" s="64">
        <v>1</v>
      </c>
      <c r="B14" s="33"/>
      <c r="C14" s="27" t="s">
        <v>597</v>
      </c>
      <c r="D14" s="12">
        <v>15491.673000000006</v>
      </c>
      <c r="E14" s="64"/>
      <c r="F14" s="430"/>
      <c r="G14" s="430"/>
      <c r="H14" s="431"/>
      <c r="I14" s="430"/>
      <c r="K14" s="430"/>
      <c r="L14" s="28"/>
      <c r="M14" s="28"/>
      <c r="N14" s="28"/>
      <c r="O14" s="28"/>
      <c r="P14" s="28"/>
    </row>
    <row r="15" spans="1:16" ht="14.25" x14ac:dyDescent="0.2">
      <c r="A15" s="64">
        <f>MAX($A$14:A14)+1</f>
        <v>2</v>
      </c>
      <c r="B15" s="33"/>
      <c r="C15" s="27" t="s">
        <v>544</v>
      </c>
      <c r="D15" s="442">
        <v>13147613.980868347</v>
      </c>
      <c r="E15" s="64"/>
      <c r="F15" s="430"/>
      <c r="G15" s="430"/>
      <c r="H15" s="431"/>
      <c r="I15" s="430"/>
      <c r="K15" s="430"/>
      <c r="L15" s="28"/>
      <c r="M15" s="28"/>
      <c r="N15" s="28"/>
      <c r="O15" s="28"/>
      <c r="P15" s="28"/>
    </row>
    <row r="16" spans="1:16" x14ac:dyDescent="0.2">
      <c r="A16" s="64">
        <f>MAX($A$14:A15)+1</f>
        <v>3</v>
      </c>
      <c r="B16" s="33"/>
      <c r="C16" s="26" t="s">
        <v>643</v>
      </c>
      <c r="D16" s="430">
        <f>D14/D15*100</f>
        <v>0.11782877883806597</v>
      </c>
      <c r="E16" s="64"/>
      <c r="F16" s="435">
        <v>0.11782877883806597</v>
      </c>
      <c r="G16" s="430"/>
      <c r="H16" s="430"/>
      <c r="I16" s="430"/>
      <c r="J16" s="430"/>
      <c r="K16" s="430"/>
      <c r="L16" s="28"/>
      <c r="M16" s="28"/>
      <c r="N16" s="28"/>
      <c r="O16" s="28"/>
      <c r="P16" s="28"/>
    </row>
    <row r="17" spans="1:16" ht="14.25" customHeight="1" x14ac:dyDescent="0.2">
      <c r="A17" s="64"/>
      <c r="B17" s="33"/>
      <c r="C17" s="26"/>
      <c r="D17" s="430"/>
      <c r="E17" s="64"/>
      <c r="G17" s="430"/>
      <c r="H17" s="430"/>
      <c r="I17" s="430"/>
      <c r="J17" s="430"/>
      <c r="K17" s="430"/>
      <c r="L17" s="28"/>
      <c r="M17" s="28"/>
      <c r="N17" s="28"/>
      <c r="O17" s="28"/>
      <c r="P17" s="28"/>
    </row>
    <row r="18" spans="1:16" ht="14.25" customHeight="1" x14ac:dyDescent="0.2">
      <c r="A18" s="64"/>
      <c r="B18" s="33"/>
      <c r="C18" s="31" t="s">
        <v>750</v>
      </c>
      <c r="D18" s="12"/>
      <c r="E18" s="64"/>
      <c r="F18" s="430"/>
      <c r="G18" s="430"/>
      <c r="H18" s="430"/>
      <c r="I18" s="430"/>
      <c r="J18" s="430"/>
      <c r="K18" s="430"/>
      <c r="L18" s="28"/>
      <c r="M18" s="28"/>
      <c r="N18" s="28"/>
      <c r="O18" s="28"/>
      <c r="P18" s="28"/>
    </row>
    <row r="19" spans="1:16" ht="14.25" customHeight="1" x14ac:dyDescent="0.2">
      <c r="A19" s="64"/>
      <c r="B19" s="33"/>
      <c r="C19" s="372"/>
      <c r="D19" s="12"/>
      <c r="E19" s="64"/>
      <c r="F19" s="430"/>
      <c r="G19" s="430"/>
      <c r="H19" s="430"/>
      <c r="I19" s="430"/>
      <c r="J19" s="430"/>
      <c r="K19" s="430"/>
      <c r="L19" s="28"/>
      <c r="M19" s="28"/>
      <c r="N19" s="28"/>
      <c r="O19" s="28"/>
      <c r="P19" s="28"/>
    </row>
    <row r="20" spans="1:16" x14ac:dyDescent="0.2">
      <c r="A20" s="64"/>
      <c r="B20" s="33"/>
      <c r="C20" s="356" t="s">
        <v>717</v>
      </c>
      <c r="D20" s="12"/>
      <c r="E20" s="64"/>
      <c r="F20" s="430"/>
      <c r="G20" s="430"/>
      <c r="H20" s="430"/>
      <c r="I20" s="430"/>
      <c r="J20" s="430"/>
      <c r="K20" s="430"/>
      <c r="L20" s="28"/>
      <c r="M20" s="28"/>
      <c r="N20" s="28"/>
      <c r="O20" s="28"/>
      <c r="P20" s="28"/>
    </row>
    <row r="21" spans="1:16" x14ac:dyDescent="0.2">
      <c r="A21" s="64">
        <f>MAX($A$14:A20)+1</f>
        <v>4</v>
      </c>
      <c r="B21" s="33"/>
      <c r="C21" s="27" t="s">
        <v>715</v>
      </c>
      <c r="D21" s="12">
        <v>9468.7452565004623</v>
      </c>
      <c r="E21" s="64"/>
      <c r="F21" s="430"/>
      <c r="G21" s="430"/>
      <c r="H21" s="430"/>
      <c r="I21" s="430"/>
      <c r="J21" s="430"/>
      <c r="K21" s="430"/>
      <c r="L21" s="28"/>
      <c r="M21" s="28"/>
      <c r="N21" s="28"/>
      <c r="O21" s="28"/>
      <c r="P21" s="28"/>
    </row>
    <row r="22" spans="1:16" ht="14.25" x14ac:dyDescent="0.2">
      <c r="A22" s="64">
        <f>MAX($A$14:A21)+1</f>
        <v>5</v>
      </c>
      <c r="B22" s="33"/>
      <c r="C22" s="359" t="s">
        <v>941</v>
      </c>
      <c r="D22" s="12">
        <v>5686132.9617999997</v>
      </c>
      <c r="E22" s="64"/>
      <c r="F22" s="430"/>
      <c r="G22" s="430"/>
      <c r="H22" s="430"/>
      <c r="I22" s="430"/>
      <c r="J22" s="430"/>
      <c r="K22" s="430"/>
      <c r="L22" s="28"/>
      <c r="M22" s="28"/>
      <c r="N22" s="28"/>
      <c r="O22" s="28"/>
      <c r="P22" s="28"/>
    </row>
    <row r="23" spans="1:16" ht="14.25" x14ac:dyDescent="0.2">
      <c r="A23" s="64">
        <f>MAX($A$14:A22)+1</f>
        <v>6</v>
      </c>
      <c r="B23" s="33"/>
      <c r="C23" s="359" t="s">
        <v>942</v>
      </c>
      <c r="D23" s="430">
        <f>D21/D22*100</f>
        <v>0.16652345838749152</v>
      </c>
      <c r="E23" s="64"/>
      <c r="F23" s="430"/>
      <c r="G23" s="430"/>
      <c r="H23" s="430"/>
      <c r="I23" s="430"/>
      <c r="J23" s="430"/>
      <c r="K23" s="430"/>
      <c r="L23" s="28"/>
      <c r="M23" s="28"/>
      <c r="N23" s="28"/>
      <c r="O23" s="28"/>
      <c r="P23" s="28"/>
    </row>
    <row r="24" spans="1:16" ht="14.25" x14ac:dyDescent="0.2">
      <c r="A24" s="64">
        <f>MAX($A$14:A23)+1</f>
        <v>7</v>
      </c>
      <c r="B24" s="33"/>
      <c r="C24" s="359" t="s">
        <v>994</v>
      </c>
      <c r="D24" s="433">
        <v>20.749320578059301</v>
      </c>
      <c r="E24" s="430"/>
      <c r="F24" s="430"/>
      <c r="G24" s="430"/>
      <c r="H24" s="431"/>
      <c r="I24" s="430"/>
      <c r="J24" s="430"/>
      <c r="K24" s="430"/>
      <c r="L24" s="28"/>
      <c r="M24" s="28"/>
      <c r="N24" s="28"/>
      <c r="O24" s="28"/>
      <c r="P24" s="28"/>
    </row>
    <row r="25" spans="1:16" x14ac:dyDescent="0.2">
      <c r="A25" s="64">
        <f>MAX($A$14:A24)+1</f>
        <v>8</v>
      </c>
      <c r="B25" s="33"/>
      <c r="C25" s="356" t="s">
        <v>716</v>
      </c>
      <c r="D25" s="91">
        <f>D23/D24</f>
        <v>8.0254896906637209E-3</v>
      </c>
      <c r="E25" s="430"/>
      <c r="F25" s="443">
        <v>8.0254896906637226E-3</v>
      </c>
      <c r="J25" s="430"/>
      <c r="K25" s="430"/>
      <c r="L25" s="28"/>
      <c r="M25" s="28"/>
      <c r="N25" s="28"/>
      <c r="O25" s="28"/>
      <c r="P25" s="28"/>
    </row>
    <row r="26" spans="1:16" x14ac:dyDescent="0.2">
      <c r="A26" s="64"/>
      <c r="B26" s="33"/>
      <c r="D26" s="12"/>
      <c r="E26" s="64"/>
      <c r="F26" s="430"/>
      <c r="G26" s="430"/>
      <c r="H26" s="430"/>
      <c r="I26" s="430"/>
      <c r="J26" s="430"/>
      <c r="K26" s="430"/>
      <c r="L26" s="28"/>
      <c r="M26" s="28"/>
      <c r="N26" s="28"/>
      <c r="O26" s="28"/>
      <c r="P26" s="28"/>
    </row>
    <row r="27" spans="1:16" x14ac:dyDescent="0.2">
      <c r="A27" s="64"/>
      <c r="B27" s="33"/>
      <c r="C27" s="31" t="s">
        <v>751</v>
      </c>
      <c r="D27" s="12"/>
      <c r="E27" s="64"/>
      <c r="F27" s="430"/>
      <c r="G27" s="430"/>
      <c r="H27" s="430"/>
      <c r="I27" s="430"/>
      <c r="J27" s="430"/>
      <c r="K27" s="430"/>
      <c r="L27" s="28"/>
      <c r="M27" s="28"/>
      <c r="N27" s="28"/>
      <c r="O27" s="28"/>
      <c r="P27" s="28"/>
    </row>
    <row r="28" spans="1:16" x14ac:dyDescent="0.2">
      <c r="A28" s="64"/>
      <c r="B28" s="33"/>
      <c r="C28" s="372"/>
      <c r="D28" s="12"/>
      <c r="E28" s="64"/>
      <c r="F28" s="430"/>
      <c r="G28" s="430"/>
      <c r="H28" s="430"/>
      <c r="I28" s="430"/>
      <c r="J28" s="430"/>
      <c r="K28" s="430"/>
      <c r="L28" s="28"/>
      <c r="M28" s="28"/>
      <c r="N28" s="28"/>
      <c r="O28" s="28"/>
      <c r="P28" s="28"/>
    </row>
    <row r="29" spans="1:16" x14ac:dyDescent="0.2">
      <c r="A29" s="64"/>
      <c r="B29" s="33"/>
      <c r="C29" s="356" t="s">
        <v>649</v>
      </c>
      <c r="D29" s="12"/>
      <c r="E29" s="64"/>
      <c r="F29" s="430"/>
      <c r="G29" s="430"/>
      <c r="H29" s="430"/>
      <c r="I29" s="430"/>
      <c r="J29" s="430"/>
      <c r="K29" s="430"/>
      <c r="L29" s="28"/>
      <c r="M29" s="28"/>
      <c r="N29" s="28"/>
      <c r="O29" s="28"/>
      <c r="P29" s="28"/>
    </row>
    <row r="30" spans="1:16" ht="14.25" x14ac:dyDescent="0.2">
      <c r="A30" s="64">
        <f>MAX($A$14:A29)+1</f>
        <v>9</v>
      </c>
      <c r="B30" s="33"/>
      <c r="C30" s="359" t="s">
        <v>994</v>
      </c>
      <c r="D30" s="434">
        <v>20.749320578059301</v>
      </c>
      <c r="E30" s="430"/>
      <c r="F30" s="430"/>
      <c r="G30" s="430"/>
      <c r="H30" s="431"/>
      <c r="I30" s="430"/>
      <c r="J30" s="430"/>
      <c r="K30" s="430"/>
      <c r="L30" s="28"/>
      <c r="M30" s="28"/>
      <c r="N30" s="28"/>
      <c r="O30" s="28"/>
      <c r="P30" s="28"/>
    </row>
    <row r="31" spans="1:16" x14ac:dyDescent="0.2">
      <c r="A31" s="64">
        <f>MAX($A$14:A30)+1</f>
        <v>10</v>
      </c>
      <c r="B31" s="33"/>
      <c r="C31" s="359" t="s">
        <v>734</v>
      </c>
      <c r="D31" s="92">
        <v>4.7132282102054952E-3</v>
      </c>
      <c r="E31" s="430"/>
      <c r="F31" s="430"/>
      <c r="G31" s="430"/>
      <c r="H31" s="431"/>
      <c r="I31" s="430"/>
      <c r="J31" s="430"/>
      <c r="K31" s="430"/>
      <c r="L31" s="28"/>
      <c r="M31" s="28"/>
      <c r="N31" s="28"/>
      <c r="O31" s="28"/>
      <c r="P31" s="28"/>
    </row>
    <row r="32" spans="1:16" x14ac:dyDescent="0.2">
      <c r="A32" s="64">
        <f>MAX($A$14:A31)+1</f>
        <v>11</v>
      </c>
      <c r="B32" s="33"/>
      <c r="C32" s="356" t="s">
        <v>735</v>
      </c>
      <c r="D32" s="432">
        <f>D30*D31</f>
        <v>9.7796283091106495E-2</v>
      </c>
      <c r="E32" s="430"/>
      <c r="F32" s="430"/>
      <c r="J32" s="430"/>
      <c r="K32" s="430"/>
      <c r="L32" s="28"/>
      <c r="M32" s="28"/>
      <c r="N32" s="28"/>
      <c r="O32" s="28"/>
      <c r="P32" s="28"/>
    </row>
    <row r="33" spans="1:16" x14ac:dyDescent="0.2">
      <c r="A33" s="64"/>
      <c r="B33" s="33"/>
      <c r="D33" s="12"/>
      <c r="E33" s="64"/>
      <c r="F33" s="430"/>
      <c r="G33" s="430"/>
      <c r="H33" s="430"/>
      <c r="I33" s="430"/>
      <c r="J33" s="430"/>
      <c r="K33" s="430"/>
      <c r="L33" s="28"/>
      <c r="M33" s="28"/>
      <c r="N33" s="28"/>
      <c r="O33" s="28"/>
      <c r="P33" s="28"/>
    </row>
    <row r="34" spans="1:16" x14ac:dyDescent="0.2">
      <c r="A34" s="64"/>
      <c r="B34" s="33"/>
      <c r="C34" s="356" t="s">
        <v>545</v>
      </c>
      <c r="D34" s="12"/>
      <c r="E34" s="64"/>
      <c r="F34" s="430"/>
      <c r="G34" s="430"/>
      <c r="H34" s="430"/>
      <c r="I34" s="430"/>
      <c r="J34" s="430"/>
      <c r="K34" s="430"/>
      <c r="L34" s="28"/>
      <c r="M34" s="28"/>
      <c r="N34" s="28"/>
      <c r="O34" s="28"/>
      <c r="P34" s="28"/>
    </row>
    <row r="35" spans="1:16" x14ac:dyDescent="0.2">
      <c r="A35" s="64">
        <f>MAX($A$14:A34)+1</f>
        <v>12</v>
      </c>
      <c r="B35" s="33"/>
      <c r="C35" s="359" t="s">
        <v>379</v>
      </c>
      <c r="D35" s="434">
        <v>0.35370000000000001</v>
      </c>
      <c r="E35" s="64"/>
      <c r="F35" s="430"/>
      <c r="G35" s="430"/>
      <c r="H35" s="430"/>
      <c r="I35" s="430"/>
      <c r="J35" s="430"/>
      <c r="K35" s="430"/>
      <c r="L35" s="28"/>
      <c r="M35" s="28"/>
      <c r="N35" s="28"/>
      <c r="O35" s="28"/>
      <c r="P35" s="28"/>
    </row>
    <row r="36" spans="1:16" x14ac:dyDescent="0.2">
      <c r="A36" s="64">
        <f>MAX($A$14:A35)+1</f>
        <v>13</v>
      </c>
      <c r="B36" s="33"/>
      <c r="C36" s="359" t="s">
        <v>87</v>
      </c>
      <c r="D36" s="434">
        <v>1.2011000000000001</v>
      </c>
      <c r="E36" s="64"/>
      <c r="F36" s="430"/>
      <c r="G36" s="430"/>
      <c r="H36" s="430"/>
      <c r="I36" s="430"/>
      <c r="J36" s="430"/>
      <c r="K36" s="430"/>
      <c r="L36" s="28"/>
      <c r="M36" s="28"/>
      <c r="N36" s="28"/>
      <c r="O36" s="28"/>
      <c r="P36" s="28"/>
    </row>
    <row r="37" spans="1:16" x14ac:dyDescent="0.2">
      <c r="A37" s="64">
        <f>MAX($A$14:A36)+1</f>
        <v>14</v>
      </c>
      <c r="B37" s="33"/>
      <c r="C37" s="359" t="s">
        <v>1038</v>
      </c>
      <c r="D37" s="433">
        <f>-$D$32</f>
        <v>-9.7796283091106495E-2</v>
      </c>
      <c r="E37" s="64"/>
      <c r="F37" s="430"/>
      <c r="G37" s="430"/>
      <c r="H37" s="430"/>
      <c r="I37" s="430"/>
      <c r="J37" s="430"/>
      <c r="K37" s="430"/>
      <c r="L37" s="28"/>
      <c r="M37" s="28"/>
      <c r="N37" s="28"/>
      <c r="O37" s="28"/>
      <c r="P37" s="28"/>
    </row>
    <row r="38" spans="1:16" x14ac:dyDescent="0.2">
      <c r="A38" s="64">
        <f>MAX($A$14:A37)+1</f>
        <v>15</v>
      </c>
      <c r="B38" s="33"/>
      <c r="C38" s="356" t="s">
        <v>664</v>
      </c>
      <c r="D38" s="432">
        <f>D35+D36+D37</f>
        <v>1.4570037169088936</v>
      </c>
      <c r="E38" s="64"/>
      <c r="F38" s="435">
        <f>D38</f>
        <v>1.4570037169088936</v>
      </c>
      <c r="G38" s="430"/>
      <c r="H38" s="430"/>
      <c r="I38" s="430"/>
      <c r="J38" s="430"/>
      <c r="K38" s="430"/>
      <c r="L38" s="28"/>
      <c r="M38" s="28"/>
      <c r="N38" s="28"/>
      <c r="O38" s="28"/>
      <c r="P38" s="28"/>
    </row>
    <row r="39" spans="1:16" x14ac:dyDescent="0.2">
      <c r="A39" s="64"/>
      <c r="B39" s="33"/>
      <c r="C39" s="356"/>
      <c r="D39" s="12"/>
      <c r="E39" s="64"/>
      <c r="F39" s="430"/>
      <c r="G39" s="430"/>
      <c r="H39" s="430"/>
      <c r="I39" s="430"/>
      <c r="J39" s="430"/>
      <c r="K39" s="430"/>
      <c r="L39" s="28"/>
      <c r="M39" s="28"/>
      <c r="N39" s="28"/>
      <c r="O39" s="28"/>
      <c r="P39" s="28"/>
    </row>
    <row r="40" spans="1:16" x14ac:dyDescent="0.2">
      <c r="A40" s="64"/>
      <c r="B40" s="33"/>
      <c r="C40" s="356" t="s">
        <v>546</v>
      </c>
      <c r="D40" s="12"/>
      <c r="E40" s="64"/>
      <c r="F40" s="430"/>
      <c r="G40" s="430"/>
      <c r="H40" s="430"/>
      <c r="I40" s="430"/>
      <c r="J40" s="430"/>
      <c r="K40" s="430"/>
      <c r="L40" s="28"/>
      <c r="M40" s="28"/>
      <c r="N40" s="28"/>
      <c r="O40" s="28"/>
      <c r="P40" s="28"/>
    </row>
    <row r="41" spans="1:16" x14ac:dyDescent="0.2">
      <c r="A41" s="64">
        <f>MAX($A$14:A40)+1</f>
        <v>16</v>
      </c>
      <c r="B41" s="33"/>
      <c r="C41" s="359" t="s">
        <v>379</v>
      </c>
      <c r="D41" s="434">
        <v>0.28499999999999998</v>
      </c>
      <c r="E41" s="64"/>
      <c r="F41" s="430"/>
      <c r="G41" s="430"/>
      <c r="H41" s="430"/>
      <c r="I41" s="430"/>
      <c r="J41" s="430"/>
      <c r="K41" s="430"/>
      <c r="L41" s="28"/>
      <c r="M41" s="28"/>
      <c r="N41" s="28"/>
      <c r="O41" s="28"/>
      <c r="P41" s="28"/>
    </row>
    <row r="42" spans="1:16" x14ac:dyDescent="0.2">
      <c r="A42" s="64">
        <f>MAX($A$14:A41)+1</f>
        <v>17</v>
      </c>
      <c r="B42" s="33"/>
      <c r="C42" s="359" t="s">
        <v>87</v>
      </c>
      <c r="D42" s="434">
        <v>0.91990000000000005</v>
      </c>
      <c r="E42" s="64"/>
      <c r="F42" s="430"/>
      <c r="G42" s="430"/>
      <c r="H42" s="430"/>
      <c r="I42" s="430"/>
      <c r="J42" s="430"/>
      <c r="K42" s="430"/>
      <c r="L42" s="28"/>
      <c r="M42" s="28"/>
      <c r="N42" s="28"/>
      <c r="O42" s="28"/>
      <c r="P42" s="28"/>
    </row>
    <row r="43" spans="1:16" x14ac:dyDescent="0.2">
      <c r="A43" s="64">
        <f>MAX($A$14:A42)+1</f>
        <v>18</v>
      </c>
      <c r="B43" s="33"/>
      <c r="C43" s="359" t="s">
        <v>1038</v>
      </c>
      <c r="D43" s="433">
        <f>-$D$32</f>
        <v>-9.7796283091106495E-2</v>
      </c>
      <c r="E43" s="64"/>
      <c r="F43" s="430"/>
      <c r="G43" s="430"/>
      <c r="H43" s="430"/>
      <c r="I43" s="430"/>
      <c r="J43" s="430"/>
      <c r="K43" s="430"/>
      <c r="L43" s="28"/>
      <c r="M43" s="28"/>
      <c r="N43" s="28"/>
      <c r="O43" s="28"/>
      <c r="P43" s="28"/>
    </row>
    <row r="44" spans="1:16" x14ac:dyDescent="0.2">
      <c r="A44" s="64">
        <f>MAX($A$14:A43)+1</f>
        <v>19</v>
      </c>
      <c r="B44" s="33"/>
      <c r="C44" s="356" t="s">
        <v>665</v>
      </c>
      <c r="D44" s="432">
        <f>D41+D42+D43</f>
        <v>1.1071037169088935</v>
      </c>
      <c r="E44" s="64"/>
      <c r="F44" s="435">
        <f>D44</f>
        <v>1.1071037169088935</v>
      </c>
      <c r="G44" s="430"/>
      <c r="H44" s="430"/>
      <c r="I44" s="430"/>
      <c r="J44" s="430"/>
      <c r="K44" s="430"/>
      <c r="L44" s="28"/>
      <c r="M44" s="28"/>
      <c r="N44" s="28"/>
      <c r="O44" s="28"/>
      <c r="P44" s="28"/>
    </row>
    <row r="45" spans="1:16" x14ac:dyDescent="0.2">
      <c r="A45" s="64"/>
      <c r="B45" s="33"/>
      <c r="C45" s="356"/>
      <c r="D45" s="12"/>
      <c r="E45" s="64"/>
      <c r="F45" s="430"/>
      <c r="G45" s="430"/>
      <c r="H45" s="430"/>
      <c r="I45" s="430"/>
      <c r="J45" s="430"/>
      <c r="K45" s="430"/>
      <c r="L45" s="28"/>
      <c r="M45" s="28"/>
      <c r="N45" s="28"/>
      <c r="O45" s="28"/>
      <c r="P45" s="28"/>
    </row>
    <row r="46" spans="1:16" x14ac:dyDescent="0.2">
      <c r="A46" s="64"/>
      <c r="B46" s="33"/>
      <c r="C46" s="356" t="s">
        <v>547</v>
      </c>
      <c r="D46" s="12"/>
      <c r="E46" s="64"/>
      <c r="F46" s="430"/>
      <c r="G46" s="430"/>
      <c r="H46" s="430"/>
      <c r="I46" s="430"/>
      <c r="J46" s="430"/>
      <c r="K46" s="430"/>
      <c r="L46" s="28"/>
      <c r="M46" s="28"/>
      <c r="N46" s="28"/>
      <c r="O46" s="28"/>
      <c r="P46" s="28"/>
    </row>
    <row r="47" spans="1:16" x14ac:dyDescent="0.2">
      <c r="A47" s="64">
        <f>MAX($A$14:A46)+1</f>
        <v>20</v>
      </c>
      <c r="B47" s="33"/>
      <c r="C47" s="359" t="s">
        <v>650</v>
      </c>
      <c r="D47" s="434">
        <v>6.702300000000001</v>
      </c>
      <c r="E47" s="64"/>
      <c r="F47" s="430"/>
      <c r="G47" s="430"/>
      <c r="H47" s="430"/>
      <c r="I47" s="430"/>
      <c r="J47" s="430"/>
      <c r="K47" s="430"/>
      <c r="L47" s="28"/>
      <c r="M47" s="28"/>
      <c r="N47" s="28"/>
      <c r="O47" s="28"/>
      <c r="P47" s="28"/>
    </row>
    <row r="48" spans="1:16" x14ac:dyDescent="0.2">
      <c r="A48" s="64">
        <f>MAX($A$14:A47)+1</f>
        <v>21</v>
      </c>
      <c r="B48" s="33"/>
      <c r="C48" s="359" t="s">
        <v>87</v>
      </c>
      <c r="D48" s="434">
        <v>0.88749999999999996</v>
      </c>
      <c r="E48" s="64"/>
      <c r="F48" s="430"/>
      <c r="G48" s="430"/>
      <c r="H48" s="430"/>
      <c r="I48" s="430"/>
      <c r="J48" s="430"/>
      <c r="K48" s="430"/>
      <c r="L48" s="28"/>
      <c r="M48" s="28"/>
      <c r="N48" s="28"/>
      <c r="O48" s="28"/>
      <c r="P48" s="28"/>
    </row>
    <row r="49" spans="1:16" x14ac:dyDescent="0.2">
      <c r="A49" s="64">
        <f>MAX($A$14:A48)+1</f>
        <v>22</v>
      </c>
      <c r="B49" s="33"/>
      <c r="C49" s="359" t="s">
        <v>1038</v>
      </c>
      <c r="D49" s="433">
        <f>-$D$32</f>
        <v>-9.7796283091106495E-2</v>
      </c>
      <c r="E49" s="64"/>
      <c r="F49" s="430"/>
      <c r="G49" s="430"/>
      <c r="H49" s="430"/>
      <c r="I49" s="430"/>
      <c r="J49" s="430"/>
      <c r="K49" s="430"/>
      <c r="L49" s="28"/>
      <c r="M49" s="28"/>
      <c r="N49" s="28"/>
      <c r="O49" s="28"/>
      <c r="P49" s="28"/>
    </row>
    <row r="50" spans="1:16" x14ac:dyDescent="0.2">
      <c r="A50" s="64">
        <f>MAX($A$14:A49)+1</f>
        <v>23</v>
      </c>
      <c r="B50" s="33"/>
      <c r="C50" s="356" t="s">
        <v>666</v>
      </c>
      <c r="D50" s="432">
        <f>D47+D48+D49</f>
        <v>7.4920037169088944</v>
      </c>
      <c r="E50" s="64"/>
      <c r="F50" s="435">
        <f>D50</f>
        <v>7.4920037169088944</v>
      </c>
      <c r="G50" s="430"/>
      <c r="H50" s="430"/>
      <c r="I50" s="430"/>
      <c r="J50" s="430"/>
      <c r="K50" s="430"/>
      <c r="L50" s="28"/>
      <c r="M50" s="28"/>
      <c r="N50" s="28"/>
      <c r="O50" s="28"/>
      <c r="P50" s="28"/>
    </row>
    <row r="51" spans="1:16" x14ac:dyDescent="0.2">
      <c r="A51" s="64"/>
      <c r="B51" s="33"/>
      <c r="C51" s="356"/>
      <c r="D51" s="434"/>
      <c r="E51" s="64"/>
      <c r="F51" s="434"/>
      <c r="G51" s="430"/>
      <c r="H51" s="430"/>
      <c r="I51" s="430"/>
      <c r="J51" s="430"/>
      <c r="K51" s="430"/>
      <c r="L51" s="28"/>
      <c r="M51" s="28"/>
      <c r="N51" s="28"/>
      <c r="O51" s="28"/>
      <c r="P51" s="28"/>
    </row>
    <row r="52" spans="1:16" x14ac:dyDescent="0.2">
      <c r="A52" s="64"/>
      <c r="B52" s="33"/>
      <c r="C52" s="356" t="s">
        <v>548</v>
      </c>
      <c r="D52" s="12"/>
      <c r="E52" s="64"/>
      <c r="F52" s="430"/>
      <c r="G52" s="430"/>
      <c r="H52" s="430"/>
      <c r="I52" s="430"/>
      <c r="J52" s="430"/>
      <c r="K52" s="430"/>
      <c r="L52" s="28"/>
      <c r="M52" s="28"/>
      <c r="N52" s="28"/>
      <c r="O52" s="28"/>
      <c r="P52" s="28"/>
    </row>
    <row r="53" spans="1:16" x14ac:dyDescent="0.2">
      <c r="A53" s="64">
        <f>MAX($A$14:A52)+1</f>
        <v>24</v>
      </c>
      <c r="B53" s="33"/>
      <c r="C53" s="359" t="s">
        <v>379</v>
      </c>
      <c r="D53" s="434">
        <v>0.81920000000000004</v>
      </c>
      <c r="E53" s="64"/>
      <c r="F53" s="430"/>
      <c r="G53" s="430"/>
      <c r="H53" s="430"/>
      <c r="I53" s="430"/>
      <c r="J53" s="430"/>
      <c r="K53" s="430"/>
      <c r="L53" s="28"/>
      <c r="M53" s="28"/>
      <c r="N53" s="28"/>
      <c r="O53" s="28"/>
      <c r="P53" s="28"/>
    </row>
    <row r="54" spans="1:16" x14ac:dyDescent="0.2">
      <c r="A54" s="64">
        <f>MAX($A$14:A53)+1</f>
        <v>25</v>
      </c>
      <c r="B54" s="33"/>
      <c r="C54" s="359" t="s">
        <v>87</v>
      </c>
      <c r="D54" s="434">
        <v>0.88749999999999996</v>
      </c>
      <c r="E54" s="64"/>
      <c r="F54" s="430"/>
      <c r="G54" s="430"/>
      <c r="H54" s="430"/>
      <c r="I54" s="430"/>
      <c r="J54" s="430"/>
      <c r="K54" s="430"/>
      <c r="L54" s="28"/>
      <c r="M54" s="28"/>
      <c r="N54" s="28"/>
      <c r="O54" s="28"/>
      <c r="P54" s="28"/>
    </row>
    <row r="55" spans="1:16" x14ac:dyDescent="0.2">
      <c r="A55" s="64">
        <f>MAX($A$14:A54)+1</f>
        <v>26</v>
      </c>
      <c r="B55" s="33"/>
      <c r="C55" s="359" t="s">
        <v>1038</v>
      </c>
      <c r="D55" s="433">
        <f>-$D$32</f>
        <v>-9.7796283091106495E-2</v>
      </c>
      <c r="E55" s="64"/>
      <c r="F55" s="430"/>
      <c r="G55" s="430"/>
      <c r="H55" s="430"/>
      <c r="I55" s="430"/>
      <c r="J55" s="430"/>
      <c r="K55" s="430"/>
      <c r="L55" s="28"/>
      <c r="M55" s="28"/>
      <c r="N55" s="28"/>
      <c r="O55" s="28"/>
      <c r="P55" s="28"/>
    </row>
    <row r="56" spans="1:16" x14ac:dyDescent="0.2">
      <c r="A56" s="64">
        <f>MAX($A$14:A55)+1</f>
        <v>27</v>
      </c>
      <c r="B56" s="33"/>
      <c r="C56" s="356" t="s">
        <v>667</v>
      </c>
      <c r="D56" s="432">
        <f>D53+D54+D55</f>
        <v>1.6089037169088936</v>
      </c>
      <c r="E56" s="64"/>
      <c r="F56" s="435">
        <f>D56</f>
        <v>1.6089037169088936</v>
      </c>
      <c r="G56" s="430"/>
      <c r="H56" s="430"/>
      <c r="I56" s="430"/>
      <c r="J56" s="430"/>
      <c r="K56" s="430"/>
      <c r="L56" s="28"/>
      <c r="M56" s="28"/>
      <c r="N56" s="28"/>
      <c r="O56" s="28"/>
      <c r="P56" s="28"/>
    </row>
    <row r="57" spans="1:16" x14ac:dyDescent="0.2">
      <c r="A57" s="64"/>
      <c r="B57" s="33"/>
      <c r="C57" s="356"/>
      <c r="D57" s="12"/>
      <c r="E57" s="64"/>
      <c r="F57" s="430"/>
      <c r="G57" s="430"/>
      <c r="H57" s="430"/>
      <c r="I57" s="430"/>
      <c r="J57" s="430"/>
      <c r="K57" s="430"/>
      <c r="L57" s="28"/>
      <c r="M57" s="28"/>
      <c r="N57" s="28"/>
      <c r="O57" s="28"/>
      <c r="P57" s="28"/>
    </row>
    <row r="58" spans="1:16" x14ac:dyDescent="0.2">
      <c r="A58" s="64"/>
      <c r="B58" s="33"/>
      <c r="C58" s="356" t="s">
        <v>549</v>
      </c>
      <c r="D58" s="12"/>
      <c r="E58" s="64"/>
      <c r="F58" s="430"/>
      <c r="G58" s="430"/>
      <c r="H58" s="430"/>
      <c r="I58" s="430"/>
      <c r="J58" s="430"/>
      <c r="K58" s="430"/>
      <c r="L58" s="28"/>
      <c r="M58" s="28"/>
      <c r="N58" s="28"/>
      <c r="O58" s="28"/>
      <c r="P58" s="28"/>
    </row>
    <row r="59" spans="1:16" x14ac:dyDescent="0.2">
      <c r="A59" s="64">
        <f>MAX($A$14:A58)+1</f>
        <v>28</v>
      </c>
      <c r="B59" s="33"/>
      <c r="C59" s="359" t="s">
        <v>379</v>
      </c>
      <c r="D59" s="434">
        <v>1.4684999999999999</v>
      </c>
      <c r="E59" s="64"/>
      <c r="F59" s="430"/>
      <c r="G59" s="430"/>
      <c r="H59" s="430"/>
      <c r="I59" s="430"/>
      <c r="J59" s="430"/>
      <c r="K59" s="430"/>
      <c r="L59" s="28"/>
      <c r="M59" s="28"/>
      <c r="N59" s="28"/>
      <c r="O59" s="28"/>
      <c r="P59" s="28"/>
    </row>
    <row r="60" spans="1:16" x14ac:dyDescent="0.2">
      <c r="A60" s="64">
        <f>MAX($A$14:A59)+1</f>
        <v>29</v>
      </c>
      <c r="B60" s="33"/>
      <c r="C60" s="359" t="s">
        <v>87</v>
      </c>
      <c r="D60" s="434">
        <v>0.88749999999999996</v>
      </c>
      <c r="E60" s="64"/>
      <c r="F60" s="430"/>
      <c r="G60" s="430"/>
      <c r="H60" s="430"/>
      <c r="I60" s="430"/>
      <c r="J60" s="430"/>
      <c r="K60" s="430"/>
      <c r="L60" s="28"/>
      <c r="M60" s="28"/>
      <c r="N60" s="28"/>
      <c r="O60" s="28"/>
      <c r="P60" s="28"/>
    </row>
    <row r="61" spans="1:16" x14ac:dyDescent="0.2">
      <c r="A61" s="64">
        <f>MAX($A$14:A60)+1</f>
        <v>30</v>
      </c>
      <c r="B61" s="33"/>
      <c r="C61" s="359" t="s">
        <v>1038</v>
      </c>
      <c r="D61" s="433">
        <f>-$D$32</f>
        <v>-9.7796283091106495E-2</v>
      </c>
      <c r="E61" s="64"/>
      <c r="F61" s="430"/>
      <c r="G61" s="430"/>
      <c r="H61" s="430"/>
      <c r="I61" s="430"/>
      <c r="J61" s="430"/>
      <c r="K61" s="430"/>
      <c r="L61" s="28"/>
      <c r="M61" s="28"/>
      <c r="N61" s="28"/>
      <c r="O61" s="28"/>
      <c r="P61" s="28"/>
    </row>
    <row r="62" spans="1:16" x14ac:dyDescent="0.2">
      <c r="A62" s="64">
        <f>MAX($A$14:A61)+1</f>
        <v>31</v>
      </c>
      <c r="B62" s="33"/>
      <c r="C62" s="356" t="s">
        <v>668</v>
      </c>
      <c r="D62" s="432">
        <f>D59+D60+D61</f>
        <v>2.2582037169088935</v>
      </c>
      <c r="E62" s="64"/>
      <c r="F62" s="435">
        <f>D62</f>
        <v>2.2582037169088935</v>
      </c>
      <c r="G62" s="430"/>
      <c r="H62" s="430"/>
      <c r="I62" s="430"/>
      <c r="J62" s="430"/>
      <c r="K62" s="430"/>
      <c r="L62" s="28"/>
      <c r="M62" s="28"/>
      <c r="N62" s="28"/>
      <c r="O62" s="28"/>
      <c r="P62" s="28"/>
    </row>
    <row r="63" spans="1:16" x14ac:dyDescent="0.2">
      <c r="A63" s="64"/>
      <c r="B63" s="33"/>
      <c r="C63" s="356"/>
      <c r="D63" s="12"/>
      <c r="E63" s="64"/>
      <c r="F63" s="430"/>
      <c r="G63" s="430"/>
      <c r="H63" s="430"/>
      <c r="I63" s="430"/>
      <c r="J63" s="430"/>
      <c r="K63" s="430"/>
      <c r="L63" s="28"/>
      <c r="M63" s="28"/>
      <c r="N63" s="28"/>
      <c r="O63" s="28"/>
      <c r="P63" s="28"/>
    </row>
    <row r="64" spans="1:16" x14ac:dyDescent="0.2">
      <c r="A64" s="64"/>
      <c r="B64" s="33"/>
      <c r="C64" s="356"/>
      <c r="D64" s="12"/>
      <c r="E64" s="64"/>
      <c r="F64" s="430"/>
      <c r="G64" s="430"/>
      <c r="H64" s="430"/>
      <c r="I64" s="430"/>
      <c r="J64" s="430"/>
      <c r="K64" s="430"/>
      <c r="L64" s="28"/>
      <c r="M64" s="28"/>
      <c r="N64" s="28"/>
      <c r="O64" s="28"/>
      <c r="P64" s="28"/>
    </row>
    <row r="65" spans="1:16" x14ac:dyDescent="0.2">
      <c r="A65" s="64"/>
      <c r="B65" s="33"/>
      <c r="C65" s="356"/>
      <c r="D65" s="12"/>
      <c r="E65" s="64"/>
      <c r="F65" s="430"/>
      <c r="G65" s="430"/>
      <c r="H65" s="430"/>
      <c r="I65" s="430"/>
      <c r="J65" s="430"/>
      <c r="K65" s="430"/>
      <c r="L65" s="28"/>
      <c r="M65" s="28"/>
      <c r="N65" s="28"/>
      <c r="O65" s="28"/>
      <c r="P65" s="28"/>
    </row>
    <row r="66" spans="1:16" x14ac:dyDescent="0.2">
      <c r="A66" s="64"/>
      <c r="B66" s="33"/>
      <c r="C66" s="356"/>
      <c r="D66" s="12"/>
      <c r="E66" s="64"/>
      <c r="F66" s="430"/>
      <c r="G66" s="430"/>
      <c r="H66" s="430"/>
      <c r="I66" s="430"/>
      <c r="J66" s="430"/>
      <c r="K66" s="430"/>
      <c r="L66" s="28"/>
      <c r="M66" s="28"/>
      <c r="N66" s="28"/>
      <c r="O66" s="28"/>
      <c r="P66" s="28"/>
    </row>
    <row r="67" spans="1:16" x14ac:dyDescent="0.2">
      <c r="A67" s="64"/>
      <c r="B67" s="33"/>
      <c r="C67" s="356"/>
      <c r="D67" s="12"/>
      <c r="E67" s="64"/>
      <c r="F67" s="430"/>
      <c r="G67" s="430"/>
      <c r="H67" s="430"/>
      <c r="I67" s="430"/>
      <c r="J67" s="430"/>
      <c r="K67" s="430"/>
      <c r="L67" s="28"/>
      <c r="M67" s="28"/>
      <c r="N67" s="28"/>
      <c r="O67" s="28"/>
      <c r="P67" s="28"/>
    </row>
    <row r="68" spans="1:16" x14ac:dyDescent="0.2">
      <c r="A68" s="407" t="s">
        <v>944</v>
      </c>
      <c r="B68" s="169"/>
      <c r="C68" s="409"/>
      <c r="D68" s="409"/>
      <c r="E68" s="409"/>
      <c r="F68" s="409"/>
      <c r="G68" s="409"/>
      <c r="K68" s="28"/>
      <c r="L68" s="28"/>
      <c r="M68" s="28"/>
      <c r="N68" s="28"/>
      <c r="O68" s="28"/>
      <c r="P68" s="28"/>
    </row>
    <row r="69" spans="1:16" x14ac:dyDescent="0.2">
      <c r="A69" s="64"/>
      <c r="B69" s="64"/>
      <c r="C69" s="64"/>
      <c r="D69" s="63"/>
      <c r="E69" s="28"/>
      <c r="F69" s="63"/>
      <c r="G69" s="28"/>
      <c r="H69" s="63"/>
      <c r="I69" s="409"/>
      <c r="J69" s="409"/>
    </row>
    <row r="70" spans="1:16" x14ac:dyDescent="0.2">
      <c r="A70" s="64" t="s">
        <v>0</v>
      </c>
      <c r="B70" s="33"/>
      <c r="C70" s="33"/>
      <c r="D70" s="63"/>
      <c r="E70" s="28"/>
      <c r="F70" s="64"/>
      <c r="G70" s="28"/>
      <c r="H70" s="64"/>
      <c r="I70" s="409"/>
      <c r="J70" s="409"/>
    </row>
    <row r="71" spans="1:16" x14ac:dyDescent="0.2">
      <c r="A71" s="520" t="s">
        <v>1</v>
      </c>
      <c r="B71" s="33"/>
      <c r="C71" s="185" t="s">
        <v>33</v>
      </c>
      <c r="D71" s="232"/>
      <c r="E71" s="28"/>
      <c r="F71" s="526" t="s">
        <v>350</v>
      </c>
      <c r="G71" s="28"/>
      <c r="H71" s="441"/>
      <c r="I71" s="28"/>
      <c r="J71" s="28"/>
      <c r="K71" s="28"/>
      <c r="L71" s="28"/>
      <c r="M71" s="28"/>
      <c r="N71" s="28"/>
      <c r="O71" s="28"/>
      <c r="P71" s="28"/>
    </row>
    <row r="72" spans="1:16" x14ac:dyDescent="0.2">
      <c r="A72" s="64"/>
      <c r="B72" s="33"/>
      <c r="C72" s="33"/>
      <c r="D72" s="63"/>
      <c r="E72" s="64"/>
      <c r="F72" s="64" t="s">
        <v>3</v>
      </c>
      <c r="G72" s="64"/>
      <c r="H72" s="64"/>
      <c r="I72" s="28"/>
      <c r="J72" s="28"/>
      <c r="K72" s="28"/>
      <c r="L72" s="28"/>
      <c r="M72" s="28"/>
      <c r="N72" s="28"/>
      <c r="O72" s="28"/>
      <c r="P72" s="28"/>
    </row>
    <row r="73" spans="1:16" x14ac:dyDescent="0.2">
      <c r="A73" s="64"/>
      <c r="B73" s="33"/>
      <c r="C73" s="356"/>
      <c r="D73" s="12"/>
      <c r="E73" s="64"/>
      <c r="F73" s="430"/>
      <c r="G73" s="430"/>
      <c r="H73" s="430"/>
      <c r="I73" s="430"/>
      <c r="J73" s="430"/>
      <c r="K73" s="430"/>
      <c r="L73" s="28"/>
      <c r="M73" s="28"/>
      <c r="N73" s="28"/>
      <c r="O73" s="28"/>
      <c r="P73" s="28"/>
    </row>
    <row r="74" spans="1:16" x14ac:dyDescent="0.2">
      <c r="A74" s="64"/>
      <c r="B74" s="28"/>
      <c r="C74" s="31" t="s">
        <v>943</v>
      </c>
      <c r="D74" s="28"/>
      <c r="E74" s="28"/>
      <c r="F74" s="430"/>
      <c r="G74" s="430"/>
      <c r="H74" s="430"/>
      <c r="I74" s="430"/>
      <c r="J74" s="430"/>
      <c r="O74" s="28"/>
      <c r="P74" s="28"/>
    </row>
    <row r="75" spans="1:16" x14ac:dyDescent="0.2">
      <c r="A75" s="64"/>
      <c r="B75" s="28"/>
      <c r="C75" s="372"/>
      <c r="D75" s="28"/>
      <c r="E75" s="28"/>
      <c r="F75" s="430"/>
      <c r="G75" s="430"/>
      <c r="H75" s="430"/>
      <c r="I75" s="430"/>
      <c r="J75" s="430"/>
      <c r="O75" s="28"/>
      <c r="P75" s="28"/>
    </row>
    <row r="76" spans="1:16" x14ac:dyDescent="0.2">
      <c r="A76" s="64"/>
      <c r="B76" s="33"/>
      <c r="C76" s="356" t="s">
        <v>550</v>
      </c>
      <c r="D76" s="12"/>
      <c r="E76" s="64"/>
      <c r="F76" s="430"/>
      <c r="G76" s="430"/>
      <c r="H76" s="430"/>
      <c r="I76" s="430"/>
      <c r="J76" s="430"/>
      <c r="K76" s="430"/>
      <c r="L76" s="28"/>
      <c r="M76" s="28"/>
      <c r="N76" s="28"/>
      <c r="O76" s="28"/>
      <c r="P76" s="28"/>
    </row>
    <row r="77" spans="1:16" x14ac:dyDescent="0.2">
      <c r="A77" s="64">
        <f>MAX($A$14:A76)+1</f>
        <v>32</v>
      </c>
      <c r="B77" s="33"/>
      <c r="C77" s="359" t="s">
        <v>86</v>
      </c>
      <c r="D77" s="434">
        <v>0.54930000000000001</v>
      </c>
      <c r="E77" s="64"/>
      <c r="F77" s="430"/>
      <c r="G77" s="430"/>
      <c r="H77" s="430"/>
      <c r="I77" s="430"/>
      <c r="J77" s="430"/>
      <c r="K77" s="430"/>
      <c r="L77" s="28"/>
      <c r="M77" s="28"/>
      <c r="N77" s="28"/>
      <c r="O77" s="28"/>
      <c r="P77" s="28"/>
    </row>
    <row r="78" spans="1:16" x14ac:dyDescent="0.2">
      <c r="A78" s="64">
        <f>MAX($A$14:A77)+1</f>
        <v>33</v>
      </c>
      <c r="B78" s="33"/>
      <c r="C78" s="359" t="s">
        <v>87</v>
      </c>
      <c r="D78" s="434">
        <v>1.4137</v>
      </c>
      <c r="E78" s="64"/>
      <c r="F78" s="430"/>
      <c r="G78" s="430"/>
      <c r="H78" s="430"/>
      <c r="I78" s="430"/>
      <c r="J78" s="430"/>
      <c r="K78" s="430"/>
      <c r="L78" s="28"/>
      <c r="M78" s="28"/>
      <c r="N78" s="28"/>
      <c r="O78" s="28"/>
      <c r="P78" s="28"/>
    </row>
    <row r="79" spans="1:16" x14ac:dyDescent="0.2">
      <c r="A79" s="64">
        <f>MAX($A$14:A78)+1</f>
        <v>34</v>
      </c>
      <c r="B79" s="33"/>
      <c r="C79" s="359" t="s">
        <v>1038</v>
      </c>
      <c r="D79" s="433">
        <f>-$D$32</f>
        <v>-9.7796283091106495E-2</v>
      </c>
      <c r="E79" s="64"/>
      <c r="F79" s="430"/>
      <c r="G79" s="430"/>
      <c r="H79" s="430"/>
      <c r="I79" s="430"/>
      <c r="J79" s="430"/>
      <c r="K79" s="430"/>
      <c r="L79" s="28"/>
      <c r="M79" s="28"/>
      <c r="N79" s="28"/>
      <c r="O79" s="28"/>
      <c r="P79" s="28"/>
    </row>
    <row r="80" spans="1:16" x14ac:dyDescent="0.2">
      <c r="A80" s="64">
        <f>MAX($A$14:A79)+1</f>
        <v>35</v>
      </c>
      <c r="B80" s="33"/>
      <c r="C80" s="356" t="s">
        <v>669</v>
      </c>
      <c r="D80" s="432">
        <f>D77+D78+D79</f>
        <v>1.8652037169088935</v>
      </c>
      <c r="E80" s="64"/>
      <c r="F80" s="435">
        <f>D80</f>
        <v>1.8652037169088935</v>
      </c>
      <c r="G80" s="430"/>
      <c r="H80" s="430"/>
      <c r="I80" s="430"/>
      <c r="J80" s="430"/>
      <c r="K80" s="430"/>
      <c r="L80" s="28"/>
      <c r="M80" s="28"/>
      <c r="N80" s="28"/>
      <c r="O80" s="28"/>
      <c r="P80" s="28"/>
    </row>
    <row r="81" spans="1:16" x14ac:dyDescent="0.2">
      <c r="A81" s="64"/>
      <c r="B81" s="33"/>
      <c r="C81" s="356"/>
      <c r="D81" s="12"/>
      <c r="E81" s="64"/>
      <c r="F81" s="430"/>
      <c r="G81" s="430"/>
      <c r="H81" s="431"/>
      <c r="I81" s="430"/>
      <c r="J81" s="430"/>
      <c r="K81" s="430"/>
      <c r="L81" s="28"/>
      <c r="M81" s="28"/>
      <c r="N81" s="28"/>
      <c r="O81" s="28"/>
      <c r="P81" s="28"/>
    </row>
    <row r="82" spans="1:16" x14ac:dyDescent="0.2">
      <c r="A82" s="64"/>
      <c r="B82" s="33"/>
      <c r="C82" s="356" t="s">
        <v>351</v>
      </c>
      <c r="D82" s="12"/>
      <c r="E82" s="64"/>
      <c r="F82" s="430"/>
      <c r="G82" s="430"/>
      <c r="H82" s="430"/>
      <c r="I82" s="430"/>
      <c r="J82" s="430"/>
      <c r="K82" s="430"/>
      <c r="L82" s="28"/>
      <c r="M82" s="28"/>
      <c r="N82" s="28"/>
      <c r="O82" s="28"/>
      <c r="P82" s="28"/>
    </row>
    <row r="83" spans="1:16" x14ac:dyDescent="0.2">
      <c r="A83" s="64">
        <f>MAX($A$14:A82)+1</f>
        <v>36</v>
      </c>
      <c r="B83" s="33"/>
      <c r="C83" s="359" t="s">
        <v>379</v>
      </c>
      <c r="D83" s="242">
        <v>2.7505999999999999</v>
      </c>
      <c r="E83" s="64"/>
      <c r="F83" s="242"/>
      <c r="G83" s="430"/>
      <c r="H83" s="430"/>
      <c r="K83" s="430"/>
      <c r="L83" s="28"/>
      <c r="M83" s="28"/>
      <c r="N83" s="28"/>
      <c r="O83" s="28"/>
      <c r="P83" s="28"/>
    </row>
    <row r="84" spans="1:16" x14ac:dyDescent="0.2">
      <c r="A84" s="64">
        <f>MAX($A$14:A83)+1</f>
        <v>37</v>
      </c>
      <c r="B84" s="33"/>
      <c r="C84" s="359" t="s">
        <v>352</v>
      </c>
      <c r="D84" s="242">
        <f>$D$16</f>
        <v>0.11782877883806597</v>
      </c>
      <c r="E84" s="28"/>
      <c r="F84" s="242"/>
      <c r="G84" s="430"/>
      <c r="H84" s="434"/>
      <c r="K84" s="430"/>
      <c r="L84" s="28"/>
      <c r="M84" s="28"/>
      <c r="N84" s="28"/>
      <c r="O84" s="28"/>
      <c r="P84" s="28"/>
    </row>
    <row r="85" spans="1:16" x14ac:dyDescent="0.2">
      <c r="A85" s="64">
        <f>MAX($A$14:A84)+1</f>
        <v>38</v>
      </c>
      <c r="B85" s="33"/>
      <c r="C85" s="356" t="s">
        <v>651</v>
      </c>
      <c r="D85" s="432">
        <f>D83+D84</f>
        <v>2.8684287788380658</v>
      </c>
      <c r="E85" s="28"/>
      <c r="F85" s="435">
        <f>D85</f>
        <v>2.8684287788380658</v>
      </c>
      <c r="G85" s="430"/>
      <c r="H85" s="434"/>
      <c r="K85" s="430"/>
      <c r="L85" s="28"/>
      <c r="M85" s="28"/>
      <c r="N85" s="28"/>
      <c r="O85" s="28"/>
      <c r="P85" s="28"/>
    </row>
    <row r="86" spans="1:16" x14ac:dyDescent="0.2">
      <c r="A86" s="64"/>
      <c r="B86" s="28"/>
      <c r="C86" s="157"/>
      <c r="D86" s="28"/>
      <c r="E86" s="28"/>
      <c r="F86" s="430"/>
      <c r="G86" s="430"/>
      <c r="H86" s="434"/>
      <c r="I86" s="430"/>
      <c r="J86" s="430"/>
      <c r="K86" s="430"/>
      <c r="L86" s="28"/>
      <c r="M86" s="28"/>
      <c r="N86" s="28"/>
      <c r="O86" s="28"/>
      <c r="P86" s="28"/>
    </row>
    <row r="87" spans="1:16" x14ac:dyDescent="0.2">
      <c r="A87" s="64"/>
      <c r="B87" s="28"/>
      <c r="C87" s="356" t="s">
        <v>353</v>
      </c>
      <c r="D87" s="33"/>
      <c r="E87" s="33"/>
      <c r="F87" s="430"/>
      <c r="G87" s="430"/>
      <c r="H87" s="434"/>
      <c r="I87" s="430"/>
      <c r="J87" s="430"/>
      <c r="K87" s="430"/>
      <c r="L87" s="28"/>
      <c r="M87" s="28"/>
      <c r="N87" s="28"/>
      <c r="O87" s="28"/>
      <c r="P87" s="28"/>
    </row>
    <row r="88" spans="1:16" x14ac:dyDescent="0.2">
      <c r="A88" s="64">
        <f>MAX($A$14:A87)+1</f>
        <v>39</v>
      </c>
      <c r="B88" s="28"/>
      <c r="C88" s="359" t="s">
        <v>652</v>
      </c>
      <c r="D88" s="242">
        <v>3.1381999999999999</v>
      </c>
      <c r="E88" s="430"/>
      <c r="F88" s="242"/>
      <c r="G88" s="430"/>
      <c r="H88" s="430"/>
      <c r="K88" s="430"/>
      <c r="L88" s="28"/>
      <c r="M88" s="28"/>
      <c r="N88" s="28"/>
      <c r="O88" s="28"/>
      <c r="P88" s="28"/>
    </row>
    <row r="89" spans="1:16" x14ac:dyDescent="0.2">
      <c r="A89" s="64">
        <f>MAX($A$14:A88)+1</f>
        <v>40</v>
      </c>
      <c r="B89" s="28"/>
      <c r="C89" s="359" t="s">
        <v>352</v>
      </c>
      <c r="D89" s="242">
        <f>$D$16</f>
        <v>0.11782877883806597</v>
      </c>
      <c r="E89" s="430"/>
      <c r="F89" s="434"/>
      <c r="G89" s="430"/>
      <c r="H89" s="430"/>
      <c r="K89" s="430"/>
      <c r="L89" s="28"/>
      <c r="M89" s="28"/>
      <c r="N89" s="28"/>
      <c r="O89" s="28"/>
      <c r="P89" s="28"/>
    </row>
    <row r="90" spans="1:16" x14ac:dyDescent="0.2">
      <c r="A90" s="64">
        <f>MAX($A$14:A89)+1</f>
        <v>41</v>
      </c>
      <c r="B90" s="28"/>
      <c r="C90" s="356" t="s">
        <v>651</v>
      </c>
      <c r="D90" s="432">
        <f>D88+D89</f>
        <v>3.2560287788380657</v>
      </c>
      <c r="E90" s="430"/>
      <c r="F90" s="435">
        <f>D90</f>
        <v>3.2560287788380657</v>
      </c>
      <c r="G90" s="430"/>
      <c r="H90" s="434"/>
      <c r="K90" s="430"/>
      <c r="L90" s="28"/>
      <c r="M90" s="28"/>
      <c r="N90" s="28"/>
      <c r="O90" s="28"/>
      <c r="P90" s="28"/>
    </row>
    <row r="91" spans="1:16" x14ac:dyDescent="0.2">
      <c r="A91" s="64"/>
      <c r="B91" s="28"/>
      <c r="F91" s="440"/>
      <c r="N91" s="28"/>
      <c r="O91" s="28"/>
      <c r="P91" s="28"/>
    </row>
    <row r="92" spans="1:16" x14ac:dyDescent="0.2">
      <c r="A92" s="64"/>
      <c r="B92" s="28"/>
      <c r="C92" s="31" t="s">
        <v>737</v>
      </c>
      <c r="D92" s="28"/>
      <c r="E92" s="28"/>
      <c r="F92" s="430"/>
      <c r="G92" s="430"/>
      <c r="H92" s="430"/>
      <c r="I92" s="430"/>
      <c r="J92" s="430"/>
      <c r="O92" s="28"/>
      <c r="P92" s="28"/>
    </row>
    <row r="93" spans="1:16" x14ac:dyDescent="0.2">
      <c r="A93" s="64"/>
      <c r="B93" s="28"/>
      <c r="C93" s="372"/>
      <c r="D93" s="28"/>
      <c r="E93" s="28"/>
      <c r="F93" s="430"/>
      <c r="G93" s="430"/>
      <c r="H93" s="430"/>
      <c r="I93" s="430"/>
      <c r="J93" s="430"/>
      <c r="O93" s="28"/>
      <c r="P93" s="28"/>
    </row>
    <row r="94" spans="1:16" x14ac:dyDescent="0.2">
      <c r="A94" s="63"/>
      <c r="B94" s="28"/>
      <c r="C94" s="356" t="s">
        <v>354</v>
      </c>
      <c r="D94" s="28"/>
      <c r="E94" s="28"/>
      <c r="F94" s="430"/>
      <c r="G94" s="430"/>
      <c r="H94" s="430"/>
      <c r="I94" s="430"/>
      <c r="J94" s="430"/>
      <c r="K94" s="430"/>
      <c r="L94" s="28"/>
      <c r="M94" s="28"/>
      <c r="N94" s="28"/>
      <c r="O94" s="28"/>
      <c r="P94" s="28"/>
    </row>
    <row r="95" spans="1:16" x14ac:dyDescent="0.2">
      <c r="A95" s="64">
        <f>MAX($A$14:A94)+1</f>
        <v>42</v>
      </c>
      <c r="B95" s="28"/>
      <c r="C95" s="359" t="s">
        <v>355</v>
      </c>
      <c r="D95" s="430">
        <v>4.6841709931056563</v>
      </c>
      <c r="E95" s="430"/>
      <c r="F95" s="434"/>
      <c r="G95" s="430"/>
      <c r="H95" s="430"/>
      <c r="K95" s="430"/>
      <c r="L95" s="28"/>
      <c r="M95" s="28"/>
      <c r="N95" s="28"/>
      <c r="O95" s="28"/>
      <c r="P95" s="28"/>
    </row>
    <row r="96" spans="1:16" x14ac:dyDescent="0.2">
      <c r="A96" s="64">
        <f>MAX($A$14:A95)+1</f>
        <v>43</v>
      </c>
      <c r="B96" s="28"/>
      <c r="C96" s="359" t="s">
        <v>356</v>
      </c>
      <c r="D96" s="444">
        <v>0.9</v>
      </c>
      <c r="E96" s="430"/>
      <c r="F96" s="445"/>
      <c r="G96" s="430"/>
      <c r="H96" s="434"/>
      <c r="K96" s="430"/>
      <c r="L96" s="28"/>
      <c r="M96" s="28"/>
      <c r="N96" s="28"/>
      <c r="O96" s="28"/>
      <c r="P96" s="28"/>
    </row>
    <row r="97" spans="1:16" x14ac:dyDescent="0.2">
      <c r="A97" s="64">
        <f>MAX($A$14:A96)+1</f>
        <v>44</v>
      </c>
      <c r="B97" s="28"/>
      <c r="C97" s="356" t="s">
        <v>736</v>
      </c>
      <c r="D97" s="432">
        <f>D95*D96</f>
        <v>4.2157538937950907</v>
      </c>
      <c r="E97" s="430"/>
      <c r="F97" s="435">
        <f>D97</f>
        <v>4.2157538937950907</v>
      </c>
      <c r="G97" s="430"/>
      <c r="H97" s="434"/>
      <c r="K97" s="430"/>
      <c r="L97" s="28"/>
      <c r="M97" s="28"/>
      <c r="N97" s="28"/>
      <c r="O97" s="28"/>
      <c r="P97" s="28"/>
    </row>
    <row r="98" spans="1:16" x14ac:dyDescent="0.2">
      <c r="A98" s="63"/>
      <c r="B98" s="28"/>
      <c r="C98" s="356"/>
      <c r="D98" s="28"/>
      <c r="E98" s="28"/>
      <c r="F98" s="28"/>
      <c r="G98" s="28"/>
      <c r="H98" s="29"/>
      <c r="I98" s="28"/>
      <c r="J98" s="28"/>
      <c r="K98" s="430"/>
      <c r="L98" s="28"/>
      <c r="M98" s="28"/>
      <c r="N98" s="28"/>
      <c r="O98" s="28"/>
      <c r="P98" s="28"/>
    </row>
    <row r="99" spans="1:16" x14ac:dyDescent="0.2">
      <c r="A99" s="64"/>
      <c r="B99" s="28"/>
      <c r="C99" s="356" t="s">
        <v>357</v>
      </c>
      <c r="D99" s="28"/>
      <c r="E99" s="28"/>
      <c r="F99" s="28"/>
      <c r="G99" s="28"/>
      <c r="H99" s="28"/>
      <c r="I99" s="28"/>
      <c r="J99" s="28"/>
      <c r="K99" s="430"/>
      <c r="L99" s="28"/>
      <c r="M99" s="28"/>
      <c r="N99" s="28"/>
      <c r="O99" s="28"/>
      <c r="P99" s="28"/>
    </row>
    <row r="100" spans="1:16" x14ac:dyDescent="0.2">
      <c r="A100" s="64">
        <f>MAX($A$14:A99)+1</f>
        <v>45</v>
      </c>
      <c r="B100" s="28"/>
      <c r="C100" s="359" t="s">
        <v>933</v>
      </c>
      <c r="D100" s="430">
        <v>5.5862357610629845</v>
      </c>
      <c r="E100" s="430"/>
      <c r="F100" s="430"/>
      <c r="G100" s="28"/>
      <c r="H100" s="28"/>
      <c r="K100" s="430"/>
      <c r="L100" s="28"/>
      <c r="M100" s="28"/>
      <c r="N100" s="28"/>
      <c r="O100" s="28"/>
      <c r="P100" s="28"/>
    </row>
    <row r="101" spans="1:16" x14ac:dyDescent="0.2">
      <c r="A101" s="64">
        <f>MAX($A$14:A100)+1</f>
        <v>46</v>
      </c>
      <c r="B101" s="28"/>
      <c r="C101" s="359" t="s">
        <v>647</v>
      </c>
      <c r="D101" s="430">
        <v>2.0373999999999999</v>
      </c>
      <c r="E101" s="430"/>
      <c r="F101" s="430"/>
      <c r="G101" s="28"/>
      <c r="H101" s="29"/>
      <c r="K101" s="430"/>
      <c r="L101" s="28"/>
      <c r="M101" s="28"/>
      <c r="N101" s="28"/>
      <c r="O101" s="28"/>
      <c r="P101" s="28"/>
    </row>
    <row r="102" spans="1:16" x14ac:dyDescent="0.2">
      <c r="A102" s="64">
        <f>MAX($A$14:A101)+1</f>
        <v>47</v>
      </c>
      <c r="B102" s="28"/>
      <c r="C102" s="356" t="s">
        <v>358</v>
      </c>
      <c r="D102" s="432">
        <f>D100+D101</f>
        <v>7.6236357610629844</v>
      </c>
      <c r="E102" s="28"/>
      <c r="F102" s="435">
        <f>D102</f>
        <v>7.6236357610629844</v>
      </c>
      <c r="G102" s="28"/>
      <c r="H102" s="434"/>
      <c r="K102" s="28"/>
      <c r="L102" s="28"/>
      <c r="M102" s="28"/>
      <c r="N102" s="28"/>
      <c r="O102" s="28"/>
      <c r="P102" s="28"/>
    </row>
    <row r="103" spans="1:16" x14ac:dyDescent="0.2">
      <c r="A103" s="63"/>
      <c r="B103" s="28"/>
      <c r="C103" s="356"/>
      <c r="D103" s="28"/>
      <c r="E103" s="28"/>
      <c r="F103" s="28"/>
      <c r="G103" s="28"/>
      <c r="H103" s="29"/>
      <c r="I103" s="28"/>
      <c r="J103" s="28"/>
      <c r="K103" s="28"/>
      <c r="L103" s="28"/>
      <c r="M103" s="28"/>
      <c r="N103" s="28"/>
      <c r="O103" s="28"/>
      <c r="P103" s="28"/>
    </row>
    <row r="104" spans="1:16" x14ac:dyDescent="0.2">
      <c r="A104" s="64"/>
      <c r="B104" s="28"/>
      <c r="C104" s="356" t="s">
        <v>359</v>
      </c>
      <c r="D104" s="28"/>
      <c r="E104" s="28"/>
      <c r="F104" s="28"/>
      <c r="G104" s="28"/>
      <c r="H104" s="28"/>
      <c r="I104" s="28"/>
      <c r="J104" s="28"/>
      <c r="K104" s="28"/>
      <c r="L104" s="28"/>
      <c r="M104" s="28"/>
      <c r="N104" s="28"/>
      <c r="O104" s="28"/>
      <c r="P104" s="28"/>
    </row>
    <row r="105" spans="1:16" x14ac:dyDescent="0.2">
      <c r="A105" s="64">
        <f>MAX($A$14:A104)+1</f>
        <v>48</v>
      </c>
      <c r="B105" s="28"/>
      <c r="C105" s="359" t="s">
        <v>360</v>
      </c>
      <c r="D105" s="430">
        <v>6.8971999999999998</v>
      </c>
      <c r="E105" s="430"/>
      <c r="G105" s="28"/>
      <c r="K105" s="28"/>
      <c r="L105" s="28"/>
      <c r="M105" s="28"/>
      <c r="N105" s="28"/>
      <c r="O105" s="28"/>
      <c r="P105" s="28"/>
    </row>
    <row r="106" spans="1:16" x14ac:dyDescent="0.2">
      <c r="A106" s="64">
        <f>MAX($A$14:A105)+1</f>
        <v>49</v>
      </c>
      <c r="B106" s="28"/>
      <c r="C106" s="359" t="s">
        <v>653</v>
      </c>
      <c r="D106" s="433">
        <v>0.55254890419068881</v>
      </c>
      <c r="E106" s="430"/>
      <c r="G106" s="28"/>
      <c r="K106" s="28"/>
      <c r="L106" s="28"/>
      <c r="M106" s="28"/>
      <c r="N106" s="28"/>
      <c r="O106" s="28"/>
      <c r="P106" s="28"/>
    </row>
    <row r="107" spans="1:16" x14ac:dyDescent="0.2">
      <c r="A107" s="64">
        <f>MAX($A$14:A106)+1</f>
        <v>50</v>
      </c>
      <c r="B107" s="28"/>
      <c r="C107" s="356" t="s">
        <v>1039</v>
      </c>
      <c r="D107" s="432">
        <f>D105+D106</f>
        <v>7.4497489041906881</v>
      </c>
      <c r="E107" s="430"/>
      <c r="F107" s="435">
        <f>D107</f>
        <v>7.4497489041906881</v>
      </c>
      <c r="G107" s="28"/>
      <c r="K107" s="28"/>
      <c r="L107" s="28"/>
      <c r="M107" s="28"/>
      <c r="N107" s="28"/>
      <c r="O107" s="28"/>
      <c r="P107" s="28"/>
    </row>
    <row r="108" spans="1:16" x14ac:dyDescent="0.2">
      <c r="A108" s="63"/>
      <c r="B108" s="28"/>
      <c r="C108" s="356"/>
      <c r="D108" s="28"/>
      <c r="E108" s="28"/>
      <c r="F108" s="28"/>
      <c r="G108" s="28"/>
      <c r="H108" s="28"/>
      <c r="I108" s="28"/>
      <c r="J108" s="28"/>
      <c r="K108" s="28"/>
      <c r="L108" s="28"/>
      <c r="M108" s="28"/>
      <c r="N108" s="28"/>
      <c r="O108" s="28"/>
      <c r="P108" s="28"/>
    </row>
    <row r="109" spans="1:16" x14ac:dyDescent="0.2">
      <c r="A109" s="64"/>
      <c r="B109" s="28"/>
      <c r="C109" s="356" t="s">
        <v>362</v>
      </c>
      <c r="D109" s="434"/>
      <c r="E109" s="28"/>
      <c r="G109" s="28"/>
      <c r="H109" s="434"/>
      <c r="K109" s="28"/>
      <c r="L109" s="28"/>
      <c r="M109" s="28"/>
      <c r="N109" s="28"/>
      <c r="O109" s="28"/>
      <c r="P109" s="28"/>
    </row>
    <row r="110" spans="1:16" x14ac:dyDescent="0.2">
      <c r="A110" s="64">
        <f>MAX($A$14:A109)+1</f>
        <v>51</v>
      </c>
      <c r="B110" s="28"/>
      <c r="C110" s="359" t="s">
        <v>1040</v>
      </c>
      <c r="D110" s="518">
        <f>+D102</f>
        <v>7.6236357610629844</v>
      </c>
      <c r="E110" s="28"/>
      <c r="G110" s="28"/>
      <c r="H110" s="29"/>
      <c r="K110" s="28"/>
      <c r="L110" s="28"/>
      <c r="M110" s="28"/>
      <c r="N110" s="28"/>
      <c r="O110" s="28"/>
      <c r="P110" s="28"/>
    </row>
    <row r="111" spans="1:16" x14ac:dyDescent="0.2">
      <c r="A111" s="64">
        <f>MAX($A$14:A110)+1</f>
        <v>52</v>
      </c>
      <c r="C111" s="356" t="s">
        <v>1041</v>
      </c>
      <c r="D111" s="430">
        <f>D110</f>
        <v>7.6236357610629844</v>
      </c>
      <c r="F111" s="435">
        <f>F$102</f>
        <v>7.6236357610629844</v>
      </c>
      <c r="G111" s="28"/>
      <c r="H111" s="434"/>
      <c r="K111" s="28"/>
      <c r="L111" s="28"/>
      <c r="M111" s="28"/>
      <c r="N111" s="28"/>
      <c r="O111" s="28"/>
    </row>
    <row r="112" spans="1:16" x14ac:dyDescent="0.2">
      <c r="A112" s="64"/>
      <c r="G112" s="28"/>
      <c r="H112" s="434"/>
      <c r="K112" s="28"/>
      <c r="L112" s="28"/>
      <c r="M112" s="28"/>
      <c r="N112" s="28"/>
      <c r="O112" s="28"/>
    </row>
    <row r="113" spans="1:16" x14ac:dyDescent="0.2">
      <c r="A113" s="64"/>
      <c r="B113" s="28"/>
      <c r="C113" s="356" t="s">
        <v>363</v>
      </c>
      <c r="D113" s="434"/>
      <c r="E113" s="28"/>
      <c r="F113" s="28"/>
      <c r="K113" s="28"/>
      <c r="L113" s="28"/>
      <c r="M113" s="28"/>
      <c r="N113" s="28"/>
      <c r="O113" s="28"/>
      <c r="P113" s="28"/>
    </row>
    <row r="114" spans="1:16" x14ac:dyDescent="0.2">
      <c r="A114" s="64">
        <f>MAX($A$14:A113)+1</f>
        <v>53</v>
      </c>
      <c r="B114" s="28"/>
      <c r="C114" s="359" t="s">
        <v>1040</v>
      </c>
      <c r="D114" s="433">
        <f>+D102</f>
        <v>7.6236357610629844</v>
      </c>
      <c r="K114" s="28"/>
      <c r="L114" s="28"/>
      <c r="M114" s="28"/>
      <c r="N114" s="28"/>
      <c r="O114" s="28"/>
      <c r="P114" s="28"/>
    </row>
    <row r="115" spans="1:16" x14ac:dyDescent="0.2">
      <c r="A115" s="64">
        <f>MAX($A$14:A114)+1</f>
        <v>54</v>
      </c>
      <c r="B115" s="28"/>
      <c r="C115" s="356" t="s">
        <v>1042</v>
      </c>
      <c r="D115" s="430">
        <f>D114</f>
        <v>7.6236357610629844</v>
      </c>
      <c r="F115" s="435">
        <f>F$102</f>
        <v>7.6236357610629844</v>
      </c>
      <c r="K115" s="28"/>
      <c r="L115" s="28"/>
      <c r="M115" s="28"/>
      <c r="N115" s="28"/>
      <c r="O115" s="28"/>
      <c r="P115" s="28"/>
    </row>
    <row r="116" spans="1:16" x14ac:dyDescent="0.2">
      <c r="A116" s="409"/>
      <c r="B116" s="169"/>
      <c r="C116" s="409"/>
      <c r="D116" s="409"/>
      <c r="E116" s="409"/>
      <c r="F116" s="409"/>
      <c r="G116" s="409"/>
      <c r="K116" s="28"/>
      <c r="L116" s="28"/>
      <c r="M116" s="28"/>
      <c r="N116" s="28"/>
      <c r="O116" s="28"/>
      <c r="P116" s="28"/>
    </row>
    <row r="117" spans="1:16" x14ac:dyDescent="0.2">
      <c r="A117" s="409"/>
      <c r="B117" s="169"/>
      <c r="C117" s="409"/>
      <c r="D117" s="409"/>
      <c r="E117" s="409"/>
      <c r="F117" s="409"/>
      <c r="G117" s="409"/>
      <c r="K117" s="28"/>
      <c r="L117" s="28"/>
      <c r="M117" s="28"/>
      <c r="N117" s="28"/>
      <c r="O117" s="28"/>
      <c r="P117" s="28"/>
    </row>
    <row r="118" spans="1:16" x14ac:dyDescent="0.2">
      <c r="A118" s="409"/>
      <c r="B118" s="169"/>
      <c r="C118" s="409"/>
      <c r="D118" s="409"/>
      <c r="E118" s="409"/>
      <c r="F118" s="409"/>
      <c r="G118" s="409"/>
      <c r="K118" s="28"/>
      <c r="L118" s="28"/>
      <c r="M118" s="28"/>
      <c r="N118" s="28"/>
      <c r="O118" s="28"/>
      <c r="P118" s="28"/>
    </row>
    <row r="119" spans="1:16" x14ac:dyDescent="0.2">
      <c r="A119" s="409"/>
      <c r="B119" s="169"/>
      <c r="C119" s="409"/>
      <c r="D119" s="409"/>
      <c r="E119" s="409"/>
      <c r="F119" s="409"/>
      <c r="G119" s="409"/>
      <c r="K119" s="28"/>
      <c r="L119" s="28"/>
      <c r="M119" s="28"/>
      <c r="N119" s="28"/>
      <c r="O119" s="28"/>
      <c r="P119" s="28"/>
    </row>
    <row r="120" spans="1:16" x14ac:dyDescent="0.2">
      <c r="A120" s="409"/>
      <c r="B120" s="169"/>
      <c r="C120" s="409"/>
      <c r="D120" s="409"/>
      <c r="E120" s="409"/>
      <c r="F120" s="409"/>
      <c r="G120" s="409"/>
      <c r="K120" s="28"/>
      <c r="L120" s="28"/>
      <c r="M120" s="28"/>
      <c r="N120" s="28"/>
      <c r="O120" s="28"/>
      <c r="P120" s="28"/>
    </row>
    <row r="121" spans="1:16" x14ac:dyDescent="0.2">
      <c r="A121" s="407" t="s">
        <v>944</v>
      </c>
      <c r="B121" s="169"/>
      <c r="C121" s="409"/>
      <c r="D121" s="409"/>
      <c r="E121" s="409"/>
      <c r="F121" s="409"/>
      <c r="G121" s="409"/>
      <c r="K121" s="28"/>
      <c r="L121" s="28"/>
      <c r="M121" s="28"/>
      <c r="N121" s="28"/>
      <c r="O121" s="28"/>
      <c r="P121" s="28"/>
    </row>
    <row r="122" spans="1:16" x14ac:dyDescent="0.2">
      <c r="A122" s="64"/>
      <c r="B122" s="64"/>
      <c r="C122" s="64"/>
      <c r="D122" s="63"/>
      <c r="E122" s="28"/>
      <c r="F122" s="63"/>
      <c r="G122" s="28"/>
      <c r="H122" s="63"/>
      <c r="I122" s="409"/>
      <c r="J122" s="409"/>
    </row>
    <row r="123" spans="1:16" x14ac:dyDescent="0.2">
      <c r="A123" s="64" t="s">
        <v>0</v>
      </c>
      <c r="B123" s="33"/>
      <c r="C123" s="33"/>
      <c r="D123" s="63"/>
      <c r="E123" s="28"/>
      <c r="F123" s="64"/>
      <c r="G123" s="28"/>
      <c r="H123" s="64"/>
      <c r="I123" s="409"/>
      <c r="J123" s="409"/>
    </row>
    <row r="124" spans="1:16" x14ac:dyDescent="0.2">
      <c r="A124" s="520" t="s">
        <v>1</v>
      </c>
      <c r="B124" s="33"/>
      <c r="C124" s="185" t="s">
        <v>33</v>
      </c>
      <c r="D124" s="232"/>
      <c r="E124" s="28"/>
      <c r="F124" s="526" t="s">
        <v>350</v>
      </c>
      <c r="G124" s="28"/>
      <c r="H124" s="441"/>
      <c r="I124" s="28"/>
      <c r="J124" s="28"/>
      <c r="K124" s="28"/>
      <c r="L124" s="28"/>
      <c r="M124" s="28"/>
      <c r="N124" s="28"/>
      <c r="O124" s="28"/>
      <c r="P124" s="28"/>
    </row>
    <row r="125" spans="1:16" x14ac:dyDescent="0.2">
      <c r="A125" s="64"/>
      <c r="B125" s="33"/>
      <c r="C125" s="33"/>
      <c r="D125" s="63"/>
      <c r="E125" s="64"/>
      <c r="F125" s="64" t="s">
        <v>3</v>
      </c>
      <c r="G125" s="64"/>
      <c r="H125" s="64"/>
      <c r="I125" s="28"/>
      <c r="J125" s="28"/>
      <c r="K125" s="28"/>
      <c r="L125" s="28"/>
      <c r="M125" s="28"/>
      <c r="N125" s="28"/>
      <c r="O125" s="28"/>
      <c r="P125" s="28"/>
    </row>
    <row r="126" spans="1:16" x14ac:dyDescent="0.2">
      <c r="A126" s="64"/>
      <c r="B126" s="33"/>
      <c r="C126" s="356"/>
      <c r="D126" s="12"/>
      <c r="E126" s="64"/>
      <c r="F126" s="430"/>
      <c r="G126" s="430"/>
      <c r="H126" s="430"/>
      <c r="I126" s="430"/>
      <c r="J126" s="430"/>
      <c r="K126" s="430"/>
      <c r="L126" s="28"/>
      <c r="M126" s="28"/>
      <c r="N126" s="28"/>
      <c r="O126" s="28"/>
      <c r="P126" s="28"/>
    </row>
    <row r="127" spans="1:16" x14ac:dyDescent="0.2">
      <c r="A127" s="63"/>
      <c r="B127" s="28"/>
      <c r="C127" s="31" t="s">
        <v>752</v>
      </c>
      <c r="D127" s="28"/>
      <c r="E127" s="28"/>
      <c r="F127" s="430"/>
      <c r="G127" s="430"/>
      <c r="H127" s="430"/>
      <c r="I127" s="430"/>
      <c r="J127" s="430"/>
      <c r="K127" s="430"/>
      <c r="L127" s="28"/>
      <c r="M127" s="28"/>
      <c r="N127" s="28"/>
      <c r="O127" s="28"/>
      <c r="P127" s="28"/>
    </row>
    <row r="128" spans="1:16" x14ac:dyDescent="0.2">
      <c r="A128" s="63"/>
      <c r="B128" s="28"/>
      <c r="D128" s="28"/>
      <c r="E128" s="28"/>
      <c r="F128" s="430"/>
      <c r="G128" s="430"/>
      <c r="H128" s="430"/>
      <c r="I128" s="430"/>
      <c r="J128" s="430"/>
      <c r="K128" s="430"/>
      <c r="L128" s="28"/>
      <c r="M128" s="28"/>
      <c r="N128" s="28"/>
      <c r="O128" s="28"/>
      <c r="P128" s="28"/>
    </row>
    <row r="129" spans="1:16" x14ac:dyDescent="0.2">
      <c r="A129" s="63"/>
      <c r="B129" s="28"/>
      <c r="C129" s="356" t="s">
        <v>10</v>
      </c>
      <c r="D129" s="28"/>
      <c r="E129" s="28"/>
      <c r="F129" s="28"/>
      <c r="G129" s="28"/>
      <c r="H129" s="28"/>
      <c r="I129" s="28"/>
      <c r="J129" s="28"/>
      <c r="K129" s="28"/>
      <c r="L129" s="28"/>
      <c r="M129" s="28"/>
      <c r="N129" s="28"/>
      <c r="O129" s="28"/>
      <c r="P129" s="28"/>
    </row>
    <row r="130" spans="1:16" x14ac:dyDescent="0.2">
      <c r="A130" s="64">
        <f>MAX($A$14:A129)+1</f>
        <v>55</v>
      </c>
      <c r="B130" s="28"/>
      <c r="C130" s="359" t="s">
        <v>723</v>
      </c>
      <c r="D130" s="430">
        <v>0.34683945205479449</v>
      </c>
      <c r="E130" s="28"/>
      <c r="F130" s="28"/>
      <c r="G130" s="28"/>
      <c r="H130" s="28"/>
      <c r="I130" s="28"/>
      <c r="J130" s="28"/>
      <c r="K130" s="28"/>
      <c r="L130" s="28"/>
      <c r="M130" s="28"/>
      <c r="N130" s="28"/>
      <c r="O130" s="28"/>
      <c r="P130" s="28"/>
    </row>
    <row r="131" spans="1:16" x14ac:dyDescent="0.2">
      <c r="A131" s="64">
        <f>MAX($A$14:A130)+1</f>
        <v>56</v>
      </c>
      <c r="B131" s="28"/>
      <c r="C131" s="356" t="s">
        <v>603</v>
      </c>
      <c r="D131" s="432">
        <f>D130</f>
        <v>0.34683945205479449</v>
      </c>
      <c r="E131" s="28"/>
      <c r="F131" s="435">
        <f>D131</f>
        <v>0.34683945205479449</v>
      </c>
      <c r="G131" s="28"/>
      <c r="H131" s="28"/>
      <c r="I131" s="28"/>
      <c r="J131" s="28"/>
      <c r="K131" s="28"/>
      <c r="L131" s="28"/>
      <c r="M131" s="28"/>
      <c r="N131" s="28"/>
      <c r="O131" s="28"/>
      <c r="P131" s="28"/>
    </row>
    <row r="132" spans="1:16" x14ac:dyDescent="0.2">
      <c r="A132" s="63"/>
      <c r="B132" s="28"/>
      <c r="C132" s="28"/>
      <c r="D132" s="28"/>
      <c r="E132" s="28"/>
      <c r="F132" s="28"/>
      <c r="G132" s="28"/>
      <c r="H132" s="28"/>
      <c r="K132" s="28"/>
      <c r="L132" s="28"/>
      <c r="M132" s="28"/>
      <c r="N132" s="28"/>
      <c r="O132" s="28"/>
      <c r="P132" s="28"/>
    </row>
    <row r="133" spans="1:16" x14ac:dyDescent="0.2">
      <c r="A133" s="63"/>
      <c r="B133" s="28"/>
      <c r="C133" s="356" t="s">
        <v>364</v>
      </c>
      <c r="D133" s="28"/>
      <c r="E133" s="28"/>
      <c r="F133" s="28"/>
      <c r="G133" s="28"/>
      <c r="H133" s="28"/>
      <c r="I133" s="28"/>
      <c r="J133" s="28"/>
      <c r="K133" s="28"/>
      <c r="L133" s="28"/>
      <c r="M133" s="28"/>
      <c r="N133" s="28"/>
      <c r="O133" s="28"/>
      <c r="P133" s="28"/>
    </row>
    <row r="134" spans="1:16" x14ac:dyDescent="0.2">
      <c r="A134" s="64">
        <f>MAX($A$14:A133)+1</f>
        <v>57</v>
      </c>
      <c r="B134" s="28"/>
      <c r="C134" s="359" t="s">
        <v>724</v>
      </c>
      <c r="D134" s="430">
        <v>2.0522465753424655</v>
      </c>
      <c r="E134" s="28"/>
      <c r="F134" s="430"/>
      <c r="G134" s="28"/>
      <c r="H134" s="28"/>
      <c r="I134" s="28"/>
      <c r="J134" s="28"/>
      <c r="K134" s="28"/>
      <c r="L134" s="28"/>
      <c r="M134" s="28"/>
      <c r="N134" s="28"/>
      <c r="O134" s="28"/>
      <c r="P134" s="28"/>
    </row>
    <row r="135" spans="1:16" x14ac:dyDescent="0.2">
      <c r="A135" s="64">
        <f>MAX($A$14:A134)+1</f>
        <v>58</v>
      </c>
      <c r="B135" s="28"/>
      <c r="C135" s="359" t="s">
        <v>647</v>
      </c>
      <c r="D135" s="430">
        <v>2.7505999999999999</v>
      </c>
      <c r="E135" s="28"/>
      <c r="F135" s="430"/>
      <c r="G135" s="28"/>
      <c r="H135" s="28"/>
      <c r="I135" s="28"/>
      <c r="J135" s="28"/>
      <c r="K135" s="28"/>
      <c r="L135" s="28"/>
      <c r="M135" s="28"/>
      <c r="N135" s="28"/>
      <c r="O135" s="28"/>
      <c r="P135" s="28"/>
    </row>
    <row r="136" spans="1:16" x14ac:dyDescent="0.2">
      <c r="A136" s="64">
        <f>MAX($A$14:A135)+1</f>
        <v>59</v>
      </c>
      <c r="B136" s="28"/>
      <c r="C136" s="356" t="s">
        <v>365</v>
      </c>
      <c r="D136" s="432">
        <f>D134+D135</f>
        <v>4.8028465753424658</v>
      </c>
      <c r="E136" s="28"/>
      <c r="F136" s="435">
        <f>D136</f>
        <v>4.8028465753424658</v>
      </c>
      <c r="G136" s="28"/>
      <c r="H136" s="28"/>
      <c r="I136" s="28"/>
      <c r="J136" s="28"/>
      <c r="K136" s="28"/>
      <c r="L136" s="28"/>
      <c r="M136" s="28"/>
      <c r="N136" s="28"/>
      <c r="O136" s="28"/>
      <c r="P136" s="28"/>
    </row>
    <row r="137" spans="1:16" x14ac:dyDescent="0.2">
      <c r="A137" s="63"/>
      <c r="B137" s="28"/>
      <c r="C137" s="28"/>
      <c r="D137" s="28"/>
      <c r="E137" s="28"/>
      <c r="F137" s="28"/>
      <c r="G137" s="28"/>
      <c r="H137" s="28"/>
      <c r="I137" s="28"/>
      <c r="J137" s="28"/>
      <c r="K137" s="28"/>
      <c r="L137" s="28"/>
      <c r="M137" s="28"/>
      <c r="N137" s="28"/>
      <c r="O137" s="28"/>
      <c r="P137" s="28"/>
    </row>
    <row r="138" spans="1:16" x14ac:dyDescent="0.2">
      <c r="A138" s="63"/>
      <c r="B138" s="28"/>
      <c r="C138" s="356" t="s">
        <v>25</v>
      </c>
      <c r="D138" s="28"/>
      <c r="E138" s="28"/>
      <c r="F138" s="28"/>
      <c r="G138" s="28"/>
      <c r="H138" s="28"/>
      <c r="I138" s="28"/>
      <c r="J138" s="28"/>
      <c r="K138" s="28"/>
      <c r="L138" s="28"/>
      <c r="M138" s="28"/>
      <c r="N138" s="28"/>
      <c r="O138" s="28"/>
      <c r="P138" s="28"/>
    </row>
    <row r="139" spans="1:16" x14ac:dyDescent="0.2">
      <c r="A139" s="64">
        <f>MAX($A$14:A138)+1</f>
        <v>60</v>
      </c>
      <c r="B139" s="28"/>
      <c r="C139" s="359" t="s">
        <v>723</v>
      </c>
      <c r="D139" s="430">
        <v>0.97306520547945219</v>
      </c>
      <c r="E139" s="28"/>
      <c r="F139" s="430"/>
      <c r="G139" s="28"/>
      <c r="H139" s="28"/>
      <c r="I139" s="28"/>
      <c r="J139" s="28"/>
      <c r="K139" s="28"/>
      <c r="L139" s="28"/>
      <c r="M139" s="28"/>
      <c r="N139" s="28"/>
      <c r="O139" s="28"/>
      <c r="P139" s="28"/>
    </row>
    <row r="140" spans="1:16" x14ac:dyDescent="0.2">
      <c r="A140" s="64">
        <f>MAX($A$14:A139)+1</f>
        <v>61</v>
      </c>
      <c r="B140" s="28"/>
      <c r="C140" s="359" t="s">
        <v>86</v>
      </c>
      <c r="D140" s="430">
        <v>1.6271</v>
      </c>
      <c r="E140" s="28"/>
      <c r="F140" s="430"/>
      <c r="G140" s="28"/>
      <c r="H140" s="28"/>
      <c r="I140" s="28"/>
      <c r="J140" s="28"/>
      <c r="K140" s="28"/>
      <c r="L140" s="28"/>
      <c r="M140" s="28"/>
      <c r="N140" s="28"/>
      <c r="O140" s="28"/>
      <c r="P140" s="28"/>
    </row>
    <row r="141" spans="1:16" x14ac:dyDescent="0.2">
      <c r="A141" s="64">
        <f>MAX($A$14:A140)+1</f>
        <v>62</v>
      </c>
      <c r="B141" s="28"/>
      <c r="C141" s="356" t="s">
        <v>367</v>
      </c>
      <c r="D141" s="432">
        <f>D139+D140</f>
        <v>2.6001652054794522</v>
      </c>
      <c r="E141" s="28"/>
      <c r="F141" s="435">
        <f>D141</f>
        <v>2.6001652054794522</v>
      </c>
      <c r="G141" s="28"/>
      <c r="H141" s="28"/>
      <c r="I141" s="28"/>
      <c r="J141" s="28"/>
      <c r="K141" s="28"/>
      <c r="L141" s="28"/>
      <c r="M141" s="28"/>
      <c r="N141" s="28"/>
      <c r="O141" s="28"/>
      <c r="P141" s="28"/>
    </row>
    <row r="142" spans="1:16" x14ac:dyDescent="0.2">
      <c r="A142" s="63"/>
      <c r="B142" s="28"/>
      <c r="C142" s="28"/>
      <c r="D142" s="28"/>
      <c r="E142" s="28"/>
      <c r="F142" s="28"/>
      <c r="G142" s="28"/>
      <c r="H142" s="28"/>
      <c r="I142" s="28"/>
      <c r="J142" s="28"/>
      <c r="K142" s="28"/>
      <c r="L142" s="28"/>
      <c r="M142" s="28"/>
      <c r="N142" s="28"/>
      <c r="O142" s="28"/>
      <c r="P142" s="28"/>
    </row>
    <row r="143" spans="1:16" x14ac:dyDescent="0.2">
      <c r="A143" s="63"/>
      <c r="B143" s="28"/>
      <c r="C143" s="356" t="s">
        <v>677</v>
      </c>
      <c r="D143" s="28"/>
      <c r="E143" s="28"/>
      <c r="F143" s="28"/>
      <c r="G143" s="28"/>
      <c r="H143" s="28"/>
      <c r="I143" s="28"/>
      <c r="J143" s="28"/>
      <c r="K143" s="28"/>
      <c r="L143" s="28"/>
      <c r="M143" s="28"/>
      <c r="N143" s="28"/>
      <c r="O143" s="28"/>
      <c r="P143" s="28"/>
    </row>
    <row r="144" spans="1:16" x14ac:dyDescent="0.2">
      <c r="A144" s="64">
        <f>MAX($A$14:A143)+1</f>
        <v>63</v>
      </c>
      <c r="B144" s="28"/>
      <c r="C144" s="359" t="s">
        <v>725</v>
      </c>
      <c r="D144" s="446">
        <v>8.113972602739726E-2</v>
      </c>
      <c r="E144" s="436"/>
      <c r="F144" s="446"/>
      <c r="G144" s="436"/>
      <c r="H144" s="28"/>
      <c r="I144" s="28"/>
      <c r="J144" s="28"/>
      <c r="K144" s="28"/>
      <c r="L144" s="28"/>
      <c r="M144" s="28"/>
      <c r="N144" s="28"/>
      <c r="O144" s="28"/>
      <c r="P144" s="28"/>
    </row>
    <row r="145" spans="1:16" x14ac:dyDescent="0.2">
      <c r="A145" s="64">
        <f>MAX($A$14:A144)+1</f>
        <v>64</v>
      </c>
      <c r="B145" s="28"/>
      <c r="C145" s="359" t="s">
        <v>170</v>
      </c>
      <c r="D145" s="446">
        <v>0</v>
      </c>
      <c r="E145" s="436"/>
      <c r="F145" s="446"/>
      <c r="G145" s="436"/>
      <c r="H145" s="28"/>
      <c r="I145" s="28"/>
      <c r="J145" s="28"/>
      <c r="K145" s="28"/>
      <c r="L145" s="28"/>
      <c r="M145" s="28"/>
      <c r="N145" s="28"/>
      <c r="O145" s="28"/>
      <c r="P145" s="28"/>
    </row>
    <row r="146" spans="1:16" x14ac:dyDescent="0.2">
      <c r="A146" s="64">
        <f>MAX($A$14:A145)+1</f>
        <v>65</v>
      </c>
      <c r="B146" s="28"/>
      <c r="C146" s="356" t="s">
        <v>678</v>
      </c>
      <c r="D146" s="236">
        <f>D144+D145</f>
        <v>8.113972602739726E-2</v>
      </c>
      <c r="E146" s="436"/>
      <c r="F146" s="236">
        <f>D146</f>
        <v>8.113972602739726E-2</v>
      </c>
      <c r="G146" s="436"/>
      <c r="H146" s="28"/>
      <c r="I146" s="28"/>
      <c r="J146" s="28"/>
      <c r="K146" s="28"/>
      <c r="L146" s="28"/>
      <c r="M146" s="28"/>
      <c r="N146" s="28"/>
      <c r="O146" s="28"/>
      <c r="P146" s="28"/>
    </row>
    <row r="147" spans="1:16" x14ac:dyDescent="0.2">
      <c r="A147" s="63"/>
      <c r="B147" s="28"/>
      <c r="C147" s="28"/>
      <c r="D147" s="28"/>
      <c r="E147" s="28"/>
      <c r="F147" s="28"/>
      <c r="G147" s="28"/>
      <c r="H147" s="28"/>
      <c r="I147" s="28"/>
      <c r="J147" s="28"/>
      <c r="K147" s="28"/>
      <c r="L147" s="28"/>
      <c r="M147" s="28"/>
      <c r="N147" s="28"/>
      <c r="O147" s="28"/>
      <c r="P147" s="28"/>
    </row>
    <row r="148" spans="1:16" x14ac:dyDescent="0.2">
      <c r="A148" s="63"/>
      <c r="B148" s="28"/>
      <c r="C148" s="356" t="s">
        <v>368</v>
      </c>
      <c r="D148" s="28"/>
      <c r="E148" s="28"/>
      <c r="F148" s="28"/>
      <c r="G148" s="28"/>
      <c r="H148" s="28"/>
      <c r="I148" s="28"/>
      <c r="J148" s="28"/>
      <c r="K148" s="28"/>
      <c r="L148" s="28"/>
      <c r="M148" s="28"/>
      <c r="N148" s="28"/>
      <c r="O148" s="28"/>
      <c r="P148" s="28"/>
    </row>
    <row r="149" spans="1:16" x14ac:dyDescent="0.2">
      <c r="A149" s="64">
        <f>MAX($A$14:A148)+1</f>
        <v>66</v>
      </c>
      <c r="B149" s="28"/>
      <c r="C149" s="359" t="s">
        <v>726</v>
      </c>
      <c r="D149" s="430">
        <v>1.2432230136986302</v>
      </c>
      <c r="E149" s="28"/>
      <c r="F149" s="430"/>
      <c r="G149" s="28"/>
      <c r="H149" s="28"/>
      <c r="I149" s="28"/>
      <c r="J149" s="28"/>
      <c r="K149" s="28"/>
      <c r="L149" s="28"/>
      <c r="M149" s="28"/>
      <c r="N149" s="28"/>
      <c r="O149" s="28"/>
      <c r="P149" s="28"/>
    </row>
    <row r="150" spans="1:16" x14ac:dyDescent="0.2">
      <c r="A150" s="64">
        <f>MAX($A$14:A149)+1</f>
        <v>67</v>
      </c>
      <c r="B150" s="28"/>
      <c r="C150" s="359" t="s">
        <v>648</v>
      </c>
      <c r="D150" s="430">
        <v>0</v>
      </c>
      <c r="E150" s="28"/>
      <c r="F150" s="430"/>
      <c r="G150" s="28"/>
      <c r="H150" s="28"/>
      <c r="I150" s="28"/>
      <c r="J150" s="28"/>
      <c r="K150" s="28"/>
      <c r="L150" s="28"/>
      <c r="M150" s="28"/>
      <c r="N150" s="28"/>
      <c r="O150" s="28"/>
      <c r="P150" s="28"/>
    </row>
    <row r="151" spans="1:16" x14ac:dyDescent="0.2">
      <c r="A151" s="64">
        <f>MAX($A$14:A150)+1</f>
        <v>68</v>
      </c>
      <c r="B151" s="28"/>
      <c r="C151" s="356" t="s">
        <v>369</v>
      </c>
      <c r="D151" s="432">
        <f>D149+D150</f>
        <v>1.2432230136986302</v>
      </c>
      <c r="E151" s="28"/>
      <c r="F151" s="435">
        <f>D151</f>
        <v>1.2432230136986302</v>
      </c>
      <c r="G151" s="28"/>
      <c r="H151" s="28"/>
      <c r="I151" s="28"/>
      <c r="J151" s="28"/>
      <c r="K151" s="28"/>
      <c r="L151" s="28"/>
      <c r="M151" s="28"/>
      <c r="N151" s="28"/>
      <c r="O151" s="28"/>
      <c r="P151" s="28"/>
    </row>
    <row r="152" spans="1:16" x14ac:dyDescent="0.2">
      <c r="A152" s="63"/>
      <c r="B152" s="28"/>
      <c r="C152" s="28"/>
      <c r="D152" s="28"/>
      <c r="E152" s="28"/>
      <c r="F152" s="28"/>
      <c r="G152" s="28"/>
      <c r="H152" s="28"/>
      <c r="I152" s="28"/>
      <c r="J152" s="28"/>
      <c r="K152" s="28"/>
      <c r="L152" s="28"/>
      <c r="M152" s="28"/>
      <c r="N152" s="28"/>
      <c r="O152" s="28"/>
      <c r="P152" s="28"/>
    </row>
    <row r="153" spans="1:16" x14ac:dyDescent="0.2">
      <c r="A153" s="63"/>
      <c r="B153" s="28"/>
      <c r="C153" s="356" t="s">
        <v>370</v>
      </c>
      <c r="D153" s="28"/>
      <c r="E153" s="28"/>
      <c r="F153" s="28"/>
      <c r="G153" s="28"/>
      <c r="H153" s="28"/>
      <c r="I153" s="28"/>
      <c r="J153" s="28"/>
      <c r="K153" s="28"/>
      <c r="L153" s="28"/>
      <c r="M153" s="28"/>
      <c r="N153" s="28"/>
      <c r="O153" s="28"/>
      <c r="P153" s="28"/>
    </row>
    <row r="154" spans="1:16" x14ac:dyDescent="0.2">
      <c r="A154" s="64">
        <f>MAX($A$14:A153)+1</f>
        <v>69</v>
      </c>
      <c r="B154" s="28"/>
      <c r="C154" s="359" t="s">
        <v>726</v>
      </c>
      <c r="D154" s="430">
        <v>1.2628208219178083</v>
      </c>
      <c r="E154" s="28"/>
      <c r="F154" s="430"/>
      <c r="G154" s="28"/>
      <c r="H154" s="28"/>
      <c r="I154" s="28"/>
      <c r="J154" s="28"/>
      <c r="K154" s="28"/>
      <c r="L154" s="28"/>
      <c r="M154" s="28"/>
      <c r="N154" s="28"/>
      <c r="O154" s="28"/>
      <c r="P154" s="28"/>
    </row>
    <row r="155" spans="1:16" x14ac:dyDescent="0.2">
      <c r="A155" s="64">
        <f>MAX($A$14:A154)+1</f>
        <v>70</v>
      </c>
      <c r="B155" s="28"/>
      <c r="C155" s="359" t="s">
        <v>648</v>
      </c>
      <c r="D155" s="430">
        <v>0</v>
      </c>
      <c r="E155" s="28"/>
      <c r="F155" s="430"/>
      <c r="G155" s="28"/>
      <c r="H155" s="28"/>
      <c r="I155" s="28"/>
      <c r="J155" s="28"/>
      <c r="K155" s="28"/>
      <c r="L155" s="28"/>
      <c r="M155" s="28"/>
      <c r="N155" s="28"/>
      <c r="O155" s="28"/>
      <c r="P155" s="28"/>
    </row>
    <row r="156" spans="1:16" x14ac:dyDescent="0.2">
      <c r="A156" s="64">
        <f>MAX($A$14:A155)+1</f>
        <v>71</v>
      </c>
      <c r="B156" s="28"/>
      <c r="C156" s="356" t="s">
        <v>371</v>
      </c>
      <c r="D156" s="432">
        <f>D154+D155</f>
        <v>1.2628208219178083</v>
      </c>
      <c r="E156" s="28"/>
      <c r="F156" s="435">
        <f>D156</f>
        <v>1.2628208219178083</v>
      </c>
      <c r="G156" s="28"/>
      <c r="H156" s="28"/>
      <c r="I156" s="28"/>
      <c r="J156" s="28"/>
      <c r="K156" s="28"/>
      <c r="L156" s="28"/>
      <c r="M156" s="28"/>
      <c r="N156" s="28"/>
      <c r="O156" s="28"/>
      <c r="P156" s="28"/>
    </row>
    <row r="157" spans="1:16" x14ac:dyDescent="0.2">
      <c r="A157" s="63"/>
      <c r="B157" s="28"/>
      <c r="C157" s="28"/>
      <c r="D157" s="28"/>
      <c r="E157" s="28"/>
      <c r="F157" s="28"/>
      <c r="G157" s="28"/>
      <c r="H157" s="28"/>
      <c r="I157" s="28"/>
      <c r="J157" s="28"/>
      <c r="K157" s="28"/>
      <c r="L157" s="28"/>
      <c r="M157" s="28"/>
      <c r="N157" s="28"/>
      <c r="O157" s="28"/>
      <c r="P157" s="28"/>
    </row>
    <row r="158" spans="1:16" x14ac:dyDescent="0.2">
      <c r="A158" s="63"/>
      <c r="B158" s="28"/>
      <c r="C158" s="356" t="s">
        <v>372</v>
      </c>
      <c r="D158" s="28"/>
      <c r="E158" s="28"/>
      <c r="F158" s="28"/>
      <c r="G158" s="28"/>
      <c r="H158" s="28"/>
      <c r="I158" s="28"/>
      <c r="J158" s="28"/>
      <c r="K158" s="28"/>
      <c r="L158" s="28"/>
      <c r="M158" s="28"/>
      <c r="N158" s="28"/>
      <c r="O158" s="28"/>
      <c r="P158" s="28"/>
    </row>
    <row r="159" spans="1:16" x14ac:dyDescent="0.2">
      <c r="A159" s="64">
        <f>MAX($A$14:A158)+1</f>
        <v>72</v>
      </c>
      <c r="B159" s="28"/>
      <c r="C159" s="359" t="s">
        <v>727</v>
      </c>
      <c r="D159" s="430">
        <v>0.83093917808219175</v>
      </c>
      <c r="E159" s="28"/>
      <c r="F159" s="430"/>
      <c r="G159" s="28"/>
      <c r="H159" s="28"/>
      <c r="I159" s="28"/>
      <c r="J159" s="28"/>
      <c r="K159" s="28"/>
      <c r="L159" s="28"/>
      <c r="M159" s="28"/>
      <c r="N159" s="28"/>
      <c r="O159" s="28"/>
      <c r="P159" s="28"/>
    </row>
    <row r="160" spans="1:16" x14ac:dyDescent="0.2">
      <c r="A160" s="64">
        <f>MAX($A$14:A159)+1</f>
        <v>73</v>
      </c>
      <c r="B160" s="28"/>
      <c r="C160" s="359" t="s">
        <v>648</v>
      </c>
      <c r="D160" s="430">
        <v>0</v>
      </c>
      <c r="E160" s="28"/>
      <c r="F160" s="430"/>
      <c r="G160" s="28"/>
      <c r="H160" s="28"/>
      <c r="I160" s="28"/>
      <c r="J160" s="28"/>
      <c r="K160" s="28"/>
      <c r="L160" s="28"/>
      <c r="M160" s="28"/>
      <c r="N160" s="28"/>
      <c r="O160" s="28"/>
      <c r="P160" s="28"/>
    </row>
    <row r="161" spans="1:16" x14ac:dyDescent="0.2">
      <c r="A161" s="64">
        <f>MAX($A$14:A160)+1</f>
        <v>74</v>
      </c>
      <c r="B161" s="28"/>
      <c r="C161" s="356" t="s">
        <v>373</v>
      </c>
      <c r="D161" s="432">
        <f>D159+D160</f>
        <v>0.83093917808219175</v>
      </c>
      <c r="E161" s="28"/>
      <c r="F161" s="435">
        <f>D161</f>
        <v>0.83093917808219175</v>
      </c>
      <c r="G161" s="28"/>
      <c r="H161" s="28"/>
      <c r="I161" s="28"/>
      <c r="J161" s="28"/>
      <c r="K161" s="28"/>
      <c r="L161" s="28"/>
      <c r="M161" s="28"/>
      <c r="N161" s="28"/>
      <c r="O161" s="28"/>
      <c r="P161" s="28"/>
    </row>
    <row r="162" spans="1:16" x14ac:dyDescent="0.2">
      <c r="A162" s="63"/>
      <c r="B162" s="28"/>
      <c r="C162" s="28"/>
      <c r="D162" s="28"/>
      <c r="E162" s="28"/>
      <c r="F162" s="28"/>
      <c r="G162" s="28"/>
      <c r="H162" s="28"/>
      <c r="I162" s="28"/>
      <c r="J162" s="28"/>
      <c r="K162" s="28"/>
      <c r="L162" s="28"/>
      <c r="M162" s="28"/>
      <c r="N162" s="28"/>
      <c r="O162" s="28"/>
      <c r="P162" s="28"/>
    </row>
    <row r="163" spans="1:16" x14ac:dyDescent="0.2">
      <c r="A163" s="63"/>
      <c r="B163" s="28"/>
      <c r="C163" s="26" t="s">
        <v>374</v>
      </c>
      <c r="D163" s="28"/>
      <c r="E163" s="28"/>
      <c r="F163" s="28"/>
      <c r="G163" s="28"/>
      <c r="H163" s="28"/>
      <c r="I163" s="28"/>
      <c r="J163" s="28"/>
      <c r="K163" s="28"/>
      <c r="L163" s="28"/>
      <c r="M163" s="28"/>
      <c r="N163" s="28"/>
      <c r="O163" s="28"/>
      <c r="P163" s="28"/>
    </row>
    <row r="164" spans="1:16" x14ac:dyDescent="0.2">
      <c r="A164" s="64">
        <f>MAX($A$14:A163)+1</f>
        <v>75</v>
      </c>
      <c r="B164" s="28"/>
      <c r="C164" s="359" t="s">
        <v>728</v>
      </c>
      <c r="D164" s="446">
        <v>0.6718356164383561</v>
      </c>
      <c r="E164" s="436"/>
      <c r="F164" s="446"/>
      <c r="G164" s="436"/>
      <c r="H164" s="28"/>
      <c r="I164" s="28"/>
      <c r="J164" s="28"/>
      <c r="K164" s="28"/>
      <c r="L164" s="28"/>
      <c r="M164" s="28"/>
      <c r="N164" s="28"/>
      <c r="O164" s="28"/>
      <c r="P164" s="28"/>
    </row>
    <row r="165" spans="1:16" x14ac:dyDescent="0.2">
      <c r="A165" s="64">
        <f>MAX($A$14:A164)+1</f>
        <v>76</v>
      </c>
      <c r="B165" s="28"/>
      <c r="C165" s="359" t="s">
        <v>170</v>
      </c>
      <c r="D165" s="446">
        <v>0.108</v>
      </c>
      <c r="E165" s="436"/>
      <c r="F165" s="446"/>
      <c r="G165" s="436"/>
      <c r="H165" s="28"/>
      <c r="I165" s="28"/>
      <c r="J165" s="28"/>
      <c r="K165" s="28"/>
      <c r="L165" s="28"/>
      <c r="M165" s="28"/>
      <c r="N165" s="28"/>
      <c r="O165" s="28"/>
      <c r="P165" s="28"/>
    </row>
    <row r="166" spans="1:16" x14ac:dyDescent="0.2">
      <c r="A166" s="64">
        <f>MAX($A$14:A165)+1</f>
        <v>77</v>
      </c>
      <c r="B166" s="28"/>
      <c r="C166" s="356" t="s">
        <v>663</v>
      </c>
      <c r="D166" s="447">
        <f>D164+D165</f>
        <v>0.77983561643835608</v>
      </c>
      <c r="E166" s="436"/>
      <c r="F166" s="236">
        <f>D166</f>
        <v>0.77983561643835608</v>
      </c>
      <c r="G166" s="436"/>
      <c r="H166" s="28"/>
      <c r="I166" s="28"/>
      <c r="J166" s="28"/>
      <c r="K166" s="28"/>
      <c r="L166" s="28"/>
      <c r="M166" s="28"/>
      <c r="N166" s="28"/>
      <c r="O166" s="28"/>
      <c r="P166" s="28"/>
    </row>
    <row r="167" spans="1:16" x14ac:dyDescent="0.2">
      <c r="A167" s="409"/>
      <c r="B167" s="169"/>
      <c r="C167" s="409"/>
      <c r="D167" s="409"/>
      <c r="E167" s="409"/>
      <c r="F167" s="409"/>
      <c r="G167" s="409"/>
      <c r="K167" s="28"/>
      <c r="L167" s="28"/>
      <c r="M167" s="28"/>
      <c r="N167" s="28"/>
      <c r="O167" s="28"/>
      <c r="P167" s="28"/>
    </row>
    <row r="168" spans="1:16" x14ac:dyDescent="0.2">
      <c r="A168" s="409"/>
      <c r="B168" s="169"/>
      <c r="C168" s="409"/>
      <c r="D168" s="409"/>
      <c r="E168" s="409"/>
      <c r="F168" s="409"/>
      <c r="G168" s="409"/>
      <c r="K168" s="28"/>
      <c r="L168" s="28"/>
      <c r="M168" s="28"/>
      <c r="N168" s="28"/>
      <c r="O168" s="28"/>
      <c r="P168" s="28"/>
    </row>
    <row r="169" spans="1:16" x14ac:dyDescent="0.2">
      <c r="A169" s="409"/>
      <c r="B169" s="169"/>
      <c r="C169" s="409"/>
      <c r="D169" s="409"/>
      <c r="E169" s="409"/>
      <c r="F169" s="409"/>
      <c r="G169" s="409"/>
      <c r="K169" s="28"/>
      <c r="L169" s="28"/>
      <c r="M169" s="28"/>
      <c r="N169" s="28"/>
      <c r="O169" s="28"/>
      <c r="P169" s="28"/>
    </row>
    <row r="170" spans="1:16" x14ac:dyDescent="0.2">
      <c r="A170" s="409"/>
      <c r="B170" s="169"/>
      <c r="C170" s="409"/>
      <c r="D170" s="409"/>
      <c r="E170" s="409"/>
      <c r="F170" s="409"/>
      <c r="G170" s="409"/>
      <c r="K170" s="28"/>
      <c r="L170" s="28"/>
      <c r="M170" s="28"/>
      <c r="N170" s="28"/>
      <c r="O170" s="28"/>
      <c r="P170" s="28"/>
    </row>
    <row r="171" spans="1:16" x14ac:dyDescent="0.2">
      <c r="A171" s="409"/>
      <c r="B171" s="169"/>
      <c r="C171" s="409"/>
      <c r="D171" s="409"/>
      <c r="E171" s="409"/>
      <c r="F171" s="409"/>
      <c r="G171" s="409"/>
      <c r="K171" s="28"/>
      <c r="L171" s="28"/>
      <c r="M171" s="28"/>
      <c r="N171" s="28"/>
      <c r="O171" s="28"/>
      <c r="P171" s="28"/>
    </row>
    <row r="172" spans="1:16" x14ac:dyDescent="0.2">
      <c r="A172" s="407" t="s">
        <v>944</v>
      </c>
      <c r="B172" s="169"/>
      <c r="C172" s="409"/>
      <c r="D172" s="409"/>
      <c r="E172" s="409"/>
      <c r="F172" s="409"/>
      <c r="G172" s="409"/>
      <c r="K172" s="28"/>
      <c r="L172" s="28"/>
      <c r="M172" s="28"/>
      <c r="N172" s="28"/>
      <c r="O172" s="28"/>
      <c r="P172" s="28"/>
    </row>
    <row r="173" spans="1:16" x14ac:dyDescent="0.2">
      <c r="A173" s="64"/>
      <c r="B173" s="64"/>
      <c r="C173" s="64"/>
      <c r="D173" s="63"/>
      <c r="E173" s="28"/>
      <c r="F173" s="63"/>
      <c r="G173" s="28"/>
      <c r="H173" s="63"/>
      <c r="I173" s="409"/>
      <c r="J173" s="409"/>
    </row>
    <row r="174" spans="1:16" x14ac:dyDescent="0.2">
      <c r="A174" s="64" t="s">
        <v>0</v>
      </c>
      <c r="B174" s="33"/>
      <c r="C174" s="33"/>
      <c r="D174" s="63"/>
      <c r="E174" s="28"/>
      <c r="F174" s="64"/>
      <c r="G174" s="28"/>
      <c r="H174" s="64"/>
      <c r="I174" s="409"/>
      <c r="J174" s="409"/>
    </row>
    <row r="175" spans="1:16" x14ac:dyDescent="0.2">
      <c r="A175" s="520" t="s">
        <v>1</v>
      </c>
      <c r="B175" s="33"/>
      <c r="C175" s="185" t="s">
        <v>33</v>
      </c>
      <c r="D175" s="232"/>
      <c r="E175" s="28"/>
      <c r="F175" s="526" t="s">
        <v>350</v>
      </c>
      <c r="G175" s="28"/>
      <c r="H175" s="441"/>
      <c r="I175" s="28"/>
      <c r="J175" s="28"/>
      <c r="K175" s="28"/>
      <c r="L175" s="28"/>
      <c r="M175" s="28"/>
      <c r="N175" s="28"/>
      <c r="O175" s="28"/>
      <c r="P175" s="28"/>
    </row>
    <row r="176" spans="1:16" x14ac:dyDescent="0.2">
      <c r="A176" s="64"/>
      <c r="B176" s="33"/>
      <c r="C176" s="33"/>
      <c r="D176" s="63"/>
      <c r="E176" s="64"/>
      <c r="F176" s="64" t="s">
        <v>3</v>
      </c>
      <c r="G176" s="64"/>
      <c r="H176" s="64"/>
      <c r="I176" s="28"/>
      <c r="J176" s="28"/>
      <c r="K176" s="28"/>
      <c r="L176" s="28"/>
      <c r="M176" s="28"/>
      <c r="N176" s="28"/>
      <c r="O176" s="28"/>
      <c r="P176" s="28"/>
    </row>
    <row r="177" spans="1:16" x14ac:dyDescent="0.2">
      <c r="A177" s="63"/>
      <c r="B177" s="28"/>
      <c r="K177" s="28"/>
      <c r="L177" s="28"/>
      <c r="M177" s="28"/>
      <c r="N177" s="28"/>
      <c r="O177" s="28"/>
      <c r="P177" s="28"/>
    </row>
    <row r="178" spans="1:16" x14ac:dyDescent="0.2">
      <c r="A178" s="63"/>
      <c r="B178" s="28"/>
      <c r="C178" s="31" t="s">
        <v>753</v>
      </c>
      <c r="D178" s="28"/>
      <c r="E178" s="28"/>
      <c r="F178" s="28"/>
      <c r="G178" s="28"/>
      <c r="H178" s="28"/>
      <c r="I178" s="28"/>
      <c r="J178" s="28"/>
      <c r="K178" s="28"/>
      <c r="L178" s="28"/>
      <c r="M178" s="28"/>
      <c r="N178" s="28"/>
      <c r="O178" s="28"/>
      <c r="P178" s="28"/>
    </row>
    <row r="179" spans="1:16" x14ac:dyDescent="0.2">
      <c r="A179" s="63"/>
      <c r="B179" s="28"/>
      <c r="K179" s="28"/>
      <c r="L179" s="28"/>
      <c r="M179" s="28"/>
      <c r="N179" s="28"/>
      <c r="O179" s="28"/>
      <c r="P179" s="28"/>
    </row>
    <row r="180" spans="1:16" x14ac:dyDescent="0.2">
      <c r="A180" s="64">
        <f>MAX($A$14:A179)+1</f>
        <v>78</v>
      </c>
      <c r="B180" s="28"/>
      <c r="C180" s="356" t="s">
        <v>738</v>
      </c>
      <c r="D180" s="28"/>
      <c r="E180" s="28"/>
      <c r="F180" s="435">
        <f>D$97*1.5</f>
        <v>6.323630840692636</v>
      </c>
      <c r="G180" s="28"/>
      <c r="H180" s="434"/>
      <c r="I180" s="29"/>
      <c r="J180" s="434"/>
      <c r="K180" s="28"/>
      <c r="L180" s="28"/>
      <c r="M180" s="28"/>
      <c r="N180" s="28"/>
      <c r="O180" s="28"/>
      <c r="P180" s="28"/>
    </row>
    <row r="181" spans="1:16" x14ac:dyDescent="0.2">
      <c r="A181" s="63"/>
      <c r="B181" s="28"/>
      <c r="C181" s="28"/>
      <c r="D181" s="28"/>
      <c r="E181" s="28"/>
      <c r="F181" s="28"/>
      <c r="G181" s="28"/>
      <c r="H181" s="28"/>
      <c r="I181" s="28"/>
      <c r="J181" s="28"/>
      <c r="K181" s="28"/>
      <c r="L181" s="28"/>
      <c r="M181" s="28"/>
      <c r="N181" s="28"/>
      <c r="O181" s="28"/>
      <c r="P181" s="28"/>
    </row>
    <row r="182" spans="1:16" x14ac:dyDescent="0.2">
      <c r="A182" s="63"/>
      <c r="B182" s="28"/>
      <c r="C182" s="26" t="s">
        <v>375</v>
      </c>
      <c r="D182" s="28"/>
      <c r="E182" s="28"/>
      <c r="F182" s="28"/>
      <c r="G182" s="28"/>
      <c r="H182" s="28"/>
      <c r="I182" s="28"/>
      <c r="J182" s="28"/>
      <c r="K182" s="28"/>
      <c r="L182" s="28"/>
      <c r="M182" s="28"/>
      <c r="N182" s="28"/>
      <c r="O182" s="28"/>
      <c r="P182" s="28"/>
    </row>
    <row r="183" spans="1:16" ht="14.25" x14ac:dyDescent="0.2">
      <c r="A183" s="64">
        <f>MAX($A$14:A182)+1</f>
        <v>79</v>
      </c>
      <c r="B183" s="28"/>
      <c r="C183" s="27" t="s">
        <v>655</v>
      </c>
      <c r="D183" s="430">
        <v>13.8789</v>
      </c>
      <c r="E183" s="28"/>
      <c r="F183" s="430"/>
      <c r="G183" s="28"/>
      <c r="H183" s="28"/>
      <c r="I183" s="28"/>
      <c r="K183" s="28"/>
      <c r="L183" s="28"/>
      <c r="M183" s="28"/>
      <c r="N183" s="28"/>
      <c r="O183" s="28"/>
      <c r="P183" s="28"/>
    </row>
    <row r="184" spans="1:16" x14ac:dyDescent="0.2">
      <c r="A184" s="64">
        <f>MAX($A$14:A183)+1</f>
        <v>80</v>
      </c>
      <c r="B184" s="28"/>
      <c r="C184" s="27" t="s">
        <v>376</v>
      </c>
      <c r="D184" s="449">
        <v>39.08</v>
      </c>
      <c r="E184" s="28"/>
      <c r="F184" s="28"/>
      <c r="G184" s="28"/>
      <c r="H184" s="28"/>
      <c r="I184" s="28"/>
      <c r="K184" s="28"/>
      <c r="L184" s="28"/>
      <c r="M184" s="28"/>
      <c r="N184" s="28"/>
      <c r="O184" s="28"/>
      <c r="P184" s="28"/>
    </row>
    <row r="185" spans="1:16" x14ac:dyDescent="0.2">
      <c r="A185" s="64">
        <f>MAX($A$14:A184)+1</f>
        <v>81</v>
      </c>
      <c r="B185" s="28"/>
      <c r="C185" s="26" t="s">
        <v>1123</v>
      </c>
      <c r="D185" s="448">
        <f>D183/D184*10</f>
        <v>3.5514073694984649</v>
      </c>
      <c r="E185" s="28"/>
      <c r="F185" s="236">
        <f>D185</f>
        <v>3.5514073694984649</v>
      </c>
      <c r="G185" s="28"/>
      <c r="H185" s="28"/>
      <c r="I185" s="28"/>
      <c r="K185" s="28"/>
      <c r="L185" s="28"/>
      <c r="M185" s="28"/>
      <c r="N185" s="28"/>
      <c r="O185" s="28"/>
      <c r="P185" s="28"/>
    </row>
    <row r="186" spans="1:16" x14ac:dyDescent="0.2">
      <c r="A186" s="63"/>
      <c r="B186" s="28"/>
      <c r="C186" s="28"/>
      <c r="D186" s="28"/>
      <c r="E186" s="28"/>
      <c r="F186" s="28"/>
      <c r="G186" s="28"/>
      <c r="H186" s="28"/>
      <c r="I186" s="28"/>
      <c r="K186" s="28"/>
      <c r="L186" s="28"/>
      <c r="M186" s="28"/>
      <c r="N186" s="28"/>
      <c r="O186" s="28"/>
      <c r="P186" s="28"/>
    </row>
    <row r="187" spans="1:16" x14ac:dyDescent="0.2">
      <c r="A187" s="63"/>
      <c r="B187" s="28"/>
      <c r="C187" s="26" t="s">
        <v>1080</v>
      </c>
      <c r="D187" s="28"/>
      <c r="E187" s="28"/>
      <c r="F187" s="28"/>
      <c r="G187" s="28"/>
      <c r="H187" s="28"/>
      <c r="I187" s="28"/>
      <c r="K187" s="28"/>
      <c r="L187" s="28"/>
      <c r="M187" s="28"/>
      <c r="N187" s="28"/>
      <c r="O187" s="28"/>
      <c r="P187" s="28"/>
    </row>
    <row r="188" spans="1:16" ht="14.25" x14ac:dyDescent="0.2">
      <c r="A188" s="64">
        <f>MAX($A$14:A187)+1</f>
        <v>82</v>
      </c>
      <c r="B188" s="28"/>
      <c r="C188" s="27" t="s">
        <v>654</v>
      </c>
      <c r="D188" s="430">
        <v>36</v>
      </c>
      <c r="E188" s="28"/>
      <c r="F188" s="430"/>
      <c r="G188" s="28"/>
      <c r="H188" s="28"/>
      <c r="I188" s="28"/>
      <c r="K188" s="28"/>
      <c r="L188" s="28"/>
      <c r="M188" s="28"/>
      <c r="N188" s="28"/>
      <c r="O188" s="28"/>
      <c r="P188" s="28"/>
    </row>
    <row r="189" spans="1:16" x14ac:dyDescent="0.2">
      <c r="A189" s="64">
        <f>MAX($A$14:A188)+1</f>
        <v>83</v>
      </c>
      <c r="B189" s="28"/>
      <c r="C189" s="27" t="s">
        <v>671</v>
      </c>
      <c r="D189" s="449">
        <v>39.08</v>
      </c>
      <c r="E189" s="28"/>
      <c r="F189" s="28"/>
      <c r="G189" s="28"/>
      <c r="H189" s="28"/>
      <c r="I189" s="28"/>
      <c r="K189" s="28"/>
      <c r="L189" s="28"/>
      <c r="M189" s="28"/>
      <c r="N189" s="28"/>
      <c r="O189" s="28"/>
      <c r="P189" s="28"/>
    </row>
    <row r="190" spans="1:16" x14ac:dyDescent="0.2">
      <c r="A190" s="64">
        <f>MAX($A$14:A189)+1</f>
        <v>84</v>
      </c>
      <c r="B190" s="28"/>
      <c r="C190" s="26" t="s">
        <v>1124</v>
      </c>
      <c r="D190" s="448">
        <f>D188/D189*10</f>
        <v>9.2118730808597746</v>
      </c>
      <c r="E190" s="28"/>
      <c r="F190" s="236">
        <f>D190</f>
        <v>9.2118730808597746</v>
      </c>
      <c r="G190" s="28"/>
      <c r="H190" s="28"/>
      <c r="I190" s="28"/>
      <c r="K190" s="28"/>
      <c r="L190" s="28"/>
      <c r="M190" s="28"/>
      <c r="N190" s="28"/>
      <c r="O190" s="28"/>
      <c r="P190" s="28"/>
    </row>
    <row r="191" spans="1:16" x14ac:dyDescent="0.2">
      <c r="A191" s="63"/>
      <c r="B191" s="28"/>
      <c r="C191" s="28"/>
      <c r="D191" s="28"/>
      <c r="E191" s="28"/>
      <c r="F191" s="28"/>
      <c r="G191" s="28"/>
      <c r="H191" s="28"/>
      <c r="I191" s="28"/>
      <c r="K191" s="28"/>
      <c r="L191" s="28"/>
      <c r="M191" s="28"/>
      <c r="N191" s="28"/>
      <c r="O191" s="28"/>
      <c r="P191" s="28"/>
    </row>
    <row r="192" spans="1:16" x14ac:dyDescent="0.2">
      <c r="A192" s="63"/>
      <c r="B192" s="28"/>
      <c r="C192" s="26" t="s">
        <v>377</v>
      </c>
      <c r="D192" s="28"/>
      <c r="E192" s="28"/>
      <c r="F192" s="28"/>
      <c r="G192" s="28"/>
      <c r="H192" s="28"/>
      <c r="I192" s="28"/>
      <c r="K192" s="28"/>
      <c r="L192" s="28"/>
      <c r="M192" s="28"/>
      <c r="N192" s="28"/>
      <c r="O192" s="28"/>
      <c r="P192" s="28"/>
    </row>
    <row r="193" spans="1:16" x14ac:dyDescent="0.2">
      <c r="A193" s="64">
        <f>MAX($A$14:A192)+1</f>
        <v>85</v>
      </c>
      <c r="B193" s="28"/>
      <c r="C193" s="27" t="s">
        <v>722</v>
      </c>
      <c r="D193" s="446">
        <v>60</v>
      </c>
      <c r="E193" s="28"/>
      <c r="F193" s="430"/>
      <c r="G193" s="28"/>
      <c r="H193" s="28"/>
      <c r="I193" s="28"/>
      <c r="K193" s="28"/>
      <c r="L193" s="28"/>
      <c r="M193" s="28"/>
      <c r="N193" s="28"/>
      <c r="O193" s="28"/>
      <c r="P193" s="28"/>
    </row>
    <row r="194" spans="1:16" x14ac:dyDescent="0.2">
      <c r="A194" s="64">
        <f>MAX($A$14:A193)+1</f>
        <v>86</v>
      </c>
      <c r="B194" s="28"/>
      <c r="C194" s="27" t="s">
        <v>671</v>
      </c>
      <c r="D194" s="449">
        <v>39.08</v>
      </c>
      <c r="E194" s="28"/>
      <c r="F194" s="28"/>
      <c r="G194" s="28"/>
      <c r="H194" s="28"/>
      <c r="I194" s="28"/>
      <c r="K194" s="28"/>
      <c r="L194" s="28"/>
      <c r="M194" s="28"/>
      <c r="N194" s="28"/>
      <c r="O194" s="28"/>
      <c r="P194" s="28"/>
    </row>
    <row r="195" spans="1:16" ht="14.25" x14ac:dyDescent="0.2">
      <c r="A195" s="64">
        <f>MAX($A$14:A194)+1</f>
        <v>87</v>
      </c>
      <c r="B195" s="28"/>
      <c r="C195" s="26" t="s">
        <v>1125</v>
      </c>
      <c r="D195" s="434">
        <f>D193*D194/10</f>
        <v>234.47999999999996</v>
      </c>
      <c r="E195" s="28"/>
      <c r="F195" s="435">
        <f>D195</f>
        <v>234.47999999999996</v>
      </c>
      <c r="G195" s="28"/>
      <c r="H195" s="431"/>
      <c r="I195" s="28"/>
      <c r="K195" s="28"/>
      <c r="L195" s="28"/>
      <c r="M195" s="28"/>
      <c r="N195" s="28"/>
      <c r="O195" s="28"/>
      <c r="P195" s="28"/>
    </row>
    <row r="196" spans="1:16" x14ac:dyDescent="0.2">
      <c r="A196" s="409"/>
      <c r="B196" s="169"/>
      <c r="C196" s="409"/>
      <c r="D196" s="409"/>
      <c r="E196" s="409"/>
      <c r="F196" s="409"/>
      <c r="G196" s="409"/>
      <c r="K196" s="28"/>
      <c r="L196" s="28"/>
      <c r="M196" s="28"/>
      <c r="N196" s="28"/>
      <c r="O196" s="28"/>
      <c r="P196" s="28"/>
    </row>
    <row r="197" spans="1:16" x14ac:dyDescent="0.2">
      <c r="A197" s="409"/>
      <c r="B197" s="169"/>
      <c r="C197" s="409"/>
      <c r="D197" s="409"/>
      <c r="E197" s="409"/>
      <c r="F197" s="409"/>
      <c r="G197" s="409"/>
      <c r="K197" s="28"/>
      <c r="L197" s="28"/>
      <c r="M197" s="28"/>
      <c r="N197" s="28"/>
      <c r="O197" s="28"/>
      <c r="P197" s="28"/>
    </row>
    <row r="198" spans="1:16" x14ac:dyDescent="0.2">
      <c r="A198" s="409"/>
      <c r="B198" s="169"/>
      <c r="C198" s="409"/>
      <c r="D198" s="409"/>
      <c r="E198" s="409"/>
      <c r="F198" s="409"/>
      <c r="G198" s="409"/>
      <c r="K198" s="28"/>
      <c r="L198" s="28"/>
      <c r="M198" s="28"/>
      <c r="N198" s="28"/>
      <c r="O198" s="28"/>
      <c r="P198" s="28"/>
    </row>
    <row r="199" spans="1:16" x14ac:dyDescent="0.2">
      <c r="A199" s="409"/>
      <c r="B199" s="169"/>
      <c r="C199" s="409"/>
      <c r="D199" s="409"/>
      <c r="E199" s="409"/>
      <c r="F199" s="409"/>
      <c r="G199" s="409"/>
      <c r="K199" s="28"/>
      <c r="L199" s="28"/>
      <c r="M199" s="28"/>
      <c r="N199" s="28"/>
      <c r="O199" s="28"/>
      <c r="P199" s="28"/>
    </row>
    <row r="200" spans="1:16" x14ac:dyDescent="0.2">
      <c r="A200" s="409"/>
      <c r="B200" s="169"/>
      <c r="C200" s="409"/>
      <c r="D200" s="409"/>
      <c r="E200" s="409"/>
      <c r="F200" s="409"/>
      <c r="G200" s="409"/>
      <c r="K200" s="28"/>
      <c r="L200" s="28"/>
      <c r="M200" s="28"/>
      <c r="N200" s="28"/>
      <c r="O200" s="28"/>
      <c r="P200" s="28"/>
    </row>
    <row r="201" spans="1:16" x14ac:dyDescent="0.2">
      <c r="A201" s="407" t="s">
        <v>944</v>
      </c>
      <c r="B201" s="169"/>
      <c r="C201" s="409"/>
      <c r="D201" s="409"/>
      <c r="E201" s="409"/>
      <c r="F201" s="409"/>
      <c r="G201" s="409"/>
      <c r="K201" s="28"/>
      <c r="L201" s="28"/>
      <c r="M201" s="28"/>
      <c r="N201" s="28"/>
      <c r="O201" s="28"/>
      <c r="P201" s="28"/>
    </row>
    <row r="202" spans="1:16" x14ac:dyDescent="0.2">
      <c r="A202" s="64"/>
      <c r="B202" s="64"/>
      <c r="C202" s="64"/>
      <c r="D202" s="63"/>
      <c r="E202" s="28"/>
      <c r="F202" s="63"/>
      <c r="G202" s="28"/>
      <c r="H202" s="63"/>
      <c r="I202" s="409"/>
      <c r="J202" s="409"/>
    </row>
    <row r="203" spans="1:16" x14ac:dyDescent="0.2">
      <c r="A203" s="64" t="s">
        <v>0</v>
      </c>
      <c r="B203" s="33"/>
      <c r="C203" s="33"/>
      <c r="D203" s="63"/>
      <c r="E203" s="28"/>
      <c r="F203" s="64"/>
      <c r="G203" s="28"/>
      <c r="H203" s="64"/>
      <c r="I203" s="409"/>
      <c r="J203" s="409"/>
    </row>
    <row r="204" spans="1:16" x14ac:dyDescent="0.2">
      <c r="A204" s="520" t="s">
        <v>1</v>
      </c>
      <c r="B204" s="33"/>
      <c r="C204" s="185" t="s">
        <v>33</v>
      </c>
      <c r="D204" s="232"/>
      <c r="E204" s="28"/>
      <c r="F204" s="526" t="s">
        <v>350</v>
      </c>
      <c r="G204" s="28"/>
      <c r="H204" s="441"/>
      <c r="I204" s="28"/>
      <c r="J204" s="28"/>
      <c r="K204" s="28"/>
      <c r="L204" s="28"/>
      <c r="M204" s="28"/>
      <c r="N204" s="28"/>
      <c r="O204" s="28"/>
      <c r="P204" s="28"/>
    </row>
    <row r="205" spans="1:16" x14ac:dyDescent="0.2">
      <c r="A205" s="64"/>
      <c r="B205" s="33"/>
      <c r="C205" s="33"/>
      <c r="D205" s="63"/>
      <c r="E205" s="64"/>
      <c r="F205" s="64" t="s">
        <v>3</v>
      </c>
      <c r="G205" s="64"/>
      <c r="H205" s="64"/>
      <c r="I205" s="28"/>
      <c r="J205" s="28"/>
      <c r="K205" s="28"/>
      <c r="L205" s="28"/>
      <c r="M205" s="28"/>
      <c r="N205" s="28"/>
      <c r="O205" s="28"/>
      <c r="P205" s="28"/>
    </row>
    <row r="206" spans="1:16" x14ac:dyDescent="0.2">
      <c r="A206" s="63"/>
      <c r="B206" s="28"/>
      <c r="C206" s="31" t="s">
        <v>754</v>
      </c>
      <c r="D206" s="28"/>
      <c r="E206" s="28"/>
      <c r="F206" s="430"/>
      <c r="G206" s="430"/>
      <c r="H206" s="430"/>
      <c r="I206" s="430"/>
      <c r="J206" s="430"/>
      <c r="K206" s="430"/>
      <c r="L206" s="28"/>
      <c r="M206" s="28"/>
      <c r="N206" s="28"/>
      <c r="O206" s="28"/>
      <c r="P206" s="28"/>
    </row>
    <row r="207" spans="1:16" x14ac:dyDescent="0.2">
      <c r="A207" s="63"/>
      <c r="B207" s="28"/>
      <c r="K207" s="28"/>
      <c r="L207" s="28"/>
      <c r="M207" s="28"/>
      <c r="N207" s="28"/>
      <c r="O207" s="28"/>
      <c r="P207" s="28"/>
    </row>
    <row r="208" spans="1:16" x14ac:dyDescent="0.2">
      <c r="A208" s="63"/>
      <c r="B208" s="28"/>
      <c r="C208" s="437" t="s">
        <v>378</v>
      </c>
      <c r="D208" s="28"/>
      <c r="E208" s="28"/>
      <c r="F208" s="28"/>
      <c r="G208" s="28"/>
      <c r="H208" s="28"/>
      <c r="I208" s="28"/>
      <c r="J208" s="28"/>
      <c r="K208" s="28"/>
      <c r="L208" s="28"/>
      <c r="M208" s="28"/>
      <c r="N208" s="28"/>
      <c r="O208" s="28"/>
      <c r="P208" s="28"/>
    </row>
    <row r="209" spans="1:16" x14ac:dyDescent="0.2">
      <c r="A209" s="63"/>
      <c r="B209" s="28"/>
      <c r="C209" s="437"/>
      <c r="D209" s="28"/>
      <c r="E209" s="28"/>
      <c r="F209" s="28"/>
      <c r="G209" s="28"/>
      <c r="H209" s="28"/>
      <c r="I209" s="28"/>
      <c r="J209" s="28"/>
      <c r="K209" s="28"/>
      <c r="L209" s="28"/>
      <c r="M209" s="28"/>
      <c r="N209" s="28"/>
      <c r="O209" s="28"/>
      <c r="P209" s="28"/>
    </row>
    <row r="210" spans="1:16" x14ac:dyDescent="0.2">
      <c r="A210" s="64"/>
      <c r="B210" s="28"/>
      <c r="C210" s="356" t="s">
        <v>672</v>
      </c>
      <c r="D210" s="28"/>
      <c r="E210" s="28"/>
      <c r="F210" s="28"/>
      <c r="G210" s="28"/>
      <c r="H210" s="28"/>
      <c r="I210" s="28"/>
      <c r="J210" s="28"/>
      <c r="K210" s="28"/>
      <c r="L210" s="28"/>
      <c r="M210" s="28"/>
      <c r="N210" s="28"/>
      <c r="O210" s="28"/>
      <c r="P210" s="28"/>
    </row>
    <row r="211" spans="1:16" x14ac:dyDescent="0.2">
      <c r="A211" s="64">
        <f>MAX($A$14:A210)+1</f>
        <v>88</v>
      </c>
      <c r="B211" s="28"/>
      <c r="C211" s="359" t="s">
        <v>656</v>
      </c>
      <c r="D211" s="430">
        <v>2.7056219178082195</v>
      </c>
      <c r="E211" s="28"/>
      <c r="F211" s="430"/>
      <c r="G211" s="28"/>
      <c r="H211" s="28"/>
      <c r="K211" s="28"/>
      <c r="L211" s="28"/>
      <c r="M211" s="28"/>
      <c r="N211" s="28"/>
      <c r="O211" s="28"/>
      <c r="P211" s="28"/>
    </row>
    <row r="212" spans="1:16" x14ac:dyDescent="0.2">
      <c r="A212" s="64">
        <f>MAX($A$14:A211)+1</f>
        <v>89</v>
      </c>
      <c r="B212" s="28"/>
      <c r="C212" s="359" t="s">
        <v>379</v>
      </c>
      <c r="D212" s="430">
        <v>0.1439</v>
      </c>
      <c r="E212" s="28"/>
      <c r="F212" s="430"/>
      <c r="G212" s="28"/>
      <c r="H212" s="28"/>
      <c r="K212" s="28"/>
      <c r="L212" s="28"/>
      <c r="M212" s="28"/>
      <c r="N212" s="28"/>
      <c r="O212" s="28"/>
      <c r="P212" s="28"/>
    </row>
    <row r="213" spans="1:16" x14ac:dyDescent="0.2">
      <c r="A213" s="64">
        <f>MAX($A$14:A212)+1</f>
        <v>90</v>
      </c>
      <c r="B213" s="28"/>
      <c r="C213" s="356" t="s">
        <v>679</v>
      </c>
      <c r="D213" s="432">
        <f>D211+D212</f>
        <v>2.8495219178082194</v>
      </c>
      <c r="E213" s="28"/>
      <c r="F213" s="435">
        <f>D213</f>
        <v>2.8495219178082194</v>
      </c>
      <c r="G213" s="28"/>
      <c r="H213" s="434"/>
      <c r="K213" s="28"/>
      <c r="L213" s="28"/>
      <c r="M213" s="28"/>
      <c r="N213" s="28"/>
      <c r="O213" s="28"/>
      <c r="P213" s="28"/>
    </row>
    <row r="214" spans="1:16" x14ac:dyDescent="0.2">
      <c r="A214" s="63"/>
      <c r="B214" s="28"/>
      <c r="C214" s="28"/>
      <c r="D214" s="28"/>
      <c r="E214" s="28"/>
      <c r="F214" s="28"/>
      <c r="G214" s="28"/>
      <c r="H214" s="28"/>
      <c r="I214" s="28"/>
      <c r="J214" s="28"/>
      <c r="K214" s="430"/>
      <c r="L214" s="28"/>
      <c r="M214" s="28"/>
      <c r="N214" s="28"/>
      <c r="O214" s="28"/>
      <c r="P214" s="28"/>
    </row>
    <row r="215" spans="1:16" x14ac:dyDescent="0.2">
      <c r="A215" s="64"/>
      <c r="B215" s="28"/>
      <c r="C215" s="356" t="s">
        <v>674</v>
      </c>
      <c r="D215" s="28"/>
      <c r="E215" s="28"/>
      <c r="F215" s="28"/>
      <c r="G215" s="28"/>
      <c r="H215" s="28"/>
      <c r="I215" s="28"/>
      <c r="J215" s="28"/>
      <c r="K215" s="28"/>
      <c r="L215" s="28"/>
      <c r="M215" s="28"/>
      <c r="N215" s="28"/>
      <c r="O215" s="28"/>
      <c r="P215" s="28"/>
    </row>
    <row r="216" spans="1:16" x14ac:dyDescent="0.2">
      <c r="A216" s="64">
        <f>MAX($A$14:A215)+1</f>
        <v>91</v>
      </c>
      <c r="B216" s="28"/>
      <c r="C216" s="359" t="s">
        <v>673</v>
      </c>
      <c r="D216" s="430">
        <v>1.2117435616438355</v>
      </c>
      <c r="E216" s="28"/>
      <c r="F216" s="28"/>
      <c r="G216" s="28"/>
      <c r="H216" s="28"/>
      <c r="I216" s="28"/>
      <c r="J216" s="28"/>
      <c r="K216" s="430"/>
      <c r="L216" s="28"/>
      <c r="M216" s="28"/>
      <c r="N216" s="28"/>
      <c r="O216" s="28"/>
      <c r="P216" s="28"/>
    </row>
    <row r="217" spans="1:16" x14ac:dyDescent="0.2">
      <c r="A217" s="64">
        <f>MAX($A$14:A216)+1</f>
        <v>92</v>
      </c>
      <c r="B217" s="28"/>
      <c r="C217" s="359" t="s">
        <v>87</v>
      </c>
      <c r="D217" s="430">
        <v>1.1669</v>
      </c>
      <c r="E217" s="28"/>
      <c r="F217" s="28"/>
      <c r="G217" s="28"/>
      <c r="H217" s="28"/>
      <c r="I217" s="28"/>
      <c r="J217" s="28"/>
      <c r="K217" s="430"/>
      <c r="L217" s="28"/>
      <c r="M217" s="28"/>
      <c r="N217" s="28"/>
      <c r="O217" s="28"/>
      <c r="P217" s="28"/>
    </row>
    <row r="218" spans="1:16" x14ac:dyDescent="0.2">
      <c r="A218" s="64">
        <f>MAX($A$14:A217)+1</f>
        <v>93</v>
      </c>
      <c r="B218" s="28"/>
      <c r="C218" s="356" t="s">
        <v>680</v>
      </c>
      <c r="D218" s="432">
        <f>D216+D217</f>
        <v>2.3786435616438357</v>
      </c>
      <c r="E218" s="28"/>
      <c r="F218" s="435">
        <f>D218</f>
        <v>2.3786435616438357</v>
      </c>
      <c r="G218" s="28"/>
      <c r="H218" s="28"/>
      <c r="I218" s="28"/>
      <c r="J218" s="28"/>
      <c r="K218" s="430"/>
      <c r="L218" s="28"/>
      <c r="M218" s="28"/>
      <c r="N218" s="28"/>
      <c r="O218" s="28"/>
      <c r="P218" s="28"/>
    </row>
    <row r="219" spans="1:16" x14ac:dyDescent="0.2">
      <c r="A219" s="63"/>
      <c r="B219" s="28"/>
      <c r="C219" s="28"/>
      <c r="D219" s="430"/>
      <c r="E219" s="28"/>
      <c r="F219" s="28"/>
      <c r="G219" s="28"/>
      <c r="H219" s="28"/>
      <c r="I219" s="28"/>
      <c r="J219" s="28"/>
      <c r="K219" s="430"/>
      <c r="L219" s="28"/>
      <c r="M219" s="28"/>
      <c r="N219" s="28"/>
      <c r="O219" s="28"/>
      <c r="P219" s="28"/>
    </row>
    <row r="220" spans="1:16" x14ac:dyDescent="0.2">
      <c r="A220" s="64">
        <f>MAX($A$14:A219)+1</f>
        <v>94</v>
      </c>
      <c r="B220" s="28"/>
      <c r="C220" s="356" t="s">
        <v>1126</v>
      </c>
      <c r="D220" s="432">
        <f>D213+D218</f>
        <v>5.2281654794520556</v>
      </c>
      <c r="E220" s="28"/>
      <c r="F220" s="435">
        <f>D220</f>
        <v>5.2281654794520556</v>
      </c>
      <c r="G220" s="28"/>
      <c r="H220" s="28"/>
      <c r="I220" s="28"/>
      <c r="J220" s="28"/>
      <c r="K220" s="430"/>
      <c r="L220" s="28"/>
      <c r="M220" s="28"/>
      <c r="N220" s="28"/>
      <c r="O220" s="28"/>
      <c r="P220" s="28"/>
    </row>
    <row r="221" spans="1:16" x14ac:dyDescent="0.2">
      <c r="A221" s="63"/>
      <c r="B221" s="28"/>
      <c r="C221" s="28"/>
      <c r="D221" s="28"/>
      <c r="E221" s="28"/>
      <c r="F221" s="28"/>
      <c r="G221" s="28"/>
      <c r="H221" s="28"/>
      <c r="I221" s="28"/>
      <c r="J221" s="28"/>
      <c r="K221" s="430"/>
      <c r="L221" s="28"/>
      <c r="M221" s="28"/>
      <c r="N221" s="28"/>
      <c r="O221" s="28"/>
      <c r="P221" s="28"/>
    </row>
    <row r="222" spans="1:16" x14ac:dyDescent="0.2">
      <c r="A222" s="63"/>
      <c r="B222" s="28"/>
      <c r="C222" s="437" t="s">
        <v>380</v>
      </c>
      <c r="D222" s="28"/>
      <c r="E222" s="28"/>
      <c r="F222" s="430"/>
      <c r="G222" s="430"/>
      <c r="H222" s="430"/>
      <c r="I222" s="430"/>
      <c r="J222" s="430"/>
      <c r="K222" s="28"/>
      <c r="L222" s="28"/>
      <c r="M222" s="28"/>
      <c r="N222" s="28"/>
      <c r="O222" s="28"/>
      <c r="P222" s="28"/>
    </row>
    <row r="223" spans="1:16" x14ac:dyDescent="0.2">
      <c r="A223" s="63"/>
      <c r="B223" s="28"/>
      <c r="C223" s="437"/>
      <c r="D223" s="28"/>
      <c r="E223" s="28"/>
      <c r="F223" s="430"/>
      <c r="G223" s="430"/>
      <c r="H223" s="430"/>
      <c r="I223" s="430"/>
      <c r="J223" s="430"/>
      <c r="K223" s="28"/>
      <c r="L223" s="28"/>
      <c r="M223" s="28"/>
      <c r="N223" s="28"/>
      <c r="O223" s="28"/>
      <c r="P223" s="28"/>
    </row>
    <row r="224" spans="1:16" x14ac:dyDescent="0.2">
      <c r="A224" s="64"/>
      <c r="B224" s="28"/>
      <c r="C224" s="356" t="s">
        <v>672</v>
      </c>
      <c r="D224" s="28"/>
      <c r="E224" s="28"/>
      <c r="F224" s="28"/>
      <c r="G224" s="28"/>
      <c r="H224" s="28"/>
      <c r="I224" s="28"/>
      <c r="J224" s="28"/>
      <c r="K224" s="28"/>
      <c r="L224" s="28"/>
      <c r="M224" s="28"/>
      <c r="N224" s="28"/>
      <c r="O224" s="28"/>
      <c r="P224" s="28"/>
    </row>
    <row r="225" spans="1:16" x14ac:dyDescent="0.2">
      <c r="A225" s="64">
        <f>MAX($A$14:A224)+1</f>
        <v>95</v>
      </c>
      <c r="B225" s="28"/>
      <c r="C225" s="359" t="s">
        <v>657</v>
      </c>
      <c r="D225" s="430">
        <v>0.60433972602739716</v>
      </c>
      <c r="E225" s="28"/>
      <c r="F225" s="430"/>
      <c r="G225" s="28"/>
      <c r="H225" s="28"/>
      <c r="K225" s="28"/>
      <c r="L225" s="28"/>
      <c r="M225" s="28"/>
      <c r="N225" s="28"/>
      <c r="O225" s="28"/>
      <c r="P225" s="28"/>
    </row>
    <row r="226" spans="1:16" x14ac:dyDescent="0.2">
      <c r="A226" s="64">
        <f>MAX($A$14:A225)+1</f>
        <v>96</v>
      </c>
      <c r="B226" s="28"/>
      <c r="C226" s="359" t="s">
        <v>86</v>
      </c>
      <c r="D226" s="430">
        <v>0.1191</v>
      </c>
      <c r="E226" s="28"/>
      <c r="F226" s="430"/>
      <c r="G226" s="28"/>
      <c r="H226" s="28"/>
      <c r="K226" s="28"/>
      <c r="L226" s="28"/>
      <c r="M226" s="28"/>
      <c r="N226" s="28"/>
      <c r="O226" s="28"/>
      <c r="P226" s="28"/>
    </row>
    <row r="227" spans="1:16" x14ac:dyDescent="0.2">
      <c r="A227" s="64">
        <f>MAX($A$14:A226)+1</f>
        <v>97</v>
      </c>
      <c r="B227" s="28"/>
      <c r="C227" s="356" t="s">
        <v>679</v>
      </c>
      <c r="D227" s="432">
        <f>D225+D226</f>
        <v>0.72343972602739715</v>
      </c>
      <c r="E227" s="28"/>
      <c r="F227" s="435">
        <f>D227</f>
        <v>0.72343972602739715</v>
      </c>
      <c r="G227" s="28"/>
      <c r="H227" s="434"/>
      <c r="K227" s="28"/>
      <c r="L227" s="28"/>
      <c r="M227" s="28"/>
      <c r="N227" s="28"/>
      <c r="O227" s="28"/>
      <c r="P227" s="28"/>
    </row>
    <row r="228" spans="1:16" x14ac:dyDescent="0.2">
      <c r="A228" s="63"/>
      <c r="B228" s="28"/>
      <c r="K228" s="28"/>
      <c r="L228" s="28"/>
      <c r="M228" s="28"/>
      <c r="N228" s="28"/>
      <c r="O228" s="28"/>
      <c r="P228" s="28"/>
    </row>
    <row r="229" spans="1:16" x14ac:dyDescent="0.2">
      <c r="A229" s="64"/>
      <c r="B229" s="28"/>
      <c r="C229" s="356" t="s">
        <v>674</v>
      </c>
      <c r="K229" s="28"/>
      <c r="L229" s="28"/>
      <c r="M229" s="28"/>
      <c r="N229" s="28"/>
      <c r="O229" s="28"/>
      <c r="P229" s="28"/>
    </row>
    <row r="230" spans="1:16" x14ac:dyDescent="0.2">
      <c r="A230" s="64">
        <f>MAX($A$14:A229)+1</f>
        <v>98</v>
      </c>
      <c r="B230" s="28"/>
      <c r="C230" s="359" t="s">
        <v>675</v>
      </c>
      <c r="D230" s="430">
        <v>1.2117435616438355</v>
      </c>
      <c r="E230" s="28"/>
      <c r="F230" s="28"/>
      <c r="K230" s="28"/>
      <c r="L230" s="28"/>
      <c r="M230" s="28"/>
      <c r="N230" s="28"/>
      <c r="O230" s="28"/>
      <c r="P230" s="28"/>
    </row>
    <row r="231" spans="1:16" x14ac:dyDescent="0.2">
      <c r="A231" s="64">
        <f>MAX($A$14:A230)+1</f>
        <v>99</v>
      </c>
      <c r="B231" s="28"/>
      <c r="C231" s="359" t="s">
        <v>87</v>
      </c>
      <c r="D231" s="430">
        <v>1.1669</v>
      </c>
      <c r="E231" s="28"/>
      <c r="F231" s="28"/>
      <c r="K231" s="28"/>
      <c r="L231" s="28"/>
      <c r="M231" s="28"/>
      <c r="N231" s="28"/>
      <c r="O231" s="28"/>
      <c r="P231" s="28"/>
    </row>
    <row r="232" spans="1:16" x14ac:dyDescent="0.2">
      <c r="A232" s="64">
        <f>MAX($A$14:A231)+1</f>
        <v>100</v>
      </c>
      <c r="B232" s="28"/>
      <c r="C232" s="356" t="s">
        <v>680</v>
      </c>
      <c r="D232" s="432">
        <f>D230+D231</f>
        <v>2.3786435616438357</v>
      </c>
      <c r="E232" s="28"/>
      <c r="F232" s="435">
        <f>D232</f>
        <v>2.3786435616438357</v>
      </c>
      <c r="K232" s="28"/>
      <c r="L232" s="28"/>
      <c r="M232" s="28"/>
      <c r="N232" s="28"/>
      <c r="O232" s="28"/>
      <c r="P232" s="28"/>
    </row>
    <row r="233" spans="1:16" x14ac:dyDescent="0.2">
      <c r="A233" s="63"/>
      <c r="B233" s="28"/>
      <c r="K233" s="28"/>
      <c r="L233" s="28"/>
      <c r="M233" s="28"/>
      <c r="N233" s="28"/>
      <c r="O233" s="28"/>
      <c r="P233" s="28"/>
    </row>
    <row r="234" spans="1:16" x14ac:dyDescent="0.2">
      <c r="A234" s="64">
        <f>MAX($A$14:A233)+1</f>
        <v>101</v>
      </c>
      <c r="B234" s="28"/>
      <c r="C234" s="356" t="s">
        <v>1127</v>
      </c>
      <c r="D234" s="432">
        <f>D227+D232</f>
        <v>3.102083287671233</v>
      </c>
      <c r="E234" s="28"/>
      <c r="F234" s="435">
        <f>D234</f>
        <v>3.102083287671233</v>
      </c>
      <c r="G234" s="28"/>
      <c r="H234" s="28"/>
      <c r="K234" s="430"/>
      <c r="L234" s="28"/>
      <c r="M234" s="28"/>
      <c r="N234" s="28"/>
      <c r="O234" s="28"/>
      <c r="P234" s="28"/>
    </row>
    <row r="235" spans="1:16" x14ac:dyDescent="0.2">
      <c r="A235" s="63"/>
      <c r="B235" s="28"/>
      <c r="C235" s="28"/>
      <c r="D235" s="28"/>
      <c r="E235" s="28"/>
      <c r="F235" s="28"/>
      <c r="G235" s="28"/>
      <c r="H235" s="28"/>
      <c r="K235" s="430"/>
      <c r="L235" s="28"/>
      <c r="M235" s="28"/>
      <c r="N235" s="28"/>
      <c r="O235" s="28"/>
      <c r="P235" s="28"/>
    </row>
    <row r="236" spans="1:16" x14ac:dyDescent="0.2">
      <c r="A236" s="63"/>
      <c r="B236" s="28"/>
      <c r="C236" s="437" t="s">
        <v>659</v>
      </c>
      <c r="D236" s="430"/>
      <c r="E236" s="430"/>
      <c r="F236" s="430"/>
      <c r="G236" s="430"/>
      <c r="H236" s="430"/>
      <c r="K236" s="28"/>
      <c r="L236" s="28"/>
      <c r="M236" s="28"/>
      <c r="N236" s="28"/>
      <c r="O236" s="28"/>
      <c r="P236" s="28"/>
    </row>
    <row r="237" spans="1:16" x14ac:dyDescent="0.2">
      <c r="A237" s="64">
        <f>MAX($A$14:A236)+1</f>
        <v>102</v>
      </c>
      <c r="B237" s="28"/>
      <c r="C237" s="359" t="s">
        <v>658</v>
      </c>
      <c r="D237" s="430">
        <v>3.9103650327440889</v>
      </c>
      <c r="E237" s="28"/>
      <c r="F237" s="430"/>
      <c r="G237" s="28"/>
      <c r="H237" s="28"/>
      <c r="K237" s="28"/>
      <c r="L237" s="28"/>
      <c r="M237" s="28"/>
      <c r="N237" s="28"/>
      <c r="O237" s="28"/>
      <c r="P237" s="28"/>
    </row>
    <row r="238" spans="1:16" x14ac:dyDescent="0.2">
      <c r="A238" s="64">
        <f>MAX($A$14:A237)+1</f>
        <v>103</v>
      </c>
      <c r="B238" s="28"/>
      <c r="C238" s="359" t="s">
        <v>86</v>
      </c>
      <c r="D238" s="430">
        <v>2.0373999999999999</v>
      </c>
      <c r="E238" s="28"/>
      <c r="F238" s="430"/>
      <c r="G238" s="28"/>
      <c r="H238" s="28"/>
      <c r="K238" s="28"/>
      <c r="L238" s="28"/>
      <c r="M238" s="28"/>
      <c r="N238" s="28"/>
      <c r="O238" s="28"/>
      <c r="P238" s="28"/>
    </row>
    <row r="239" spans="1:16" x14ac:dyDescent="0.2">
      <c r="A239" s="64">
        <f>MAX($A$14:A238)+1</f>
        <v>104</v>
      </c>
      <c r="B239" s="28"/>
      <c r="C239" s="356" t="s">
        <v>676</v>
      </c>
      <c r="D239" s="432">
        <f>D237+D238</f>
        <v>5.9477650327440887</v>
      </c>
      <c r="E239" s="28"/>
      <c r="F239" s="435">
        <f>D239</f>
        <v>5.9477650327440887</v>
      </c>
      <c r="G239" s="28"/>
      <c r="H239" s="434"/>
      <c r="K239" s="28"/>
      <c r="L239" s="28"/>
      <c r="M239" s="28"/>
      <c r="N239" s="28"/>
      <c r="O239" s="28"/>
      <c r="P239" s="28"/>
    </row>
    <row r="240" spans="1:16" x14ac:dyDescent="0.2">
      <c r="A240" s="409"/>
      <c r="B240" s="169"/>
      <c r="C240" s="409"/>
      <c r="D240" s="409"/>
      <c r="E240" s="409"/>
      <c r="F240" s="409"/>
      <c r="G240" s="409"/>
      <c r="K240" s="28"/>
      <c r="L240" s="28"/>
      <c r="M240" s="28"/>
      <c r="N240" s="28"/>
      <c r="O240" s="28"/>
      <c r="P240" s="28"/>
    </row>
    <row r="241" spans="1:16" x14ac:dyDescent="0.2">
      <c r="A241" s="409"/>
      <c r="B241" s="169"/>
      <c r="C241" s="409"/>
      <c r="D241" s="409"/>
      <c r="E241" s="409"/>
      <c r="F241" s="409"/>
      <c r="G241" s="409"/>
      <c r="K241" s="28"/>
      <c r="L241" s="28"/>
      <c r="M241" s="28"/>
      <c r="N241" s="28"/>
      <c r="O241" s="28"/>
      <c r="P241" s="28"/>
    </row>
    <row r="242" spans="1:16" x14ac:dyDescent="0.2">
      <c r="A242" s="409"/>
      <c r="B242" s="169"/>
      <c r="C242" s="409"/>
      <c r="D242" s="409"/>
      <c r="E242" s="409"/>
      <c r="F242" s="409"/>
      <c r="G242" s="409"/>
      <c r="K242" s="28"/>
      <c r="L242" s="28"/>
      <c r="M242" s="28"/>
      <c r="N242" s="28"/>
      <c r="O242" s="28"/>
      <c r="P242" s="28"/>
    </row>
    <row r="243" spans="1:16" x14ac:dyDescent="0.2">
      <c r="A243" s="409"/>
      <c r="B243" s="169"/>
      <c r="C243" s="409"/>
      <c r="D243" s="409"/>
      <c r="E243" s="409"/>
      <c r="F243" s="409"/>
      <c r="G243" s="409"/>
      <c r="K243" s="28"/>
      <c r="L243" s="28"/>
      <c r="M243" s="28"/>
      <c r="N243" s="28"/>
      <c r="O243" s="28"/>
      <c r="P243" s="28"/>
    </row>
    <row r="244" spans="1:16" x14ac:dyDescent="0.2">
      <c r="A244" s="409"/>
      <c r="B244" s="169"/>
      <c r="C244" s="409"/>
      <c r="D244" s="409"/>
      <c r="E244" s="409"/>
      <c r="F244" s="409"/>
      <c r="G244" s="409"/>
      <c r="K244" s="28"/>
      <c r="L244" s="28"/>
      <c r="M244" s="28"/>
      <c r="N244" s="28"/>
      <c r="O244" s="28"/>
      <c r="P244" s="28"/>
    </row>
    <row r="245" spans="1:16" x14ac:dyDescent="0.2">
      <c r="A245" s="407" t="s">
        <v>944</v>
      </c>
      <c r="B245" s="169"/>
      <c r="C245" s="409"/>
      <c r="D245" s="409"/>
      <c r="E245" s="409"/>
      <c r="F245" s="409"/>
      <c r="G245" s="409"/>
      <c r="K245" s="28"/>
      <c r="L245" s="28"/>
      <c r="M245" s="28"/>
      <c r="N245" s="28"/>
      <c r="O245" s="28"/>
      <c r="P245" s="28"/>
    </row>
    <row r="246" spans="1:16" x14ac:dyDescent="0.2">
      <c r="A246" s="64"/>
      <c r="B246" s="64"/>
      <c r="C246" s="64"/>
      <c r="D246" s="63"/>
      <c r="E246" s="28"/>
      <c r="F246" s="63"/>
      <c r="G246" s="28"/>
      <c r="H246" s="63"/>
      <c r="I246" s="409"/>
      <c r="J246" s="409"/>
    </row>
    <row r="247" spans="1:16" x14ac:dyDescent="0.2">
      <c r="A247" s="64" t="s">
        <v>0</v>
      </c>
      <c r="B247" s="33"/>
      <c r="C247" s="33"/>
      <c r="D247" s="63"/>
      <c r="E247" s="28"/>
      <c r="F247" s="64"/>
      <c r="G247" s="28"/>
      <c r="H247" s="64"/>
      <c r="I247" s="409"/>
      <c r="J247" s="409"/>
    </row>
    <row r="248" spans="1:16" x14ac:dyDescent="0.2">
      <c r="A248" s="520" t="s">
        <v>1</v>
      </c>
      <c r="B248" s="33"/>
      <c r="C248" s="185" t="s">
        <v>33</v>
      </c>
      <c r="D248" s="232"/>
      <c r="E248" s="28"/>
      <c r="F248" s="526" t="s">
        <v>350</v>
      </c>
      <c r="G248" s="28"/>
      <c r="H248" s="441"/>
      <c r="I248" s="28"/>
      <c r="J248" s="28"/>
      <c r="K248" s="28"/>
      <c r="L248" s="28"/>
      <c r="M248" s="28"/>
      <c r="N248" s="28"/>
      <c r="O248" s="28"/>
      <c r="P248" s="28"/>
    </row>
    <row r="249" spans="1:16" x14ac:dyDescent="0.2">
      <c r="A249" s="64"/>
      <c r="B249" s="33"/>
      <c r="C249" s="33"/>
      <c r="D249" s="63"/>
      <c r="E249" s="64"/>
      <c r="F249" s="64" t="s">
        <v>3</v>
      </c>
      <c r="G249" s="64"/>
      <c r="H249" s="64"/>
      <c r="I249" s="28"/>
      <c r="J249" s="28"/>
      <c r="K249" s="28"/>
      <c r="L249" s="28"/>
      <c r="M249" s="28"/>
      <c r="N249" s="28"/>
      <c r="O249" s="28"/>
      <c r="P249" s="28"/>
    </row>
    <row r="250" spans="1:16" x14ac:dyDescent="0.2">
      <c r="A250" s="63"/>
      <c r="B250" s="28"/>
      <c r="C250" s="31" t="s">
        <v>602</v>
      </c>
      <c r="D250" s="28"/>
      <c r="E250" s="28"/>
      <c r="G250" s="28"/>
      <c r="H250" s="28"/>
      <c r="I250" s="28"/>
      <c r="J250" s="28"/>
      <c r="K250" s="28"/>
      <c r="L250" s="28"/>
      <c r="M250" s="28"/>
      <c r="N250" s="28"/>
      <c r="O250" s="28"/>
      <c r="P250" s="28"/>
    </row>
    <row r="251" spans="1:16" x14ac:dyDescent="0.2">
      <c r="A251" s="63"/>
      <c r="B251" s="28"/>
      <c r="C251" s="28"/>
      <c r="D251" s="28"/>
      <c r="E251" s="28"/>
      <c r="G251" s="28"/>
      <c r="H251" s="28"/>
      <c r="I251" s="28"/>
      <c r="J251" s="28"/>
      <c r="K251" s="28"/>
      <c r="L251" s="28"/>
      <c r="M251" s="28"/>
      <c r="N251" s="28"/>
      <c r="O251" s="28"/>
      <c r="P251" s="28"/>
    </row>
    <row r="252" spans="1:16" x14ac:dyDescent="0.2">
      <c r="A252" s="63"/>
      <c r="B252" s="28"/>
      <c r="C252" s="28" t="s">
        <v>607</v>
      </c>
      <c r="D252" s="28"/>
      <c r="E252" s="28"/>
      <c r="G252" s="28"/>
      <c r="H252" s="28"/>
      <c r="I252" s="28"/>
      <c r="J252" s="28"/>
      <c r="K252" s="28"/>
      <c r="L252" s="28"/>
      <c r="M252" s="28"/>
      <c r="N252" s="28"/>
      <c r="O252" s="28"/>
      <c r="P252" s="28"/>
    </row>
    <row r="253" spans="1:16" x14ac:dyDescent="0.2">
      <c r="A253" s="64">
        <f>MAX($A$14:A252)+1</f>
        <v>105</v>
      </c>
      <c r="B253" s="28"/>
      <c r="C253" s="356" t="s">
        <v>604</v>
      </c>
      <c r="D253" s="242">
        <v>0.27387818265759534</v>
      </c>
      <c r="E253" s="28"/>
      <c r="G253" s="28"/>
      <c r="H253" s="28"/>
      <c r="I253" s="28"/>
      <c r="J253" s="28"/>
      <c r="K253" s="28"/>
      <c r="L253" s="28"/>
      <c r="M253" s="28"/>
      <c r="N253" s="28"/>
      <c r="O253" s="28"/>
      <c r="P253" s="28"/>
    </row>
    <row r="254" spans="1:16" x14ac:dyDescent="0.2">
      <c r="A254" s="64">
        <f>MAX($A$14:A253)+1</f>
        <v>106</v>
      </c>
      <c r="B254" s="28"/>
      <c r="C254" s="356" t="s">
        <v>729</v>
      </c>
      <c r="D254" s="241">
        <v>0.44531805362040183</v>
      </c>
      <c r="E254" s="28"/>
      <c r="G254" s="28"/>
      <c r="H254" s="28"/>
      <c r="I254" s="28"/>
      <c r="J254" s="28"/>
      <c r="K254" s="28"/>
      <c r="L254" s="28"/>
      <c r="M254" s="28"/>
      <c r="N254" s="28"/>
      <c r="O254" s="28"/>
      <c r="P254" s="28"/>
    </row>
    <row r="255" spans="1:16" x14ac:dyDescent="0.2">
      <c r="A255" s="64">
        <f>MAX($A$14:A254)+1</f>
        <v>107</v>
      </c>
      <c r="B255" s="28"/>
      <c r="C255" s="35" t="s">
        <v>605</v>
      </c>
      <c r="D255" s="432">
        <f>D253+D254</f>
        <v>0.71919623627799711</v>
      </c>
      <c r="E255" s="28"/>
      <c r="F255" s="435">
        <f>D255</f>
        <v>0.71919623627799711</v>
      </c>
      <c r="G255" s="28"/>
      <c r="H255" s="28"/>
      <c r="I255" s="28"/>
      <c r="J255" s="28"/>
      <c r="K255" s="28"/>
      <c r="L255" s="28"/>
      <c r="M255" s="28"/>
      <c r="N255" s="28"/>
      <c r="O255" s="28"/>
      <c r="P255" s="28"/>
    </row>
    <row r="256" spans="1:16" x14ac:dyDescent="0.2">
      <c r="A256" s="63"/>
      <c r="B256" s="28"/>
      <c r="C256" s="27"/>
      <c r="D256" s="28"/>
      <c r="E256" s="28"/>
      <c r="G256" s="28"/>
      <c r="H256" s="28"/>
      <c r="I256" s="28"/>
      <c r="J256" s="28"/>
      <c r="K256" s="28"/>
      <c r="L256" s="28"/>
      <c r="M256" s="28"/>
      <c r="N256" s="28"/>
      <c r="O256" s="28"/>
      <c r="P256" s="28"/>
    </row>
    <row r="257" spans="1:16" x14ac:dyDescent="0.2">
      <c r="A257" s="64">
        <f>MAX($A$14:A256)+1</f>
        <v>108</v>
      </c>
      <c r="B257" s="28"/>
      <c r="C257" s="35" t="s">
        <v>611</v>
      </c>
      <c r="D257" s="432">
        <f>D255*1.2</f>
        <v>0.86303548353359649</v>
      </c>
      <c r="E257" s="28"/>
      <c r="F257" s="435">
        <f>D257</f>
        <v>0.86303548353359649</v>
      </c>
      <c r="G257" s="28"/>
      <c r="H257" s="28"/>
      <c r="I257" s="28"/>
      <c r="J257" s="28"/>
      <c r="K257" s="28"/>
      <c r="L257" s="28"/>
      <c r="M257" s="28"/>
      <c r="N257" s="28"/>
      <c r="O257" s="28"/>
      <c r="P257" s="28"/>
    </row>
    <row r="258" spans="1:16" x14ac:dyDescent="0.2">
      <c r="A258" s="63"/>
      <c r="B258" s="28"/>
      <c r="C258" s="28"/>
      <c r="D258" s="28"/>
      <c r="E258" s="28"/>
      <c r="G258" s="28"/>
      <c r="H258" s="28"/>
      <c r="I258" s="28"/>
      <c r="J258" s="28"/>
      <c r="K258" s="28"/>
      <c r="L258" s="28"/>
      <c r="M258" s="28"/>
      <c r="N258" s="28"/>
      <c r="O258" s="28"/>
      <c r="P258" s="28"/>
    </row>
    <row r="259" spans="1:16" x14ac:dyDescent="0.2">
      <c r="A259" s="63"/>
      <c r="B259" s="28"/>
      <c r="C259" s="28" t="s">
        <v>608</v>
      </c>
      <c r="D259" s="28"/>
      <c r="E259" s="28"/>
      <c r="G259" s="28"/>
      <c r="H259" s="28"/>
      <c r="I259" s="28"/>
      <c r="J259" s="28"/>
      <c r="K259" s="28"/>
      <c r="L259" s="28"/>
      <c r="M259" s="28"/>
      <c r="N259" s="28"/>
      <c r="O259" s="28"/>
      <c r="P259" s="28"/>
    </row>
    <row r="260" spans="1:16" x14ac:dyDescent="0.2">
      <c r="A260" s="64">
        <f>MAX($A$14:A259)+1</f>
        <v>109</v>
      </c>
      <c r="B260" s="28"/>
      <c r="C260" s="356" t="s">
        <v>730</v>
      </c>
      <c r="D260" s="242">
        <v>0.31706333903248207</v>
      </c>
      <c r="E260" s="28"/>
      <c r="G260" s="28"/>
      <c r="H260" s="28"/>
      <c r="I260" s="28"/>
      <c r="J260" s="28"/>
      <c r="K260" s="28"/>
      <c r="L260" s="28"/>
      <c r="M260" s="28"/>
      <c r="N260" s="28"/>
      <c r="O260" s="28"/>
      <c r="P260" s="28"/>
    </row>
    <row r="261" spans="1:16" x14ac:dyDescent="0.2">
      <c r="A261" s="64">
        <f>MAX($A$14:A260)+1</f>
        <v>110</v>
      </c>
      <c r="B261" s="28"/>
      <c r="C261" s="356" t="s">
        <v>731</v>
      </c>
      <c r="D261" s="242">
        <v>2.1047379688329615E-3</v>
      </c>
      <c r="E261" s="28"/>
      <c r="G261" s="28"/>
      <c r="H261" s="28"/>
      <c r="I261" s="28"/>
      <c r="J261" s="28"/>
      <c r="K261" s="28"/>
      <c r="L261" s="28"/>
      <c r="M261" s="28"/>
      <c r="N261" s="28"/>
      <c r="O261" s="28"/>
      <c r="P261" s="28"/>
    </row>
    <row r="262" spans="1:16" x14ac:dyDescent="0.2">
      <c r="A262" s="64">
        <f>MAX($A$14:A261)+1</f>
        <v>111</v>
      </c>
      <c r="B262" s="28"/>
      <c r="C262" s="28" t="s">
        <v>606</v>
      </c>
      <c r="D262" s="432">
        <f>D260+D261</f>
        <v>0.31916807700131505</v>
      </c>
      <c r="E262" s="28"/>
      <c r="F262" s="435">
        <f>D262</f>
        <v>0.31916807700131505</v>
      </c>
      <c r="G262" s="28"/>
      <c r="H262" s="28"/>
      <c r="I262" s="28"/>
      <c r="J262" s="28"/>
      <c r="K262" s="28"/>
      <c r="L262" s="28"/>
      <c r="M262" s="28"/>
      <c r="N262" s="28"/>
      <c r="O262" s="28"/>
      <c r="P262" s="28"/>
    </row>
    <row r="263" spans="1:16" x14ac:dyDescent="0.2">
      <c r="A263" s="63"/>
      <c r="B263" s="28"/>
      <c r="C263" s="28"/>
      <c r="D263" s="28"/>
      <c r="E263" s="28"/>
      <c r="G263" s="28"/>
      <c r="H263" s="28"/>
      <c r="I263" s="28"/>
      <c r="J263" s="28"/>
      <c r="K263" s="28"/>
      <c r="L263" s="28"/>
      <c r="M263" s="28"/>
      <c r="N263" s="28"/>
      <c r="O263" s="28"/>
      <c r="P263" s="28"/>
    </row>
    <row r="264" spans="1:16" x14ac:dyDescent="0.2">
      <c r="A264" s="63"/>
      <c r="B264" s="28"/>
      <c r="C264" s="28" t="s">
        <v>609</v>
      </c>
      <c r="D264" s="28"/>
      <c r="E264" s="28"/>
      <c r="G264" s="28"/>
      <c r="H264" s="28"/>
      <c r="I264" s="28"/>
      <c r="J264" s="28"/>
      <c r="K264" s="28"/>
      <c r="L264" s="28"/>
      <c r="M264" s="28"/>
      <c r="N264" s="28"/>
      <c r="O264" s="28"/>
      <c r="P264" s="28"/>
    </row>
    <row r="265" spans="1:16" x14ac:dyDescent="0.2">
      <c r="A265" s="64">
        <f>MAX($A$14:A264)+1</f>
        <v>112</v>
      </c>
      <c r="B265" s="28"/>
      <c r="C265" s="356" t="s">
        <v>730</v>
      </c>
      <c r="D265" s="242">
        <v>0.31706333903248207</v>
      </c>
      <c r="E265" s="28"/>
      <c r="G265" s="28"/>
      <c r="H265" s="28"/>
      <c r="I265" s="28"/>
      <c r="J265" s="28"/>
      <c r="K265" s="28"/>
      <c r="L265" s="28"/>
      <c r="M265" s="28"/>
      <c r="N265" s="28"/>
      <c r="O265" s="28"/>
      <c r="P265" s="28"/>
    </row>
    <row r="266" spans="1:16" x14ac:dyDescent="0.2">
      <c r="A266" s="64">
        <f>MAX($A$14:A265)+1</f>
        <v>113</v>
      </c>
      <c r="B266" s="28"/>
      <c r="C266" s="356" t="s">
        <v>731</v>
      </c>
      <c r="D266" s="242">
        <v>2.1047379688329615E-3</v>
      </c>
      <c r="E266" s="28"/>
      <c r="G266" s="28"/>
      <c r="H266" s="28"/>
      <c r="I266" s="28"/>
      <c r="J266" s="28"/>
      <c r="K266" s="28"/>
      <c r="L266" s="28"/>
      <c r="M266" s="28"/>
      <c r="N266" s="28"/>
      <c r="O266" s="28"/>
      <c r="P266" s="28"/>
    </row>
    <row r="267" spans="1:16" x14ac:dyDescent="0.2">
      <c r="A267" s="64">
        <f>MAX($A$14:A266)+1</f>
        <v>114</v>
      </c>
      <c r="B267" s="28"/>
      <c r="C267" s="356" t="s">
        <v>610</v>
      </c>
      <c r="D267" s="445">
        <v>0.25</v>
      </c>
      <c r="E267" s="28"/>
      <c r="G267" s="28"/>
      <c r="H267" s="28"/>
      <c r="I267" s="28"/>
      <c r="J267" s="28"/>
      <c r="K267" s="28"/>
      <c r="L267" s="28"/>
      <c r="M267" s="28"/>
      <c r="N267" s="28"/>
      <c r="O267" s="28"/>
      <c r="P267" s="28"/>
    </row>
    <row r="268" spans="1:16" x14ac:dyDescent="0.2">
      <c r="A268" s="64">
        <f>MAX($A$14:A267)+1</f>
        <v>115</v>
      </c>
      <c r="B268" s="28"/>
      <c r="C268" s="28" t="s">
        <v>1128</v>
      </c>
      <c r="D268" s="432">
        <f>(D265+D266)/D267</f>
        <v>1.2766723080052602</v>
      </c>
      <c r="E268" s="28"/>
      <c r="F268" s="435">
        <f>D268</f>
        <v>1.2766723080052602</v>
      </c>
      <c r="G268" s="28"/>
      <c r="H268" s="28"/>
      <c r="I268" s="28"/>
      <c r="J268" s="28"/>
      <c r="K268" s="28"/>
      <c r="L268" s="28"/>
      <c r="M268" s="28"/>
      <c r="N268" s="28"/>
      <c r="O268" s="28"/>
      <c r="P268" s="28"/>
    </row>
    <row r="269" spans="1:16" x14ac:dyDescent="0.2">
      <c r="A269" s="64"/>
      <c r="B269" s="28"/>
      <c r="C269" s="28"/>
      <c r="D269" s="434"/>
      <c r="E269" s="28"/>
      <c r="F269" s="434"/>
      <c r="G269" s="28"/>
      <c r="H269" s="28"/>
      <c r="I269" s="28"/>
      <c r="J269" s="28"/>
      <c r="K269" s="28"/>
      <c r="L269" s="28"/>
      <c r="M269" s="28"/>
      <c r="N269" s="28"/>
      <c r="O269" s="28"/>
      <c r="P269" s="28"/>
    </row>
    <row r="270" spans="1:16" x14ac:dyDescent="0.2">
      <c r="A270" s="63"/>
      <c r="B270" s="28"/>
      <c r="C270" s="28" t="s">
        <v>995</v>
      </c>
      <c r="D270" s="28"/>
      <c r="E270" s="28"/>
      <c r="G270" s="28"/>
      <c r="H270" s="28"/>
      <c r="I270" s="28"/>
      <c r="J270" s="28"/>
      <c r="K270" s="28"/>
      <c r="L270" s="28"/>
      <c r="M270" s="28"/>
      <c r="N270" s="28"/>
      <c r="O270" s="28"/>
      <c r="P270" s="28"/>
    </row>
    <row r="271" spans="1:16" x14ac:dyDescent="0.2">
      <c r="A271" s="64">
        <f>MAX($A$14:A270)+1</f>
        <v>116</v>
      </c>
      <c r="B271" s="28"/>
      <c r="C271" s="356" t="s">
        <v>761</v>
      </c>
      <c r="D271" s="242">
        <v>0.17298282852438057</v>
      </c>
      <c r="E271" s="28"/>
      <c r="F271" s="434"/>
      <c r="G271" s="28"/>
      <c r="H271" s="28"/>
      <c r="I271" s="28"/>
      <c r="J271" s="28"/>
      <c r="K271" s="28"/>
      <c r="L271" s="28"/>
      <c r="M271" s="28"/>
      <c r="N271" s="28"/>
      <c r="O271" s="28"/>
      <c r="P271" s="28"/>
    </row>
    <row r="272" spans="1:16" x14ac:dyDescent="0.2">
      <c r="A272" s="64">
        <f>MAX($A$14:A271)+1</f>
        <v>117</v>
      </c>
      <c r="B272" s="28"/>
      <c r="C272" s="356" t="s">
        <v>1129</v>
      </c>
      <c r="D272" s="433">
        <f>D271/2</f>
        <v>8.6491414262190286E-2</v>
      </c>
      <c r="E272" s="28"/>
      <c r="F272" s="434"/>
      <c r="G272" s="28"/>
      <c r="H272" s="28"/>
      <c r="I272" s="28"/>
      <c r="J272" s="28"/>
      <c r="K272" s="28"/>
      <c r="L272" s="28"/>
      <c r="M272" s="28"/>
      <c r="N272" s="28"/>
      <c r="O272" s="28"/>
      <c r="P272" s="28"/>
    </row>
    <row r="273" spans="1:16" ht="14.25" x14ac:dyDescent="0.2">
      <c r="A273" s="64">
        <f>MAX($A$14:A272)+1</f>
        <v>118</v>
      </c>
      <c r="B273" s="28"/>
      <c r="C273" s="28" t="s">
        <v>996</v>
      </c>
      <c r="D273" s="434">
        <f>D272*10</f>
        <v>0.86491414262190291</v>
      </c>
      <c r="E273" s="28"/>
      <c r="F273" s="435">
        <f>D273</f>
        <v>0.86491414262190291</v>
      </c>
      <c r="G273" s="28"/>
      <c r="H273" s="28"/>
      <c r="I273" s="28"/>
      <c r="J273" s="28"/>
      <c r="K273" s="28"/>
      <c r="L273" s="28"/>
      <c r="M273" s="28"/>
      <c r="N273" s="28"/>
      <c r="O273" s="28"/>
      <c r="P273" s="28"/>
    </row>
    <row r="274" spans="1:16" x14ac:dyDescent="0.2">
      <c r="A274" s="63"/>
      <c r="B274" s="28"/>
      <c r="C274" s="28"/>
      <c r="D274" s="28"/>
      <c r="E274" s="28"/>
      <c r="G274" s="28"/>
      <c r="H274" s="28"/>
      <c r="I274" s="28"/>
      <c r="J274" s="28"/>
      <c r="K274" s="28"/>
      <c r="L274" s="28"/>
      <c r="M274" s="28"/>
      <c r="N274" s="28"/>
      <c r="O274" s="28"/>
      <c r="P274" s="28"/>
    </row>
    <row r="275" spans="1:16" x14ac:dyDescent="0.2">
      <c r="A275" s="63"/>
      <c r="B275" s="28"/>
      <c r="C275" s="31" t="s">
        <v>755</v>
      </c>
      <c r="D275" s="28"/>
      <c r="E275" s="28"/>
      <c r="G275" s="28"/>
      <c r="H275" s="28"/>
      <c r="I275" s="28"/>
      <c r="J275" s="28"/>
      <c r="K275" s="28"/>
      <c r="L275" s="28"/>
      <c r="M275" s="28"/>
      <c r="N275" s="28"/>
      <c r="O275" s="28"/>
      <c r="P275" s="28"/>
    </row>
    <row r="276" spans="1:16" x14ac:dyDescent="0.2">
      <c r="A276" s="63"/>
      <c r="B276" s="28"/>
      <c r="C276" s="28"/>
      <c r="D276" s="28"/>
      <c r="E276" s="28"/>
      <c r="G276" s="28"/>
      <c r="H276" s="28"/>
      <c r="I276" s="28"/>
      <c r="J276" s="28"/>
      <c r="K276" s="28"/>
      <c r="L276" s="28"/>
      <c r="M276" s="28"/>
      <c r="N276" s="28"/>
      <c r="O276" s="28"/>
      <c r="P276" s="28"/>
    </row>
    <row r="277" spans="1:16" x14ac:dyDescent="0.2">
      <c r="A277" s="63"/>
      <c r="B277" s="28"/>
      <c r="C277" s="28" t="s">
        <v>633</v>
      </c>
      <c r="D277" s="28"/>
      <c r="E277" s="28"/>
      <c r="G277" s="28"/>
      <c r="H277" s="28"/>
      <c r="I277" s="28"/>
      <c r="J277" s="28"/>
      <c r="K277" s="28"/>
      <c r="L277" s="28"/>
      <c r="M277" s="28"/>
      <c r="N277" s="28"/>
      <c r="O277" s="28"/>
      <c r="P277" s="28"/>
    </row>
    <row r="278" spans="1:16" x14ac:dyDescent="0.2">
      <c r="A278" s="63"/>
      <c r="B278" s="28"/>
      <c r="C278" s="28" t="s">
        <v>634</v>
      </c>
      <c r="D278" s="28"/>
      <c r="E278" s="28"/>
      <c r="G278" s="28"/>
      <c r="H278" s="28"/>
      <c r="I278" s="28"/>
      <c r="J278" s="28"/>
      <c r="K278" s="28"/>
      <c r="L278" s="28"/>
      <c r="M278" s="28"/>
      <c r="N278" s="28"/>
      <c r="O278" s="28"/>
      <c r="P278" s="28"/>
    </row>
    <row r="279" spans="1:16" x14ac:dyDescent="0.2">
      <c r="A279" s="63"/>
      <c r="B279" s="28"/>
      <c r="C279" s="28" t="s">
        <v>636</v>
      </c>
      <c r="D279" s="28"/>
      <c r="E279" s="28"/>
      <c r="G279" s="28"/>
      <c r="H279" s="28"/>
      <c r="I279" s="28"/>
      <c r="J279" s="28"/>
      <c r="K279" s="28"/>
      <c r="L279" s="28"/>
      <c r="M279" s="28"/>
      <c r="N279" s="28"/>
      <c r="O279" s="28"/>
      <c r="P279" s="28"/>
    </row>
    <row r="280" spans="1:16" x14ac:dyDescent="0.2">
      <c r="A280" s="63"/>
      <c r="B280" s="28"/>
      <c r="C280" s="28" t="s">
        <v>637</v>
      </c>
      <c r="D280" s="28"/>
      <c r="E280" s="28"/>
      <c r="G280" s="28"/>
      <c r="H280" s="28"/>
      <c r="I280" s="28"/>
      <c r="J280" s="28"/>
      <c r="K280" s="28"/>
      <c r="L280" s="28"/>
      <c r="M280" s="28"/>
      <c r="N280" s="28"/>
      <c r="O280" s="28"/>
      <c r="P280" s="28"/>
    </row>
    <row r="281" spans="1:16" x14ac:dyDescent="0.2">
      <c r="A281" s="63"/>
      <c r="B281" s="28"/>
      <c r="C281" s="28" t="s">
        <v>638</v>
      </c>
      <c r="D281" s="28"/>
      <c r="E281" s="28"/>
      <c r="G281" s="28"/>
      <c r="H281" s="28"/>
      <c r="I281" s="28"/>
      <c r="J281" s="28"/>
      <c r="K281" s="28"/>
      <c r="L281" s="28"/>
      <c r="M281" s="28"/>
      <c r="N281" s="28"/>
      <c r="O281" s="28"/>
      <c r="P281" s="28"/>
    </row>
    <row r="282" spans="1:16" x14ac:dyDescent="0.2">
      <c r="A282" s="63"/>
      <c r="B282" s="28"/>
      <c r="C282" s="28" t="s">
        <v>635</v>
      </c>
      <c r="D282" s="28"/>
      <c r="E282" s="28"/>
      <c r="G282" s="28"/>
      <c r="H282" s="28"/>
      <c r="I282" s="28"/>
      <c r="J282" s="28"/>
      <c r="K282" s="28"/>
      <c r="L282" s="28"/>
      <c r="M282" s="28"/>
      <c r="N282" s="28"/>
      <c r="O282" s="28"/>
      <c r="P282" s="28"/>
    </row>
    <row r="283" spans="1:16" x14ac:dyDescent="0.2">
      <c r="A283" s="64">
        <f>MAX($A$14:A282)+1</f>
        <v>119</v>
      </c>
      <c r="B283" s="28"/>
      <c r="C283" s="26" t="s">
        <v>632</v>
      </c>
      <c r="D283" s="92">
        <v>8.3374974442494091E-3</v>
      </c>
      <c r="E283" s="28"/>
      <c r="G283" s="28"/>
      <c r="H283" s="28"/>
      <c r="I283" s="28"/>
      <c r="J283" s="28"/>
      <c r="K283" s="28"/>
      <c r="L283" s="28"/>
      <c r="M283" s="28"/>
      <c r="N283" s="28"/>
      <c r="O283" s="28"/>
      <c r="P283" s="28"/>
    </row>
    <row r="284" spans="1:16" x14ac:dyDescent="0.2">
      <c r="A284" s="64">
        <f>MAX($A$14:A283)+1</f>
        <v>120</v>
      </c>
      <c r="B284" s="28"/>
      <c r="C284" s="26" t="s">
        <v>719</v>
      </c>
      <c r="D284" s="235">
        <v>5.3094474355320624</v>
      </c>
      <c r="E284" s="28"/>
      <c r="G284" s="28"/>
      <c r="H284" s="431"/>
      <c r="I284" s="430"/>
      <c r="K284" s="28"/>
      <c r="L284" s="28"/>
      <c r="M284" s="28"/>
      <c r="N284" s="28"/>
      <c r="O284" s="28"/>
      <c r="P284" s="28"/>
    </row>
    <row r="285" spans="1:16" x14ac:dyDescent="0.2">
      <c r="A285" s="64">
        <f>MAX($A$14:A284)+1</f>
        <v>121</v>
      </c>
      <c r="B285" s="28"/>
      <c r="C285" s="35" t="s">
        <v>1130</v>
      </c>
      <c r="D285" s="447">
        <f>D283*D284</f>
        <v>4.4267504424125151E-2</v>
      </c>
      <c r="E285" s="28"/>
      <c r="F285" s="236">
        <v>4.4263773931520103E-2</v>
      </c>
      <c r="G285" s="28"/>
      <c r="H285" s="28"/>
      <c r="I285" s="28"/>
      <c r="J285" s="28"/>
      <c r="K285" s="28"/>
      <c r="L285" s="28"/>
      <c r="M285" s="28"/>
      <c r="N285" s="28"/>
      <c r="O285" s="28"/>
      <c r="P285" s="28"/>
    </row>
    <row r="286" spans="1:16" x14ac:dyDescent="0.2">
      <c r="A286" s="63"/>
      <c r="B286" s="28"/>
      <c r="C286" s="27"/>
      <c r="D286" s="28"/>
      <c r="E286" s="28"/>
      <c r="G286" s="28"/>
      <c r="H286" s="28"/>
      <c r="I286" s="28"/>
      <c r="J286" s="28"/>
      <c r="K286" s="28"/>
      <c r="L286" s="28"/>
      <c r="M286" s="28"/>
      <c r="N286" s="28"/>
      <c r="O286" s="28"/>
      <c r="P286" s="28"/>
    </row>
    <row r="287" spans="1:16" x14ac:dyDescent="0.2">
      <c r="A287" s="63"/>
      <c r="B287" s="28"/>
      <c r="C287" s="28" t="s">
        <v>639</v>
      </c>
      <c r="D287" s="28"/>
      <c r="E287" s="28"/>
      <c r="G287" s="28"/>
      <c r="H287" s="28"/>
      <c r="I287" s="28"/>
      <c r="J287" s="28"/>
      <c r="K287" s="28"/>
      <c r="L287" s="28"/>
      <c r="M287" s="28"/>
      <c r="N287" s="28"/>
      <c r="O287" s="28"/>
      <c r="P287" s="28"/>
    </row>
    <row r="288" spans="1:16" x14ac:dyDescent="0.2">
      <c r="A288" s="64">
        <f>MAX($A$14:A287)+1</f>
        <v>122</v>
      </c>
      <c r="B288" s="28"/>
      <c r="C288" s="27" t="s">
        <v>632</v>
      </c>
      <c r="D288" s="92">
        <v>8.3374974442494091E-3</v>
      </c>
      <c r="E288" s="28"/>
      <c r="G288" s="28"/>
      <c r="H288" s="28"/>
      <c r="I288" s="28"/>
      <c r="J288" s="28"/>
      <c r="K288" s="28"/>
      <c r="L288" s="28"/>
      <c r="M288" s="28"/>
      <c r="N288" s="28"/>
      <c r="O288" s="28"/>
      <c r="P288" s="28"/>
    </row>
    <row r="289" spans="1:16" x14ac:dyDescent="0.2">
      <c r="A289" s="64">
        <f>MAX($A$14:A288)+1</f>
        <v>123</v>
      </c>
      <c r="B289" s="28"/>
      <c r="C289" s="27" t="s">
        <v>719</v>
      </c>
      <c r="D289" s="235">
        <v>5.3094474355320624</v>
      </c>
      <c r="E289" s="28"/>
      <c r="G289" s="28"/>
      <c r="H289" s="431"/>
      <c r="I289" s="430"/>
      <c r="K289" s="28"/>
      <c r="L289" s="28"/>
      <c r="M289" s="28"/>
      <c r="N289" s="28"/>
      <c r="O289" s="28"/>
      <c r="P289" s="28"/>
    </row>
    <row r="290" spans="1:16" x14ac:dyDescent="0.2">
      <c r="A290" s="64">
        <f>MAX($A$14:A289)+1</f>
        <v>124</v>
      </c>
      <c r="B290" s="28"/>
      <c r="C290" s="26" t="s">
        <v>1131</v>
      </c>
      <c r="D290" s="447">
        <f>D288*D289</f>
        <v>4.4267504424125151E-2</v>
      </c>
      <c r="E290" s="28"/>
      <c r="G290" s="28"/>
      <c r="H290" s="28"/>
      <c r="I290" s="28"/>
      <c r="J290" s="28"/>
      <c r="K290" s="28"/>
      <c r="L290" s="28"/>
      <c r="M290" s="28"/>
      <c r="N290" s="28"/>
      <c r="O290" s="28"/>
      <c r="P290" s="28"/>
    </row>
    <row r="291" spans="1:16" x14ac:dyDescent="0.2">
      <c r="A291" s="64">
        <f>MAX($A$14:A290)+1</f>
        <v>125</v>
      </c>
      <c r="B291" s="28"/>
      <c r="C291" s="27" t="s">
        <v>721</v>
      </c>
      <c r="D291" s="242">
        <v>1.8619669054930092</v>
      </c>
      <c r="E291" s="28"/>
      <c r="G291" s="28"/>
      <c r="H291" s="28"/>
      <c r="I291" s="28"/>
      <c r="J291" s="28"/>
      <c r="K291" s="28"/>
      <c r="L291" s="28"/>
      <c r="M291" s="28"/>
      <c r="N291" s="28"/>
      <c r="O291" s="28"/>
      <c r="P291" s="28"/>
    </row>
    <row r="292" spans="1:16" x14ac:dyDescent="0.2">
      <c r="A292" s="64">
        <f>MAX($A$14:A291)+1</f>
        <v>126</v>
      </c>
      <c r="B292" s="28"/>
      <c r="C292" s="27" t="s">
        <v>671</v>
      </c>
      <c r="D292" s="449">
        <v>39.08</v>
      </c>
      <c r="E292" s="28"/>
      <c r="G292" s="28"/>
      <c r="H292" s="28"/>
      <c r="I292" s="28"/>
      <c r="J292" s="28"/>
      <c r="K292" s="28"/>
      <c r="L292" s="28"/>
      <c r="M292" s="28"/>
      <c r="N292" s="28"/>
      <c r="O292" s="28"/>
      <c r="P292" s="28"/>
    </row>
    <row r="293" spans="1:16" x14ac:dyDescent="0.2">
      <c r="A293" s="64">
        <f>MAX($A$14:A292)+1</f>
        <v>127</v>
      </c>
      <c r="B293" s="28"/>
      <c r="C293" s="26" t="s">
        <v>1132</v>
      </c>
      <c r="D293" s="237">
        <f>D291/D292*10</f>
        <v>0.47645007817118973</v>
      </c>
      <c r="E293" s="28"/>
      <c r="G293" s="28"/>
      <c r="H293" s="28"/>
      <c r="I293" s="28"/>
      <c r="J293" s="28"/>
      <c r="K293" s="28"/>
      <c r="L293" s="28"/>
      <c r="M293" s="28"/>
      <c r="N293" s="28"/>
      <c r="O293" s="28"/>
      <c r="P293" s="28"/>
    </row>
    <row r="294" spans="1:16" x14ac:dyDescent="0.2">
      <c r="A294" s="64">
        <f>MAX($A$14:A293)+1</f>
        <v>128</v>
      </c>
      <c r="B294" s="28"/>
      <c r="C294" s="35" t="s">
        <v>1133</v>
      </c>
      <c r="D294" s="235">
        <f>D290+D293</f>
        <v>0.52071758259531487</v>
      </c>
      <c r="E294" s="28"/>
      <c r="F294" s="236">
        <f>D294</f>
        <v>0.52071758259531487</v>
      </c>
      <c r="G294" s="28"/>
      <c r="H294" s="28"/>
      <c r="I294" s="28"/>
      <c r="J294" s="28"/>
      <c r="K294" s="28"/>
      <c r="L294" s="28"/>
      <c r="M294" s="28"/>
      <c r="N294" s="28"/>
      <c r="O294" s="28"/>
      <c r="P294" s="28"/>
    </row>
    <row r="295" spans="1:16" x14ac:dyDescent="0.2">
      <c r="A295" s="63"/>
      <c r="B295" s="28"/>
      <c r="C295" s="27"/>
      <c r="D295" s="28"/>
      <c r="E295" s="28"/>
      <c r="G295" s="28"/>
      <c r="H295" s="28"/>
      <c r="I295" s="28"/>
      <c r="J295" s="28"/>
      <c r="K295" s="28"/>
      <c r="L295" s="28"/>
      <c r="M295" s="28"/>
      <c r="N295" s="28"/>
      <c r="O295" s="28"/>
      <c r="P295" s="28"/>
    </row>
    <row r="296" spans="1:16" x14ac:dyDescent="0.2">
      <c r="A296" s="63"/>
      <c r="B296" s="28"/>
      <c r="C296" s="28" t="s">
        <v>640</v>
      </c>
      <c r="D296" s="28"/>
      <c r="E296" s="28"/>
      <c r="G296" s="28"/>
      <c r="H296" s="28"/>
      <c r="I296" s="28"/>
      <c r="J296" s="28"/>
      <c r="K296" s="28"/>
      <c r="L296" s="28"/>
      <c r="M296" s="28"/>
      <c r="N296" s="28"/>
      <c r="O296" s="28"/>
      <c r="P296" s="28"/>
    </row>
    <row r="297" spans="1:16" x14ac:dyDescent="0.2">
      <c r="A297" s="64">
        <f>MAX($A$14:A296)+1</f>
        <v>129</v>
      </c>
      <c r="B297" s="28"/>
      <c r="C297" s="27" t="s">
        <v>632</v>
      </c>
      <c r="D297" s="92">
        <v>8.3374974442494091E-3</v>
      </c>
      <c r="E297" s="28"/>
      <c r="G297" s="28"/>
      <c r="H297" s="28"/>
      <c r="I297" s="28"/>
      <c r="J297" s="28"/>
      <c r="K297" s="28"/>
      <c r="L297" s="28"/>
      <c r="M297" s="28"/>
      <c r="N297" s="28"/>
      <c r="O297" s="28"/>
      <c r="P297" s="28"/>
    </row>
    <row r="298" spans="1:16" x14ac:dyDescent="0.2">
      <c r="A298" s="64">
        <f>MAX($A$14:A297)+1</f>
        <v>130</v>
      </c>
      <c r="B298" s="28"/>
      <c r="C298" s="27" t="s">
        <v>719</v>
      </c>
      <c r="D298" s="235">
        <v>5.3094474355320624</v>
      </c>
      <c r="E298" s="28"/>
      <c r="G298" s="28"/>
      <c r="H298" s="28"/>
      <c r="I298" s="28"/>
      <c r="J298" s="28"/>
      <c r="K298" s="28"/>
      <c r="L298" s="28"/>
      <c r="M298" s="28"/>
      <c r="N298" s="28"/>
      <c r="O298" s="28"/>
      <c r="P298" s="28"/>
    </row>
    <row r="299" spans="1:16" x14ac:dyDescent="0.2">
      <c r="A299" s="64">
        <f>MAX($A$14:A298)+1</f>
        <v>131</v>
      </c>
      <c r="B299" s="28"/>
      <c r="C299" s="26" t="s">
        <v>1134</v>
      </c>
      <c r="D299" s="447">
        <f>D297*D298</f>
        <v>4.4267504424125151E-2</v>
      </c>
      <c r="E299" s="28"/>
      <c r="G299" s="28"/>
      <c r="H299" s="28"/>
      <c r="I299" s="28"/>
      <c r="J299" s="28"/>
      <c r="K299" s="28"/>
      <c r="L299" s="28"/>
      <c r="M299" s="28"/>
      <c r="N299" s="28"/>
      <c r="O299" s="28"/>
      <c r="P299" s="28"/>
    </row>
    <row r="300" spans="1:16" x14ac:dyDescent="0.2">
      <c r="A300" s="64">
        <f>MAX($A$14:A299)+1</f>
        <v>132</v>
      </c>
      <c r="B300" s="28"/>
      <c r="C300" s="38" t="s">
        <v>1081</v>
      </c>
      <c r="D300" s="92">
        <v>5.3175054632666726E-3</v>
      </c>
      <c r="E300" s="28"/>
      <c r="G300" s="28"/>
      <c r="H300" s="28"/>
      <c r="I300" s="28"/>
      <c r="J300" s="28"/>
      <c r="K300" s="28"/>
      <c r="L300" s="28"/>
      <c r="M300" s="28"/>
      <c r="N300" s="28"/>
      <c r="O300" s="28"/>
      <c r="P300" s="28"/>
    </row>
    <row r="301" spans="1:16" x14ac:dyDescent="0.2">
      <c r="A301" s="64">
        <f>MAX($A$14:A300)+1</f>
        <v>133</v>
      </c>
      <c r="B301" s="28"/>
      <c r="C301" s="27" t="s">
        <v>719</v>
      </c>
      <c r="D301" s="450">
        <v>5.3094474355320624</v>
      </c>
      <c r="E301" s="28"/>
      <c r="G301" s="28"/>
      <c r="H301" s="28"/>
      <c r="I301" s="28"/>
      <c r="J301" s="28"/>
      <c r="K301" s="28"/>
      <c r="L301" s="28"/>
      <c r="M301" s="28"/>
      <c r="N301" s="28"/>
      <c r="O301" s="28"/>
      <c r="P301" s="28"/>
    </row>
    <row r="302" spans="1:16" x14ac:dyDescent="0.2">
      <c r="A302" s="64">
        <f>MAX($A$14:A301)+1</f>
        <v>134</v>
      </c>
      <c r="B302" s="28"/>
      <c r="C302" s="26" t="s">
        <v>1135</v>
      </c>
      <c r="D302" s="235">
        <f>D300*D301</f>
        <v>2.8233015745368965E-2</v>
      </c>
      <c r="E302" s="28"/>
      <c r="G302" s="28"/>
      <c r="H302" s="28"/>
      <c r="I302" s="28"/>
      <c r="J302" s="28"/>
      <c r="K302" s="28"/>
      <c r="L302" s="28"/>
      <c r="M302" s="28"/>
      <c r="N302" s="28"/>
      <c r="O302" s="28"/>
      <c r="P302" s="28"/>
    </row>
    <row r="303" spans="1:16" x14ac:dyDescent="0.2">
      <c r="A303" s="64">
        <f>MAX($A$14:A302)+1</f>
        <v>135</v>
      </c>
      <c r="B303" s="28"/>
      <c r="C303" s="26" t="s">
        <v>732</v>
      </c>
      <c r="D303" s="451">
        <v>1.3250958904109589</v>
      </c>
      <c r="E303" s="28"/>
      <c r="G303" s="28"/>
      <c r="H303" s="28"/>
      <c r="I303" s="28"/>
      <c r="J303" s="28"/>
      <c r="K303" s="28"/>
      <c r="L303" s="28"/>
      <c r="M303" s="28"/>
      <c r="N303" s="28"/>
      <c r="O303" s="28"/>
      <c r="P303" s="28"/>
    </row>
    <row r="304" spans="1:16" x14ac:dyDescent="0.2">
      <c r="A304" s="64">
        <f>MAX($A$14:A303)+1</f>
        <v>136</v>
      </c>
      <c r="B304" s="28"/>
      <c r="C304" s="35" t="s">
        <v>1136</v>
      </c>
      <c r="D304" s="235">
        <f>D299+D302+D303</f>
        <v>1.397596410580453</v>
      </c>
      <c r="E304" s="28"/>
      <c r="F304" s="236">
        <f>D304</f>
        <v>1.397596410580453</v>
      </c>
      <c r="G304" s="28"/>
      <c r="H304" s="28"/>
      <c r="I304" s="28"/>
      <c r="J304" s="28"/>
      <c r="K304" s="28"/>
      <c r="L304" s="28"/>
      <c r="M304" s="28"/>
      <c r="N304" s="28"/>
      <c r="O304" s="28"/>
      <c r="P304" s="28"/>
    </row>
    <row r="305" spans="1:16" x14ac:dyDescent="0.2">
      <c r="A305" s="63"/>
      <c r="B305" s="28"/>
      <c r="H305" s="28"/>
      <c r="I305" s="28"/>
      <c r="J305" s="28"/>
      <c r="K305" s="28"/>
      <c r="L305" s="28"/>
      <c r="M305" s="28"/>
      <c r="N305" s="28"/>
      <c r="O305" s="28"/>
      <c r="P305" s="28"/>
    </row>
    <row r="306" spans="1:16" x14ac:dyDescent="0.2">
      <c r="A306" s="63"/>
      <c r="B306" s="28"/>
      <c r="H306" s="28"/>
      <c r="I306" s="28"/>
      <c r="J306" s="28"/>
      <c r="K306" s="28"/>
      <c r="L306" s="28"/>
      <c r="M306" s="28"/>
      <c r="N306" s="28"/>
      <c r="O306" s="28"/>
      <c r="P306" s="28"/>
    </row>
    <row r="307" spans="1:16" x14ac:dyDescent="0.2">
      <c r="A307" s="63"/>
      <c r="B307" s="28"/>
      <c r="H307" s="28"/>
      <c r="I307" s="28"/>
      <c r="J307" s="28"/>
      <c r="K307" s="28"/>
      <c r="L307" s="28"/>
      <c r="M307" s="28"/>
      <c r="N307" s="28"/>
      <c r="O307" s="28"/>
      <c r="P307" s="28"/>
    </row>
    <row r="308" spans="1:16" x14ac:dyDescent="0.2">
      <c r="A308" s="63"/>
      <c r="B308" s="28"/>
      <c r="H308" s="28"/>
      <c r="I308" s="28"/>
      <c r="J308" s="28"/>
      <c r="K308" s="28"/>
      <c r="L308" s="28"/>
      <c r="M308" s="28"/>
      <c r="N308" s="28"/>
      <c r="O308" s="28"/>
      <c r="P308" s="28"/>
    </row>
    <row r="309" spans="1:16" x14ac:dyDescent="0.2">
      <c r="A309" s="63"/>
      <c r="B309" s="28"/>
      <c r="H309" s="28"/>
      <c r="I309" s="28"/>
      <c r="J309" s="28"/>
      <c r="K309" s="28"/>
      <c r="L309" s="28"/>
      <c r="M309" s="28"/>
      <c r="N309" s="28"/>
      <c r="O309" s="28"/>
      <c r="P309" s="28"/>
    </row>
    <row r="310" spans="1:16" x14ac:dyDescent="0.2">
      <c r="A310" s="407" t="s">
        <v>944</v>
      </c>
      <c r="B310" s="169"/>
      <c r="C310" s="409"/>
      <c r="D310" s="409"/>
      <c r="E310" s="409"/>
      <c r="F310" s="409"/>
      <c r="G310" s="409"/>
      <c r="H310" s="28"/>
      <c r="I310" s="28"/>
      <c r="J310" s="28"/>
      <c r="K310" s="28"/>
      <c r="L310" s="28"/>
      <c r="M310" s="28"/>
      <c r="N310" s="28"/>
      <c r="O310" s="28"/>
      <c r="P310" s="28"/>
    </row>
    <row r="311" spans="1:16" x14ac:dyDescent="0.2">
      <c r="A311" s="64"/>
      <c r="B311" s="64"/>
      <c r="C311" s="64"/>
      <c r="D311" s="63"/>
      <c r="E311" s="28"/>
      <c r="F311" s="63"/>
      <c r="G311" s="28"/>
      <c r="H311" s="28"/>
      <c r="I311" s="28"/>
      <c r="J311" s="28"/>
      <c r="K311" s="28"/>
      <c r="L311" s="28"/>
    </row>
    <row r="312" spans="1:16" x14ac:dyDescent="0.2">
      <c r="A312" s="64" t="s">
        <v>0</v>
      </c>
      <c r="B312" s="33"/>
      <c r="C312" s="33"/>
      <c r="D312" s="63"/>
      <c r="E312" s="28"/>
      <c r="F312" s="64"/>
      <c r="G312" s="28"/>
      <c r="H312" s="28"/>
      <c r="I312" s="28"/>
      <c r="J312" s="28"/>
      <c r="K312" s="28"/>
      <c r="L312" s="28"/>
    </row>
    <row r="313" spans="1:16" x14ac:dyDescent="0.2">
      <c r="A313" s="520" t="s">
        <v>1</v>
      </c>
      <c r="B313" s="33"/>
      <c r="C313" s="185" t="s">
        <v>33</v>
      </c>
      <c r="D313" s="232"/>
      <c r="E313" s="28"/>
      <c r="F313" s="526" t="s">
        <v>350</v>
      </c>
      <c r="G313" s="28"/>
      <c r="H313" s="441"/>
      <c r="I313" s="28"/>
      <c r="J313" s="28"/>
      <c r="K313" s="28"/>
      <c r="L313" s="28"/>
      <c r="M313" s="28"/>
      <c r="N313" s="28"/>
      <c r="O313" s="28"/>
      <c r="P313" s="28"/>
    </row>
    <row r="314" spans="1:16" x14ac:dyDescent="0.2">
      <c r="A314" s="64"/>
      <c r="B314" s="33"/>
      <c r="C314" s="33"/>
      <c r="D314" s="63"/>
      <c r="E314" s="64"/>
      <c r="F314" s="64" t="s">
        <v>3</v>
      </c>
      <c r="G314" s="64"/>
      <c r="H314" s="64"/>
      <c r="I314" s="28"/>
      <c r="J314" s="28"/>
      <c r="K314" s="28"/>
      <c r="L314" s="28"/>
      <c r="M314" s="28"/>
      <c r="N314" s="28"/>
      <c r="O314" s="28"/>
      <c r="P314" s="28"/>
    </row>
    <row r="315" spans="1:16" x14ac:dyDescent="0.2">
      <c r="A315" s="63"/>
      <c r="B315" s="28"/>
      <c r="D315" s="28"/>
      <c r="E315" s="28"/>
      <c r="F315" s="430"/>
      <c r="G315" s="430"/>
      <c r="H315" s="430"/>
      <c r="I315" s="430"/>
      <c r="J315" s="430"/>
      <c r="K315" s="430"/>
      <c r="L315" s="28"/>
      <c r="M315" s="28"/>
      <c r="N315" s="28"/>
      <c r="O315" s="28"/>
      <c r="P315" s="28"/>
    </row>
    <row r="316" spans="1:16" x14ac:dyDescent="0.2">
      <c r="A316" s="63"/>
      <c r="B316" s="28"/>
      <c r="C316" s="31" t="s">
        <v>945</v>
      </c>
      <c r="D316" s="28"/>
      <c r="E316" s="28"/>
      <c r="G316" s="28"/>
      <c r="H316" s="28"/>
      <c r="I316" s="28"/>
      <c r="J316" s="28"/>
      <c r="K316" s="28"/>
      <c r="L316" s="28"/>
      <c r="M316" s="28"/>
      <c r="N316" s="28"/>
      <c r="O316" s="28"/>
      <c r="P316" s="28"/>
    </row>
    <row r="317" spans="1:16" x14ac:dyDescent="0.2">
      <c r="A317" s="63"/>
      <c r="B317" s="28"/>
      <c r="C317" s="28"/>
      <c r="D317" s="28"/>
      <c r="E317" s="28"/>
      <c r="G317" s="28"/>
      <c r="H317" s="28"/>
      <c r="I317" s="28"/>
      <c r="J317" s="28"/>
      <c r="K317" s="28"/>
      <c r="L317" s="28"/>
      <c r="M317" s="28"/>
      <c r="N317" s="28"/>
      <c r="O317" s="28"/>
      <c r="P317" s="28"/>
    </row>
    <row r="318" spans="1:16" x14ac:dyDescent="0.2">
      <c r="A318" s="63"/>
      <c r="B318" s="28"/>
      <c r="C318" s="35" t="s">
        <v>645</v>
      </c>
      <c r="D318" s="28"/>
      <c r="E318" s="28"/>
      <c r="G318" s="28"/>
      <c r="H318" s="28"/>
      <c r="I318" s="28"/>
      <c r="J318" s="28"/>
      <c r="K318" s="28"/>
      <c r="L318" s="28"/>
      <c r="M318" s="28"/>
      <c r="N318" s="28"/>
      <c r="O318" s="28"/>
      <c r="P318" s="28"/>
    </row>
    <row r="319" spans="1:16" x14ac:dyDescent="0.2">
      <c r="A319" s="64">
        <f>MAX($A$14:A318)+1</f>
        <v>137</v>
      </c>
      <c r="B319" s="28"/>
      <c r="C319" s="26" t="s">
        <v>660</v>
      </c>
      <c r="D319" s="242">
        <v>13.8789</v>
      </c>
      <c r="E319" s="28"/>
      <c r="G319" s="28"/>
      <c r="H319" s="28"/>
      <c r="I319" s="28"/>
      <c r="J319" s="28"/>
      <c r="K319" s="28"/>
      <c r="L319" s="28"/>
      <c r="M319" s="28"/>
      <c r="N319" s="28"/>
      <c r="O319" s="28"/>
      <c r="P319" s="28"/>
    </row>
    <row r="320" spans="1:16" x14ac:dyDescent="0.2">
      <c r="A320" s="64">
        <f>MAX($A$14:A319)+1</f>
        <v>138</v>
      </c>
      <c r="B320" s="28"/>
      <c r="C320" s="26" t="s">
        <v>661</v>
      </c>
      <c r="D320" s="242">
        <v>1.2699999999999999E-2</v>
      </c>
      <c r="E320" s="28"/>
      <c r="G320" s="28"/>
      <c r="H320" s="28"/>
      <c r="I320" s="28"/>
      <c r="J320" s="28"/>
      <c r="K320" s="28"/>
      <c r="L320" s="28"/>
      <c r="M320" s="28"/>
      <c r="N320" s="28"/>
      <c r="O320" s="28"/>
      <c r="P320" s="28"/>
    </row>
    <row r="321" spans="1:16" x14ac:dyDescent="0.2">
      <c r="A321" s="64">
        <f>MAX($A$14:A320)+1</f>
        <v>139</v>
      </c>
      <c r="B321" s="28"/>
      <c r="C321" s="26" t="s">
        <v>644</v>
      </c>
      <c r="D321" s="241">
        <f>4.25*365/30/10</f>
        <v>5.1708333333333334</v>
      </c>
      <c r="E321" s="28"/>
      <c r="G321" s="28"/>
      <c r="H321" s="28"/>
      <c r="I321" s="28"/>
      <c r="J321" s="28"/>
      <c r="K321" s="28"/>
      <c r="L321" s="28"/>
      <c r="M321" s="28"/>
      <c r="N321" s="28"/>
      <c r="O321" s="28"/>
      <c r="P321" s="28"/>
    </row>
    <row r="322" spans="1:16" ht="14.25" x14ac:dyDescent="0.2">
      <c r="A322" s="64">
        <f>MAX($A$14:A321)+1</f>
        <v>140</v>
      </c>
      <c r="B322" s="28"/>
      <c r="C322" s="35" t="s">
        <v>670</v>
      </c>
      <c r="D322" s="242">
        <f>SUM(D319:D321)</f>
        <v>19.062433333333335</v>
      </c>
      <c r="E322" s="28"/>
      <c r="G322" s="28"/>
      <c r="H322" s="28"/>
      <c r="I322" s="28"/>
      <c r="J322" s="28"/>
      <c r="K322" s="28"/>
      <c r="L322" s="28"/>
      <c r="M322" s="28"/>
      <c r="N322" s="28"/>
      <c r="O322" s="28"/>
      <c r="P322" s="28"/>
    </row>
    <row r="323" spans="1:16" x14ac:dyDescent="0.2">
      <c r="A323" s="64">
        <f>MAX($A$14:A322)+1</f>
        <v>141</v>
      </c>
      <c r="B323" s="28"/>
      <c r="C323" s="26" t="s">
        <v>671</v>
      </c>
      <c r="D323" s="449">
        <v>39.08</v>
      </c>
      <c r="E323" s="28"/>
      <c r="G323" s="28"/>
      <c r="H323" s="28"/>
      <c r="I323" s="28"/>
      <c r="J323" s="28"/>
      <c r="K323" s="28"/>
      <c r="L323" s="28"/>
      <c r="M323" s="28"/>
      <c r="N323" s="28"/>
      <c r="O323" s="28"/>
      <c r="P323" s="28"/>
    </row>
    <row r="324" spans="1:16" x14ac:dyDescent="0.2">
      <c r="A324" s="64">
        <f>MAX($A$14:A323)+1</f>
        <v>142</v>
      </c>
      <c r="B324" s="28"/>
      <c r="C324" s="35" t="s">
        <v>1137</v>
      </c>
      <c r="D324" s="237">
        <f>D322/D323*10</f>
        <v>4.8777976799727067</v>
      </c>
      <c r="E324" s="28"/>
      <c r="F324" s="236">
        <f>D324</f>
        <v>4.8777976799727067</v>
      </c>
      <c r="G324" s="28"/>
      <c r="H324" s="28"/>
      <c r="I324" s="28"/>
      <c r="J324" s="28"/>
      <c r="K324" s="28"/>
      <c r="L324" s="28"/>
      <c r="M324" s="28"/>
      <c r="N324" s="28"/>
      <c r="O324" s="28"/>
      <c r="P324" s="28"/>
    </row>
    <row r="325" spans="1:16" x14ac:dyDescent="0.2">
      <c r="A325" s="63"/>
      <c r="B325" s="28"/>
      <c r="C325" s="27"/>
      <c r="D325" s="28"/>
      <c r="E325" s="28"/>
      <c r="G325" s="28"/>
      <c r="H325" s="28"/>
      <c r="I325" s="28"/>
      <c r="J325" s="28"/>
      <c r="K325" s="28"/>
      <c r="L325" s="28"/>
      <c r="M325" s="28"/>
      <c r="N325" s="28"/>
      <c r="O325" s="28"/>
      <c r="P325" s="28"/>
    </row>
    <row r="326" spans="1:16" x14ac:dyDescent="0.2">
      <c r="A326" s="63"/>
      <c r="B326" s="28"/>
      <c r="C326" s="157" t="s">
        <v>999</v>
      </c>
      <c r="D326" s="28"/>
      <c r="E326" s="28"/>
      <c r="G326" s="28"/>
      <c r="H326" s="28"/>
      <c r="I326" s="28"/>
      <c r="J326" s="28"/>
      <c r="K326" s="28"/>
      <c r="L326" s="28"/>
      <c r="M326" s="28"/>
      <c r="N326" s="28"/>
      <c r="O326" s="28"/>
      <c r="P326" s="28"/>
    </row>
    <row r="327" spans="1:16" x14ac:dyDescent="0.2">
      <c r="A327" s="64">
        <f>MAX($A$14:A326)+1</f>
        <v>143</v>
      </c>
      <c r="B327" s="28"/>
      <c r="C327" s="359" t="s">
        <v>733</v>
      </c>
      <c r="D327" s="235">
        <v>0.1139503719601847</v>
      </c>
      <c r="E327" s="28"/>
      <c r="F327" s="28"/>
      <c r="G327" s="28"/>
      <c r="H327" s="28"/>
      <c r="I327" s="28"/>
      <c r="J327" s="28"/>
      <c r="K327" s="28"/>
      <c r="L327" s="28"/>
      <c r="M327" s="28"/>
      <c r="N327" s="28"/>
      <c r="O327" s="28"/>
      <c r="P327" s="28"/>
    </row>
    <row r="328" spans="1:16" x14ac:dyDescent="0.2">
      <c r="A328" s="64">
        <f>MAX($A$14:A327)+1</f>
        <v>144</v>
      </c>
      <c r="B328" s="28"/>
      <c r="C328" s="359" t="s">
        <v>662</v>
      </c>
      <c r="D328" s="235">
        <v>5.6000000000000001E-2</v>
      </c>
      <c r="E328" s="28"/>
      <c r="F328" s="28"/>
      <c r="G328" s="28"/>
      <c r="H328" s="28"/>
      <c r="I328" s="28"/>
      <c r="J328" s="28"/>
      <c r="K328" s="28"/>
      <c r="L328" s="28"/>
      <c r="M328" s="28"/>
      <c r="N328" s="28"/>
      <c r="O328" s="28"/>
      <c r="P328" s="28"/>
    </row>
    <row r="329" spans="1:16" x14ac:dyDescent="0.2">
      <c r="A329" s="64">
        <f>MAX($A$14:A328)+1</f>
        <v>145</v>
      </c>
      <c r="B329" s="28"/>
      <c r="C329" s="359" t="s">
        <v>551</v>
      </c>
      <c r="D329" s="451">
        <v>4.0000000000000001E-3</v>
      </c>
      <c r="E329" s="28"/>
      <c r="F329" s="28"/>
      <c r="G329" s="28"/>
      <c r="H329" s="28"/>
      <c r="I329" s="28"/>
      <c r="J329" s="28"/>
      <c r="K329" s="28"/>
      <c r="L329" s="28"/>
      <c r="M329" s="28"/>
      <c r="N329" s="28"/>
      <c r="O329" s="28"/>
      <c r="P329" s="28"/>
    </row>
    <row r="330" spans="1:16" x14ac:dyDescent="0.2">
      <c r="A330" s="64">
        <f>MAX($A$14:A329)+1</f>
        <v>146</v>
      </c>
      <c r="B330" s="33"/>
      <c r="C330" s="157" t="s">
        <v>1138</v>
      </c>
      <c r="D330" s="438">
        <f>-SUM(D327:D329)</f>
        <v>-0.1739503719601847</v>
      </c>
      <c r="E330" s="33"/>
      <c r="F330" s="237">
        <v>-0.17399999999999999</v>
      </c>
      <c r="G330" s="28"/>
      <c r="H330" s="28"/>
      <c r="I330" s="28"/>
      <c r="J330" s="28"/>
      <c r="K330" s="28"/>
      <c r="L330" s="28"/>
      <c r="M330" s="28"/>
      <c r="N330" s="28"/>
      <c r="O330" s="28"/>
      <c r="P330" s="28"/>
    </row>
    <row r="331" spans="1:16" x14ac:dyDescent="0.2">
      <c r="A331" s="63"/>
      <c r="B331" s="28"/>
      <c r="C331" s="28"/>
      <c r="D331" s="28"/>
      <c r="E331" s="28"/>
      <c r="G331" s="28"/>
      <c r="H331" s="431"/>
      <c r="I331" s="28"/>
      <c r="J331" s="28"/>
      <c r="K331" s="28"/>
      <c r="L331" s="28"/>
      <c r="M331" s="28"/>
      <c r="N331" s="28"/>
      <c r="O331" s="28"/>
      <c r="P331" s="28"/>
    </row>
    <row r="332" spans="1:16" x14ac:dyDescent="0.2">
      <c r="A332" s="36" t="s">
        <v>29</v>
      </c>
    </row>
    <row r="333" spans="1:16" x14ac:dyDescent="0.2">
      <c r="A333" s="439" t="s">
        <v>267</v>
      </c>
      <c r="B333" s="157" t="s">
        <v>718</v>
      </c>
    </row>
    <row r="334" spans="1:16" x14ac:dyDescent="0.2">
      <c r="A334" s="439" t="s">
        <v>268</v>
      </c>
      <c r="B334" s="157" t="s">
        <v>1062</v>
      </c>
    </row>
    <row r="335" spans="1:16" x14ac:dyDescent="0.2">
      <c r="A335" s="439" t="s">
        <v>269</v>
      </c>
      <c r="B335" s="157" t="s">
        <v>997</v>
      </c>
    </row>
    <row r="336" spans="1:16" x14ac:dyDescent="0.2">
      <c r="A336" s="439" t="s">
        <v>277</v>
      </c>
      <c r="B336" s="157" t="s">
        <v>1000</v>
      </c>
    </row>
    <row r="337" spans="1:6" x14ac:dyDescent="0.2">
      <c r="A337" s="439" t="s">
        <v>278</v>
      </c>
      <c r="B337" s="157" t="s">
        <v>998</v>
      </c>
    </row>
    <row r="338" spans="1:6" x14ac:dyDescent="0.2">
      <c r="A338" s="439" t="s">
        <v>279</v>
      </c>
      <c r="B338" s="157" t="s">
        <v>646</v>
      </c>
    </row>
    <row r="339" spans="1:6" x14ac:dyDescent="0.2">
      <c r="A339" s="439" t="s">
        <v>681</v>
      </c>
      <c r="B339" s="157" t="s">
        <v>756</v>
      </c>
    </row>
    <row r="340" spans="1:6" ht="24.75" customHeight="1" x14ac:dyDescent="0.2">
      <c r="A340" s="452" t="s">
        <v>682</v>
      </c>
      <c r="B340" s="561" t="s">
        <v>689</v>
      </c>
      <c r="C340" s="561"/>
      <c r="D340" s="561"/>
      <c r="E340" s="561"/>
      <c r="F340" s="561"/>
    </row>
  </sheetData>
  <mergeCells count="2">
    <mergeCell ref="A6:F6"/>
    <mergeCell ref="B340:F340"/>
  </mergeCells>
  <pageMargins left="0.7" right="0.7" top="0.75" bottom="0.75" header="0.3" footer="0.3"/>
  <pageSetup scale="82" fitToHeight="0" orientation="portrait" blackAndWhite="1" horizontalDpi="1200" verticalDpi="1200" r:id="rId1"/>
  <headerFooter>
    <oddHeader>&amp;R&amp;"Arial,Regular"&amp;10Filed: 2022-11-30
EB-2022-0200
Exhibit 8
Tab 2
Schedule 8
Attachment 6
Page &amp;P of &amp;N</oddHeader>
  </headerFooter>
  <rowBreaks count="6" manualBreakCount="6">
    <brk id="62" max="6" man="1"/>
    <brk id="115" max="6" man="1"/>
    <brk id="166" max="6" man="1"/>
    <brk id="195" max="6" man="1"/>
    <brk id="239" max="6" man="1"/>
    <brk id="304"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23ED9-62CB-4BFC-B55D-C3193EFB3DC6}">
  <sheetPr codeName="Sheet10">
    <pageSetUpPr fitToPage="1"/>
  </sheetPr>
  <dimension ref="A3:Q51"/>
  <sheetViews>
    <sheetView view="pageLayout" zoomScaleNormal="100" zoomScaleSheetLayoutView="70" workbookViewId="0"/>
  </sheetViews>
  <sheetFormatPr defaultColWidth="9.140625" defaultRowHeight="12.75" x14ac:dyDescent="0.2"/>
  <cols>
    <col min="1" max="1" width="4.7109375" style="366" customWidth="1"/>
    <col min="2" max="2" width="1.7109375" style="366" customWidth="1"/>
    <col min="3" max="3" width="38.28515625" style="366" customWidth="1"/>
    <col min="4" max="4" width="1.7109375" style="366" customWidth="1"/>
    <col min="5" max="5" width="14" style="366" customWidth="1"/>
    <col min="6" max="6" width="1.7109375" style="366" customWidth="1"/>
    <col min="7" max="7" width="14" style="366" customWidth="1"/>
    <col min="8" max="8" width="4.28515625" style="366" customWidth="1"/>
    <col min="9" max="16384" width="9.140625" style="366"/>
  </cols>
  <sheetData>
    <row r="3" spans="1:7" x14ac:dyDescent="0.2">
      <c r="A3" s="168"/>
      <c r="B3" s="168"/>
      <c r="C3" s="168"/>
      <c r="D3" s="168"/>
      <c r="E3" s="168"/>
      <c r="F3" s="168"/>
      <c r="G3" s="168"/>
    </row>
    <row r="4" spans="1:7" x14ac:dyDescent="0.2">
      <c r="A4" s="168"/>
      <c r="B4" s="168"/>
      <c r="C4" s="168"/>
      <c r="D4" s="168"/>
      <c r="E4" s="168"/>
      <c r="F4" s="168"/>
      <c r="G4" s="168"/>
    </row>
    <row r="5" spans="1:7" x14ac:dyDescent="0.2">
      <c r="B5" s="169"/>
      <c r="C5" s="169"/>
      <c r="D5" s="169"/>
      <c r="E5" s="169"/>
      <c r="F5" s="169"/>
      <c r="G5" s="169"/>
    </row>
    <row r="6" spans="1:7" x14ac:dyDescent="0.2">
      <c r="A6" s="453" t="s">
        <v>630</v>
      </c>
      <c r="B6" s="409"/>
      <c r="C6" s="409"/>
      <c r="D6" s="409"/>
      <c r="E6" s="409"/>
      <c r="F6" s="409"/>
      <c r="G6" s="409"/>
    </row>
    <row r="7" spans="1:7" x14ac:dyDescent="0.2">
      <c r="A7" s="64"/>
      <c r="B7" s="64"/>
      <c r="C7" s="64"/>
      <c r="D7" s="64"/>
      <c r="E7" s="63"/>
      <c r="F7" s="64"/>
      <c r="G7" s="64"/>
    </row>
    <row r="8" spans="1:7" x14ac:dyDescent="0.2">
      <c r="A8" s="64"/>
      <c r="B8" s="64"/>
      <c r="C8" s="64"/>
      <c r="D8" s="64"/>
      <c r="E8" s="64" t="s">
        <v>382</v>
      </c>
      <c r="F8" s="28"/>
      <c r="G8" s="63" t="s">
        <v>700</v>
      </c>
    </row>
    <row r="9" spans="1:7" x14ac:dyDescent="0.2">
      <c r="A9" s="64" t="s">
        <v>0</v>
      </c>
      <c r="B9" s="33"/>
      <c r="C9" s="33"/>
      <c r="D9" s="33"/>
      <c r="E9" s="64" t="s">
        <v>699</v>
      </c>
      <c r="F9" s="28"/>
      <c r="G9" s="64" t="s">
        <v>701</v>
      </c>
    </row>
    <row r="10" spans="1:7" ht="14.25" x14ac:dyDescent="0.2">
      <c r="A10" s="520" t="s">
        <v>1</v>
      </c>
      <c r="B10" s="33"/>
      <c r="C10" s="185" t="s">
        <v>383</v>
      </c>
      <c r="D10" s="64"/>
      <c r="E10" s="520" t="s">
        <v>384</v>
      </c>
      <c r="F10" s="28"/>
      <c r="G10" s="520" t="s">
        <v>478</v>
      </c>
    </row>
    <row r="11" spans="1:7" x14ac:dyDescent="0.2">
      <c r="A11" s="64"/>
      <c r="B11" s="33"/>
      <c r="C11" s="33"/>
      <c r="D11" s="64"/>
      <c r="E11" s="64" t="s">
        <v>3</v>
      </c>
      <c r="F11" s="64"/>
      <c r="G11" s="64" t="s">
        <v>4</v>
      </c>
    </row>
    <row r="12" spans="1:7" x14ac:dyDescent="0.2">
      <c r="A12" s="64"/>
      <c r="B12" s="33"/>
      <c r="C12" s="28" t="s">
        <v>394</v>
      </c>
      <c r="D12" s="64"/>
      <c r="E12" s="64"/>
      <c r="F12" s="64"/>
      <c r="G12" s="12"/>
    </row>
    <row r="13" spans="1:7" x14ac:dyDescent="0.2">
      <c r="A13" s="64">
        <v>1</v>
      </c>
      <c r="B13" s="33"/>
      <c r="C13" s="26" t="s">
        <v>5</v>
      </c>
      <c r="D13" s="64"/>
      <c r="E13" s="12">
        <v>7959.1593364396213</v>
      </c>
      <c r="F13" s="64"/>
      <c r="G13" s="12">
        <v>5377.8353829054795</v>
      </c>
    </row>
    <row r="14" spans="1:7" x14ac:dyDescent="0.2">
      <c r="A14" s="64">
        <f>MAX(A13:A$13)+1</f>
        <v>2</v>
      </c>
      <c r="B14" s="33"/>
      <c r="C14" s="26" t="s">
        <v>6</v>
      </c>
      <c r="D14" s="64"/>
      <c r="E14" s="12">
        <v>7102.6949848159902</v>
      </c>
      <c r="F14" s="64"/>
      <c r="G14" s="12">
        <v>4799.1405610451675</v>
      </c>
    </row>
    <row r="15" spans="1:7" x14ac:dyDescent="0.2">
      <c r="A15" s="64">
        <f>MAX(A$13:A14)+1</f>
        <v>3</v>
      </c>
      <c r="B15" s="33"/>
      <c r="C15" s="26" t="s">
        <v>7</v>
      </c>
      <c r="D15" s="64"/>
      <c r="E15" s="12">
        <v>25.052242620667933</v>
      </c>
      <c r="F15" s="64"/>
      <c r="G15" s="12">
        <v>16.927269714244495</v>
      </c>
    </row>
    <row r="16" spans="1:7" x14ac:dyDescent="0.2">
      <c r="A16" s="64">
        <f>MAX(A$13:A15)+1</f>
        <v>4</v>
      </c>
      <c r="B16" s="33"/>
      <c r="C16" s="26" t="s">
        <v>8</v>
      </c>
      <c r="D16" s="64"/>
      <c r="E16" s="12">
        <v>814.98613386037619</v>
      </c>
      <c r="F16" s="64"/>
      <c r="G16" s="12">
        <v>550.66886865620438</v>
      </c>
    </row>
    <row r="17" spans="1:7" x14ac:dyDescent="0.2">
      <c r="A17" s="64">
        <f>MAX(A$13:A16)+1</f>
        <v>5</v>
      </c>
      <c r="B17" s="33"/>
      <c r="C17" s="26" t="s">
        <v>9</v>
      </c>
      <c r="D17" s="64"/>
      <c r="E17" s="12">
        <v>171.27709520423568</v>
      </c>
      <c r="F17" s="64"/>
      <c r="G17" s="12">
        <v>115.7283054572753</v>
      </c>
    </row>
    <row r="18" spans="1:7" x14ac:dyDescent="0.2">
      <c r="A18" s="64">
        <f>MAX(A$13:A17)+1</f>
        <v>6</v>
      </c>
      <c r="B18" s="33"/>
      <c r="C18" s="26" t="s">
        <v>10</v>
      </c>
      <c r="D18" s="64"/>
      <c r="E18" s="12">
        <v>0</v>
      </c>
      <c r="F18" s="64"/>
      <c r="G18" s="12">
        <v>0</v>
      </c>
    </row>
    <row r="19" spans="1:7" x14ac:dyDescent="0.2">
      <c r="A19" s="64">
        <f>MAX(A$13:A18)+1</f>
        <v>7</v>
      </c>
      <c r="B19" s="33"/>
      <c r="C19" s="26" t="s">
        <v>11</v>
      </c>
      <c r="D19" s="64"/>
      <c r="E19" s="12">
        <v>2.8398148865133743</v>
      </c>
      <c r="F19" s="64"/>
      <c r="G19" s="12">
        <v>1.9188027694926131</v>
      </c>
    </row>
    <row r="20" spans="1:7" x14ac:dyDescent="0.2">
      <c r="A20" s="64">
        <f>MAX(A$13:A19)+1</f>
        <v>8</v>
      </c>
      <c r="B20" s="33"/>
      <c r="C20" s="26" t="s">
        <v>12</v>
      </c>
      <c r="D20" s="64"/>
      <c r="E20" s="12">
        <v>0</v>
      </c>
      <c r="F20" s="64"/>
      <c r="G20" s="12">
        <v>0</v>
      </c>
    </row>
    <row r="21" spans="1:7" x14ac:dyDescent="0.2">
      <c r="A21" s="64">
        <f>MAX(A$13:A20)+1</f>
        <v>9</v>
      </c>
      <c r="B21" s="33"/>
      <c r="C21" s="26" t="s">
        <v>13</v>
      </c>
      <c r="D21" s="64"/>
      <c r="E21" s="12">
        <v>0</v>
      </c>
      <c r="F21" s="64"/>
      <c r="G21" s="12">
        <v>0</v>
      </c>
    </row>
    <row r="22" spans="1:7" x14ac:dyDescent="0.2">
      <c r="A22" s="64">
        <f>MAX(A$13:A21)+1</f>
        <v>10</v>
      </c>
      <c r="B22" s="33"/>
      <c r="C22" s="26" t="s">
        <v>14</v>
      </c>
      <c r="D22" s="64"/>
      <c r="E22" s="12">
        <v>188.96775572491106</v>
      </c>
      <c r="F22" s="64"/>
      <c r="G22" s="12">
        <v>127.68151007016536</v>
      </c>
    </row>
    <row r="23" spans="1:7" x14ac:dyDescent="0.2">
      <c r="A23" s="64">
        <f>MAX(A$13:A22)+1</f>
        <v>11</v>
      </c>
      <c r="B23" s="33"/>
      <c r="C23" s="26" t="s">
        <v>15</v>
      </c>
      <c r="D23" s="64"/>
      <c r="E23" s="12">
        <v>0</v>
      </c>
      <c r="F23" s="64"/>
      <c r="G23" s="12">
        <v>0</v>
      </c>
    </row>
    <row r="24" spans="1:7" x14ac:dyDescent="0.2">
      <c r="A24" s="64">
        <f>MAX(A$13:A23)+1</f>
        <v>12</v>
      </c>
      <c r="B24" s="33"/>
      <c r="C24" s="28" t="s">
        <v>613</v>
      </c>
      <c r="D24" s="64"/>
      <c r="E24" s="195">
        <f>SUM(E13:E23)</f>
        <v>16264.977363552314</v>
      </c>
      <c r="F24" s="64"/>
      <c r="G24" s="195">
        <f>SUM(G13:G23)</f>
        <v>10989.900700618029</v>
      </c>
    </row>
    <row r="25" spans="1:7" x14ac:dyDescent="0.2">
      <c r="A25" s="64"/>
      <c r="B25" s="33"/>
      <c r="C25" s="33"/>
      <c r="D25" s="64"/>
      <c r="E25" s="64"/>
      <c r="F25" s="64"/>
      <c r="G25" s="64"/>
    </row>
    <row r="26" spans="1:7" x14ac:dyDescent="0.2">
      <c r="A26" s="64"/>
      <c r="B26" s="33"/>
      <c r="C26" s="28" t="s">
        <v>395</v>
      </c>
      <c r="D26" s="64"/>
      <c r="E26" s="64"/>
      <c r="F26" s="64"/>
      <c r="G26" s="12"/>
    </row>
    <row r="27" spans="1:7" x14ac:dyDescent="0.2">
      <c r="A27" s="64">
        <f>MAX(A$13:A26)+1</f>
        <v>13</v>
      </c>
      <c r="B27" s="33"/>
      <c r="C27" s="26" t="s">
        <v>16</v>
      </c>
      <c r="D27" s="64"/>
      <c r="E27" s="12">
        <v>1465.1574733722757</v>
      </c>
      <c r="F27" s="64"/>
      <c r="G27" s="12">
        <v>989.9758716671837</v>
      </c>
    </row>
    <row r="28" spans="1:7" x14ac:dyDescent="0.2">
      <c r="A28" s="64">
        <f>MAX(A$13:A27)+1</f>
        <v>14</v>
      </c>
      <c r="B28" s="33"/>
      <c r="C28" s="26" t="s">
        <v>17</v>
      </c>
      <c r="D28" s="64"/>
      <c r="E28" s="12">
        <v>432.54119993196952</v>
      </c>
      <c r="F28" s="64"/>
      <c r="G28" s="12">
        <v>292.2589272599098</v>
      </c>
    </row>
    <row r="29" spans="1:7" x14ac:dyDescent="0.2">
      <c r="A29" s="64">
        <f>MAX(A$13:A28)+1</f>
        <v>15</v>
      </c>
      <c r="B29" s="33"/>
      <c r="C29" s="26" t="s">
        <v>18</v>
      </c>
      <c r="D29" s="64"/>
      <c r="E29" s="12">
        <v>150.57650160375491</v>
      </c>
      <c r="F29" s="64"/>
      <c r="G29" s="12">
        <v>66.264966478702263</v>
      </c>
    </row>
    <row r="30" spans="1:7" x14ac:dyDescent="0.2">
      <c r="A30" s="64">
        <f>MAX(A$13:A29)+1</f>
        <v>16</v>
      </c>
      <c r="B30" s="33"/>
      <c r="C30" s="26" t="s">
        <v>19</v>
      </c>
      <c r="D30" s="64"/>
      <c r="E30" s="12">
        <v>0</v>
      </c>
      <c r="F30" s="64"/>
      <c r="G30" s="12">
        <v>0</v>
      </c>
    </row>
    <row r="31" spans="1:7" x14ac:dyDescent="0.2">
      <c r="A31" s="64">
        <f>MAX(A$13:A30)+1</f>
        <v>17</v>
      </c>
      <c r="B31" s="33"/>
      <c r="C31" s="26" t="s">
        <v>7</v>
      </c>
      <c r="D31" s="64"/>
      <c r="E31" s="12">
        <v>0</v>
      </c>
      <c r="F31" s="64"/>
      <c r="G31" s="12">
        <v>0</v>
      </c>
    </row>
    <row r="32" spans="1:7" x14ac:dyDescent="0.2">
      <c r="A32" s="64">
        <f>MAX(A$13:A31)+1</f>
        <v>18</v>
      </c>
      <c r="B32" s="33"/>
      <c r="C32" s="28" t="s">
        <v>614</v>
      </c>
      <c r="D32" s="64"/>
      <c r="E32" s="195">
        <f>SUM(E27:E31)</f>
        <v>2048.2751749080003</v>
      </c>
      <c r="F32" s="64"/>
      <c r="G32" s="195">
        <f>SUM(G27:G31)</f>
        <v>1348.4997654057956</v>
      </c>
    </row>
    <row r="33" spans="1:17" x14ac:dyDescent="0.2">
      <c r="A33" s="64"/>
      <c r="B33" s="33"/>
      <c r="C33" s="33"/>
      <c r="D33" s="64"/>
      <c r="E33" s="64"/>
      <c r="F33" s="64"/>
      <c r="G33" s="64"/>
    </row>
    <row r="34" spans="1:17" x14ac:dyDescent="0.2">
      <c r="A34" s="64"/>
      <c r="B34" s="33"/>
      <c r="C34" s="33" t="s">
        <v>474</v>
      </c>
      <c r="D34" s="64"/>
      <c r="E34" s="64"/>
      <c r="F34" s="64"/>
      <c r="G34" s="64"/>
    </row>
    <row r="35" spans="1:17" x14ac:dyDescent="0.2">
      <c r="A35" s="64">
        <f>MAX(A$13:A34)+1</f>
        <v>19</v>
      </c>
      <c r="B35" s="33"/>
      <c r="C35" s="190" t="s">
        <v>20</v>
      </c>
      <c r="D35" s="64"/>
      <c r="E35" s="12">
        <v>4688.0632286850196</v>
      </c>
      <c r="F35" s="64"/>
      <c r="G35" s="12">
        <v>3167.6250270670353</v>
      </c>
    </row>
    <row r="36" spans="1:17" x14ac:dyDescent="0.2">
      <c r="A36" s="64">
        <f>MAX(A$13:A35)+1</f>
        <v>20</v>
      </c>
      <c r="B36" s="33"/>
      <c r="C36" s="190" t="s">
        <v>21</v>
      </c>
      <c r="D36" s="64"/>
      <c r="E36" s="12">
        <v>1737.0642751603807</v>
      </c>
      <c r="F36" s="64"/>
      <c r="G36" s="12">
        <v>1173.6975384535224</v>
      </c>
    </row>
    <row r="37" spans="1:17" x14ac:dyDescent="0.2">
      <c r="A37" s="64">
        <f>MAX(A$13:A36)+1</f>
        <v>21</v>
      </c>
      <c r="B37" s="33"/>
      <c r="C37" s="190" t="s">
        <v>22</v>
      </c>
      <c r="D37" s="64"/>
      <c r="E37" s="12">
        <v>618.33825876489379</v>
      </c>
      <c r="F37" s="64"/>
      <c r="G37" s="12">
        <v>417.79806459780332</v>
      </c>
    </row>
    <row r="38" spans="1:17" x14ac:dyDescent="0.2">
      <c r="A38" s="64">
        <f>MAX(A$13:A37)+1</f>
        <v>22</v>
      </c>
      <c r="B38" s="33"/>
      <c r="C38" s="190" t="s">
        <v>23</v>
      </c>
      <c r="D38" s="64"/>
      <c r="E38" s="12">
        <v>5.4319363182261791</v>
      </c>
      <c r="F38" s="64"/>
      <c r="G38" s="12">
        <v>3.6702443179022377</v>
      </c>
      <c r="Q38" s="366" t="s">
        <v>385</v>
      </c>
    </row>
    <row r="39" spans="1:17" x14ac:dyDescent="0.2">
      <c r="A39" s="64">
        <f>MAX(A$13:A38)+1</f>
        <v>23</v>
      </c>
      <c r="B39" s="33"/>
      <c r="C39" s="190" t="s">
        <v>24</v>
      </c>
      <c r="D39" s="64"/>
      <c r="E39" s="12">
        <v>914.63128576258896</v>
      </c>
      <c r="F39" s="64"/>
      <c r="G39" s="12">
        <v>617.99698724044981</v>
      </c>
    </row>
    <row r="40" spans="1:17" x14ac:dyDescent="0.2">
      <c r="A40" s="64">
        <f>MAX(A$13:A39)+1</f>
        <v>24</v>
      </c>
      <c r="B40" s="33"/>
      <c r="C40" s="190" t="s">
        <v>25</v>
      </c>
      <c r="D40" s="64"/>
      <c r="E40" s="12">
        <v>74.667631852620985</v>
      </c>
      <c r="F40" s="28"/>
      <c r="G40" s="12">
        <v>50.45133732859923</v>
      </c>
    </row>
    <row r="41" spans="1:17" x14ac:dyDescent="0.2">
      <c r="A41" s="64">
        <f>MAX(A$13:A40)+1</f>
        <v>25</v>
      </c>
      <c r="B41" s="28"/>
      <c r="C41" s="190" t="s">
        <v>26</v>
      </c>
      <c r="D41" s="64"/>
      <c r="E41" s="12">
        <v>200.49931143562566</v>
      </c>
      <c r="F41" s="28"/>
      <c r="G41" s="12">
        <v>135.47313801724047</v>
      </c>
    </row>
    <row r="42" spans="1:17" x14ac:dyDescent="0.2">
      <c r="A42" s="64">
        <f>MAX(A$13:A41)+1</f>
        <v>26</v>
      </c>
      <c r="B42" s="28"/>
      <c r="C42" s="190" t="s">
        <v>27</v>
      </c>
      <c r="D42" s="64"/>
      <c r="E42" s="12">
        <v>2532.4795375983113</v>
      </c>
      <c r="F42" s="28"/>
      <c r="G42" s="12">
        <v>1711.1427838147317</v>
      </c>
    </row>
    <row r="43" spans="1:17" x14ac:dyDescent="0.2">
      <c r="A43" s="64">
        <f>MAX(A$13:A42)+1</f>
        <v>27</v>
      </c>
      <c r="B43" s="28"/>
      <c r="C43" s="190" t="s">
        <v>28</v>
      </c>
      <c r="D43" s="64"/>
      <c r="E43" s="12">
        <v>251.16610072557168</v>
      </c>
      <c r="F43" s="28"/>
      <c r="G43" s="12">
        <v>169.70761438137066</v>
      </c>
    </row>
    <row r="44" spans="1:17" x14ac:dyDescent="0.2">
      <c r="A44" s="64">
        <f>MAX(A$13:A43)+1</f>
        <v>28</v>
      </c>
      <c r="B44" s="33"/>
      <c r="C44" s="33" t="s">
        <v>615</v>
      </c>
      <c r="D44" s="28"/>
      <c r="E44" s="195">
        <f>SUM(E35:E43)</f>
        <v>11022.341566303239</v>
      </c>
      <c r="F44" s="64"/>
      <c r="G44" s="195">
        <f>SUM(G35:G43)</f>
        <v>7447.5627352186557</v>
      </c>
    </row>
    <row r="45" spans="1:17" x14ac:dyDescent="0.2">
      <c r="A45" s="35"/>
      <c r="B45" s="33"/>
      <c r="C45" s="64"/>
      <c r="D45" s="28"/>
      <c r="E45" s="33"/>
      <c r="F45" s="64"/>
      <c r="G45" s="64"/>
    </row>
    <row r="46" spans="1:17" ht="13.5" thickBot="1" x14ac:dyDescent="0.25">
      <c r="A46" s="64">
        <f>MAX(A$13:A45)+1</f>
        <v>29</v>
      </c>
      <c r="B46" s="33"/>
      <c r="C46" s="170" t="s">
        <v>94</v>
      </c>
      <c r="D46" s="28"/>
      <c r="E46" s="196">
        <f>E24+E32+E44</f>
        <v>29335.594104763553</v>
      </c>
      <c r="F46" s="64"/>
      <c r="G46" s="196">
        <v>19785.963201242481</v>
      </c>
      <c r="H46" s="393" t="s">
        <v>269</v>
      </c>
    </row>
    <row r="47" spans="1:17" ht="13.5" thickTop="1" x14ac:dyDescent="0.2"/>
    <row r="48" spans="1:17" x14ac:dyDescent="0.2">
      <c r="A48" s="171" t="s">
        <v>29</v>
      </c>
    </row>
    <row r="49" spans="1:3" x14ac:dyDescent="0.2">
      <c r="A49" s="411" t="s">
        <v>267</v>
      </c>
      <c r="C49" s="197" t="s">
        <v>1068</v>
      </c>
    </row>
    <row r="50" spans="1:3" x14ac:dyDescent="0.2">
      <c r="A50" s="411" t="s">
        <v>268</v>
      </c>
      <c r="C50" s="393" t="s">
        <v>698</v>
      </c>
    </row>
    <row r="51" spans="1:3" x14ac:dyDescent="0.2">
      <c r="A51" s="411" t="s">
        <v>269</v>
      </c>
      <c r="C51" s="393" t="s">
        <v>1001</v>
      </c>
    </row>
  </sheetData>
  <pageMargins left="0.7" right="0.7" top="0.75" bottom="0.75" header="0.3" footer="0.3"/>
  <pageSetup scale="56" orientation="portrait" horizontalDpi="1200" verticalDpi="1200" r:id="rId1"/>
  <headerFooter>
    <oddHeader>&amp;R&amp;"Arial,Regular"&amp;10Filed: 2022-11-30
EB-2022-0200
Exhibit 8
Tab 2
Schedule 8
Attachment 7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4BEC2-D95F-4732-B03C-280FF9943DF2}">
  <sheetPr codeName="Sheet11"/>
  <dimension ref="A2:N68"/>
  <sheetViews>
    <sheetView view="pageLayout" zoomScale="90" zoomScaleNormal="80" zoomScaleSheetLayoutView="70" zoomScalePageLayoutView="90" workbookViewId="0"/>
  </sheetViews>
  <sheetFormatPr defaultRowHeight="12.75" customHeight="1" x14ac:dyDescent="0.2"/>
  <cols>
    <col min="1" max="1" width="4.7109375" style="8" customWidth="1"/>
    <col min="2" max="2" width="1.7109375" style="1" customWidth="1"/>
    <col min="3" max="3" width="30.28515625" style="1" customWidth="1"/>
    <col min="4" max="4" width="1.7109375" style="1" customWidth="1"/>
    <col min="5" max="5" width="14.42578125" style="1" customWidth="1"/>
    <col min="6" max="6" width="1.7109375" style="1" customWidth="1"/>
    <col min="7" max="7" width="14.42578125" style="1" customWidth="1"/>
    <col min="8" max="8" width="1.7109375" style="1" customWidth="1"/>
    <col min="9" max="9" width="14.42578125" style="1" customWidth="1"/>
    <col min="10" max="10" width="1.7109375" style="1" customWidth="1"/>
    <col min="11" max="11" width="14.42578125" style="1" customWidth="1"/>
    <col min="12" max="12" width="1.7109375" style="1" customWidth="1"/>
    <col min="13" max="13" width="14.42578125" style="1" customWidth="1"/>
    <col min="14" max="14" width="3.42578125" style="1" customWidth="1"/>
    <col min="15" max="220" width="8.7109375" style="1"/>
    <col min="221" max="221" width="4.5703125" style="1" customWidth="1"/>
    <col min="222" max="222" width="1" style="1" customWidth="1"/>
    <col min="223" max="223" width="18" style="1" customWidth="1"/>
    <col min="224" max="224" width="1.7109375" style="1" customWidth="1"/>
    <col min="225" max="225" width="12.5703125" style="1" customWidth="1"/>
    <col min="226" max="226" width="1.5703125" style="1" customWidth="1"/>
    <col min="227" max="227" width="9.5703125" style="1" customWidth="1"/>
    <col min="228" max="228" width="1.7109375" style="1" customWidth="1"/>
    <col min="229" max="229" width="11.7109375" style="1" customWidth="1"/>
    <col min="230" max="230" width="1.5703125" style="1" customWidth="1"/>
    <col min="231" max="231" width="10.28515625" style="1" customWidth="1"/>
    <col min="232" max="232" width="2" style="1" customWidth="1"/>
    <col min="233" max="233" width="9.5703125" style="1" customWidth="1"/>
    <col min="234" max="476" width="8.7109375" style="1"/>
    <col min="477" max="477" width="4.5703125" style="1" customWidth="1"/>
    <col min="478" max="478" width="1" style="1" customWidth="1"/>
    <col min="479" max="479" width="18" style="1" customWidth="1"/>
    <col min="480" max="480" width="1.7109375" style="1" customWidth="1"/>
    <col min="481" max="481" width="12.5703125" style="1" customWidth="1"/>
    <col min="482" max="482" width="1.5703125" style="1" customWidth="1"/>
    <col min="483" max="483" width="9.5703125" style="1" customWidth="1"/>
    <col min="484" max="484" width="1.7109375" style="1" customWidth="1"/>
    <col min="485" max="485" width="11.7109375" style="1" customWidth="1"/>
    <col min="486" max="486" width="1.5703125" style="1" customWidth="1"/>
    <col min="487" max="487" width="10.28515625" style="1" customWidth="1"/>
    <col min="488" max="488" width="2" style="1" customWidth="1"/>
    <col min="489" max="489" width="9.5703125" style="1" customWidth="1"/>
    <col min="490" max="732" width="8.7109375" style="1"/>
    <col min="733" max="733" width="4.5703125" style="1" customWidth="1"/>
    <col min="734" max="734" width="1" style="1" customWidth="1"/>
    <col min="735" max="735" width="18" style="1" customWidth="1"/>
    <col min="736" max="736" width="1.7109375" style="1" customWidth="1"/>
    <col min="737" max="737" width="12.5703125" style="1" customWidth="1"/>
    <col min="738" max="738" width="1.5703125" style="1" customWidth="1"/>
    <col min="739" max="739" width="9.5703125" style="1" customWidth="1"/>
    <col min="740" max="740" width="1.7109375" style="1" customWidth="1"/>
    <col min="741" max="741" width="11.7109375" style="1" customWidth="1"/>
    <col min="742" max="742" width="1.5703125" style="1" customWidth="1"/>
    <col min="743" max="743" width="10.28515625" style="1" customWidth="1"/>
    <col min="744" max="744" width="2" style="1" customWidth="1"/>
    <col min="745" max="745" width="9.5703125" style="1" customWidth="1"/>
    <col min="746" max="988" width="8.7109375" style="1"/>
    <col min="989" max="989" width="4.5703125" style="1" customWidth="1"/>
    <col min="990" max="990" width="1" style="1" customWidth="1"/>
    <col min="991" max="991" width="18" style="1" customWidth="1"/>
    <col min="992" max="992" width="1.7109375" style="1" customWidth="1"/>
    <col min="993" max="993" width="12.5703125" style="1" customWidth="1"/>
    <col min="994" max="994" width="1.5703125" style="1" customWidth="1"/>
    <col min="995" max="995" width="9.5703125" style="1" customWidth="1"/>
    <col min="996" max="996" width="1.7109375" style="1" customWidth="1"/>
    <col min="997" max="997" width="11.7109375" style="1" customWidth="1"/>
    <col min="998" max="998" width="1.5703125" style="1" customWidth="1"/>
    <col min="999" max="999" width="10.28515625" style="1" customWidth="1"/>
    <col min="1000" max="1000" width="2" style="1" customWidth="1"/>
    <col min="1001" max="1001" width="9.5703125" style="1" customWidth="1"/>
    <col min="1002" max="1244" width="8.7109375" style="1"/>
    <col min="1245" max="1245" width="4.5703125" style="1" customWidth="1"/>
    <col min="1246" max="1246" width="1" style="1" customWidth="1"/>
    <col min="1247" max="1247" width="18" style="1" customWidth="1"/>
    <col min="1248" max="1248" width="1.7109375" style="1" customWidth="1"/>
    <col min="1249" max="1249" width="12.5703125" style="1" customWidth="1"/>
    <col min="1250" max="1250" width="1.5703125" style="1" customWidth="1"/>
    <col min="1251" max="1251" width="9.5703125" style="1" customWidth="1"/>
    <col min="1252" max="1252" width="1.7109375" style="1" customWidth="1"/>
    <col min="1253" max="1253" width="11.7109375" style="1" customWidth="1"/>
    <col min="1254" max="1254" width="1.5703125" style="1" customWidth="1"/>
    <col min="1255" max="1255" width="10.28515625" style="1" customWidth="1"/>
    <col min="1256" max="1256" width="2" style="1" customWidth="1"/>
    <col min="1257" max="1257" width="9.5703125" style="1" customWidth="1"/>
    <col min="1258" max="1500" width="8.7109375" style="1"/>
    <col min="1501" max="1501" width="4.5703125" style="1" customWidth="1"/>
    <col min="1502" max="1502" width="1" style="1" customWidth="1"/>
    <col min="1503" max="1503" width="18" style="1" customWidth="1"/>
    <col min="1504" max="1504" width="1.7109375" style="1" customWidth="1"/>
    <col min="1505" max="1505" width="12.5703125" style="1" customWidth="1"/>
    <col min="1506" max="1506" width="1.5703125" style="1" customWidth="1"/>
    <col min="1507" max="1507" width="9.5703125" style="1" customWidth="1"/>
    <col min="1508" max="1508" width="1.7109375" style="1" customWidth="1"/>
    <col min="1509" max="1509" width="11.7109375" style="1" customWidth="1"/>
    <col min="1510" max="1510" width="1.5703125" style="1" customWidth="1"/>
    <col min="1511" max="1511" width="10.28515625" style="1" customWidth="1"/>
    <col min="1512" max="1512" width="2" style="1" customWidth="1"/>
    <col min="1513" max="1513" width="9.5703125" style="1" customWidth="1"/>
    <col min="1514" max="1756" width="8.7109375" style="1"/>
    <col min="1757" max="1757" width="4.5703125" style="1" customWidth="1"/>
    <col min="1758" max="1758" width="1" style="1" customWidth="1"/>
    <col min="1759" max="1759" width="18" style="1" customWidth="1"/>
    <col min="1760" max="1760" width="1.7109375" style="1" customWidth="1"/>
    <col min="1761" max="1761" width="12.5703125" style="1" customWidth="1"/>
    <col min="1762" max="1762" width="1.5703125" style="1" customWidth="1"/>
    <col min="1763" max="1763" width="9.5703125" style="1" customWidth="1"/>
    <col min="1764" max="1764" width="1.7109375" style="1" customWidth="1"/>
    <col min="1765" max="1765" width="11.7109375" style="1" customWidth="1"/>
    <col min="1766" max="1766" width="1.5703125" style="1" customWidth="1"/>
    <col min="1767" max="1767" width="10.28515625" style="1" customWidth="1"/>
    <col min="1768" max="1768" width="2" style="1" customWidth="1"/>
    <col min="1769" max="1769" width="9.5703125" style="1" customWidth="1"/>
    <col min="1770" max="2012" width="8.7109375" style="1"/>
    <col min="2013" max="2013" width="4.5703125" style="1" customWidth="1"/>
    <col min="2014" max="2014" width="1" style="1" customWidth="1"/>
    <col min="2015" max="2015" width="18" style="1" customWidth="1"/>
    <col min="2016" max="2016" width="1.7109375" style="1" customWidth="1"/>
    <col min="2017" max="2017" width="12.5703125" style="1" customWidth="1"/>
    <col min="2018" max="2018" width="1.5703125" style="1" customWidth="1"/>
    <col min="2019" max="2019" width="9.5703125" style="1" customWidth="1"/>
    <col min="2020" max="2020" width="1.7109375" style="1" customWidth="1"/>
    <col min="2021" max="2021" width="11.7109375" style="1" customWidth="1"/>
    <col min="2022" max="2022" width="1.5703125" style="1" customWidth="1"/>
    <col min="2023" max="2023" width="10.28515625" style="1" customWidth="1"/>
    <col min="2024" max="2024" width="2" style="1" customWidth="1"/>
    <col min="2025" max="2025" width="9.5703125" style="1" customWidth="1"/>
    <col min="2026" max="2268" width="8.7109375" style="1"/>
    <col min="2269" max="2269" width="4.5703125" style="1" customWidth="1"/>
    <col min="2270" max="2270" width="1" style="1" customWidth="1"/>
    <col min="2271" max="2271" width="18" style="1" customWidth="1"/>
    <col min="2272" max="2272" width="1.7109375" style="1" customWidth="1"/>
    <col min="2273" max="2273" width="12.5703125" style="1" customWidth="1"/>
    <col min="2274" max="2274" width="1.5703125" style="1" customWidth="1"/>
    <col min="2275" max="2275" width="9.5703125" style="1" customWidth="1"/>
    <col min="2276" max="2276" width="1.7109375" style="1" customWidth="1"/>
    <col min="2277" max="2277" width="11.7109375" style="1" customWidth="1"/>
    <col min="2278" max="2278" width="1.5703125" style="1" customWidth="1"/>
    <col min="2279" max="2279" width="10.28515625" style="1" customWidth="1"/>
    <col min="2280" max="2280" width="2" style="1" customWidth="1"/>
    <col min="2281" max="2281" width="9.5703125" style="1" customWidth="1"/>
    <col min="2282" max="2524" width="8.7109375" style="1"/>
    <col min="2525" max="2525" width="4.5703125" style="1" customWidth="1"/>
    <col min="2526" max="2526" width="1" style="1" customWidth="1"/>
    <col min="2527" max="2527" width="18" style="1" customWidth="1"/>
    <col min="2528" max="2528" width="1.7109375" style="1" customWidth="1"/>
    <col min="2529" max="2529" width="12.5703125" style="1" customWidth="1"/>
    <col min="2530" max="2530" width="1.5703125" style="1" customWidth="1"/>
    <col min="2531" max="2531" width="9.5703125" style="1" customWidth="1"/>
    <col min="2532" max="2532" width="1.7109375" style="1" customWidth="1"/>
    <col min="2533" max="2533" width="11.7109375" style="1" customWidth="1"/>
    <col min="2534" max="2534" width="1.5703125" style="1" customWidth="1"/>
    <col min="2535" max="2535" width="10.28515625" style="1" customWidth="1"/>
    <col min="2536" max="2536" width="2" style="1" customWidth="1"/>
    <col min="2537" max="2537" width="9.5703125" style="1" customWidth="1"/>
    <col min="2538" max="2780" width="8.7109375" style="1"/>
    <col min="2781" max="2781" width="4.5703125" style="1" customWidth="1"/>
    <col min="2782" max="2782" width="1" style="1" customWidth="1"/>
    <col min="2783" max="2783" width="18" style="1" customWidth="1"/>
    <col min="2784" max="2784" width="1.7109375" style="1" customWidth="1"/>
    <col min="2785" max="2785" width="12.5703125" style="1" customWidth="1"/>
    <col min="2786" max="2786" width="1.5703125" style="1" customWidth="1"/>
    <col min="2787" max="2787" width="9.5703125" style="1" customWidth="1"/>
    <col min="2788" max="2788" width="1.7109375" style="1" customWidth="1"/>
    <col min="2789" max="2789" width="11.7109375" style="1" customWidth="1"/>
    <col min="2790" max="2790" width="1.5703125" style="1" customWidth="1"/>
    <col min="2791" max="2791" width="10.28515625" style="1" customWidth="1"/>
    <col min="2792" max="2792" width="2" style="1" customWidth="1"/>
    <col min="2793" max="2793" width="9.5703125" style="1" customWidth="1"/>
    <col min="2794" max="3036" width="8.7109375" style="1"/>
    <col min="3037" max="3037" width="4.5703125" style="1" customWidth="1"/>
    <col min="3038" max="3038" width="1" style="1" customWidth="1"/>
    <col min="3039" max="3039" width="18" style="1" customWidth="1"/>
    <col min="3040" max="3040" width="1.7109375" style="1" customWidth="1"/>
    <col min="3041" max="3041" width="12.5703125" style="1" customWidth="1"/>
    <col min="3042" max="3042" width="1.5703125" style="1" customWidth="1"/>
    <col min="3043" max="3043" width="9.5703125" style="1" customWidth="1"/>
    <col min="3044" max="3044" width="1.7109375" style="1" customWidth="1"/>
    <col min="3045" max="3045" width="11.7109375" style="1" customWidth="1"/>
    <col min="3046" max="3046" width="1.5703125" style="1" customWidth="1"/>
    <col min="3047" max="3047" width="10.28515625" style="1" customWidth="1"/>
    <col min="3048" max="3048" width="2" style="1" customWidth="1"/>
    <col min="3049" max="3049" width="9.5703125" style="1" customWidth="1"/>
    <col min="3050" max="3292" width="8.7109375" style="1"/>
    <col min="3293" max="3293" width="4.5703125" style="1" customWidth="1"/>
    <col min="3294" max="3294" width="1" style="1" customWidth="1"/>
    <col min="3295" max="3295" width="18" style="1" customWidth="1"/>
    <col min="3296" max="3296" width="1.7109375" style="1" customWidth="1"/>
    <col min="3297" max="3297" width="12.5703125" style="1" customWidth="1"/>
    <col min="3298" max="3298" width="1.5703125" style="1" customWidth="1"/>
    <col min="3299" max="3299" width="9.5703125" style="1" customWidth="1"/>
    <col min="3300" max="3300" width="1.7109375" style="1" customWidth="1"/>
    <col min="3301" max="3301" width="11.7109375" style="1" customWidth="1"/>
    <col min="3302" max="3302" width="1.5703125" style="1" customWidth="1"/>
    <col min="3303" max="3303" width="10.28515625" style="1" customWidth="1"/>
    <col min="3304" max="3304" width="2" style="1" customWidth="1"/>
    <col min="3305" max="3305" width="9.5703125" style="1" customWidth="1"/>
    <col min="3306" max="3548" width="8.7109375" style="1"/>
    <col min="3549" max="3549" width="4.5703125" style="1" customWidth="1"/>
    <col min="3550" max="3550" width="1" style="1" customWidth="1"/>
    <col min="3551" max="3551" width="18" style="1" customWidth="1"/>
    <col min="3552" max="3552" width="1.7109375" style="1" customWidth="1"/>
    <col min="3553" max="3553" width="12.5703125" style="1" customWidth="1"/>
    <col min="3554" max="3554" width="1.5703125" style="1" customWidth="1"/>
    <col min="3555" max="3555" width="9.5703125" style="1" customWidth="1"/>
    <col min="3556" max="3556" width="1.7109375" style="1" customWidth="1"/>
    <col min="3557" max="3557" width="11.7109375" style="1" customWidth="1"/>
    <col min="3558" max="3558" width="1.5703125" style="1" customWidth="1"/>
    <col min="3559" max="3559" width="10.28515625" style="1" customWidth="1"/>
    <col min="3560" max="3560" width="2" style="1" customWidth="1"/>
    <col min="3561" max="3561" width="9.5703125" style="1" customWidth="1"/>
    <col min="3562" max="3804" width="8.7109375" style="1"/>
    <col min="3805" max="3805" width="4.5703125" style="1" customWidth="1"/>
    <col min="3806" max="3806" width="1" style="1" customWidth="1"/>
    <col min="3807" max="3807" width="18" style="1" customWidth="1"/>
    <col min="3808" max="3808" width="1.7109375" style="1" customWidth="1"/>
    <col min="3809" max="3809" width="12.5703125" style="1" customWidth="1"/>
    <col min="3810" max="3810" width="1.5703125" style="1" customWidth="1"/>
    <col min="3811" max="3811" width="9.5703125" style="1" customWidth="1"/>
    <col min="3812" max="3812" width="1.7109375" style="1" customWidth="1"/>
    <col min="3813" max="3813" width="11.7109375" style="1" customWidth="1"/>
    <col min="3814" max="3814" width="1.5703125" style="1" customWidth="1"/>
    <col min="3815" max="3815" width="10.28515625" style="1" customWidth="1"/>
    <col min="3816" max="3816" width="2" style="1" customWidth="1"/>
    <col min="3817" max="3817" width="9.5703125" style="1" customWidth="1"/>
    <col min="3818" max="4060" width="8.7109375" style="1"/>
    <col min="4061" max="4061" width="4.5703125" style="1" customWidth="1"/>
    <col min="4062" max="4062" width="1" style="1" customWidth="1"/>
    <col min="4063" max="4063" width="18" style="1" customWidth="1"/>
    <col min="4064" max="4064" width="1.7109375" style="1" customWidth="1"/>
    <col min="4065" max="4065" width="12.5703125" style="1" customWidth="1"/>
    <col min="4066" max="4066" width="1.5703125" style="1" customWidth="1"/>
    <col min="4067" max="4067" width="9.5703125" style="1" customWidth="1"/>
    <col min="4068" max="4068" width="1.7109375" style="1" customWidth="1"/>
    <col min="4069" max="4069" width="11.7109375" style="1" customWidth="1"/>
    <col min="4070" max="4070" width="1.5703125" style="1" customWidth="1"/>
    <col min="4071" max="4071" width="10.28515625" style="1" customWidth="1"/>
    <col min="4072" max="4072" width="2" style="1" customWidth="1"/>
    <col min="4073" max="4073" width="9.5703125" style="1" customWidth="1"/>
    <col min="4074" max="4316" width="8.7109375" style="1"/>
    <col min="4317" max="4317" width="4.5703125" style="1" customWidth="1"/>
    <col min="4318" max="4318" width="1" style="1" customWidth="1"/>
    <col min="4319" max="4319" width="18" style="1" customWidth="1"/>
    <col min="4320" max="4320" width="1.7109375" style="1" customWidth="1"/>
    <col min="4321" max="4321" width="12.5703125" style="1" customWidth="1"/>
    <col min="4322" max="4322" width="1.5703125" style="1" customWidth="1"/>
    <col min="4323" max="4323" width="9.5703125" style="1" customWidth="1"/>
    <col min="4324" max="4324" width="1.7109375" style="1" customWidth="1"/>
    <col min="4325" max="4325" width="11.7109375" style="1" customWidth="1"/>
    <col min="4326" max="4326" width="1.5703125" style="1" customWidth="1"/>
    <col min="4327" max="4327" width="10.28515625" style="1" customWidth="1"/>
    <col min="4328" max="4328" width="2" style="1" customWidth="1"/>
    <col min="4329" max="4329" width="9.5703125" style="1" customWidth="1"/>
    <col min="4330" max="4572" width="8.7109375" style="1"/>
    <col min="4573" max="4573" width="4.5703125" style="1" customWidth="1"/>
    <col min="4574" max="4574" width="1" style="1" customWidth="1"/>
    <col min="4575" max="4575" width="18" style="1" customWidth="1"/>
    <col min="4576" max="4576" width="1.7109375" style="1" customWidth="1"/>
    <col min="4577" max="4577" width="12.5703125" style="1" customWidth="1"/>
    <col min="4578" max="4578" width="1.5703125" style="1" customWidth="1"/>
    <col min="4579" max="4579" width="9.5703125" style="1" customWidth="1"/>
    <col min="4580" max="4580" width="1.7109375" style="1" customWidth="1"/>
    <col min="4581" max="4581" width="11.7109375" style="1" customWidth="1"/>
    <col min="4582" max="4582" width="1.5703125" style="1" customWidth="1"/>
    <col min="4583" max="4583" width="10.28515625" style="1" customWidth="1"/>
    <col min="4584" max="4584" width="2" style="1" customWidth="1"/>
    <col min="4585" max="4585" width="9.5703125" style="1" customWidth="1"/>
    <col min="4586" max="4828" width="8.7109375" style="1"/>
    <col min="4829" max="4829" width="4.5703125" style="1" customWidth="1"/>
    <col min="4830" max="4830" width="1" style="1" customWidth="1"/>
    <col min="4831" max="4831" width="18" style="1" customWidth="1"/>
    <col min="4832" max="4832" width="1.7109375" style="1" customWidth="1"/>
    <col min="4833" max="4833" width="12.5703125" style="1" customWidth="1"/>
    <col min="4834" max="4834" width="1.5703125" style="1" customWidth="1"/>
    <col min="4835" max="4835" width="9.5703125" style="1" customWidth="1"/>
    <col min="4836" max="4836" width="1.7109375" style="1" customWidth="1"/>
    <col min="4837" max="4837" width="11.7109375" style="1" customWidth="1"/>
    <col min="4838" max="4838" width="1.5703125" style="1" customWidth="1"/>
    <col min="4839" max="4839" width="10.28515625" style="1" customWidth="1"/>
    <col min="4840" max="4840" width="2" style="1" customWidth="1"/>
    <col min="4841" max="4841" width="9.5703125" style="1" customWidth="1"/>
    <col min="4842" max="5084" width="8.7109375" style="1"/>
    <col min="5085" max="5085" width="4.5703125" style="1" customWidth="1"/>
    <col min="5086" max="5086" width="1" style="1" customWidth="1"/>
    <col min="5087" max="5087" width="18" style="1" customWidth="1"/>
    <col min="5088" max="5088" width="1.7109375" style="1" customWidth="1"/>
    <col min="5089" max="5089" width="12.5703125" style="1" customWidth="1"/>
    <col min="5090" max="5090" width="1.5703125" style="1" customWidth="1"/>
    <col min="5091" max="5091" width="9.5703125" style="1" customWidth="1"/>
    <col min="5092" max="5092" width="1.7109375" style="1" customWidth="1"/>
    <col min="5093" max="5093" width="11.7109375" style="1" customWidth="1"/>
    <col min="5094" max="5094" width="1.5703125" style="1" customWidth="1"/>
    <col min="5095" max="5095" width="10.28515625" style="1" customWidth="1"/>
    <col min="5096" max="5096" width="2" style="1" customWidth="1"/>
    <col min="5097" max="5097" width="9.5703125" style="1" customWidth="1"/>
    <col min="5098" max="5340" width="8.7109375" style="1"/>
    <col min="5341" max="5341" width="4.5703125" style="1" customWidth="1"/>
    <col min="5342" max="5342" width="1" style="1" customWidth="1"/>
    <col min="5343" max="5343" width="18" style="1" customWidth="1"/>
    <col min="5344" max="5344" width="1.7109375" style="1" customWidth="1"/>
    <col min="5345" max="5345" width="12.5703125" style="1" customWidth="1"/>
    <col min="5346" max="5346" width="1.5703125" style="1" customWidth="1"/>
    <col min="5347" max="5347" width="9.5703125" style="1" customWidth="1"/>
    <col min="5348" max="5348" width="1.7109375" style="1" customWidth="1"/>
    <col min="5349" max="5349" width="11.7109375" style="1" customWidth="1"/>
    <col min="5350" max="5350" width="1.5703125" style="1" customWidth="1"/>
    <col min="5351" max="5351" width="10.28515625" style="1" customWidth="1"/>
    <col min="5352" max="5352" width="2" style="1" customWidth="1"/>
    <col min="5353" max="5353" width="9.5703125" style="1" customWidth="1"/>
    <col min="5354" max="5596" width="8.7109375" style="1"/>
    <col min="5597" max="5597" width="4.5703125" style="1" customWidth="1"/>
    <col min="5598" max="5598" width="1" style="1" customWidth="1"/>
    <col min="5599" max="5599" width="18" style="1" customWidth="1"/>
    <col min="5600" max="5600" width="1.7109375" style="1" customWidth="1"/>
    <col min="5601" max="5601" width="12.5703125" style="1" customWidth="1"/>
    <col min="5602" max="5602" width="1.5703125" style="1" customWidth="1"/>
    <col min="5603" max="5603" width="9.5703125" style="1" customWidth="1"/>
    <col min="5604" max="5604" width="1.7109375" style="1" customWidth="1"/>
    <col min="5605" max="5605" width="11.7109375" style="1" customWidth="1"/>
    <col min="5606" max="5606" width="1.5703125" style="1" customWidth="1"/>
    <col min="5607" max="5607" width="10.28515625" style="1" customWidth="1"/>
    <col min="5608" max="5608" width="2" style="1" customWidth="1"/>
    <col min="5609" max="5609" width="9.5703125" style="1" customWidth="1"/>
    <col min="5610" max="5852" width="8.7109375" style="1"/>
    <col min="5853" max="5853" width="4.5703125" style="1" customWidth="1"/>
    <col min="5854" max="5854" width="1" style="1" customWidth="1"/>
    <col min="5855" max="5855" width="18" style="1" customWidth="1"/>
    <col min="5856" max="5856" width="1.7109375" style="1" customWidth="1"/>
    <col min="5857" max="5857" width="12.5703125" style="1" customWidth="1"/>
    <col min="5858" max="5858" width="1.5703125" style="1" customWidth="1"/>
    <col min="5859" max="5859" width="9.5703125" style="1" customWidth="1"/>
    <col min="5860" max="5860" width="1.7109375" style="1" customWidth="1"/>
    <col min="5861" max="5861" width="11.7109375" style="1" customWidth="1"/>
    <col min="5862" max="5862" width="1.5703125" style="1" customWidth="1"/>
    <col min="5863" max="5863" width="10.28515625" style="1" customWidth="1"/>
    <col min="5864" max="5864" width="2" style="1" customWidth="1"/>
    <col min="5865" max="5865" width="9.5703125" style="1" customWidth="1"/>
    <col min="5866" max="6108" width="8.7109375" style="1"/>
    <col min="6109" max="6109" width="4.5703125" style="1" customWidth="1"/>
    <col min="6110" max="6110" width="1" style="1" customWidth="1"/>
    <col min="6111" max="6111" width="18" style="1" customWidth="1"/>
    <col min="6112" max="6112" width="1.7109375" style="1" customWidth="1"/>
    <col min="6113" max="6113" width="12.5703125" style="1" customWidth="1"/>
    <col min="6114" max="6114" width="1.5703125" style="1" customWidth="1"/>
    <col min="6115" max="6115" width="9.5703125" style="1" customWidth="1"/>
    <col min="6116" max="6116" width="1.7109375" style="1" customWidth="1"/>
    <col min="6117" max="6117" width="11.7109375" style="1" customWidth="1"/>
    <col min="6118" max="6118" width="1.5703125" style="1" customWidth="1"/>
    <col min="6119" max="6119" width="10.28515625" style="1" customWidth="1"/>
    <col min="6120" max="6120" width="2" style="1" customWidth="1"/>
    <col min="6121" max="6121" width="9.5703125" style="1" customWidth="1"/>
    <col min="6122" max="6364" width="8.7109375" style="1"/>
    <col min="6365" max="6365" width="4.5703125" style="1" customWidth="1"/>
    <col min="6366" max="6366" width="1" style="1" customWidth="1"/>
    <col min="6367" max="6367" width="18" style="1" customWidth="1"/>
    <col min="6368" max="6368" width="1.7109375" style="1" customWidth="1"/>
    <col min="6369" max="6369" width="12.5703125" style="1" customWidth="1"/>
    <col min="6370" max="6370" width="1.5703125" style="1" customWidth="1"/>
    <col min="6371" max="6371" width="9.5703125" style="1" customWidth="1"/>
    <col min="6372" max="6372" width="1.7109375" style="1" customWidth="1"/>
    <col min="6373" max="6373" width="11.7109375" style="1" customWidth="1"/>
    <col min="6374" max="6374" width="1.5703125" style="1" customWidth="1"/>
    <col min="6375" max="6375" width="10.28515625" style="1" customWidth="1"/>
    <col min="6376" max="6376" width="2" style="1" customWidth="1"/>
    <col min="6377" max="6377" width="9.5703125" style="1" customWidth="1"/>
    <col min="6378" max="6620" width="8.7109375" style="1"/>
    <col min="6621" max="6621" width="4.5703125" style="1" customWidth="1"/>
    <col min="6622" max="6622" width="1" style="1" customWidth="1"/>
    <col min="6623" max="6623" width="18" style="1" customWidth="1"/>
    <col min="6624" max="6624" width="1.7109375" style="1" customWidth="1"/>
    <col min="6625" max="6625" width="12.5703125" style="1" customWidth="1"/>
    <col min="6626" max="6626" width="1.5703125" style="1" customWidth="1"/>
    <col min="6627" max="6627" width="9.5703125" style="1" customWidth="1"/>
    <col min="6628" max="6628" width="1.7109375" style="1" customWidth="1"/>
    <col min="6629" max="6629" width="11.7109375" style="1" customWidth="1"/>
    <col min="6630" max="6630" width="1.5703125" style="1" customWidth="1"/>
    <col min="6631" max="6631" width="10.28515625" style="1" customWidth="1"/>
    <col min="6632" max="6632" width="2" style="1" customWidth="1"/>
    <col min="6633" max="6633" width="9.5703125" style="1" customWidth="1"/>
    <col min="6634" max="6876" width="8.7109375" style="1"/>
    <col min="6877" max="6877" width="4.5703125" style="1" customWidth="1"/>
    <col min="6878" max="6878" width="1" style="1" customWidth="1"/>
    <col min="6879" max="6879" width="18" style="1" customWidth="1"/>
    <col min="6880" max="6880" width="1.7109375" style="1" customWidth="1"/>
    <col min="6881" max="6881" width="12.5703125" style="1" customWidth="1"/>
    <col min="6882" max="6882" width="1.5703125" style="1" customWidth="1"/>
    <col min="6883" max="6883" width="9.5703125" style="1" customWidth="1"/>
    <col min="6884" max="6884" width="1.7109375" style="1" customWidth="1"/>
    <col min="6885" max="6885" width="11.7109375" style="1" customWidth="1"/>
    <col min="6886" max="6886" width="1.5703125" style="1" customWidth="1"/>
    <col min="6887" max="6887" width="10.28515625" style="1" customWidth="1"/>
    <col min="6888" max="6888" width="2" style="1" customWidth="1"/>
    <col min="6889" max="6889" width="9.5703125" style="1" customWidth="1"/>
    <col min="6890" max="7132" width="8.7109375" style="1"/>
    <col min="7133" max="7133" width="4.5703125" style="1" customWidth="1"/>
    <col min="7134" max="7134" width="1" style="1" customWidth="1"/>
    <col min="7135" max="7135" width="18" style="1" customWidth="1"/>
    <col min="7136" max="7136" width="1.7109375" style="1" customWidth="1"/>
    <col min="7137" max="7137" width="12.5703125" style="1" customWidth="1"/>
    <col min="7138" max="7138" width="1.5703125" style="1" customWidth="1"/>
    <col min="7139" max="7139" width="9.5703125" style="1" customWidth="1"/>
    <col min="7140" max="7140" width="1.7109375" style="1" customWidth="1"/>
    <col min="7141" max="7141" width="11.7109375" style="1" customWidth="1"/>
    <col min="7142" max="7142" width="1.5703125" style="1" customWidth="1"/>
    <col min="7143" max="7143" width="10.28515625" style="1" customWidth="1"/>
    <col min="7144" max="7144" width="2" style="1" customWidth="1"/>
    <col min="7145" max="7145" width="9.5703125" style="1" customWidth="1"/>
    <col min="7146" max="7388" width="8.7109375" style="1"/>
    <col min="7389" max="7389" width="4.5703125" style="1" customWidth="1"/>
    <col min="7390" max="7390" width="1" style="1" customWidth="1"/>
    <col min="7391" max="7391" width="18" style="1" customWidth="1"/>
    <col min="7392" max="7392" width="1.7109375" style="1" customWidth="1"/>
    <col min="7393" max="7393" width="12.5703125" style="1" customWidth="1"/>
    <col min="7394" max="7394" width="1.5703125" style="1" customWidth="1"/>
    <col min="7395" max="7395" width="9.5703125" style="1" customWidth="1"/>
    <col min="7396" max="7396" width="1.7109375" style="1" customWidth="1"/>
    <col min="7397" max="7397" width="11.7109375" style="1" customWidth="1"/>
    <col min="7398" max="7398" width="1.5703125" style="1" customWidth="1"/>
    <col min="7399" max="7399" width="10.28515625" style="1" customWidth="1"/>
    <col min="7400" max="7400" width="2" style="1" customWidth="1"/>
    <col min="7401" max="7401" width="9.5703125" style="1" customWidth="1"/>
    <col min="7402" max="7644" width="8.7109375" style="1"/>
    <col min="7645" max="7645" width="4.5703125" style="1" customWidth="1"/>
    <col min="7646" max="7646" width="1" style="1" customWidth="1"/>
    <col min="7647" max="7647" width="18" style="1" customWidth="1"/>
    <col min="7648" max="7648" width="1.7109375" style="1" customWidth="1"/>
    <col min="7649" max="7649" width="12.5703125" style="1" customWidth="1"/>
    <col min="7650" max="7650" width="1.5703125" style="1" customWidth="1"/>
    <col min="7651" max="7651" width="9.5703125" style="1" customWidth="1"/>
    <col min="7652" max="7652" width="1.7109375" style="1" customWidth="1"/>
    <col min="7653" max="7653" width="11.7109375" style="1" customWidth="1"/>
    <col min="7654" max="7654" width="1.5703125" style="1" customWidth="1"/>
    <col min="7655" max="7655" width="10.28515625" style="1" customWidth="1"/>
    <col min="7656" max="7656" width="2" style="1" customWidth="1"/>
    <col min="7657" max="7657" width="9.5703125" style="1" customWidth="1"/>
    <col min="7658" max="7900" width="8.7109375" style="1"/>
    <col min="7901" max="7901" width="4.5703125" style="1" customWidth="1"/>
    <col min="7902" max="7902" width="1" style="1" customWidth="1"/>
    <col min="7903" max="7903" width="18" style="1" customWidth="1"/>
    <col min="7904" max="7904" width="1.7109375" style="1" customWidth="1"/>
    <col min="7905" max="7905" width="12.5703125" style="1" customWidth="1"/>
    <col min="7906" max="7906" width="1.5703125" style="1" customWidth="1"/>
    <col min="7907" max="7907" width="9.5703125" style="1" customWidth="1"/>
    <col min="7908" max="7908" width="1.7109375" style="1" customWidth="1"/>
    <col min="7909" max="7909" width="11.7109375" style="1" customWidth="1"/>
    <col min="7910" max="7910" width="1.5703125" style="1" customWidth="1"/>
    <col min="7911" max="7911" width="10.28515625" style="1" customWidth="1"/>
    <col min="7912" max="7912" width="2" style="1" customWidth="1"/>
    <col min="7913" max="7913" width="9.5703125" style="1" customWidth="1"/>
    <col min="7914" max="8156" width="8.7109375" style="1"/>
    <col min="8157" max="8157" width="4.5703125" style="1" customWidth="1"/>
    <col min="8158" max="8158" width="1" style="1" customWidth="1"/>
    <col min="8159" max="8159" width="18" style="1" customWidth="1"/>
    <col min="8160" max="8160" width="1.7109375" style="1" customWidth="1"/>
    <col min="8161" max="8161" width="12.5703125" style="1" customWidth="1"/>
    <col min="8162" max="8162" width="1.5703125" style="1" customWidth="1"/>
    <col min="8163" max="8163" width="9.5703125" style="1" customWidth="1"/>
    <col min="8164" max="8164" width="1.7109375" style="1" customWidth="1"/>
    <col min="8165" max="8165" width="11.7109375" style="1" customWidth="1"/>
    <col min="8166" max="8166" width="1.5703125" style="1" customWidth="1"/>
    <col min="8167" max="8167" width="10.28515625" style="1" customWidth="1"/>
    <col min="8168" max="8168" width="2" style="1" customWidth="1"/>
    <col min="8169" max="8169" width="9.5703125" style="1" customWidth="1"/>
    <col min="8170" max="8412" width="8.7109375" style="1"/>
    <col min="8413" max="8413" width="4.5703125" style="1" customWidth="1"/>
    <col min="8414" max="8414" width="1" style="1" customWidth="1"/>
    <col min="8415" max="8415" width="18" style="1" customWidth="1"/>
    <col min="8416" max="8416" width="1.7109375" style="1" customWidth="1"/>
    <col min="8417" max="8417" width="12.5703125" style="1" customWidth="1"/>
    <col min="8418" max="8418" width="1.5703125" style="1" customWidth="1"/>
    <col min="8419" max="8419" width="9.5703125" style="1" customWidth="1"/>
    <col min="8420" max="8420" width="1.7109375" style="1" customWidth="1"/>
    <col min="8421" max="8421" width="11.7109375" style="1" customWidth="1"/>
    <col min="8422" max="8422" width="1.5703125" style="1" customWidth="1"/>
    <col min="8423" max="8423" width="10.28515625" style="1" customWidth="1"/>
    <col min="8424" max="8424" width="2" style="1" customWidth="1"/>
    <col min="8425" max="8425" width="9.5703125" style="1" customWidth="1"/>
    <col min="8426" max="8668" width="8.7109375" style="1"/>
    <col min="8669" max="8669" width="4.5703125" style="1" customWidth="1"/>
    <col min="8670" max="8670" width="1" style="1" customWidth="1"/>
    <col min="8671" max="8671" width="18" style="1" customWidth="1"/>
    <col min="8672" max="8672" width="1.7109375" style="1" customWidth="1"/>
    <col min="8673" max="8673" width="12.5703125" style="1" customWidth="1"/>
    <col min="8674" max="8674" width="1.5703125" style="1" customWidth="1"/>
    <col min="8675" max="8675" width="9.5703125" style="1" customWidth="1"/>
    <col min="8676" max="8676" width="1.7109375" style="1" customWidth="1"/>
    <col min="8677" max="8677" width="11.7109375" style="1" customWidth="1"/>
    <col min="8678" max="8678" width="1.5703125" style="1" customWidth="1"/>
    <col min="8679" max="8679" width="10.28515625" style="1" customWidth="1"/>
    <col min="8680" max="8680" width="2" style="1" customWidth="1"/>
    <col min="8681" max="8681" width="9.5703125" style="1" customWidth="1"/>
    <col min="8682" max="8924" width="8.7109375" style="1"/>
    <col min="8925" max="8925" width="4.5703125" style="1" customWidth="1"/>
    <col min="8926" max="8926" width="1" style="1" customWidth="1"/>
    <col min="8927" max="8927" width="18" style="1" customWidth="1"/>
    <col min="8928" max="8928" width="1.7109375" style="1" customWidth="1"/>
    <col min="8929" max="8929" width="12.5703125" style="1" customWidth="1"/>
    <col min="8930" max="8930" width="1.5703125" style="1" customWidth="1"/>
    <col min="8931" max="8931" width="9.5703125" style="1" customWidth="1"/>
    <col min="8932" max="8932" width="1.7109375" style="1" customWidth="1"/>
    <col min="8933" max="8933" width="11.7109375" style="1" customWidth="1"/>
    <col min="8934" max="8934" width="1.5703125" style="1" customWidth="1"/>
    <col min="8935" max="8935" width="10.28515625" style="1" customWidth="1"/>
    <col min="8936" max="8936" width="2" style="1" customWidth="1"/>
    <col min="8937" max="8937" width="9.5703125" style="1" customWidth="1"/>
    <col min="8938" max="9180" width="8.7109375" style="1"/>
    <col min="9181" max="9181" width="4.5703125" style="1" customWidth="1"/>
    <col min="9182" max="9182" width="1" style="1" customWidth="1"/>
    <col min="9183" max="9183" width="18" style="1" customWidth="1"/>
    <col min="9184" max="9184" width="1.7109375" style="1" customWidth="1"/>
    <col min="9185" max="9185" width="12.5703125" style="1" customWidth="1"/>
    <col min="9186" max="9186" width="1.5703125" style="1" customWidth="1"/>
    <col min="9187" max="9187" width="9.5703125" style="1" customWidth="1"/>
    <col min="9188" max="9188" width="1.7109375" style="1" customWidth="1"/>
    <col min="9189" max="9189" width="11.7109375" style="1" customWidth="1"/>
    <col min="9190" max="9190" width="1.5703125" style="1" customWidth="1"/>
    <col min="9191" max="9191" width="10.28515625" style="1" customWidth="1"/>
    <col min="9192" max="9192" width="2" style="1" customWidth="1"/>
    <col min="9193" max="9193" width="9.5703125" style="1" customWidth="1"/>
    <col min="9194" max="9436" width="8.7109375" style="1"/>
    <col min="9437" max="9437" width="4.5703125" style="1" customWidth="1"/>
    <col min="9438" max="9438" width="1" style="1" customWidth="1"/>
    <col min="9439" max="9439" width="18" style="1" customWidth="1"/>
    <col min="9440" max="9440" width="1.7109375" style="1" customWidth="1"/>
    <col min="9441" max="9441" width="12.5703125" style="1" customWidth="1"/>
    <col min="9442" max="9442" width="1.5703125" style="1" customWidth="1"/>
    <col min="9443" max="9443" width="9.5703125" style="1" customWidth="1"/>
    <col min="9444" max="9444" width="1.7109375" style="1" customWidth="1"/>
    <col min="9445" max="9445" width="11.7109375" style="1" customWidth="1"/>
    <col min="9446" max="9446" width="1.5703125" style="1" customWidth="1"/>
    <col min="9447" max="9447" width="10.28515625" style="1" customWidth="1"/>
    <col min="9448" max="9448" width="2" style="1" customWidth="1"/>
    <col min="9449" max="9449" width="9.5703125" style="1" customWidth="1"/>
    <col min="9450" max="9692" width="8.7109375" style="1"/>
    <col min="9693" max="9693" width="4.5703125" style="1" customWidth="1"/>
    <col min="9694" max="9694" width="1" style="1" customWidth="1"/>
    <col min="9695" max="9695" width="18" style="1" customWidth="1"/>
    <col min="9696" max="9696" width="1.7109375" style="1" customWidth="1"/>
    <col min="9697" max="9697" width="12.5703125" style="1" customWidth="1"/>
    <col min="9698" max="9698" width="1.5703125" style="1" customWidth="1"/>
    <col min="9699" max="9699" width="9.5703125" style="1" customWidth="1"/>
    <col min="9700" max="9700" width="1.7109375" style="1" customWidth="1"/>
    <col min="9701" max="9701" width="11.7109375" style="1" customWidth="1"/>
    <col min="9702" max="9702" width="1.5703125" style="1" customWidth="1"/>
    <col min="9703" max="9703" width="10.28515625" style="1" customWidth="1"/>
    <col min="9704" max="9704" width="2" style="1" customWidth="1"/>
    <col min="9705" max="9705" width="9.5703125" style="1" customWidth="1"/>
    <col min="9706" max="9948" width="8.7109375" style="1"/>
    <col min="9949" max="9949" width="4.5703125" style="1" customWidth="1"/>
    <col min="9950" max="9950" width="1" style="1" customWidth="1"/>
    <col min="9951" max="9951" width="18" style="1" customWidth="1"/>
    <col min="9952" max="9952" width="1.7109375" style="1" customWidth="1"/>
    <col min="9953" max="9953" width="12.5703125" style="1" customWidth="1"/>
    <col min="9954" max="9954" width="1.5703125" style="1" customWidth="1"/>
    <col min="9955" max="9955" width="9.5703125" style="1" customWidth="1"/>
    <col min="9956" max="9956" width="1.7109375" style="1" customWidth="1"/>
    <col min="9957" max="9957" width="11.7109375" style="1" customWidth="1"/>
    <col min="9958" max="9958" width="1.5703125" style="1" customWidth="1"/>
    <col min="9959" max="9959" width="10.28515625" style="1" customWidth="1"/>
    <col min="9960" max="9960" width="2" style="1" customWidth="1"/>
    <col min="9961" max="9961" width="9.5703125" style="1" customWidth="1"/>
    <col min="9962" max="10204" width="8.7109375" style="1"/>
    <col min="10205" max="10205" width="4.5703125" style="1" customWidth="1"/>
    <col min="10206" max="10206" width="1" style="1" customWidth="1"/>
    <col min="10207" max="10207" width="18" style="1" customWidth="1"/>
    <col min="10208" max="10208" width="1.7109375" style="1" customWidth="1"/>
    <col min="10209" max="10209" width="12.5703125" style="1" customWidth="1"/>
    <col min="10210" max="10210" width="1.5703125" style="1" customWidth="1"/>
    <col min="10211" max="10211" width="9.5703125" style="1" customWidth="1"/>
    <col min="10212" max="10212" width="1.7109375" style="1" customWidth="1"/>
    <col min="10213" max="10213" width="11.7109375" style="1" customWidth="1"/>
    <col min="10214" max="10214" width="1.5703125" style="1" customWidth="1"/>
    <col min="10215" max="10215" width="10.28515625" style="1" customWidth="1"/>
    <col min="10216" max="10216" width="2" style="1" customWidth="1"/>
    <col min="10217" max="10217" width="9.5703125" style="1" customWidth="1"/>
    <col min="10218" max="10460" width="8.7109375" style="1"/>
    <col min="10461" max="10461" width="4.5703125" style="1" customWidth="1"/>
    <col min="10462" max="10462" width="1" style="1" customWidth="1"/>
    <col min="10463" max="10463" width="18" style="1" customWidth="1"/>
    <col min="10464" max="10464" width="1.7109375" style="1" customWidth="1"/>
    <col min="10465" max="10465" width="12.5703125" style="1" customWidth="1"/>
    <col min="10466" max="10466" width="1.5703125" style="1" customWidth="1"/>
    <col min="10467" max="10467" width="9.5703125" style="1" customWidth="1"/>
    <col min="10468" max="10468" width="1.7109375" style="1" customWidth="1"/>
    <col min="10469" max="10469" width="11.7109375" style="1" customWidth="1"/>
    <col min="10470" max="10470" width="1.5703125" style="1" customWidth="1"/>
    <col min="10471" max="10471" width="10.28515625" style="1" customWidth="1"/>
    <col min="10472" max="10472" width="2" style="1" customWidth="1"/>
    <col min="10473" max="10473" width="9.5703125" style="1" customWidth="1"/>
    <col min="10474" max="10716" width="8.7109375" style="1"/>
    <col min="10717" max="10717" width="4.5703125" style="1" customWidth="1"/>
    <col min="10718" max="10718" width="1" style="1" customWidth="1"/>
    <col min="10719" max="10719" width="18" style="1" customWidth="1"/>
    <col min="10720" max="10720" width="1.7109375" style="1" customWidth="1"/>
    <col min="10721" max="10721" width="12.5703125" style="1" customWidth="1"/>
    <col min="10722" max="10722" width="1.5703125" style="1" customWidth="1"/>
    <col min="10723" max="10723" width="9.5703125" style="1" customWidth="1"/>
    <col min="10724" max="10724" width="1.7109375" style="1" customWidth="1"/>
    <col min="10725" max="10725" width="11.7109375" style="1" customWidth="1"/>
    <col min="10726" max="10726" width="1.5703125" style="1" customWidth="1"/>
    <col min="10727" max="10727" width="10.28515625" style="1" customWidth="1"/>
    <col min="10728" max="10728" width="2" style="1" customWidth="1"/>
    <col min="10729" max="10729" width="9.5703125" style="1" customWidth="1"/>
    <col min="10730" max="10972" width="8.7109375" style="1"/>
    <col min="10973" max="10973" width="4.5703125" style="1" customWidth="1"/>
    <col min="10974" max="10974" width="1" style="1" customWidth="1"/>
    <col min="10975" max="10975" width="18" style="1" customWidth="1"/>
    <col min="10976" max="10976" width="1.7109375" style="1" customWidth="1"/>
    <col min="10977" max="10977" width="12.5703125" style="1" customWidth="1"/>
    <col min="10978" max="10978" width="1.5703125" style="1" customWidth="1"/>
    <col min="10979" max="10979" width="9.5703125" style="1" customWidth="1"/>
    <col min="10980" max="10980" width="1.7109375" style="1" customWidth="1"/>
    <col min="10981" max="10981" width="11.7109375" style="1" customWidth="1"/>
    <col min="10982" max="10982" width="1.5703125" style="1" customWidth="1"/>
    <col min="10983" max="10983" width="10.28515625" style="1" customWidth="1"/>
    <col min="10984" max="10984" width="2" style="1" customWidth="1"/>
    <col min="10985" max="10985" width="9.5703125" style="1" customWidth="1"/>
    <col min="10986" max="11228" width="8.7109375" style="1"/>
    <col min="11229" max="11229" width="4.5703125" style="1" customWidth="1"/>
    <col min="11230" max="11230" width="1" style="1" customWidth="1"/>
    <col min="11231" max="11231" width="18" style="1" customWidth="1"/>
    <col min="11232" max="11232" width="1.7109375" style="1" customWidth="1"/>
    <col min="11233" max="11233" width="12.5703125" style="1" customWidth="1"/>
    <col min="11234" max="11234" width="1.5703125" style="1" customWidth="1"/>
    <col min="11235" max="11235" width="9.5703125" style="1" customWidth="1"/>
    <col min="11236" max="11236" width="1.7109375" style="1" customWidth="1"/>
    <col min="11237" max="11237" width="11.7109375" style="1" customWidth="1"/>
    <col min="11238" max="11238" width="1.5703125" style="1" customWidth="1"/>
    <col min="11239" max="11239" width="10.28515625" style="1" customWidth="1"/>
    <col min="11240" max="11240" width="2" style="1" customWidth="1"/>
    <col min="11241" max="11241" width="9.5703125" style="1" customWidth="1"/>
    <col min="11242" max="11484" width="8.7109375" style="1"/>
    <col min="11485" max="11485" width="4.5703125" style="1" customWidth="1"/>
    <col min="11486" max="11486" width="1" style="1" customWidth="1"/>
    <col min="11487" max="11487" width="18" style="1" customWidth="1"/>
    <col min="11488" max="11488" width="1.7109375" style="1" customWidth="1"/>
    <col min="11489" max="11489" width="12.5703125" style="1" customWidth="1"/>
    <col min="11490" max="11490" width="1.5703125" style="1" customWidth="1"/>
    <col min="11491" max="11491" width="9.5703125" style="1" customWidth="1"/>
    <col min="11492" max="11492" width="1.7109375" style="1" customWidth="1"/>
    <col min="11493" max="11493" width="11.7109375" style="1" customWidth="1"/>
    <col min="11494" max="11494" width="1.5703125" style="1" customWidth="1"/>
    <col min="11495" max="11495" width="10.28515625" style="1" customWidth="1"/>
    <col min="11496" max="11496" width="2" style="1" customWidth="1"/>
    <col min="11497" max="11497" width="9.5703125" style="1" customWidth="1"/>
    <col min="11498" max="11740" width="8.7109375" style="1"/>
    <col min="11741" max="11741" width="4.5703125" style="1" customWidth="1"/>
    <col min="11742" max="11742" width="1" style="1" customWidth="1"/>
    <col min="11743" max="11743" width="18" style="1" customWidth="1"/>
    <col min="11744" max="11744" width="1.7109375" style="1" customWidth="1"/>
    <col min="11745" max="11745" width="12.5703125" style="1" customWidth="1"/>
    <col min="11746" max="11746" width="1.5703125" style="1" customWidth="1"/>
    <col min="11747" max="11747" width="9.5703125" style="1" customWidth="1"/>
    <col min="11748" max="11748" width="1.7109375" style="1" customWidth="1"/>
    <col min="11749" max="11749" width="11.7109375" style="1" customWidth="1"/>
    <col min="11750" max="11750" width="1.5703125" style="1" customWidth="1"/>
    <col min="11751" max="11751" width="10.28515625" style="1" customWidth="1"/>
    <col min="11752" max="11752" width="2" style="1" customWidth="1"/>
    <col min="11753" max="11753" width="9.5703125" style="1" customWidth="1"/>
    <col min="11754" max="11996" width="8.7109375" style="1"/>
    <col min="11997" max="11997" width="4.5703125" style="1" customWidth="1"/>
    <col min="11998" max="11998" width="1" style="1" customWidth="1"/>
    <col min="11999" max="11999" width="18" style="1" customWidth="1"/>
    <col min="12000" max="12000" width="1.7109375" style="1" customWidth="1"/>
    <col min="12001" max="12001" width="12.5703125" style="1" customWidth="1"/>
    <col min="12002" max="12002" width="1.5703125" style="1" customWidth="1"/>
    <col min="12003" max="12003" width="9.5703125" style="1" customWidth="1"/>
    <col min="12004" max="12004" width="1.7109375" style="1" customWidth="1"/>
    <col min="12005" max="12005" width="11.7109375" style="1" customWidth="1"/>
    <col min="12006" max="12006" width="1.5703125" style="1" customWidth="1"/>
    <col min="12007" max="12007" width="10.28515625" style="1" customWidth="1"/>
    <col min="12008" max="12008" width="2" style="1" customWidth="1"/>
    <col min="12009" max="12009" width="9.5703125" style="1" customWidth="1"/>
    <col min="12010" max="12252" width="8.7109375" style="1"/>
    <col min="12253" max="12253" width="4.5703125" style="1" customWidth="1"/>
    <col min="12254" max="12254" width="1" style="1" customWidth="1"/>
    <col min="12255" max="12255" width="18" style="1" customWidth="1"/>
    <col min="12256" max="12256" width="1.7109375" style="1" customWidth="1"/>
    <col min="12257" max="12257" width="12.5703125" style="1" customWidth="1"/>
    <col min="12258" max="12258" width="1.5703125" style="1" customWidth="1"/>
    <col min="12259" max="12259" width="9.5703125" style="1" customWidth="1"/>
    <col min="12260" max="12260" width="1.7109375" style="1" customWidth="1"/>
    <col min="12261" max="12261" width="11.7109375" style="1" customWidth="1"/>
    <col min="12262" max="12262" width="1.5703125" style="1" customWidth="1"/>
    <col min="12263" max="12263" width="10.28515625" style="1" customWidth="1"/>
    <col min="12264" max="12264" width="2" style="1" customWidth="1"/>
    <col min="12265" max="12265" width="9.5703125" style="1" customWidth="1"/>
    <col min="12266" max="12508" width="8.7109375" style="1"/>
    <col min="12509" max="12509" width="4.5703125" style="1" customWidth="1"/>
    <col min="12510" max="12510" width="1" style="1" customWidth="1"/>
    <col min="12511" max="12511" width="18" style="1" customWidth="1"/>
    <col min="12512" max="12512" width="1.7109375" style="1" customWidth="1"/>
    <col min="12513" max="12513" width="12.5703125" style="1" customWidth="1"/>
    <col min="12514" max="12514" width="1.5703125" style="1" customWidth="1"/>
    <col min="12515" max="12515" width="9.5703125" style="1" customWidth="1"/>
    <col min="12516" max="12516" width="1.7109375" style="1" customWidth="1"/>
    <col min="12517" max="12517" width="11.7109375" style="1" customWidth="1"/>
    <col min="12518" max="12518" width="1.5703125" style="1" customWidth="1"/>
    <col min="12519" max="12519" width="10.28515625" style="1" customWidth="1"/>
    <col min="12520" max="12520" width="2" style="1" customWidth="1"/>
    <col min="12521" max="12521" width="9.5703125" style="1" customWidth="1"/>
    <col min="12522" max="12764" width="8.7109375" style="1"/>
    <col min="12765" max="12765" width="4.5703125" style="1" customWidth="1"/>
    <col min="12766" max="12766" width="1" style="1" customWidth="1"/>
    <col min="12767" max="12767" width="18" style="1" customWidth="1"/>
    <col min="12768" max="12768" width="1.7109375" style="1" customWidth="1"/>
    <col min="12769" max="12769" width="12.5703125" style="1" customWidth="1"/>
    <col min="12770" max="12770" width="1.5703125" style="1" customWidth="1"/>
    <col min="12771" max="12771" width="9.5703125" style="1" customWidth="1"/>
    <col min="12772" max="12772" width="1.7109375" style="1" customWidth="1"/>
    <col min="12773" max="12773" width="11.7109375" style="1" customWidth="1"/>
    <col min="12774" max="12774" width="1.5703125" style="1" customWidth="1"/>
    <col min="12775" max="12775" width="10.28515625" style="1" customWidth="1"/>
    <col min="12776" max="12776" width="2" style="1" customWidth="1"/>
    <col min="12777" max="12777" width="9.5703125" style="1" customWidth="1"/>
    <col min="12778" max="13020" width="8.7109375" style="1"/>
    <col min="13021" max="13021" width="4.5703125" style="1" customWidth="1"/>
    <col min="13022" max="13022" width="1" style="1" customWidth="1"/>
    <col min="13023" max="13023" width="18" style="1" customWidth="1"/>
    <col min="13024" max="13024" width="1.7109375" style="1" customWidth="1"/>
    <col min="13025" max="13025" width="12.5703125" style="1" customWidth="1"/>
    <col min="13026" max="13026" width="1.5703125" style="1" customWidth="1"/>
    <col min="13027" max="13027" width="9.5703125" style="1" customWidth="1"/>
    <col min="13028" max="13028" width="1.7109375" style="1" customWidth="1"/>
    <col min="13029" max="13029" width="11.7109375" style="1" customWidth="1"/>
    <col min="13030" max="13030" width="1.5703125" style="1" customWidth="1"/>
    <col min="13031" max="13031" width="10.28515625" style="1" customWidth="1"/>
    <col min="13032" max="13032" width="2" style="1" customWidth="1"/>
    <col min="13033" max="13033" width="9.5703125" style="1" customWidth="1"/>
    <col min="13034" max="13276" width="8.7109375" style="1"/>
    <col min="13277" max="13277" width="4.5703125" style="1" customWidth="1"/>
    <col min="13278" max="13278" width="1" style="1" customWidth="1"/>
    <col min="13279" max="13279" width="18" style="1" customWidth="1"/>
    <col min="13280" max="13280" width="1.7109375" style="1" customWidth="1"/>
    <col min="13281" max="13281" width="12.5703125" style="1" customWidth="1"/>
    <col min="13282" max="13282" width="1.5703125" style="1" customWidth="1"/>
    <col min="13283" max="13283" width="9.5703125" style="1" customWidth="1"/>
    <col min="13284" max="13284" width="1.7109375" style="1" customWidth="1"/>
    <col min="13285" max="13285" width="11.7109375" style="1" customWidth="1"/>
    <col min="13286" max="13286" width="1.5703125" style="1" customWidth="1"/>
    <col min="13287" max="13287" width="10.28515625" style="1" customWidth="1"/>
    <col min="13288" max="13288" width="2" style="1" customWidth="1"/>
    <col min="13289" max="13289" width="9.5703125" style="1" customWidth="1"/>
    <col min="13290" max="13532" width="8.7109375" style="1"/>
    <col min="13533" max="13533" width="4.5703125" style="1" customWidth="1"/>
    <col min="13534" max="13534" width="1" style="1" customWidth="1"/>
    <col min="13535" max="13535" width="18" style="1" customWidth="1"/>
    <col min="13536" max="13536" width="1.7109375" style="1" customWidth="1"/>
    <col min="13537" max="13537" width="12.5703125" style="1" customWidth="1"/>
    <col min="13538" max="13538" width="1.5703125" style="1" customWidth="1"/>
    <col min="13539" max="13539" width="9.5703125" style="1" customWidth="1"/>
    <col min="13540" max="13540" width="1.7109375" style="1" customWidth="1"/>
    <col min="13541" max="13541" width="11.7109375" style="1" customWidth="1"/>
    <col min="13542" max="13542" width="1.5703125" style="1" customWidth="1"/>
    <col min="13543" max="13543" width="10.28515625" style="1" customWidth="1"/>
    <col min="13544" max="13544" width="2" style="1" customWidth="1"/>
    <col min="13545" max="13545" width="9.5703125" style="1" customWidth="1"/>
    <col min="13546" max="13788" width="8.7109375" style="1"/>
    <col min="13789" max="13789" width="4.5703125" style="1" customWidth="1"/>
    <col min="13790" max="13790" width="1" style="1" customWidth="1"/>
    <col min="13791" max="13791" width="18" style="1" customWidth="1"/>
    <col min="13792" max="13792" width="1.7109375" style="1" customWidth="1"/>
    <col min="13793" max="13793" width="12.5703125" style="1" customWidth="1"/>
    <col min="13794" max="13794" width="1.5703125" style="1" customWidth="1"/>
    <col min="13795" max="13795" width="9.5703125" style="1" customWidth="1"/>
    <col min="13796" max="13796" width="1.7109375" style="1" customWidth="1"/>
    <col min="13797" max="13797" width="11.7109375" style="1" customWidth="1"/>
    <col min="13798" max="13798" width="1.5703125" style="1" customWidth="1"/>
    <col min="13799" max="13799" width="10.28515625" style="1" customWidth="1"/>
    <col min="13800" max="13800" width="2" style="1" customWidth="1"/>
    <col min="13801" max="13801" width="9.5703125" style="1" customWidth="1"/>
    <col min="13802" max="14044" width="8.7109375" style="1"/>
    <col min="14045" max="14045" width="4.5703125" style="1" customWidth="1"/>
    <col min="14046" max="14046" width="1" style="1" customWidth="1"/>
    <col min="14047" max="14047" width="18" style="1" customWidth="1"/>
    <col min="14048" max="14048" width="1.7109375" style="1" customWidth="1"/>
    <col min="14049" max="14049" width="12.5703125" style="1" customWidth="1"/>
    <col min="14050" max="14050" width="1.5703125" style="1" customWidth="1"/>
    <col min="14051" max="14051" width="9.5703125" style="1" customWidth="1"/>
    <col min="14052" max="14052" width="1.7109375" style="1" customWidth="1"/>
    <col min="14053" max="14053" width="11.7109375" style="1" customWidth="1"/>
    <col min="14054" max="14054" width="1.5703125" style="1" customWidth="1"/>
    <col min="14055" max="14055" width="10.28515625" style="1" customWidth="1"/>
    <col min="14056" max="14056" width="2" style="1" customWidth="1"/>
    <col min="14057" max="14057" width="9.5703125" style="1" customWidth="1"/>
    <col min="14058" max="14300" width="8.7109375" style="1"/>
    <col min="14301" max="14301" width="4.5703125" style="1" customWidth="1"/>
    <col min="14302" max="14302" width="1" style="1" customWidth="1"/>
    <col min="14303" max="14303" width="18" style="1" customWidth="1"/>
    <col min="14304" max="14304" width="1.7109375" style="1" customWidth="1"/>
    <col min="14305" max="14305" width="12.5703125" style="1" customWidth="1"/>
    <col min="14306" max="14306" width="1.5703125" style="1" customWidth="1"/>
    <col min="14307" max="14307" width="9.5703125" style="1" customWidth="1"/>
    <col min="14308" max="14308" width="1.7109375" style="1" customWidth="1"/>
    <col min="14309" max="14309" width="11.7109375" style="1" customWidth="1"/>
    <col min="14310" max="14310" width="1.5703125" style="1" customWidth="1"/>
    <col min="14311" max="14311" width="10.28515625" style="1" customWidth="1"/>
    <col min="14312" max="14312" width="2" style="1" customWidth="1"/>
    <col min="14313" max="14313" width="9.5703125" style="1" customWidth="1"/>
    <col min="14314" max="14556" width="8.7109375" style="1"/>
    <col min="14557" max="14557" width="4.5703125" style="1" customWidth="1"/>
    <col min="14558" max="14558" width="1" style="1" customWidth="1"/>
    <col min="14559" max="14559" width="18" style="1" customWidth="1"/>
    <col min="14560" max="14560" width="1.7109375" style="1" customWidth="1"/>
    <col min="14561" max="14561" width="12.5703125" style="1" customWidth="1"/>
    <col min="14562" max="14562" width="1.5703125" style="1" customWidth="1"/>
    <col min="14563" max="14563" width="9.5703125" style="1" customWidth="1"/>
    <col min="14564" max="14564" width="1.7109375" style="1" customWidth="1"/>
    <col min="14565" max="14565" width="11.7109375" style="1" customWidth="1"/>
    <col min="14566" max="14566" width="1.5703125" style="1" customWidth="1"/>
    <col min="14567" max="14567" width="10.28515625" style="1" customWidth="1"/>
    <col min="14568" max="14568" width="2" style="1" customWidth="1"/>
    <col min="14569" max="14569" width="9.5703125" style="1" customWidth="1"/>
    <col min="14570" max="14812" width="8.7109375" style="1"/>
    <col min="14813" max="14813" width="4.5703125" style="1" customWidth="1"/>
    <col min="14814" max="14814" width="1" style="1" customWidth="1"/>
    <col min="14815" max="14815" width="18" style="1" customWidth="1"/>
    <col min="14816" max="14816" width="1.7109375" style="1" customWidth="1"/>
    <col min="14817" max="14817" width="12.5703125" style="1" customWidth="1"/>
    <col min="14818" max="14818" width="1.5703125" style="1" customWidth="1"/>
    <col min="14819" max="14819" width="9.5703125" style="1" customWidth="1"/>
    <col min="14820" max="14820" width="1.7109375" style="1" customWidth="1"/>
    <col min="14821" max="14821" width="11.7109375" style="1" customWidth="1"/>
    <col min="14822" max="14822" width="1.5703125" style="1" customWidth="1"/>
    <col min="14823" max="14823" width="10.28515625" style="1" customWidth="1"/>
    <col min="14824" max="14824" width="2" style="1" customWidth="1"/>
    <col min="14825" max="14825" width="9.5703125" style="1" customWidth="1"/>
    <col min="14826" max="15068" width="8.7109375" style="1"/>
    <col min="15069" max="15069" width="4.5703125" style="1" customWidth="1"/>
    <col min="15070" max="15070" width="1" style="1" customWidth="1"/>
    <col min="15071" max="15071" width="18" style="1" customWidth="1"/>
    <col min="15072" max="15072" width="1.7109375" style="1" customWidth="1"/>
    <col min="15073" max="15073" width="12.5703125" style="1" customWidth="1"/>
    <col min="15074" max="15074" width="1.5703125" style="1" customWidth="1"/>
    <col min="15075" max="15075" width="9.5703125" style="1" customWidth="1"/>
    <col min="15076" max="15076" width="1.7109375" style="1" customWidth="1"/>
    <col min="15077" max="15077" width="11.7109375" style="1" customWidth="1"/>
    <col min="15078" max="15078" width="1.5703125" style="1" customWidth="1"/>
    <col min="15079" max="15079" width="10.28515625" style="1" customWidth="1"/>
    <col min="15080" max="15080" width="2" style="1" customWidth="1"/>
    <col min="15081" max="15081" width="9.5703125" style="1" customWidth="1"/>
    <col min="15082" max="15324" width="8.7109375" style="1"/>
    <col min="15325" max="15325" width="4.5703125" style="1" customWidth="1"/>
    <col min="15326" max="15326" width="1" style="1" customWidth="1"/>
    <col min="15327" max="15327" width="18" style="1" customWidth="1"/>
    <col min="15328" max="15328" width="1.7109375" style="1" customWidth="1"/>
    <col min="15329" max="15329" width="12.5703125" style="1" customWidth="1"/>
    <col min="15330" max="15330" width="1.5703125" style="1" customWidth="1"/>
    <col min="15331" max="15331" width="9.5703125" style="1" customWidth="1"/>
    <col min="15332" max="15332" width="1.7109375" style="1" customWidth="1"/>
    <col min="15333" max="15333" width="11.7109375" style="1" customWidth="1"/>
    <col min="15334" max="15334" width="1.5703125" style="1" customWidth="1"/>
    <col min="15335" max="15335" width="10.28515625" style="1" customWidth="1"/>
    <col min="15336" max="15336" width="2" style="1" customWidth="1"/>
    <col min="15337" max="15337" width="9.5703125" style="1" customWidth="1"/>
    <col min="15338" max="15580" width="8.7109375" style="1"/>
    <col min="15581" max="15581" width="4.5703125" style="1" customWidth="1"/>
    <col min="15582" max="15582" width="1" style="1" customWidth="1"/>
    <col min="15583" max="15583" width="18" style="1" customWidth="1"/>
    <col min="15584" max="15584" width="1.7109375" style="1" customWidth="1"/>
    <col min="15585" max="15585" width="12.5703125" style="1" customWidth="1"/>
    <col min="15586" max="15586" width="1.5703125" style="1" customWidth="1"/>
    <col min="15587" max="15587" width="9.5703125" style="1" customWidth="1"/>
    <col min="15588" max="15588" width="1.7109375" style="1" customWidth="1"/>
    <col min="15589" max="15589" width="11.7109375" style="1" customWidth="1"/>
    <col min="15590" max="15590" width="1.5703125" style="1" customWidth="1"/>
    <col min="15591" max="15591" width="10.28515625" style="1" customWidth="1"/>
    <col min="15592" max="15592" width="2" style="1" customWidth="1"/>
    <col min="15593" max="15593" width="9.5703125" style="1" customWidth="1"/>
    <col min="15594" max="15836" width="8.7109375" style="1"/>
    <col min="15837" max="15837" width="4.5703125" style="1" customWidth="1"/>
    <col min="15838" max="15838" width="1" style="1" customWidth="1"/>
    <col min="15839" max="15839" width="18" style="1" customWidth="1"/>
    <col min="15840" max="15840" width="1.7109375" style="1" customWidth="1"/>
    <col min="15841" max="15841" width="12.5703125" style="1" customWidth="1"/>
    <col min="15842" max="15842" width="1.5703125" style="1" customWidth="1"/>
    <col min="15843" max="15843" width="9.5703125" style="1" customWidth="1"/>
    <col min="15844" max="15844" width="1.7109375" style="1" customWidth="1"/>
    <col min="15845" max="15845" width="11.7109375" style="1" customWidth="1"/>
    <col min="15846" max="15846" width="1.5703125" style="1" customWidth="1"/>
    <col min="15847" max="15847" width="10.28515625" style="1" customWidth="1"/>
    <col min="15848" max="15848" width="2" style="1" customWidth="1"/>
    <col min="15849" max="15849" width="9.5703125" style="1" customWidth="1"/>
    <col min="15850" max="16092" width="8.7109375" style="1"/>
    <col min="16093" max="16093" width="4.5703125" style="1" customWidth="1"/>
    <col min="16094" max="16094" width="1" style="1" customWidth="1"/>
    <col min="16095" max="16095" width="18" style="1" customWidth="1"/>
    <col min="16096" max="16096" width="1.7109375" style="1" customWidth="1"/>
    <col min="16097" max="16097" width="12.5703125" style="1" customWidth="1"/>
    <col min="16098" max="16098" width="1.5703125" style="1" customWidth="1"/>
    <col min="16099" max="16099" width="9.5703125" style="1" customWidth="1"/>
    <col min="16100" max="16100" width="1.7109375" style="1" customWidth="1"/>
    <col min="16101" max="16101" width="11.7109375" style="1" customWidth="1"/>
    <col min="16102" max="16102" width="1.5703125" style="1" customWidth="1"/>
    <col min="16103" max="16103" width="10.28515625" style="1" customWidth="1"/>
    <col min="16104" max="16104" width="2" style="1" customWidth="1"/>
    <col min="16105" max="16105" width="9.5703125" style="1" customWidth="1"/>
    <col min="16106" max="16383" width="8.7109375" style="1"/>
    <col min="16384" max="16384" width="8.7109375" style="1" customWidth="1"/>
  </cols>
  <sheetData>
    <row r="2" spans="1:14" ht="12.75" customHeight="1" x14ac:dyDescent="0.2">
      <c r="A2" s="63"/>
      <c r="B2" s="28"/>
      <c r="C2" s="28"/>
      <c r="D2" s="28"/>
      <c r="E2" s="28"/>
      <c r="F2" s="28"/>
      <c r="G2" s="28"/>
      <c r="H2" s="28"/>
      <c r="I2" s="28"/>
      <c r="J2" s="28"/>
      <c r="K2" s="28"/>
      <c r="L2" s="28"/>
      <c r="M2" s="28"/>
      <c r="N2" s="28"/>
    </row>
    <row r="3" spans="1:14" ht="12.75" customHeight="1" x14ac:dyDescent="0.2">
      <c r="A3" s="63"/>
      <c r="B3" s="28"/>
      <c r="C3" s="28"/>
      <c r="D3" s="28"/>
      <c r="E3" s="28"/>
      <c r="F3" s="28"/>
      <c r="G3" s="28"/>
      <c r="H3" s="28"/>
      <c r="I3" s="28"/>
      <c r="J3" s="28"/>
      <c r="K3" s="28"/>
      <c r="L3" s="28"/>
      <c r="M3" s="28"/>
      <c r="N3" s="28"/>
    </row>
    <row r="4" spans="1:14" ht="12.75" customHeight="1" x14ac:dyDescent="0.2">
      <c r="A4" s="63"/>
      <c r="B4" s="28"/>
      <c r="C4" s="28"/>
      <c r="D4" s="28"/>
      <c r="E4" s="28"/>
      <c r="F4" s="28"/>
      <c r="G4" s="28"/>
      <c r="H4" s="28"/>
      <c r="I4" s="28"/>
      <c r="J4" s="28"/>
      <c r="K4" s="28"/>
      <c r="L4" s="28"/>
      <c r="M4" s="28"/>
      <c r="N4" s="28"/>
    </row>
    <row r="5" spans="1:14" ht="12.75" customHeight="1" x14ac:dyDescent="0.2">
      <c r="B5" s="166"/>
      <c r="C5" s="166"/>
      <c r="D5" s="166"/>
      <c r="E5" s="166"/>
      <c r="F5" s="166"/>
      <c r="G5" s="166"/>
      <c r="H5" s="166"/>
      <c r="I5" s="166"/>
      <c r="J5" s="166"/>
      <c r="K5" s="166"/>
      <c r="L5" s="166"/>
      <c r="M5" s="166"/>
      <c r="N5" s="166"/>
    </row>
    <row r="6" spans="1:14" ht="12.75" customHeight="1" x14ac:dyDescent="0.2">
      <c r="A6" s="470" t="s">
        <v>703</v>
      </c>
      <c r="B6" s="168"/>
      <c r="C6" s="168"/>
      <c r="D6" s="168"/>
      <c r="E6" s="168"/>
      <c r="F6" s="168"/>
      <c r="G6" s="168"/>
      <c r="H6" s="168"/>
      <c r="I6" s="168"/>
      <c r="J6" s="168"/>
      <c r="K6" s="168"/>
      <c r="L6" s="168"/>
      <c r="M6" s="168"/>
      <c r="N6" s="168"/>
    </row>
    <row r="7" spans="1:14" ht="12.75" customHeight="1" x14ac:dyDescent="0.2">
      <c r="A7" s="168"/>
      <c r="B7" s="168"/>
      <c r="C7" s="168"/>
      <c r="D7" s="168"/>
      <c r="E7" s="170"/>
      <c r="F7" s="168"/>
      <c r="G7" s="170"/>
      <c r="H7" s="170"/>
      <c r="I7" s="168"/>
      <c r="J7" s="168"/>
      <c r="K7" s="168"/>
      <c r="L7" s="168"/>
      <c r="M7" s="168"/>
      <c r="N7" s="168"/>
    </row>
    <row r="8" spans="1:14" ht="12.75" customHeight="1" x14ac:dyDescent="0.2">
      <c r="A8" s="170"/>
      <c r="B8" s="170"/>
      <c r="C8" s="170"/>
      <c r="D8" s="170"/>
      <c r="E8" s="173" t="s">
        <v>699</v>
      </c>
      <c r="F8" s="173"/>
      <c r="G8" s="173"/>
      <c r="H8" s="170"/>
      <c r="I8" s="8" t="s">
        <v>708</v>
      </c>
      <c r="J8" s="6"/>
      <c r="K8" s="8"/>
      <c r="L8" s="168"/>
      <c r="M8" s="454" t="s">
        <v>704</v>
      </c>
      <c r="N8" s="170"/>
    </row>
    <row r="9" spans="1:14" ht="12.75" customHeight="1" x14ac:dyDescent="0.2">
      <c r="A9" s="168"/>
      <c r="B9" s="168"/>
      <c r="C9" s="168"/>
      <c r="D9" s="168"/>
      <c r="E9" s="168"/>
      <c r="F9" s="168"/>
      <c r="G9" s="168"/>
      <c r="H9" s="168"/>
      <c r="I9" s="6" t="s">
        <v>712</v>
      </c>
      <c r="K9" s="6" t="s">
        <v>709</v>
      </c>
      <c r="L9" s="168"/>
      <c r="M9" s="454" t="s">
        <v>705</v>
      </c>
      <c r="N9" s="168"/>
    </row>
    <row r="10" spans="1:14" s="523" customFormat="1" ht="12.75" customHeight="1" x14ac:dyDescent="0.2">
      <c r="A10" s="154" t="s">
        <v>0</v>
      </c>
      <c r="B10" s="154"/>
      <c r="C10" s="63"/>
      <c r="D10" s="154"/>
      <c r="E10" s="63" t="s">
        <v>567</v>
      </c>
      <c r="F10" s="154"/>
      <c r="G10" s="63" t="s">
        <v>568</v>
      </c>
      <c r="H10" s="64"/>
      <c r="I10" s="6" t="s">
        <v>710</v>
      </c>
      <c r="J10" s="1"/>
      <c r="K10" s="6" t="s">
        <v>711</v>
      </c>
      <c r="L10" s="154"/>
      <c r="M10" s="24" t="s">
        <v>706</v>
      </c>
      <c r="N10" s="154"/>
    </row>
    <row r="11" spans="1:14" ht="12.75" customHeight="1" x14ac:dyDescent="0.2">
      <c r="A11" s="520" t="s">
        <v>1</v>
      </c>
      <c r="B11" s="33"/>
      <c r="C11" s="185" t="s">
        <v>33</v>
      </c>
      <c r="D11" s="64"/>
      <c r="E11" s="520" t="s">
        <v>569</v>
      </c>
      <c r="F11" s="64"/>
      <c r="G11" s="520" t="s">
        <v>570</v>
      </c>
      <c r="H11" s="28"/>
      <c r="I11" s="520" t="s">
        <v>389</v>
      </c>
      <c r="J11" s="64"/>
      <c r="K11" s="520" t="s">
        <v>389</v>
      </c>
      <c r="L11" s="64"/>
      <c r="M11" s="520" t="s">
        <v>389</v>
      </c>
      <c r="N11" s="64"/>
    </row>
    <row r="12" spans="1:14" ht="12.75" customHeight="1" x14ac:dyDescent="0.2">
      <c r="A12" s="64"/>
      <c r="B12" s="33"/>
      <c r="C12" s="33"/>
      <c r="D12" s="64"/>
      <c r="E12" s="64" t="s">
        <v>3</v>
      </c>
      <c r="F12" s="64"/>
      <c r="G12" s="64" t="s">
        <v>4</v>
      </c>
      <c r="H12" s="64"/>
      <c r="I12" s="175" t="s">
        <v>58</v>
      </c>
      <c r="J12" s="64"/>
      <c r="K12" s="64" t="s">
        <v>263</v>
      </c>
      <c r="L12" s="64"/>
      <c r="M12" s="64" t="s">
        <v>315</v>
      </c>
      <c r="N12" s="64"/>
    </row>
    <row r="13" spans="1:14" ht="12.75" customHeight="1" x14ac:dyDescent="0.2">
      <c r="A13" s="64"/>
      <c r="B13" s="33"/>
      <c r="C13" s="33"/>
      <c r="D13" s="64"/>
      <c r="E13" s="186"/>
      <c r="F13" s="64"/>
      <c r="G13" s="186"/>
      <c r="H13" s="64"/>
      <c r="I13" s="64"/>
      <c r="J13" s="64"/>
      <c r="K13" s="64"/>
      <c r="L13" s="64"/>
      <c r="M13" s="64"/>
      <c r="N13" s="64"/>
    </row>
    <row r="14" spans="1:14" ht="12.75" customHeight="1" x14ac:dyDescent="0.2">
      <c r="A14" s="64"/>
      <c r="B14" s="33"/>
      <c r="C14" s="28" t="s">
        <v>394</v>
      </c>
      <c r="D14" s="64"/>
      <c r="E14" s="13"/>
      <c r="F14" s="64"/>
      <c r="G14" s="186"/>
      <c r="H14" s="64"/>
      <c r="I14" s="12"/>
      <c r="J14" s="64"/>
      <c r="K14" s="12"/>
      <c r="L14" s="64"/>
      <c r="M14" s="12"/>
      <c r="N14" s="64"/>
    </row>
    <row r="15" spans="1:14" ht="12.75" customHeight="1" x14ac:dyDescent="0.2">
      <c r="A15" s="64">
        <v>1</v>
      </c>
      <c r="B15" s="33"/>
      <c r="C15" s="26" t="s">
        <v>5</v>
      </c>
      <c r="D15" s="64"/>
      <c r="E15" s="122">
        <v>16119.026834462427</v>
      </c>
      <c r="F15" s="238"/>
      <c r="G15" s="122">
        <v>4915774.1892947741</v>
      </c>
      <c r="H15" s="239"/>
      <c r="I15" s="122">
        <f t="shared" ref="I15:I25" si="0">$I$48*E15/$E$48</f>
        <v>-912.81580237358048</v>
      </c>
      <c r="J15" s="238"/>
      <c r="K15" s="122">
        <f t="shared" ref="K15:K25" si="1">$K$48*G15/$G$48</f>
        <v>1782.1069741006077</v>
      </c>
      <c r="L15" s="238"/>
      <c r="M15" s="122">
        <f t="shared" ref="M15:M25" si="2">I15+K15</f>
        <v>869.29117172702718</v>
      </c>
      <c r="N15" s="187"/>
    </row>
    <row r="16" spans="1:14" ht="12.75" customHeight="1" x14ac:dyDescent="0.2">
      <c r="A16" s="64">
        <f>MAX(A$15:A15)+1</f>
        <v>2</v>
      </c>
      <c r="B16" s="33"/>
      <c r="C16" s="26" t="s">
        <v>6</v>
      </c>
      <c r="D16" s="64"/>
      <c r="E16" s="122">
        <v>14384.500450077046</v>
      </c>
      <c r="F16" s="238"/>
      <c r="G16" s="122">
        <v>2970863.8430424999</v>
      </c>
      <c r="H16" s="239"/>
      <c r="I16" s="122">
        <f t="shared" si="0"/>
        <v>-814.59007760986265</v>
      </c>
      <c r="J16" s="238"/>
      <c r="K16" s="122">
        <f t="shared" si="1"/>
        <v>1077.0220457479793</v>
      </c>
      <c r="L16" s="238"/>
      <c r="M16" s="122">
        <f t="shared" si="2"/>
        <v>262.43196813811664</v>
      </c>
      <c r="N16" s="187"/>
    </row>
    <row r="17" spans="1:14" ht="12.75" customHeight="1" x14ac:dyDescent="0.2">
      <c r="A17" s="64">
        <f>MAX(A$15:A16)+1</f>
        <v>3</v>
      </c>
      <c r="B17" s="33"/>
      <c r="C17" s="26" t="s">
        <v>7</v>
      </c>
      <c r="D17" s="64"/>
      <c r="E17" s="122">
        <v>50.736234066479938</v>
      </c>
      <c r="F17" s="238"/>
      <c r="G17" s="122">
        <v>14756.64033</v>
      </c>
      <c r="H17" s="239"/>
      <c r="I17" s="122">
        <f t="shared" si="0"/>
        <v>-2.8731781815631066</v>
      </c>
      <c r="J17" s="238"/>
      <c r="K17" s="122">
        <f t="shared" si="1"/>
        <v>5.3496988742194524</v>
      </c>
      <c r="L17" s="238"/>
      <c r="M17" s="122">
        <f t="shared" si="2"/>
        <v>2.4765206926563459</v>
      </c>
      <c r="N17" s="187"/>
    </row>
    <row r="18" spans="1:14" ht="12.75" customHeight="1" x14ac:dyDescent="0.2">
      <c r="A18" s="64">
        <f>MAX(A$15:A17)+1</f>
        <v>4</v>
      </c>
      <c r="B18" s="33"/>
      <c r="C18" s="26" t="s">
        <v>8</v>
      </c>
      <c r="D18" s="64"/>
      <c r="E18" s="122">
        <v>1650.5239820072106</v>
      </c>
      <c r="F18" s="238"/>
      <c r="G18" s="122">
        <v>102196.91749000001</v>
      </c>
      <c r="H18" s="239"/>
      <c r="I18" s="122">
        <f t="shared" si="0"/>
        <v>-93.468693144153775</v>
      </c>
      <c r="J18" s="238"/>
      <c r="K18" s="122">
        <f t="shared" si="1"/>
        <v>37.049268818558467</v>
      </c>
      <c r="L18" s="238"/>
      <c r="M18" s="122">
        <f t="shared" si="2"/>
        <v>-56.419424325595308</v>
      </c>
      <c r="N18" s="187"/>
    </row>
    <row r="19" spans="1:14" ht="12.75" customHeight="1" x14ac:dyDescent="0.2">
      <c r="A19" s="64">
        <f>MAX(A$15:A18)+1</f>
        <v>5</v>
      </c>
      <c r="B19" s="33"/>
      <c r="C19" s="26" t="s">
        <v>9</v>
      </c>
      <c r="D19" s="64"/>
      <c r="E19" s="122">
        <v>346.87332883083747</v>
      </c>
      <c r="F19" s="238"/>
      <c r="G19" s="122">
        <v>1651.1371800000002</v>
      </c>
      <c r="H19" s="239"/>
      <c r="I19" s="122">
        <f t="shared" si="0"/>
        <v>-19.643335744175243</v>
      </c>
      <c r="J19" s="238"/>
      <c r="K19" s="122">
        <f t="shared" si="1"/>
        <v>0.59858385889302768</v>
      </c>
      <c r="L19" s="238"/>
      <c r="M19" s="122">
        <f t="shared" si="2"/>
        <v>-19.044751885282214</v>
      </c>
      <c r="N19" s="187"/>
    </row>
    <row r="20" spans="1:14" ht="12.75" customHeight="1" x14ac:dyDescent="0.2">
      <c r="A20" s="64">
        <f>MAX(A$15:A19)+1</f>
        <v>6</v>
      </c>
      <c r="B20" s="33"/>
      <c r="C20" s="26" t="s">
        <v>10</v>
      </c>
      <c r="D20" s="64"/>
      <c r="E20" s="122">
        <v>0</v>
      </c>
      <c r="F20" s="238"/>
      <c r="G20" s="122">
        <v>0</v>
      </c>
      <c r="H20" s="239"/>
      <c r="I20" s="122">
        <f t="shared" si="0"/>
        <v>0</v>
      </c>
      <c r="J20" s="238"/>
      <c r="K20" s="122">
        <f t="shared" si="1"/>
        <v>0</v>
      </c>
      <c r="L20" s="238"/>
      <c r="M20" s="122">
        <f t="shared" si="2"/>
        <v>0</v>
      </c>
      <c r="N20" s="187"/>
    </row>
    <row r="21" spans="1:14" ht="12.75" customHeight="1" x14ac:dyDescent="0.2">
      <c r="A21" s="64">
        <f>MAX(A$15:A20)+1</f>
        <v>7</v>
      </c>
      <c r="B21" s="33"/>
      <c r="C21" s="26" t="s">
        <v>11</v>
      </c>
      <c r="D21" s="64"/>
      <c r="E21" s="122">
        <v>5.7512421131013012</v>
      </c>
      <c r="F21" s="238"/>
      <c r="G21" s="122">
        <v>4391.50749</v>
      </c>
      <c r="H21" s="239"/>
      <c r="I21" s="122">
        <f t="shared" si="0"/>
        <v>-0.32569116845758844</v>
      </c>
      <c r="J21" s="238"/>
      <c r="K21" s="122">
        <f t="shared" si="1"/>
        <v>1.5920454893528797</v>
      </c>
      <c r="L21" s="238"/>
      <c r="M21" s="122">
        <f t="shared" si="2"/>
        <v>1.2663543208952912</v>
      </c>
      <c r="N21" s="187"/>
    </row>
    <row r="22" spans="1:14" ht="12.75" customHeight="1" x14ac:dyDescent="0.2">
      <c r="A22" s="64">
        <f>MAX(A$15:A21)+1</f>
        <v>8</v>
      </c>
      <c r="B22" s="33"/>
      <c r="C22" s="26" t="s">
        <v>12</v>
      </c>
      <c r="D22" s="64"/>
      <c r="E22" s="122">
        <v>0</v>
      </c>
      <c r="F22" s="238"/>
      <c r="G22" s="122">
        <v>573.6249499999999</v>
      </c>
      <c r="H22" s="239"/>
      <c r="I22" s="122">
        <f t="shared" si="0"/>
        <v>0</v>
      </c>
      <c r="J22" s="238"/>
      <c r="K22" s="122">
        <f t="shared" si="1"/>
        <v>0.20795524459592146</v>
      </c>
      <c r="L22" s="238"/>
      <c r="M22" s="122">
        <f t="shared" si="2"/>
        <v>0.20795524459592146</v>
      </c>
      <c r="N22" s="187"/>
    </row>
    <row r="23" spans="1:14" ht="12.75" customHeight="1" x14ac:dyDescent="0.2">
      <c r="A23" s="64">
        <f>MAX(A$15:A22)+1</f>
        <v>9</v>
      </c>
      <c r="B23" s="33"/>
      <c r="C23" s="26" t="s">
        <v>13</v>
      </c>
      <c r="D23" s="64"/>
      <c r="E23" s="122">
        <v>0</v>
      </c>
      <c r="F23" s="238"/>
      <c r="G23" s="122">
        <v>5360.2032499999996</v>
      </c>
      <c r="H23" s="239"/>
      <c r="I23" s="122">
        <f t="shared" si="0"/>
        <v>0</v>
      </c>
      <c r="J23" s="238"/>
      <c r="K23" s="122">
        <f t="shared" si="1"/>
        <v>1.9432250600982457</v>
      </c>
      <c r="L23" s="238"/>
      <c r="M23" s="122">
        <f t="shared" si="2"/>
        <v>1.9432250600982457</v>
      </c>
      <c r="N23" s="187"/>
    </row>
    <row r="24" spans="1:14" ht="12.75" customHeight="1" x14ac:dyDescent="0.2">
      <c r="A24" s="64">
        <f>MAX(A$15:A23)+1</f>
        <v>10</v>
      </c>
      <c r="B24" s="33"/>
      <c r="C24" s="26" t="s">
        <v>14</v>
      </c>
      <c r="D24" s="64"/>
      <c r="E24" s="122">
        <v>382.70075979412951</v>
      </c>
      <c r="F24" s="238"/>
      <c r="G24" s="122">
        <v>140305.60000000001</v>
      </c>
      <c r="H24" s="239"/>
      <c r="I24" s="122">
        <f t="shared" si="0"/>
        <v>-21.67223274134512</v>
      </c>
      <c r="J24" s="238"/>
      <c r="K24" s="122">
        <f t="shared" si="1"/>
        <v>50.864742487539154</v>
      </c>
      <c r="L24" s="238"/>
      <c r="M24" s="122">
        <f t="shared" si="2"/>
        <v>29.192509746194034</v>
      </c>
      <c r="N24" s="187"/>
    </row>
    <row r="25" spans="1:14" ht="12.75" customHeight="1" x14ac:dyDescent="0.2">
      <c r="A25" s="64">
        <f>MAX(A$15:A24)+1</f>
        <v>11</v>
      </c>
      <c r="B25" s="33"/>
      <c r="C25" s="26" t="s">
        <v>15</v>
      </c>
      <c r="D25" s="64"/>
      <c r="E25" s="122">
        <v>0</v>
      </c>
      <c r="F25" s="238"/>
      <c r="G25" s="122">
        <v>0</v>
      </c>
      <c r="H25" s="239"/>
      <c r="I25" s="122">
        <f t="shared" si="0"/>
        <v>0</v>
      </c>
      <c r="J25" s="238"/>
      <c r="K25" s="122">
        <f t="shared" si="1"/>
        <v>0</v>
      </c>
      <c r="L25" s="238"/>
      <c r="M25" s="122">
        <f t="shared" si="2"/>
        <v>0</v>
      </c>
      <c r="N25" s="187"/>
    </row>
    <row r="26" spans="1:14" ht="12.75" customHeight="1" x14ac:dyDescent="0.2">
      <c r="A26" s="64">
        <f>MAX(A$15:A25)+1</f>
        <v>12</v>
      </c>
      <c r="B26" s="33"/>
      <c r="C26" s="28" t="s">
        <v>613</v>
      </c>
      <c r="D26" s="64"/>
      <c r="E26" s="146">
        <f>SUM(E15:E25)</f>
        <v>32940.112831351224</v>
      </c>
      <c r="F26" s="238"/>
      <c r="G26" s="146">
        <f>SUM(G15:G25)</f>
        <v>8155873.6630272735</v>
      </c>
      <c r="H26" s="239"/>
      <c r="I26" s="146">
        <f>SUM(I15:I25)</f>
        <v>-1865.3890109631379</v>
      </c>
      <c r="J26" s="238"/>
      <c r="K26" s="146">
        <f>SUM(K15:K25)</f>
        <v>2956.7345396818437</v>
      </c>
      <c r="L26" s="238"/>
      <c r="M26" s="146">
        <f>SUM(M15:M25)</f>
        <v>1091.345528718706</v>
      </c>
      <c r="N26" s="187"/>
    </row>
    <row r="27" spans="1:14" ht="12.75" customHeight="1" x14ac:dyDescent="0.2">
      <c r="A27" s="64"/>
      <c r="B27" s="33"/>
      <c r="C27" s="33"/>
      <c r="D27" s="64"/>
      <c r="E27" s="240"/>
      <c r="F27" s="239"/>
      <c r="G27" s="240"/>
      <c r="H27" s="239"/>
      <c r="I27" s="240"/>
      <c r="J27" s="239"/>
      <c r="K27" s="240"/>
      <c r="L27" s="239"/>
      <c r="M27" s="240"/>
      <c r="N27" s="188"/>
    </row>
    <row r="28" spans="1:14" ht="12.75" customHeight="1" x14ac:dyDescent="0.2">
      <c r="A28" s="64"/>
      <c r="B28" s="33"/>
      <c r="C28" s="28" t="s">
        <v>395</v>
      </c>
      <c r="D28" s="64"/>
      <c r="E28" s="240"/>
      <c r="F28" s="239"/>
      <c r="G28" s="240"/>
      <c r="H28" s="239"/>
      <c r="I28" s="240"/>
      <c r="J28" s="239"/>
      <c r="K28" s="240"/>
      <c r="L28" s="239"/>
      <c r="M28" s="240"/>
      <c r="N28" s="188"/>
    </row>
    <row r="29" spans="1:14" ht="12.75" customHeight="1" x14ac:dyDescent="0.2">
      <c r="A29" s="64">
        <f>MAX(A$15:A28)+1</f>
        <v>13</v>
      </c>
      <c r="B29" s="33"/>
      <c r="C29" s="26" t="s">
        <v>16</v>
      </c>
      <c r="D29" s="64"/>
      <c r="E29" s="122">
        <v>2967.2621983926083</v>
      </c>
      <c r="F29" s="238"/>
      <c r="G29" s="122">
        <v>931213.08219699236</v>
      </c>
      <c r="H29" s="239"/>
      <c r="I29" s="122">
        <f>$I$48*E29/$E$48</f>
        <v>-168.03519544291856</v>
      </c>
      <c r="J29" s="238"/>
      <c r="K29" s="122">
        <f>$K$48*G29/$G$48</f>
        <v>337.59104146219141</v>
      </c>
      <c r="L29" s="238"/>
      <c r="M29" s="122">
        <f t="shared" ref="M29:M33" si="3">I29+K29</f>
        <v>169.55584601927285</v>
      </c>
      <c r="N29" s="187"/>
    </row>
    <row r="30" spans="1:14" ht="12.75" customHeight="1" x14ac:dyDescent="0.2">
      <c r="A30" s="64">
        <f>MAX(A$15:A29)+1</f>
        <v>14</v>
      </c>
      <c r="B30" s="33"/>
      <c r="C30" s="26" t="s">
        <v>17</v>
      </c>
      <c r="D30" s="64"/>
      <c r="E30" s="122">
        <v>875.98990219899918</v>
      </c>
      <c r="F30" s="238"/>
      <c r="G30" s="122">
        <v>164590.18494973239</v>
      </c>
      <c r="H30" s="239"/>
      <c r="I30" s="122">
        <f>$I$48*E30/$E$48</f>
        <v>-49.607053431870604</v>
      </c>
      <c r="J30" s="238"/>
      <c r="K30" s="122">
        <f>$K$48*G30/$G$48</f>
        <v>59.668590373046982</v>
      </c>
      <c r="L30" s="238"/>
      <c r="M30" s="122">
        <f t="shared" si="3"/>
        <v>10.061536941176378</v>
      </c>
      <c r="N30" s="187"/>
    </row>
    <row r="31" spans="1:14" ht="12.75" customHeight="1" x14ac:dyDescent="0.2">
      <c r="A31" s="64">
        <f>MAX(A$15:A30)+1</f>
        <v>15</v>
      </c>
      <c r="B31" s="33"/>
      <c r="C31" s="26" t="s">
        <v>18</v>
      </c>
      <c r="D31" s="64"/>
      <c r="E31" s="122">
        <v>198.61648726738804</v>
      </c>
      <c r="F31" s="238"/>
      <c r="G31" s="122">
        <v>15631.058960020002</v>
      </c>
      <c r="H31" s="239"/>
      <c r="I31" s="122">
        <f>$I$48*E31/$E$48</f>
        <v>-11.247593918138001</v>
      </c>
      <c r="J31" s="238"/>
      <c r="K31" s="122">
        <f>$K$48*G31/$G$48</f>
        <v>5.666700322787964</v>
      </c>
      <c r="L31" s="238"/>
      <c r="M31" s="122">
        <f t="shared" si="3"/>
        <v>-5.5808935953500374</v>
      </c>
      <c r="N31" s="187"/>
    </row>
    <row r="32" spans="1:14" ht="12.75" customHeight="1" x14ac:dyDescent="0.2">
      <c r="A32" s="64">
        <f>MAX(A$15:A31)+1</f>
        <v>16</v>
      </c>
      <c r="B32" s="33"/>
      <c r="C32" s="26" t="s">
        <v>19</v>
      </c>
      <c r="D32" s="64"/>
      <c r="E32" s="122">
        <v>0</v>
      </c>
      <c r="F32" s="238"/>
      <c r="G32" s="122">
        <v>5702.756940360001</v>
      </c>
      <c r="H32" s="239"/>
      <c r="I32" s="122">
        <f>$I$48*E32/$E$48</f>
        <v>0</v>
      </c>
      <c r="J32" s="238"/>
      <c r="K32" s="122">
        <f>$K$48*G32/$G$48</f>
        <v>2.0674104471983878</v>
      </c>
      <c r="L32" s="238"/>
      <c r="M32" s="122">
        <f t="shared" si="3"/>
        <v>2.0674104471983878</v>
      </c>
      <c r="N32" s="187"/>
    </row>
    <row r="33" spans="1:14" ht="12.75" customHeight="1" x14ac:dyDescent="0.2">
      <c r="A33" s="64">
        <f>MAX(A$15:A32)+1</f>
        <v>17</v>
      </c>
      <c r="B33" s="33"/>
      <c r="C33" s="26" t="s">
        <v>7</v>
      </c>
      <c r="D33" s="64"/>
      <c r="E33" s="122">
        <v>0</v>
      </c>
      <c r="F33" s="238"/>
      <c r="G33" s="122">
        <v>0</v>
      </c>
      <c r="H33" s="239"/>
      <c r="I33" s="122">
        <f>$I$48*E33/$E$48</f>
        <v>0</v>
      </c>
      <c r="J33" s="238"/>
      <c r="K33" s="122">
        <f>$K$48*G33/$G$48</f>
        <v>0</v>
      </c>
      <c r="L33" s="238"/>
      <c r="M33" s="122">
        <f t="shared" si="3"/>
        <v>0</v>
      </c>
      <c r="N33" s="187"/>
    </row>
    <row r="34" spans="1:14" ht="12.75" customHeight="1" x14ac:dyDescent="0.2">
      <c r="A34" s="64">
        <f>MAX(A$15:A33)+1</f>
        <v>18</v>
      </c>
      <c r="B34" s="33"/>
      <c r="C34" s="28" t="s">
        <v>614</v>
      </c>
      <c r="D34" s="64"/>
      <c r="E34" s="146">
        <f>SUM(E29:E33)</f>
        <v>4041.8685878589954</v>
      </c>
      <c r="F34" s="238"/>
      <c r="G34" s="146">
        <f>SUM(G29:G33)</f>
        <v>1117137.0830471048</v>
      </c>
      <c r="H34" s="239"/>
      <c r="I34" s="146">
        <f>SUM(I29:I33)</f>
        <v>-228.88984279292717</v>
      </c>
      <c r="J34" s="238"/>
      <c r="K34" s="146">
        <f>SUM(K29:K33)</f>
        <v>404.99374260522472</v>
      </c>
      <c r="L34" s="238"/>
      <c r="M34" s="146">
        <f>SUM(M29:M33)</f>
        <v>176.10389981229758</v>
      </c>
      <c r="N34" s="187"/>
    </row>
    <row r="35" spans="1:14" ht="12.75" customHeight="1" x14ac:dyDescent="0.2">
      <c r="A35" s="64"/>
      <c r="B35" s="33"/>
      <c r="C35" s="33"/>
      <c r="D35" s="64"/>
      <c r="E35" s="240"/>
      <c r="F35" s="239"/>
      <c r="G35" s="240"/>
      <c r="H35" s="239"/>
      <c r="I35" s="240"/>
      <c r="J35" s="239"/>
      <c r="K35" s="240"/>
      <c r="L35" s="239"/>
      <c r="M35" s="240"/>
      <c r="N35" s="188"/>
    </row>
    <row r="36" spans="1:14" ht="12.75" customHeight="1" x14ac:dyDescent="0.2">
      <c r="A36" s="64"/>
      <c r="B36" s="33"/>
      <c r="C36" s="33" t="s">
        <v>474</v>
      </c>
      <c r="D36" s="64"/>
      <c r="E36" s="240"/>
      <c r="F36" s="239"/>
      <c r="G36" s="240"/>
      <c r="H36" s="239"/>
      <c r="I36" s="240"/>
      <c r="J36" s="239"/>
      <c r="K36" s="240"/>
      <c r="L36" s="239"/>
      <c r="M36" s="240"/>
      <c r="N36" s="188"/>
    </row>
    <row r="37" spans="1:14" ht="12.75" customHeight="1" x14ac:dyDescent="0.2">
      <c r="A37" s="64">
        <f>MAX(A$15:A36)+1</f>
        <v>19</v>
      </c>
      <c r="B37" s="33"/>
      <c r="C37" s="190" t="s">
        <v>20</v>
      </c>
      <c r="D37" s="64"/>
      <c r="E37" s="122">
        <v>9494.3465497492944</v>
      </c>
      <c r="F37" s="239"/>
      <c r="G37" s="122">
        <v>3073284.4249153817</v>
      </c>
      <c r="H37" s="239"/>
      <c r="I37" s="122">
        <f t="shared" ref="I37:I45" si="4">$I$48*E37/$E$48</f>
        <v>-537.66208424525337</v>
      </c>
      <c r="J37" s="239"/>
      <c r="K37" s="122">
        <f t="shared" ref="K37:K45" si="5">$K$48*G37/$G$48</f>
        <v>1114.152399222025</v>
      </c>
      <c r="L37" s="239"/>
      <c r="M37" s="122">
        <f>I37+K37</f>
        <v>576.49031497677163</v>
      </c>
      <c r="N37" s="188"/>
    </row>
    <row r="38" spans="1:14" ht="12.75" customHeight="1" x14ac:dyDescent="0.2">
      <c r="A38" s="64">
        <f>MAX(A$15:A37)+1</f>
        <v>20</v>
      </c>
      <c r="B38" s="33"/>
      <c r="C38" s="190" t="s">
        <v>21</v>
      </c>
      <c r="D38" s="64"/>
      <c r="E38" s="122">
        <v>3517.9325455018943</v>
      </c>
      <c r="F38" s="239"/>
      <c r="G38" s="122">
        <v>688379.2799385892</v>
      </c>
      <c r="H38" s="239"/>
      <c r="I38" s="122">
        <f t="shared" si="4"/>
        <v>-199.21949706993828</v>
      </c>
      <c r="J38" s="239"/>
      <c r="K38" s="122">
        <f t="shared" si="5"/>
        <v>249.55693007145805</v>
      </c>
      <c r="L38" s="239"/>
      <c r="M38" s="122">
        <f t="shared" ref="M38:M45" si="6">I38+K38</f>
        <v>50.33743300151977</v>
      </c>
      <c r="N38" s="188"/>
    </row>
    <row r="39" spans="1:14" ht="12.75" customHeight="1" x14ac:dyDescent="0.2">
      <c r="A39" s="64">
        <f>MAX(A$15:A38)+1</f>
        <v>21</v>
      </c>
      <c r="B39" s="33"/>
      <c r="C39" s="190" t="s">
        <v>22</v>
      </c>
      <c r="D39" s="64"/>
      <c r="E39" s="122">
        <v>1252.2693119327157</v>
      </c>
      <c r="F39" s="239"/>
      <c r="G39" s="122">
        <v>59361.556340000003</v>
      </c>
      <c r="H39" s="239"/>
      <c r="I39" s="122">
        <f t="shared" si="4"/>
        <v>-70.91564698656299</v>
      </c>
      <c r="J39" s="239"/>
      <c r="K39" s="122">
        <f t="shared" si="5"/>
        <v>21.520240652501734</v>
      </c>
      <c r="L39" s="239"/>
      <c r="M39" s="122">
        <f t="shared" si="6"/>
        <v>-49.395406334061256</v>
      </c>
      <c r="N39" s="188"/>
    </row>
    <row r="40" spans="1:14" ht="12.75" customHeight="1" x14ac:dyDescent="0.2">
      <c r="A40" s="64">
        <f>MAX(A$15:A39)+1</f>
        <v>22</v>
      </c>
      <c r="B40" s="33"/>
      <c r="C40" s="190" t="s">
        <v>23</v>
      </c>
      <c r="D40" s="64"/>
      <c r="E40" s="122">
        <v>11.000851167247271</v>
      </c>
      <c r="F40" s="239"/>
      <c r="G40" s="122">
        <v>2163.9659000000001</v>
      </c>
      <c r="H40" s="239"/>
      <c r="I40" s="122">
        <f t="shared" si="4"/>
        <v>-0.62297500265673156</v>
      </c>
      <c r="J40" s="239"/>
      <c r="K40" s="122">
        <f t="shared" si="5"/>
        <v>0.78449875311688133</v>
      </c>
      <c r="L40" s="239"/>
      <c r="M40" s="122">
        <f t="shared" si="6"/>
        <v>0.16152375046014977</v>
      </c>
      <c r="N40" s="188"/>
    </row>
    <row r="41" spans="1:14" ht="12.75" customHeight="1" x14ac:dyDescent="0.2">
      <c r="A41" s="64">
        <f>MAX(A$15:A40)+1</f>
        <v>23</v>
      </c>
      <c r="B41" s="33"/>
      <c r="C41" s="190" t="s">
        <v>24</v>
      </c>
      <c r="D41" s="64"/>
      <c r="E41" s="122">
        <v>1852.3270631545154</v>
      </c>
      <c r="F41" s="239"/>
      <c r="G41" s="122">
        <v>35618.686000000009</v>
      </c>
      <c r="H41" s="239"/>
      <c r="I41" s="122">
        <f t="shared" si="4"/>
        <v>-104.89674294707982</v>
      </c>
      <c r="J41" s="239"/>
      <c r="K41" s="122">
        <f t="shared" si="5"/>
        <v>12.912779612036273</v>
      </c>
      <c r="L41" s="239"/>
      <c r="M41" s="122">
        <f t="shared" si="6"/>
        <v>-91.983963335043541</v>
      </c>
      <c r="N41" s="188"/>
    </row>
    <row r="42" spans="1:14" ht="12.75" customHeight="1" x14ac:dyDescent="0.2">
      <c r="A42" s="64">
        <f>MAX(A$15:A41)+1</f>
        <v>24</v>
      </c>
      <c r="B42" s="33"/>
      <c r="C42" s="190" t="s">
        <v>25</v>
      </c>
      <c r="D42" s="64"/>
      <c r="E42" s="122">
        <v>151.2181765212095</v>
      </c>
      <c r="F42" s="239"/>
      <c r="G42" s="122">
        <v>15795.3217</v>
      </c>
      <c r="H42" s="238"/>
      <c r="I42" s="122">
        <f t="shared" si="4"/>
        <v>-8.5634413635667261</v>
      </c>
      <c r="J42" s="239"/>
      <c r="K42" s="122">
        <f t="shared" si="5"/>
        <v>5.7262502051118362</v>
      </c>
      <c r="L42" s="239"/>
      <c r="M42" s="122">
        <f t="shared" si="6"/>
        <v>-2.8371911584548899</v>
      </c>
      <c r="N42" s="188"/>
    </row>
    <row r="43" spans="1:14" ht="12.75" customHeight="1" x14ac:dyDescent="0.2">
      <c r="A43" s="64">
        <f>MAX(A$15:A42)+1</f>
        <v>25</v>
      </c>
      <c r="B43" s="28"/>
      <c r="C43" s="190" t="s">
        <v>26</v>
      </c>
      <c r="D43" s="64"/>
      <c r="E43" s="122">
        <v>2076.5472265942708</v>
      </c>
      <c r="F43" s="239"/>
      <c r="G43" s="122">
        <v>0</v>
      </c>
      <c r="H43" s="238"/>
      <c r="I43" s="122">
        <f t="shared" si="4"/>
        <v>-117.59426560154975</v>
      </c>
      <c r="J43" s="239"/>
      <c r="K43" s="122">
        <f t="shared" si="5"/>
        <v>0</v>
      </c>
      <c r="L43" s="239"/>
      <c r="M43" s="122">
        <f t="shared" si="6"/>
        <v>-117.59426560154975</v>
      </c>
      <c r="N43" s="188"/>
    </row>
    <row r="44" spans="1:14" ht="12.75" customHeight="1" x14ac:dyDescent="0.2">
      <c r="A44" s="64">
        <f>MAX(A$15:A43)+1</f>
        <v>26</v>
      </c>
      <c r="B44" s="28"/>
      <c r="C44" s="190" t="s">
        <v>27</v>
      </c>
      <c r="D44" s="64"/>
      <c r="E44" s="122">
        <v>26228.585637287655</v>
      </c>
      <c r="F44" s="239"/>
      <c r="G44" s="122">
        <v>0</v>
      </c>
      <c r="H44" s="238"/>
      <c r="I44" s="122">
        <f t="shared" si="4"/>
        <v>-1485.317177612563</v>
      </c>
      <c r="J44" s="239"/>
      <c r="K44" s="122">
        <f t="shared" si="5"/>
        <v>0</v>
      </c>
      <c r="L44" s="239"/>
      <c r="M44" s="122">
        <f t="shared" si="6"/>
        <v>-1485.317177612563</v>
      </c>
      <c r="N44" s="188"/>
    </row>
    <row r="45" spans="1:14" ht="12.75" customHeight="1" x14ac:dyDescent="0.2">
      <c r="A45" s="64">
        <f>MAX(A$15:A44)+1</f>
        <v>27</v>
      </c>
      <c r="B45" s="28"/>
      <c r="C45" s="190" t="s">
        <v>28</v>
      </c>
      <c r="D45" s="64"/>
      <c r="E45" s="122">
        <v>2601.29706252702</v>
      </c>
      <c r="F45" s="239"/>
      <c r="G45" s="122">
        <v>0</v>
      </c>
      <c r="H45" s="238"/>
      <c r="I45" s="122">
        <f t="shared" si="4"/>
        <v>-147.31069621808405</v>
      </c>
      <c r="J45" s="239"/>
      <c r="K45" s="122">
        <f t="shared" si="5"/>
        <v>0</v>
      </c>
      <c r="L45" s="239"/>
      <c r="M45" s="122">
        <f t="shared" si="6"/>
        <v>-147.31069621808405</v>
      </c>
      <c r="N45" s="188"/>
    </row>
    <row r="46" spans="1:14" ht="12.75" customHeight="1" x14ac:dyDescent="0.2">
      <c r="A46" s="64">
        <f>MAX(A$15:A45)+1</f>
        <v>28</v>
      </c>
      <c r="B46" s="33"/>
      <c r="C46" s="33" t="s">
        <v>615</v>
      </c>
      <c r="D46" s="28"/>
      <c r="E46" s="146">
        <f>SUM(E37:E45)</f>
        <v>47185.524424435825</v>
      </c>
      <c r="F46" s="239"/>
      <c r="G46" s="146">
        <f>SUM(G37:G45)</f>
        <v>3874603.2347939718</v>
      </c>
      <c r="H46" s="239"/>
      <c r="I46" s="146">
        <f>SUM(I37:I45)</f>
        <v>-2672.1025270472551</v>
      </c>
      <c r="J46" s="239"/>
      <c r="K46" s="146">
        <f>SUM(K37:K45)</f>
        <v>1404.6530985162499</v>
      </c>
      <c r="L46" s="239"/>
      <c r="M46" s="146">
        <f>SUM(M37:M45)</f>
        <v>-1267.449428531005</v>
      </c>
      <c r="N46" s="188"/>
    </row>
    <row r="47" spans="1:14" ht="12.75" customHeight="1" x14ac:dyDescent="0.2">
      <c r="A47" s="35"/>
      <c r="B47" s="33"/>
      <c r="C47" s="64"/>
      <c r="D47" s="28"/>
      <c r="E47" s="240"/>
      <c r="F47" s="239"/>
      <c r="G47" s="240"/>
      <c r="H47" s="239"/>
      <c r="I47" s="240"/>
      <c r="J47" s="239"/>
      <c r="K47" s="240"/>
      <c r="L47" s="239"/>
      <c r="M47" s="240"/>
      <c r="N47" s="188"/>
    </row>
    <row r="48" spans="1:14" ht="12.75" customHeight="1" thickBot="1" x14ac:dyDescent="0.25">
      <c r="A48" s="64">
        <f>MAX(A$15:A47)+1</f>
        <v>29</v>
      </c>
      <c r="B48" s="33"/>
      <c r="C48" s="170" t="s">
        <v>707</v>
      </c>
      <c r="D48" s="28"/>
      <c r="E48" s="159">
        <f>E26+E34+E46</f>
        <v>84167.505843646039</v>
      </c>
      <c r="F48" s="239"/>
      <c r="G48" s="159">
        <f>G26+G34+G46</f>
        <v>13147613.980868351</v>
      </c>
      <c r="H48" s="239"/>
      <c r="I48" s="159">
        <f>-K48</f>
        <v>-4766.3813808033192</v>
      </c>
      <c r="J48" s="239"/>
      <c r="K48" s="159">
        <v>4766.3813808033192</v>
      </c>
      <c r="L48" s="239"/>
      <c r="M48" s="159">
        <f>M26+M34+M46</f>
        <v>0</v>
      </c>
      <c r="N48" s="188"/>
    </row>
    <row r="49" spans="1:14" ht="12.75" customHeight="1" thickTop="1" x14ac:dyDescent="0.2">
      <c r="A49" s="64"/>
      <c r="B49" s="33"/>
      <c r="C49" s="33"/>
      <c r="D49" s="64"/>
      <c r="E49" s="189"/>
      <c r="F49" s="188"/>
      <c r="G49" s="189"/>
      <c r="H49" s="188"/>
      <c r="I49" s="189"/>
      <c r="J49" s="188"/>
      <c r="K49" s="189"/>
      <c r="L49" s="188"/>
      <c r="M49" s="189"/>
      <c r="N49" s="188"/>
    </row>
    <row r="50" spans="1:14" ht="12.75" customHeight="1" x14ac:dyDescent="0.2">
      <c r="A50" s="171" t="s">
        <v>29</v>
      </c>
      <c r="B50" s="33"/>
      <c r="C50" s="33"/>
      <c r="D50" s="60"/>
      <c r="E50" s="191"/>
      <c r="F50" s="192"/>
      <c r="G50" s="191"/>
      <c r="H50" s="192"/>
      <c r="I50" s="191"/>
      <c r="J50" s="192"/>
      <c r="K50" s="191"/>
      <c r="L50" s="192"/>
      <c r="M50" s="191"/>
      <c r="N50" s="188"/>
    </row>
    <row r="51" spans="1:14" ht="12.75" customHeight="1" x14ac:dyDescent="0.2">
      <c r="A51" s="471" t="s">
        <v>267</v>
      </c>
      <c r="B51" s="234"/>
      <c r="C51" s="234" t="s">
        <v>1069</v>
      </c>
      <c r="D51" s="60"/>
      <c r="E51" s="191"/>
      <c r="F51" s="192"/>
      <c r="G51" s="191"/>
      <c r="H51" s="192"/>
      <c r="I51" s="191"/>
      <c r="J51" s="192"/>
      <c r="K51" s="191"/>
      <c r="L51" s="192"/>
      <c r="M51" s="191"/>
      <c r="N51" s="188"/>
    </row>
    <row r="52" spans="1:14" ht="12.75" customHeight="1" x14ac:dyDescent="0.2">
      <c r="A52" s="471" t="s">
        <v>268</v>
      </c>
      <c r="B52" s="234"/>
      <c r="C52" s="234" t="s">
        <v>1063</v>
      </c>
      <c r="D52" s="60"/>
      <c r="E52" s="16"/>
      <c r="F52" s="192"/>
      <c r="G52" s="16"/>
      <c r="H52" s="192"/>
      <c r="I52" s="16"/>
      <c r="J52" s="192"/>
      <c r="K52" s="16"/>
      <c r="L52" s="192"/>
      <c r="M52" s="16"/>
      <c r="N52" s="188"/>
    </row>
    <row r="53" spans="1:14" ht="12.75" customHeight="1" x14ac:dyDescent="0.2">
      <c r="A53" s="471" t="s">
        <v>269</v>
      </c>
      <c r="B53" s="234"/>
      <c r="C53" s="234" t="s">
        <v>698</v>
      </c>
      <c r="D53" s="16"/>
      <c r="E53" s="16"/>
      <c r="F53" s="192"/>
      <c r="G53" s="16"/>
      <c r="H53" s="192"/>
      <c r="I53" s="16"/>
      <c r="J53" s="192"/>
      <c r="K53" s="16"/>
      <c r="L53" s="192"/>
      <c r="M53" s="16"/>
      <c r="N53" s="188"/>
    </row>
    <row r="54" spans="1:14" ht="12.75" customHeight="1" x14ac:dyDescent="0.2">
      <c r="A54" s="471" t="s">
        <v>277</v>
      </c>
      <c r="B54" s="234"/>
      <c r="C54" s="234" t="s">
        <v>702</v>
      </c>
      <c r="D54" s="60"/>
      <c r="E54" s="16"/>
      <c r="F54" s="192"/>
      <c r="G54" s="16"/>
      <c r="H54" s="192"/>
      <c r="I54" s="16"/>
      <c r="J54" s="192"/>
      <c r="K54" s="16"/>
      <c r="L54" s="192"/>
      <c r="M54" s="16"/>
      <c r="N54" s="188"/>
    </row>
    <row r="55" spans="1:14" ht="12.75" customHeight="1" x14ac:dyDescent="0.2">
      <c r="A55" s="471" t="s">
        <v>278</v>
      </c>
      <c r="B55" s="234"/>
      <c r="C55" s="562" t="s">
        <v>1002</v>
      </c>
      <c r="D55" s="562"/>
      <c r="E55" s="562"/>
      <c r="F55" s="562"/>
      <c r="G55" s="562"/>
      <c r="H55" s="562"/>
      <c r="I55" s="562"/>
      <c r="J55" s="562"/>
      <c r="K55" s="562"/>
      <c r="L55" s="562"/>
      <c r="M55" s="562"/>
      <c r="N55" s="188"/>
    </row>
    <row r="56" spans="1:14" ht="12.75" customHeight="1" x14ac:dyDescent="0.2">
      <c r="A56" s="234"/>
      <c r="B56" s="30"/>
      <c r="C56" s="562"/>
      <c r="D56" s="562"/>
      <c r="E56" s="562"/>
      <c r="F56" s="562"/>
      <c r="G56" s="562"/>
      <c r="H56" s="562"/>
      <c r="I56" s="562"/>
      <c r="J56" s="562"/>
      <c r="K56" s="562"/>
      <c r="L56" s="562"/>
      <c r="M56" s="562"/>
      <c r="N56" s="188"/>
    </row>
    <row r="57" spans="1:14" ht="12.75" customHeight="1" x14ac:dyDescent="0.2">
      <c r="A57" s="60"/>
      <c r="B57" s="29"/>
      <c r="D57" s="29"/>
      <c r="E57" s="16"/>
      <c r="F57" s="29"/>
      <c r="G57" s="16"/>
      <c r="H57" s="29"/>
      <c r="I57" s="16"/>
      <c r="J57" s="29"/>
      <c r="K57" s="16"/>
      <c r="L57" s="29"/>
      <c r="M57" s="16"/>
      <c r="N57" s="28"/>
    </row>
    <row r="58" spans="1:14" ht="12.75" customHeight="1" x14ac:dyDescent="0.2">
      <c r="A58" s="60"/>
      <c r="B58" s="29"/>
      <c r="C58" s="233"/>
      <c r="D58" s="29"/>
      <c r="E58" s="16"/>
      <c r="F58" s="29"/>
      <c r="G58" s="16"/>
      <c r="H58" s="29"/>
      <c r="I58" s="16"/>
      <c r="J58" s="29"/>
      <c r="K58" s="16"/>
      <c r="L58" s="29"/>
      <c r="M58" s="16"/>
      <c r="N58" s="28"/>
    </row>
    <row r="59" spans="1:14" ht="12.75" customHeight="1" x14ac:dyDescent="0.2">
      <c r="A59" s="60"/>
      <c r="B59" s="30"/>
      <c r="C59" s="30"/>
      <c r="D59" s="29"/>
      <c r="E59" s="192"/>
      <c r="F59" s="192"/>
      <c r="G59" s="192"/>
      <c r="H59" s="192"/>
      <c r="I59" s="192"/>
      <c r="J59" s="192"/>
      <c r="K59" s="192"/>
      <c r="L59" s="192"/>
      <c r="M59" s="192"/>
      <c r="N59" s="188"/>
    </row>
    <row r="60" spans="1:14" ht="12.75" customHeight="1" x14ac:dyDescent="0.2">
      <c r="A60" s="193"/>
      <c r="B60" s="30"/>
      <c r="C60" s="60"/>
      <c r="D60" s="29"/>
      <c r="E60" s="191"/>
      <c r="F60" s="192"/>
      <c r="G60" s="191"/>
      <c r="H60" s="192"/>
      <c r="I60" s="191"/>
      <c r="J60" s="192"/>
      <c r="K60" s="191"/>
      <c r="L60" s="192"/>
      <c r="M60" s="191"/>
      <c r="N60" s="188"/>
    </row>
    <row r="61" spans="1:14" ht="12.75" customHeight="1" x14ac:dyDescent="0.2">
      <c r="A61" s="60"/>
      <c r="B61" s="30"/>
      <c r="C61" s="32"/>
      <c r="D61" s="29"/>
      <c r="E61" s="192"/>
      <c r="F61" s="192"/>
      <c r="G61" s="192"/>
      <c r="H61" s="192"/>
      <c r="I61" s="192"/>
      <c r="J61" s="192"/>
      <c r="K61" s="192"/>
      <c r="L61" s="192"/>
      <c r="M61" s="192"/>
      <c r="N61" s="188"/>
    </row>
    <row r="62" spans="1:14" ht="12.75" customHeight="1" x14ac:dyDescent="0.2">
      <c r="A62" s="63"/>
      <c r="B62" s="28"/>
      <c r="C62" s="28"/>
      <c r="D62" s="28"/>
      <c r="E62" s="33"/>
      <c r="F62" s="33"/>
      <c r="G62" s="28"/>
      <c r="H62" s="33"/>
      <c r="I62" s="33"/>
      <c r="J62" s="33"/>
      <c r="K62" s="33"/>
      <c r="L62" s="33"/>
      <c r="M62" s="33"/>
      <c r="N62" s="33"/>
    </row>
    <row r="63" spans="1:14" ht="12.75" customHeight="1" x14ac:dyDescent="0.2">
      <c r="D63" s="33"/>
      <c r="E63" s="35"/>
      <c r="F63" s="35"/>
      <c r="G63" s="33"/>
      <c r="H63" s="35"/>
      <c r="I63" s="35"/>
      <c r="J63" s="35"/>
      <c r="K63" s="35"/>
      <c r="L63" s="35"/>
      <c r="M63" s="35"/>
      <c r="N63" s="35"/>
    </row>
    <row r="64" spans="1:14" ht="12.75" customHeight="1" x14ac:dyDescent="0.2">
      <c r="D64" s="35"/>
      <c r="E64" s="35"/>
      <c r="F64" s="35"/>
      <c r="G64" s="35"/>
      <c r="H64" s="35"/>
      <c r="I64" s="35"/>
      <c r="J64" s="35"/>
      <c r="K64" s="35"/>
      <c r="L64" s="35"/>
      <c r="M64" s="35"/>
      <c r="N64" s="35"/>
    </row>
    <row r="65" spans="4:14" ht="12.75" customHeight="1" x14ac:dyDescent="0.2">
      <c r="D65" s="35"/>
      <c r="E65" s="28"/>
      <c r="F65" s="28"/>
      <c r="G65" s="35"/>
      <c r="H65" s="28"/>
      <c r="I65" s="28"/>
      <c r="J65" s="28"/>
      <c r="K65" s="28"/>
      <c r="L65" s="28"/>
      <c r="M65" s="28"/>
      <c r="N65" s="28"/>
    </row>
    <row r="66" spans="4:14" ht="12.75" customHeight="1" x14ac:dyDescent="0.2">
      <c r="D66" s="28"/>
      <c r="E66" s="28"/>
      <c r="F66" s="28"/>
      <c r="G66" s="28"/>
      <c r="H66" s="28"/>
      <c r="I66" s="28"/>
      <c r="J66" s="28"/>
      <c r="K66" s="28"/>
      <c r="L66" s="28"/>
      <c r="M66" s="28"/>
      <c r="N66" s="28"/>
    </row>
    <row r="67" spans="4:14" ht="12.75" customHeight="1" x14ac:dyDescent="0.2">
      <c r="D67" s="28"/>
      <c r="E67" s="28"/>
      <c r="F67" s="28"/>
      <c r="G67" s="28"/>
      <c r="H67" s="28"/>
      <c r="I67" s="28"/>
      <c r="J67" s="28"/>
      <c r="K67" s="28"/>
      <c r="L67" s="28"/>
      <c r="M67" s="28"/>
      <c r="N67" s="28"/>
    </row>
    <row r="68" spans="4:14" ht="12.75" customHeight="1" x14ac:dyDescent="0.2">
      <c r="D68" s="28"/>
      <c r="E68" s="28"/>
      <c r="F68" s="28"/>
      <c r="G68" s="28"/>
      <c r="H68" s="28"/>
      <c r="I68" s="28"/>
      <c r="J68" s="28"/>
      <c r="K68" s="28"/>
      <c r="L68" s="28"/>
      <c r="M68" s="28"/>
      <c r="N68" s="28"/>
    </row>
  </sheetData>
  <mergeCells count="1">
    <mergeCell ref="C55:M56"/>
  </mergeCells>
  <printOptions horizontalCentered="1"/>
  <pageMargins left="0.7" right="0.7" top="0.75" bottom="0.75" header="0.3" footer="0.3"/>
  <pageSetup scale="70" fitToWidth="0" fitToHeight="0" orientation="portrait" blackAndWhite="1" r:id="rId1"/>
  <headerFooter>
    <oddHeader>&amp;R&amp;"Arial,Regular"&amp;10Filed: 2022-11-30
EB-2022-0200
Exhibit 8
Tab 2
Schedule 8
Attachment 8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68BE8D2D1B4442B56E8613E5D4A5D4" ma:contentTypeVersion="33" ma:contentTypeDescription="Create a new document." ma:contentTypeScope="" ma:versionID="a07cfc4aab3fd55fa0dc04ce5b7f322b">
  <xsd:schema xmlns:xsd="http://www.w3.org/2001/XMLSchema" xmlns:xs="http://www.w3.org/2001/XMLSchema" xmlns:p="http://schemas.microsoft.com/office/2006/metadata/properties" xmlns:ns2="0e4c58a4-4156-4653-af30-d293e31e5ce5" targetNamespace="http://schemas.microsoft.com/office/2006/metadata/properties" ma:root="true" ma:fieldsID="cc70ccb65a024ed475904ee91dd1a689" ns2:_="">
    <xsd:import namespace="0e4c58a4-4156-4653-af30-d293e31e5ce5"/>
    <xsd:element name="properties">
      <xsd:complexType>
        <xsd:sequence>
          <xsd:element name="documentManagement">
            <xsd:complexType>
              <xsd:all>
                <xsd:element ref="ns2:Folder" minOccurs="0"/>
                <xsd:element ref="ns2:Phase" minOccurs="0"/>
                <xsd:element ref="ns2:Binder"/>
                <xsd:element ref="ns2:Status" minOccurs="0"/>
                <xsd:element ref="ns2:Witness" minOccurs="0"/>
                <xsd:element ref="ns2:Regulatory_x0020_Leads" minOccurs="0"/>
                <xsd:element ref="ns2:Version_x0020_Comments" minOccurs="0"/>
                <xsd:element ref="ns2:Legal_x0020_Team" minOccurs="0"/>
                <xsd:element ref="ns2:Attachment" minOccurs="0"/>
                <xsd:element ref="ns2:Exhibit_x002f_Tab_x002f_Schedule" minOccurs="0"/>
                <xsd:element ref="ns2:_x0031_st_x0020_draft_x0020_priority" minOccurs="0"/>
                <xsd:element ref="ns2:Reg_x002e__x0020_Review_x0020_Due_x0020_Date" minOccurs="0"/>
                <xsd:element ref="ns2:Energy_x0020_Services_x0020_View" minOccurs="0"/>
                <xsd:element ref="ns2:Finance_x0020_view" minOccurs="0"/>
                <xsd:element ref="ns2:_x0031_st_x0020_draft_x0020_ready_x0020_for_x0020_Regulatory" minOccurs="0"/>
                <xsd:element ref="ns2:_x0031_st_x0020_Draft_x0020_Evidence_x0020_Due" minOccurs="0"/>
                <xsd:element ref="ns2:Cust_x0020_Eng" minOccurs="0"/>
                <xsd:element ref="ns2:Customer_x0020_Care_x0020_View" minOccurs="0"/>
                <xsd:element ref="ns2:_x0031_st_x0020_Draft_x0020_SL_x0020_Review_x0020_Complete" minOccurs="0"/>
                <xsd:element ref="ns2:Accountable_x0020_Area" minOccurs="0"/>
                <xsd:element ref="ns2:Executive_x0020_Review" minOccurs="0"/>
                <xsd:element ref="ns2:Final_x0020_Draft_x0020_Due" minOccurs="0"/>
                <xsd:element ref="ns2:Formatting_x0020_Reqd" minOccurs="0"/>
                <xsd:element ref="ns2:Final_x0020_Draft_x0020_Ready_x0020_for_x0020_SL_x0020_Review" minOccurs="0"/>
                <xsd:element ref="ns2:Final_x0020_Draft_x0020_Reg_x002f_1st_x0020_Level_x0020_Review_x0020_Due_x0020_Date" minOccurs="0"/>
                <xsd:element ref="ns2:Legal_x0020_Handoff_x0020_Date" minOccurs="0"/>
                <xsd:element ref="ns2:Legal_x0020_Session_x0020_Date" minOccurs="0"/>
                <xsd:element ref="ns2:xewa" minOccurs="0"/>
                <xsd:element ref="ns2:TM_x0020_Sign_x0020_Off" minOccurs="0"/>
                <xsd:element ref="ns2:Reg_x002f_Formatting_x0020_Sign_x0020_Of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c58a4-4156-4653-af30-d293e31e5ce5" elementFormDefault="qualified">
    <xsd:import namespace="http://schemas.microsoft.com/office/2006/documentManagement/types"/>
    <xsd:import namespace="http://schemas.microsoft.com/office/infopath/2007/PartnerControls"/>
    <xsd:element name="Folder" ma:index="8" nillable="true" ma:displayName="Folder" ma:format="Dropdown" ma:internalName="Folder">
      <xsd:simpleType>
        <xsd:restriction base="dms:Choice">
          <xsd:enumeration value="Assumptions"/>
          <xsd:enumeration value="Budget Support"/>
          <xsd:enumeration value="Prefiled Evidence"/>
          <xsd:enumeration value="Shared Documents"/>
          <xsd:enumeration value="Standards/Admin"/>
          <xsd:enumeration value="Regulatory"/>
          <xsd:enumeration value="Templates"/>
          <xsd:enumeration value="Financial Information"/>
        </xsd:restriction>
      </xsd:simpleType>
    </xsd:element>
    <xsd:element name="Phase" ma:index="9" nillable="true" ma:displayName="Phase" ma:format="Dropdown" ma:internalName="Phase">
      <xsd:simpleType>
        <xsd:restriction base="dms:Choice">
          <xsd:enumeration value="Phase 1"/>
          <xsd:enumeration value="Phase 2"/>
          <xsd:enumeration value="Phase 3"/>
        </xsd:restriction>
      </xsd:simpleType>
    </xsd:element>
    <xsd:element name="Binder" ma:index="10" ma:displayName="Exhibit" ma:decimals="0" ma:default="0" ma:internalName="Binder" ma:percentage="FALSE">
      <xsd:simpleType>
        <xsd:restriction base="dms:Number">
          <xsd:maxInclusive value="10"/>
          <xsd:minInclusive value="0"/>
        </xsd:restriction>
      </xsd:simpleType>
    </xsd:element>
    <xsd:element name="Status" ma:index="11" nillable="true" ma:displayName="Status" ma:default="Shell Created" ma:description="Status of Written Evidence" ma:format="Dropdown" ma:internalName="Status">
      <xsd:simpleType>
        <xsd:restriction base="dms:Choice">
          <xsd:enumeration value="Shell Created"/>
          <xsd:enumeration value="1st Draft in Progress"/>
          <xsd:enumeration value="1st Draft Ready for Regulatory Review"/>
          <xsd:enumeration value="Back to Functional Team for Review"/>
          <xsd:enumeration value="1st Draft Reg Review Complete"/>
          <xsd:enumeration value="1st Draft Ready for Senior Leadership Review"/>
          <xsd:enumeration value="1st Draft Senior Leadership Review Complete"/>
          <xsd:enumeration value="Final Draft In Progress"/>
          <xsd:enumeration value="Final Draft Ready for Reg Review"/>
          <xsd:enumeration value="Final Comments Being Addressed"/>
          <xsd:enumeration value="Final Hand Off to Regulatory"/>
          <xsd:enumeration value="Ready for Legal Review"/>
          <xsd:enumeration value="Legal Review Complete"/>
          <xsd:enumeration value="Ready for Executive Review"/>
          <xsd:enumeration value="Executive Review Complete"/>
          <xsd:enumeration value="Ready for Final"/>
          <xsd:enumeration value="Ready to PDF"/>
          <xsd:enumeration value="Final PDF"/>
          <xsd:enumeration value="On Hold"/>
        </xsd:restriction>
      </xsd:simpleType>
    </xsd:element>
    <xsd:element name="Witness" ma:index="12" nillable="true" ma:displayName="Witness" ma:list="UserInfo" ma:SearchPeopleOnly="false" ma:SharePointGroup="8" ma:internalName="Witnes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gulatory_x0020_Leads" ma:index="13" nillable="true" ma:displayName="Regulatory Team" ma:list="UserInfo" ma:SearchPeopleOnly="false" ma:SharePointGroup="8" ma:internalName="Regulatory_x0020_Lead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sion_x0020_Comments" ma:index="14" nillable="true" ma:displayName="Version Comments" ma:internalName="Version_x0020_Comments">
      <xsd:simpleType>
        <xsd:restriction base="dms:Text">
          <xsd:maxLength value="255"/>
        </xsd:restriction>
      </xsd:simpleType>
    </xsd:element>
    <xsd:element name="Legal_x0020_Team" ma:index="15" nillable="true" ma:displayName="Legal Team" ma:list="UserInfo" ma:SharePointGroup="8" ma:internalName="Legal_x0020_Team"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ttachment" ma:index="16" nillable="true" ma:displayName="Attachment" ma:internalName="Attachment">
      <xsd:simpleType>
        <xsd:restriction base="dms:Number"/>
      </xsd:simpleType>
    </xsd:element>
    <xsd:element name="Exhibit_x002f_Tab_x002f_Schedule" ma:index="17" nillable="true" ma:displayName="Exhibit/Tab/Schedule" ma:internalName="Exhibit_x002f_Tab_x002f_Schedule">
      <xsd:simpleType>
        <xsd:restriction base="dms:Text">
          <xsd:maxLength value="255"/>
        </xsd:restriction>
      </xsd:simpleType>
    </xsd:element>
    <xsd:element name="_x0031_st_x0020_draft_x0020_priority" ma:index="18" nillable="true" ma:displayName="Reg. 1st Draft Priority" ma:default="H" ma:format="Dropdown" ma:internalName="_x0031_st_x0020_draft_x0020_priority">
      <xsd:simpleType>
        <xsd:restriction base="dms:Choice">
          <xsd:enumeration value="H"/>
          <xsd:enumeration value="M"/>
          <xsd:enumeration value="L"/>
          <xsd:enumeration value="NA"/>
        </xsd:restriction>
      </xsd:simpleType>
    </xsd:element>
    <xsd:element name="Reg_x002e__x0020_Review_x0020_Due_x0020_Date" ma:index="19" nillable="true" ma:displayName="Reg. 1st Review Due Date" ma:format="DateOnly" ma:internalName="Reg_x002e__x0020_Review_x0020_Due_x0020_Date">
      <xsd:simpleType>
        <xsd:restriction base="dms:DateTime"/>
      </xsd:simpleType>
    </xsd:element>
    <xsd:element name="Energy_x0020_Services_x0020_View" ma:index="20" nillable="true" ma:displayName="Energy Services View" ma:default="No" ma:format="Dropdown" ma:internalName="Energy_x0020_Services_x0020_View">
      <xsd:simpleType>
        <xsd:restriction base="dms:Choice">
          <xsd:enumeration value="No"/>
          <xsd:enumeration value="Yes"/>
        </xsd:restriction>
      </xsd:simpleType>
    </xsd:element>
    <xsd:element name="Finance_x0020_view" ma:index="21" nillable="true" ma:displayName="Finance view" ma:default="No" ma:format="Dropdown" ma:internalName="Finance_x0020_view">
      <xsd:simpleType>
        <xsd:restriction base="dms:Choice">
          <xsd:enumeration value="No"/>
          <xsd:enumeration value="Yes"/>
        </xsd:restriction>
      </xsd:simpleType>
    </xsd:element>
    <xsd:element name="_x0031_st_x0020_draft_x0020_ready_x0020_for_x0020_Regulatory" ma:index="22" nillable="true" ma:displayName="1st Draft Ready For Regulatory" ma:format="DateOnly" ma:internalName="_x0031_st_x0020_draft_x0020_ready_x0020_for_x0020_Regulatory">
      <xsd:simpleType>
        <xsd:restriction base="dms:DateTime"/>
      </xsd:simpleType>
    </xsd:element>
    <xsd:element name="_x0031_st_x0020_Draft_x0020_Evidence_x0020_Due" ma:index="23" nillable="true" ma:displayName="1st Draft Evidence Due" ma:format="DateOnly" ma:internalName="_x0031_st_x0020_Draft_x0020_Evidence_x0020_Due">
      <xsd:simpleType>
        <xsd:restriction base="dms:DateTime"/>
      </xsd:simpleType>
    </xsd:element>
    <xsd:element name="Cust_x0020_Eng" ma:index="24" nillable="true" ma:displayName="Cust Eng" ma:format="Dropdown" ma:internalName="Cust_x0020_Eng">
      <xsd:simpleType>
        <xsd:restriction base="dms:Choice">
          <xsd:enumeration value="Yes"/>
          <xsd:enumeration value="No"/>
        </xsd:restriction>
      </xsd:simpleType>
    </xsd:element>
    <xsd:element name="Customer_x0020_Care_x0020_View" ma:index="25" nillable="true" ma:displayName="Customer Care View" ma:default="No" ma:format="Dropdown" ma:internalName="Customer_x0020_Care_x0020_View">
      <xsd:simpleType>
        <xsd:restriction base="dms:Choice">
          <xsd:enumeration value="No"/>
          <xsd:enumeration value="Yes"/>
        </xsd:restriction>
      </xsd:simpleType>
    </xsd:element>
    <xsd:element name="_x0031_st_x0020_Draft_x0020_SL_x0020_Review_x0020_Complete" ma:index="26" nillable="true" ma:displayName="1st Draft SL Review Complete" ma:format="DateOnly" ma:internalName="_x0031_st_x0020_Draft_x0020_SL_x0020_Review_x0020_Complete">
      <xsd:simpleType>
        <xsd:restriction base="dms:DateTime"/>
      </xsd:simpleType>
    </xsd:element>
    <xsd:element name="Accountable_x0020_Area" ma:index="27" nillable="true" ma:displayName="Accountable Area" ma:default="BD&amp;R" ma:format="Dropdown" ma:internalName="Accountable_x0020_Area">
      <xsd:simpleType>
        <xsd:restriction base="dms:Choice">
          <xsd:enumeration value="BD&amp;R"/>
          <xsd:enumeration value="Customer Care"/>
          <xsd:enumeration value="Energy Services"/>
          <xsd:enumeration value="Finance"/>
          <xsd:enumeration value="HR"/>
          <xsd:enumeration value="Operations"/>
          <xsd:enumeration value="Eng &amp; STO"/>
          <xsd:enumeration value="TIS"/>
        </xsd:restriction>
      </xsd:simpleType>
    </xsd:element>
    <xsd:element name="Executive_x0020_Review" ma:index="28" nillable="true" ma:displayName="Executive Review" ma:default="0" ma:internalName="Executive_x0020_Review">
      <xsd:simpleType>
        <xsd:restriction base="dms:Boolean"/>
      </xsd:simpleType>
    </xsd:element>
    <xsd:element name="Final_x0020_Draft_x0020_Due" ma:index="29" nillable="true" ma:displayName="Final Draft Due" ma:format="DateOnly" ma:internalName="Final_x0020_Draft_x0020_Due">
      <xsd:simpleType>
        <xsd:restriction base="dms:DateTime"/>
      </xsd:simpleType>
    </xsd:element>
    <xsd:element name="Formatting_x0020_Reqd" ma:index="30" nillable="true" ma:displayName="Formatting Reqd" ma:default="0" ma:internalName="Formatting_x0020_Reqd">
      <xsd:simpleType>
        <xsd:restriction base="dms:Boolean"/>
      </xsd:simpleType>
    </xsd:element>
    <xsd:element name="Final_x0020_Draft_x0020_Ready_x0020_for_x0020_SL_x0020_Review" ma:index="31" nillable="true" ma:displayName="Final Draft Ready for SL Review" ma:default="0" ma:description="Trigger to appear in Reg Leadership and Malini view" ma:internalName="Final_x0020_Draft_x0020_Ready_x0020_for_x0020_SL_x0020_Review">
      <xsd:simpleType>
        <xsd:restriction base="dms:Boolean"/>
      </xsd:simpleType>
    </xsd:element>
    <xsd:element name="Final_x0020_Draft_x0020_Reg_x002f_1st_x0020_Level_x0020_Review_x0020_Due_x0020_Date" ma:index="32" nillable="true" ma:displayName="Reg. Final Draft Review Due" ma:format="DateOnly" ma:internalName="Final_x0020_Draft_x0020_Reg_x002f_1st_x0020_Level_x0020_Review_x0020_Due_x0020_Date">
      <xsd:simpleType>
        <xsd:restriction base="dms:DateTime"/>
      </xsd:simpleType>
    </xsd:element>
    <xsd:element name="Legal_x0020_Handoff_x0020_Date" ma:index="33" nillable="true" ma:displayName="Legal Handoff Date" ma:format="DateOnly" ma:internalName="Legal_x0020_Handoff_x0020_Date">
      <xsd:simpleType>
        <xsd:restriction base="dms:DateTime"/>
      </xsd:simpleType>
    </xsd:element>
    <xsd:element name="Legal_x0020_Session_x0020_Date" ma:index="34" nillable="true" ma:displayName="Legal Session Date" ma:format="DateOnly" ma:internalName="Legal_x0020_Session_x0020_Date">
      <xsd:simpleType>
        <xsd:restriction base="dms:DateTime"/>
      </xsd:simpleType>
    </xsd:element>
    <xsd:element name="xewa" ma:index="35" nillable="true" ma:displayName="Legal Comments Addressed" ma:format="DateOnly" ma:internalName="xewa">
      <xsd:simpleType>
        <xsd:restriction base="dms:DateTime"/>
      </xsd:simpleType>
    </xsd:element>
    <xsd:element name="TM_x0020_Sign_x0020_Off" ma:index="36" nillable="true" ma:displayName="TM Sign Off" ma:format="DateOnly" ma:internalName="TM_x0020_Sign_x0020_Off">
      <xsd:simpleType>
        <xsd:restriction base="dms:DateTime"/>
      </xsd:simpleType>
    </xsd:element>
    <xsd:element name="Reg_x002f_Formatting_x0020_Sign_x0020_Off" ma:index="37" nillable="true" ma:displayName="Reg/Formatting Sign Off" ma:format="DateOnly" ma:internalName="Reg_x002f_Formatting_x0020_Sign_x0020_Off">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4ab40f3-767a-43a9-8b62-265d64c54f3b"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x0031_st_x0020_draft_x0020_priority xmlns="0e4c58a4-4156-4653-af30-d293e31e5ce5">H</_x0031_st_x0020_draft_x0020_priority>
    <Final_x0020_Draft_x0020_Ready_x0020_for_x0020_SL_x0020_Review xmlns="0e4c58a4-4156-4653-af30-d293e31e5ce5">false</Final_x0020_Draft_x0020_Ready_x0020_for_x0020_SL_x0020_Review>
    <Reg_x002e__x0020_Review_x0020_Due_x0020_Date xmlns="0e4c58a4-4156-4653-af30-d293e31e5ce5" xsi:nil="true"/>
    <Finance_x0020_view xmlns="0e4c58a4-4156-4653-af30-d293e31e5ce5">No</Finance_x0020_view>
    <Accountable_x0020_Area xmlns="0e4c58a4-4156-4653-af30-d293e31e5ce5">BD&amp;R</Accountable_x0020_Area>
    <Formatting_x0020_Reqd xmlns="0e4c58a4-4156-4653-af30-d293e31e5ce5">false</Formatting_x0020_Reqd>
    <Status xmlns="0e4c58a4-4156-4653-af30-d293e31e5ce5">Shell Created</Status>
    <Customer_x0020_Care_x0020_View xmlns="0e4c58a4-4156-4653-af30-d293e31e5ce5">No</Customer_x0020_Care_x0020_View>
    <Energy_x0020_Services_x0020_View xmlns="0e4c58a4-4156-4653-af30-d293e31e5ce5">No</Energy_x0020_Services_x0020_View>
    <Regulatory_x0020_Leads xmlns="0e4c58a4-4156-4653-af30-d293e31e5ce5">
      <UserInfo>
        <DisplayName/>
        <AccountId xsi:nil="true"/>
        <AccountType/>
      </UserInfo>
    </Regulatory_x0020_Leads>
    <Final_x0020_Draft_x0020_Due xmlns="0e4c58a4-4156-4653-af30-d293e31e5ce5" xsi:nil="true"/>
    <Legal_x0020_Handoff_x0020_Date xmlns="0e4c58a4-4156-4653-af30-d293e31e5ce5" xsi:nil="true"/>
    <Exhibit_x002f_Tab_x002f_Schedule xmlns="0e4c58a4-4156-4653-af30-d293e31e5ce5" xsi:nil="true"/>
    <_x0031_st_x0020_Draft_x0020_SL_x0020_Review_x0020_Complete xmlns="0e4c58a4-4156-4653-af30-d293e31e5ce5" xsi:nil="true"/>
    <Binder xmlns="0e4c58a4-4156-4653-af30-d293e31e5ce5">0</Binder>
    <Attachment xmlns="0e4c58a4-4156-4653-af30-d293e31e5ce5" xsi:nil="true"/>
    <Final_x0020_Draft_x0020_Reg_x002f_1st_x0020_Level_x0020_Review_x0020_Due_x0020_Date xmlns="0e4c58a4-4156-4653-af30-d293e31e5ce5" xsi:nil="true"/>
    <Phase xmlns="0e4c58a4-4156-4653-af30-d293e31e5ce5" xsi:nil="true"/>
    <Version_x0020_Comments xmlns="0e4c58a4-4156-4653-af30-d293e31e5ce5" xsi:nil="true"/>
    <Executive_x0020_Review xmlns="0e4c58a4-4156-4653-af30-d293e31e5ce5">false</Executive_x0020_Review>
    <Legal_x0020_Session_x0020_Date xmlns="0e4c58a4-4156-4653-af30-d293e31e5ce5" xsi:nil="true"/>
    <TM_x0020_Sign_x0020_Off xmlns="0e4c58a4-4156-4653-af30-d293e31e5ce5" xsi:nil="true"/>
    <xewa xmlns="0e4c58a4-4156-4653-af30-d293e31e5ce5" xsi:nil="true"/>
    <Legal_x0020_Team xmlns="0e4c58a4-4156-4653-af30-d293e31e5ce5">
      <UserInfo>
        <DisplayName/>
        <AccountId xsi:nil="true"/>
        <AccountType/>
      </UserInfo>
    </Legal_x0020_Team>
    <Witness xmlns="0e4c58a4-4156-4653-af30-d293e31e5ce5">
      <UserInfo>
        <DisplayName/>
        <AccountId xsi:nil="true"/>
        <AccountType/>
      </UserInfo>
    </Witness>
    <Folder xmlns="0e4c58a4-4156-4653-af30-d293e31e5ce5" xsi:nil="true"/>
    <_x0031_st_x0020_Draft_x0020_Evidence_x0020_Due xmlns="0e4c58a4-4156-4653-af30-d293e31e5ce5" xsi:nil="true"/>
    <Cust_x0020_Eng xmlns="0e4c58a4-4156-4653-af30-d293e31e5ce5" xsi:nil="true"/>
    <Reg_x002f_Formatting_x0020_Sign_x0020_Off xmlns="0e4c58a4-4156-4653-af30-d293e31e5ce5" xsi:nil="true"/>
    <_x0031_st_x0020_draft_x0020_ready_x0020_for_x0020_Regulatory xmlns="0e4c58a4-4156-4653-af30-d293e31e5ce5" xsi:nil="true"/>
  </documentManagement>
</p:properties>
</file>

<file path=customXml/itemProps1.xml><?xml version="1.0" encoding="utf-8"?>
<ds:datastoreItem xmlns:ds="http://schemas.openxmlformats.org/officeDocument/2006/customXml" ds:itemID="{2DE25489-E151-4516-927E-9EB8D630A467}"/>
</file>

<file path=customXml/itemProps2.xml><?xml version="1.0" encoding="utf-8"?>
<ds:datastoreItem xmlns:ds="http://schemas.openxmlformats.org/officeDocument/2006/customXml" ds:itemID="{F4CAFAEE-07F9-4950-A23E-75FE43ED7ED5}"/>
</file>

<file path=customXml/itemProps3.xml><?xml version="1.0" encoding="utf-8"?>
<ds:datastoreItem xmlns:ds="http://schemas.openxmlformats.org/officeDocument/2006/customXml" ds:itemID="{4856342D-669C-428E-830E-E4970EBA73C9}"/>
</file>

<file path=customXml/itemProps4.xml><?xml version="1.0" encoding="utf-8"?>
<ds:datastoreItem xmlns:ds="http://schemas.openxmlformats.org/officeDocument/2006/customXml" ds:itemID="{7981944D-37C9-45A4-92D1-63448B2B96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21</vt:i4>
      </vt:variant>
    </vt:vector>
  </HeadingPairs>
  <TitlesOfParts>
    <vt:vector size="42" baseType="lpstr">
      <vt:lpstr>Attach 1</vt:lpstr>
      <vt:lpstr>Attach 2</vt:lpstr>
      <vt:lpstr>Attach 3</vt:lpstr>
      <vt:lpstr>Attach 4</vt:lpstr>
      <vt:lpstr>Attach 5 p.1</vt:lpstr>
      <vt:lpstr>Attach 5 p.2</vt:lpstr>
      <vt:lpstr>Attach 6</vt:lpstr>
      <vt:lpstr>Attach 7</vt:lpstr>
      <vt:lpstr>Attach 8</vt:lpstr>
      <vt:lpstr>Attach 9</vt:lpstr>
      <vt:lpstr>Attach 10 p.1-4</vt:lpstr>
      <vt:lpstr>Attach 10 p.5-6</vt:lpstr>
      <vt:lpstr>Attach 10 p.7-9</vt:lpstr>
      <vt:lpstr>Attach 11</vt:lpstr>
      <vt:lpstr>Attach 12 p.1-2</vt:lpstr>
      <vt:lpstr>Attach 12 p.3</vt:lpstr>
      <vt:lpstr>Attach 13</vt:lpstr>
      <vt:lpstr>Attach 14</vt:lpstr>
      <vt:lpstr>Attach 15</vt:lpstr>
      <vt:lpstr>Attach 16</vt:lpstr>
      <vt:lpstr>Attach 17</vt:lpstr>
      <vt:lpstr>'Attach 1'!Print_Area</vt:lpstr>
      <vt:lpstr>'Attach 10 p.5-6'!Print_Area</vt:lpstr>
      <vt:lpstr>'Attach 10 p.7-9'!Print_Area</vt:lpstr>
      <vt:lpstr>'Attach 11'!Print_Area</vt:lpstr>
      <vt:lpstr>'Attach 12 p.1-2'!Print_Area</vt:lpstr>
      <vt:lpstr>'Attach 12 p.3'!Print_Area</vt:lpstr>
      <vt:lpstr>'Attach 13'!Print_Area</vt:lpstr>
      <vt:lpstr>'Attach 14'!Print_Area</vt:lpstr>
      <vt:lpstr>'Attach 15'!Print_Area</vt:lpstr>
      <vt:lpstr>'Attach 16'!Print_Area</vt:lpstr>
      <vt:lpstr>'Attach 17'!Print_Area</vt:lpstr>
      <vt:lpstr>'Attach 2'!Print_Area</vt:lpstr>
      <vt:lpstr>'Attach 3'!Print_Area</vt:lpstr>
      <vt:lpstr>'Attach 4'!Print_Area</vt:lpstr>
      <vt:lpstr>'Attach 5 p.1'!Print_Area</vt:lpstr>
      <vt:lpstr>'Attach 5 p.2'!Print_Area</vt:lpstr>
      <vt:lpstr>'Attach 6'!Print_Area</vt:lpstr>
      <vt:lpstr>'Attach 7'!Print_Area</vt:lpstr>
      <vt:lpstr>'Attach 8'!Print_Area</vt:lpstr>
      <vt:lpstr>'Attach 9'!Print_Area</vt:lpstr>
      <vt:lpstr>'Attach 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2022-11-29T21:10:43Z</dcterms:created>
  <dcterms:modified xsi:type="dcterms:W3CDTF">2022-11-29T21:10:46Z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1a6f161-e42b-4c47-8f69-f6a81e023e2d_Enabled">
    <vt:lpwstr>true</vt:lpwstr>
  </property>
  <property fmtid="{D5CDD505-2E9C-101B-9397-08002B2CF9AE}" pid="3" name="MSIP_Label_b1a6f161-e42b-4c47-8f69-f6a81e023e2d_SetDate">
    <vt:lpwstr>2022-11-29T21:10:46Z</vt:lpwstr>
  </property>
  <property fmtid="{D5CDD505-2E9C-101B-9397-08002B2CF9AE}" pid="4" name="MSIP_Label_b1a6f161-e42b-4c47-8f69-f6a81e023e2d_Method">
    <vt:lpwstr>Standard</vt:lpwstr>
  </property>
  <property fmtid="{D5CDD505-2E9C-101B-9397-08002B2CF9AE}" pid="5" name="MSIP_Label_b1a6f161-e42b-4c47-8f69-f6a81e023e2d_Name">
    <vt:lpwstr>b1a6f161-e42b-4c47-8f69-f6a81e023e2d</vt:lpwstr>
  </property>
  <property fmtid="{D5CDD505-2E9C-101B-9397-08002B2CF9AE}" pid="6" name="MSIP_Label_b1a6f161-e42b-4c47-8f69-f6a81e023e2d_SiteId">
    <vt:lpwstr>271df5c2-953a-497b-93ad-7adf7a4b3cd7</vt:lpwstr>
  </property>
  <property fmtid="{D5CDD505-2E9C-101B-9397-08002B2CF9AE}" pid="7" name="MSIP_Label_b1a6f161-e42b-4c47-8f69-f6a81e023e2d_ActionId">
    <vt:lpwstr>4b6af798-1bb3-4599-989b-9cfd6e3dc3d2</vt:lpwstr>
  </property>
  <property fmtid="{D5CDD505-2E9C-101B-9397-08002B2CF9AE}" pid="8" name="MSIP_Label_b1a6f161-e42b-4c47-8f69-f6a81e023e2d_ContentBits">
    <vt:lpwstr>0</vt:lpwstr>
  </property>
  <property fmtid="{D5CDD505-2E9C-101B-9397-08002B2CF9AE}" pid="9" name="ContentTypeId">
    <vt:lpwstr>0x010100BA68BE8D2D1B4442B56E8613E5D4A5D4</vt:lpwstr>
  </property>
</Properties>
</file>