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filterPrivacy="1" defaultThemeVersion="166925"/>
  <xr:revisionPtr revIDLastSave="0" documentId="13_ncr:1_{384CA1CB-E5C9-4732-8C63-6A185C26CEF8}" xr6:coauthVersionLast="47" xr6:coauthVersionMax="47" xr10:uidLastSave="{00000000-0000-0000-0000-000000000000}"/>
  <bookViews>
    <workbookView xWindow="-120" yWindow="-120" windowWidth="29040" windowHeight="15840" xr2:uid="{99F201B8-D305-49BE-A724-50517CFADF7F}"/>
  </bookViews>
  <sheets>
    <sheet name="Attach 1" sheetId="4" r:id="rId1"/>
    <sheet name="Attach 2" sheetId="5" r:id="rId2"/>
    <sheet name="Attach 3" sheetId="40" r:id="rId3"/>
    <sheet name="Attach 4" sheetId="36" r:id="rId4"/>
    <sheet name="Attach 5" sheetId="13" r:id="rId5"/>
    <sheet name="Attach 6" sheetId="14" r:id="rId6"/>
    <sheet name="Attach 7" sheetId="16" r:id="rId7"/>
    <sheet name="Attach 8" sheetId="17" r:id="rId8"/>
    <sheet name="Attach 9" sheetId="10" r:id="rId9"/>
    <sheet name="Attach 10 p.1-4" sheetId="37" r:id="rId10"/>
    <sheet name="Attach 10 p.5-6" sheetId="38" r:id="rId11"/>
    <sheet name="Attach 10 p.7-9" sheetId="39" r:id="rId12"/>
    <sheet name="Attach 11" sheetId="28" r:id="rId13"/>
    <sheet name="Attach 12 p.1-2" sheetId="29" r:id="rId14"/>
    <sheet name="Attach 12 p.3" sheetId="30" r:id="rId15"/>
    <sheet name="Attach 13" sheetId="31" r:id="rId16"/>
    <sheet name="Attach 14" sheetId="32" r:id="rId17"/>
    <sheet name="Attach 15" sheetId="33" r:id="rId18"/>
    <sheet name="Attach 16" sheetId="34" r:id="rId19"/>
    <sheet name="Attach 17" sheetId="35" r:id="rId20"/>
  </sheets>
  <definedNames>
    <definedName name="EV__EVCOM_OPTIONS__" hidden="1">8</definedName>
    <definedName name="EV__EXPOPTIONS__" hidden="1">0</definedName>
    <definedName name="EV__LASTREFTIME__" hidden="1">41247.4113888889</definedName>
    <definedName name="EV__MAXEXPCOLS__" hidden="1">100</definedName>
    <definedName name="EV__MAXEXPROWS__" hidden="1">200000</definedName>
    <definedName name="EV__MEMORYCVW__" hidden="1">0</definedName>
    <definedName name="EV__USERCHANGEOPTIONS__" hidden="1">1</definedName>
    <definedName name="EV__WBEVMODE__" hidden="1">0</definedName>
    <definedName name="EV__WBREFOPTIONS__" hidden="1">134217728</definedName>
    <definedName name="EV__WBVERSION__" hidden="1">0</definedName>
    <definedName name="GSAdminChg">#REF!</definedName>
    <definedName name="paolo" localSheetId="3" hidden="1">{#N/A,#N/A,FALSE,"H3 Tab 1"}</definedName>
    <definedName name="paolo" hidden="1">{#N/A,#N/A,FALSE,"H3 Tab 1"}</definedName>
    <definedName name="_xlnm.Print_Area" localSheetId="0">'Attach 1'!$B$1:$Q$138</definedName>
    <definedName name="_xlnm.Print_Area" localSheetId="9">'Attach 10 p.1-4'!$A$1:$M$296</definedName>
    <definedName name="_xlnm.Print_Area" localSheetId="10">'Attach 10 p.5-6'!$A$1:$M$170</definedName>
    <definedName name="_xlnm.Print_Area" localSheetId="12">'Attach 11'!$A$1:$I$36</definedName>
    <definedName name="_xlnm.Print_Area" localSheetId="13">'Attach 12 p.1-2'!$A$1:$P$116</definedName>
    <definedName name="_xlnm.Print_Area" localSheetId="14">'Attach 12 p.3'!$A$1:$E$27</definedName>
    <definedName name="_xlnm.Print_Area" localSheetId="15">'Attach 13'!$A$1:$E$39</definedName>
    <definedName name="_xlnm.Print_Area" localSheetId="16">'Attach 14'!$A$1:$E$41</definedName>
    <definedName name="_xlnm.Print_Area" localSheetId="17">'Attach 15'!$A$1:$E$29</definedName>
    <definedName name="_xlnm.Print_Area" localSheetId="18">'Attach 16'!$A$1:$E$40</definedName>
    <definedName name="_xlnm.Print_Area" localSheetId="19">'Attach 17'!$A$1:$I$108</definedName>
    <definedName name="_xlnm.Print_Area" localSheetId="1">'Attach 2'!$B$1:$T$367</definedName>
    <definedName name="_xlnm.Print_Area" localSheetId="2">'Attach 3'!$B$1:$M$86</definedName>
    <definedName name="_xlnm.Print_Area" localSheetId="3">'Attach 4'!$B$1:$R$292</definedName>
    <definedName name="_xlnm.Print_Area" localSheetId="4">'Attach 5'!$A$1:$S$37</definedName>
    <definedName name="_xlnm.Print_Area" localSheetId="5">'Attach 6'!$B$1:$J$236</definedName>
    <definedName name="_xlnm.Print_Area" localSheetId="6">'Attach 7'!$B$1:$I$31</definedName>
    <definedName name="_xlnm.Print_Area" localSheetId="7">'Attach 8'!$B$1:$N$35</definedName>
    <definedName name="_xlnm.Print_Area" localSheetId="8">'Attach 9'!$B$1:$J$86</definedName>
    <definedName name="wrn.Backup." localSheetId="0" hidden="1">{#N/A,#N/A,FALSE,"Margins";#N/A,#N/A,FALSE,"Fuel $";#N/A,#N/A,FALSE,"Fuel";#N/A,#N/A,FALSE,"M12 Storage";#N/A,#N/A,FALSE,"M12 Transport";#N/A,#N/A,FALSE,"M12 OR";#N/A,#N/A,FALSE,"C1 OR"}</definedName>
    <definedName name="wrn.Backup." localSheetId="1" hidden="1">{#N/A,#N/A,FALSE,"Margins";#N/A,#N/A,FALSE,"Fuel $";#N/A,#N/A,FALSE,"Fuel";#N/A,#N/A,FALSE,"M12 Storage";#N/A,#N/A,FALSE,"M12 Transport";#N/A,#N/A,FALSE,"M12 OR";#N/A,#N/A,FALSE,"C1 OR"}</definedName>
    <definedName name="wrn.Backup." localSheetId="2" hidden="1">{#N/A,#N/A,FALSE,"Margins";#N/A,#N/A,FALSE,"Fuel $";#N/A,#N/A,FALSE,"Fuel";#N/A,#N/A,FALSE,"M12 Storage";#N/A,#N/A,FALSE,"M12 Transport";#N/A,#N/A,FALSE,"M12 OR";#N/A,#N/A,FALSE,"C1 OR"}</definedName>
    <definedName name="wrn.Backup." localSheetId="3" hidden="1">{#N/A,#N/A,FALSE,"Margins";#N/A,#N/A,FALSE,"Fuel $";#N/A,#N/A,FALSE,"Fuel";#N/A,#N/A,FALSE,"M12 Storage";#N/A,#N/A,FALSE,"M12 Transport";#N/A,#N/A,FALSE,"M12 OR";#N/A,#N/A,FALSE,"C1 OR"}</definedName>
    <definedName name="wrn.Backup." hidden="1">{#N/A,#N/A,FALSE,"Margins";#N/A,#N/A,FALSE,"Fuel $";#N/A,#N/A,FALSE,"Fuel";#N/A,#N/A,FALSE,"M12 Storage";#N/A,#N/A,FALSE,"M12 Transport";#N/A,#N/A,FALSE,"M12 OR";#N/A,#N/A,FALSE,"C1 OR"}</definedName>
    <definedName name="wrn.h3T1S1." localSheetId="3" hidden="1">{#N/A,#N/A,FALSE,"H3 Tab 1"}</definedName>
    <definedName name="wrn.h3T1S1." hidden="1">{#N/A,#N/A,FALSE,"H3 Tab 1"}</definedName>
    <definedName name="wrn.H3T1S2." localSheetId="3" hidden="1">{#N/A,#N/A,FALSE,"H3 Tab 1"}</definedName>
    <definedName name="wrn.H3T1S2." hidden="1">{#N/A,#N/A,FALSE,"H3 Tab 1"}</definedName>
    <definedName name="wrn.H3T2S3." localSheetId="3" hidden="1">{#N/A,#N/A,FALSE,"H3 Tab 2";#N/A,#N/A,FALSE,"H3 Tab 2"}</definedName>
    <definedName name="wrn.H3T2S3." hidden="1">{#N/A,#N/A,FALSE,"H3 Tab 2";#N/A,#N/A,FALSE,"H3 Tab 2"}</definedName>
    <definedName name="wrn.Print._.All." localSheetId="3" hidden="1">{#N/A,#N/A,FALSE,"Dday-Cust#";#N/A,#N/A,FALSE,"Cascade";#N/A,#N/A,FALSE,"LF Rate 10,16";#N/A,#N/A,FALSE,"Direct Supply Source";#N/A,#N/A,FALSE,"Direct-DSM";#N/A,#N/A,FALSE,"Regulators";#N/A,#N/A,FALSE,"BS Admin etc..";#N/A,#N/A,FALSE,"Sole Mains";#N/A,#N/A,FALSE,"Sole M&amp;R";#N/A,#N/A,FALSE,"Joint-Sole-Grid-CIAC";#N/A,#N/A,FALSE,"COG";#N/A,#N/A,FALSE,"Gas Supply"}</definedName>
    <definedName name="wrn.Print._.All." hidden="1">{#N/A,#N/A,FALSE,"Dday-Cust#";#N/A,#N/A,FALSE,"Cascade";#N/A,#N/A,FALSE,"LF Rate 10,16";#N/A,#N/A,FALSE,"Direct Supply Source";#N/A,#N/A,FALSE,"Direct-DSM";#N/A,#N/A,FALSE,"Regulators";#N/A,#N/A,FALSE,"BS Admin etc..";#N/A,#N/A,FALSE,"Sole Mains";#N/A,#N/A,FALSE,"Sole M&amp;R";#N/A,#N/A,FALSE,"Joint-Sole-Grid-CIAC";#N/A,#N/A,FALSE,"COG";#N/A,#N/A,FALSE,"Gas Supply"}</definedName>
    <definedName name="wrn.RevProof." localSheetId="3" hidden="1">{#N/A,#N/A,FALSE,"RevProof"}</definedName>
    <definedName name="wrn.RevProof." hidden="1">{#N/A,#N/A,FALSE,"RevProof"}</definedName>
    <definedName name="wrn.Schedules." localSheetId="0" hidden="1">{#N/A,#N/A,FALSE,"Filed Sheet";#N/A,#N/A,FALSE,"Schedule C";#N/A,#N/A,FALSE,"Appendix A"}</definedName>
    <definedName name="wrn.Schedules." localSheetId="1" hidden="1">{#N/A,#N/A,FALSE,"Filed Sheet";#N/A,#N/A,FALSE,"Schedule C";#N/A,#N/A,FALSE,"Appendix A"}</definedName>
    <definedName name="wrn.Schedules." localSheetId="2" hidden="1">{#N/A,#N/A,FALSE,"Filed Sheet";#N/A,#N/A,FALSE,"Schedule C";#N/A,#N/A,FALSE,"Appendix A"}</definedName>
    <definedName name="wrn.Schedules." localSheetId="3" hidden="1">{#N/A,#N/A,FALSE,"Filed Sheet";#N/A,#N/A,FALSE,"Schedule C";#N/A,#N/A,FALSE,"Appendix A"}</definedName>
    <definedName name="wrn.Schedules." hidden="1">{#N/A,#N/A,FALSE,"Filed Sheet";#N/A,#N/A,FALSE,"Schedule C";#N/A,#N/A,FALSE,"Appendix A"}</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09" i="37" l="1"/>
  <c r="A97" i="37"/>
  <c r="B136" i="36"/>
  <c r="M177" i="39"/>
  <c r="L177" i="39"/>
  <c r="M176" i="39"/>
  <c r="L176" i="39"/>
  <c r="M90" i="39"/>
  <c r="L90" i="39"/>
  <c r="M89" i="39"/>
  <c r="L89" i="39"/>
  <c r="H220" i="14" l="1"/>
  <c r="J130" i="4" l="1"/>
  <c r="J38" i="4"/>
  <c r="J16" i="4"/>
  <c r="J17" i="4"/>
  <c r="J18" i="4"/>
  <c r="J19" i="4"/>
  <c r="J20" i="4"/>
  <c r="J21" i="4"/>
  <c r="J22" i="4"/>
  <c r="J23" i="4"/>
  <c r="K23" i="4" s="1"/>
  <c r="J24" i="4"/>
  <c r="J25" i="4"/>
  <c r="J15" i="4"/>
  <c r="J84" i="4"/>
  <c r="J80" i="4"/>
  <c r="J126" i="4"/>
  <c r="J118" i="4"/>
  <c r="K21" i="4"/>
  <c r="K20" i="4"/>
  <c r="K19" i="4"/>
  <c r="K18" i="4"/>
  <c r="K17" i="4"/>
  <c r="J72" i="4"/>
  <c r="K24" i="4" s="1"/>
  <c r="J34" i="4"/>
  <c r="K22" i="4"/>
  <c r="K16" i="4"/>
  <c r="K25" i="4"/>
  <c r="K29" i="4"/>
  <c r="K30" i="4"/>
  <c r="K31" i="4"/>
  <c r="K32" i="4"/>
  <c r="K33" i="4"/>
  <c r="K36" i="4"/>
  <c r="J26" i="4" l="1"/>
  <c r="K15" i="4"/>
  <c r="K26" i="4" s="1"/>
  <c r="K34" i="4"/>
  <c r="K38" i="4" l="1"/>
  <c r="F14" i="40" l="1"/>
  <c r="B15" i="40"/>
  <c r="B16" i="40" s="1"/>
  <c r="F15" i="40"/>
  <c r="F16" i="40"/>
  <c r="H17" i="40"/>
  <c r="I17" i="40"/>
  <c r="J17" i="40"/>
  <c r="K17" i="40"/>
  <c r="L17" i="40"/>
  <c r="M17" i="40"/>
  <c r="F20" i="40"/>
  <c r="F21" i="40"/>
  <c r="F22" i="40"/>
  <c r="H23" i="40"/>
  <c r="I23" i="40"/>
  <c r="J23" i="40"/>
  <c r="J28" i="40" s="1"/>
  <c r="J41" i="40" s="1"/>
  <c r="J42" i="40" s="1"/>
  <c r="K23" i="40"/>
  <c r="L23" i="40"/>
  <c r="M23" i="40"/>
  <c r="H27" i="40"/>
  <c r="I27" i="40"/>
  <c r="J27" i="40"/>
  <c r="K27" i="40"/>
  <c r="L27" i="40"/>
  <c r="M27" i="40"/>
  <c r="F32" i="40"/>
  <c r="F33" i="40"/>
  <c r="H34" i="40"/>
  <c r="I34" i="40"/>
  <c r="J34" i="40"/>
  <c r="K34" i="40"/>
  <c r="L34" i="40"/>
  <c r="M34" i="40"/>
  <c r="F60" i="40"/>
  <c r="F61" i="40"/>
  <c r="F62" i="40"/>
  <c r="H63" i="40"/>
  <c r="H73" i="40" s="1"/>
  <c r="I63" i="40"/>
  <c r="J63" i="40"/>
  <c r="J73" i="40" s="1"/>
  <c r="K63" i="40"/>
  <c r="K73" i="40" s="1"/>
  <c r="K77" i="40" s="1"/>
  <c r="L63" i="40"/>
  <c r="M63" i="40"/>
  <c r="M73" i="40" s="1"/>
  <c r="F66" i="40"/>
  <c r="F67" i="40"/>
  <c r="F68" i="40"/>
  <c r="H69" i="40"/>
  <c r="I69" i="40"/>
  <c r="I75" i="40" s="1"/>
  <c r="J69" i="40"/>
  <c r="J75" i="40" s="1"/>
  <c r="K69" i="40"/>
  <c r="K75" i="40" s="1"/>
  <c r="L69" i="40"/>
  <c r="L75" i="40" s="1"/>
  <c r="M69" i="40"/>
  <c r="M75" i="40" s="1"/>
  <c r="F71" i="40"/>
  <c r="I73" i="40"/>
  <c r="L73" i="40"/>
  <c r="H75" i="40"/>
  <c r="J356" i="5"/>
  <c r="J351" i="5"/>
  <c r="J341" i="5"/>
  <c r="J307" i="5"/>
  <c r="J299" i="5"/>
  <c r="Q269" i="5"/>
  <c r="J271" i="5"/>
  <c r="B269" i="5"/>
  <c r="B271" i="5" s="1"/>
  <c r="K362" i="5"/>
  <c r="Q356" i="5"/>
  <c r="P356" i="5"/>
  <c r="O356" i="5"/>
  <c r="H356" i="5"/>
  <c r="D356" i="5"/>
  <c r="S354" i="5"/>
  <c r="S353" i="5"/>
  <c r="O351" i="5"/>
  <c r="H351" i="5"/>
  <c r="D351" i="5"/>
  <c r="Q349" i="5"/>
  <c r="P349" i="5" s="1"/>
  <c r="Q348" i="5"/>
  <c r="P348" i="5" s="1"/>
  <c r="Q347" i="5"/>
  <c r="S347" i="5" s="1"/>
  <c r="Q346" i="5"/>
  <c r="S346" i="5" s="1"/>
  <c r="Q345" i="5"/>
  <c r="S345" i="5" s="1"/>
  <c r="Q344" i="5"/>
  <c r="P344" i="5" s="1"/>
  <c r="O341" i="5"/>
  <c r="H341" i="5"/>
  <c r="D341" i="5"/>
  <c r="S339" i="5"/>
  <c r="P339" i="5"/>
  <c r="S338" i="5"/>
  <c r="P338" i="5"/>
  <c r="Q336" i="5"/>
  <c r="S336" i="5" s="1"/>
  <c r="Q335" i="5"/>
  <c r="S335" i="5" s="1"/>
  <c r="Q334" i="5"/>
  <c r="S334" i="5" s="1"/>
  <c r="P333" i="5"/>
  <c r="Q332" i="5"/>
  <c r="P332" i="5" s="1"/>
  <c r="Q331" i="5"/>
  <c r="S331" i="5" s="1"/>
  <c r="Q330" i="5"/>
  <c r="P330" i="5" s="1"/>
  <c r="Q329" i="5"/>
  <c r="S329" i="5" s="1"/>
  <c r="Q328" i="5"/>
  <c r="P328" i="5" s="1"/>
  <c r="Q326" i="5"/>
  <c r="P326" i="5" s="1"/>
  <c r="Q325" i="5"/>
  <c r="S325" i="5" s="1"/>
  <c r="D309" i="5"/>
  <c r="Q307" i="5"/>
  <c r="O307" i="5"/>
  <c r="H307" i="5"/>
  <c r="D307" i="5"/>
  <c r="S305" i="5"/>
  <c r="P305" i="5"/>
  <c r="S303" i="5"/>
  <c r="P303" i="5"/>
  <c r="S302" i="5"/>
  <c r="P302" i="5"/>
  <c r="O299" i="5"/>
  <c r="H299" i="5"/>
  <c r="D299" i="5"/>
  <c r="S297" i="5"/>
  <c r="P297" i="5"/>
  <c r="S296" i="5"/>
  <c r="P296" i="5"/>
  <c r="S295" i="5"/>
  <c r="Q294" i="5"/>
  <c r="S294" i="5" s="1"/>
  <c r="Q293" i="5"/>
  <c r="P293" i="5" s="1"/>
  <c r="Q292" i="5"/>
  <c r="S292" i="5" s="1"/>
  <c r="Q291" i="5"/>
  <c r="P291" i="5" s="1"/>
  <c r="Q290" i="5"/>
  <c r="S290" i="5" s="1"/>
  <c r="Q287" i="5"/>
  <c r="P287" i="5" s="1"/>
  <c r="Q285" i="5"/>
  <c r="S285" i="5" s="1"/>
  <c r="Q284" i="5"/>
  <c r="P284" i="5" s="1"/>
  <c r="Q281" i="5"/>
  <c r="S281" i="5" s="1"/>
  <c r="Q280" i="5"/>
  <c r="P280" i="5" s="1"/>
  <c r="Q279" i="5"/>
  <c r="S279" i="5" s="1"/>
  <c r="Q278" i="5"/>
  <c r="P278" i="5" s="1"/>
  <c r="Q277" i="5"/>
  <c r="S277" i="5" s="1"/>
  <c r="Q276" i="5"/>
  <c r="P276" i="5" s="1"/>
  <c r="O271" i="5"/>
  <c r="H271" i="5"/>
  <c r="D271" i="5"/>
  <c r="P269" i="5"/>
  <c r="Q267" i="5"/>
  <c r="S267" i="5" s="1"/>
  <c r="E30" i="31"/>
  <c r="O309" i="5" l="1"/>
  <c r="I77" i="40"/>
  <c r="L28" i="40"/>
  <c r="L41" i="40" s="1"/>
  <c r="L42" i="40" s="1"/>
  <c r="K37" i="40"/>
  <c r="K38" i="40" s="1"/>
  <c r="J37" i="40"/>
  <c r="J38" i="40" s="1"/>
  <c r="J46" i="40" s="1"/>
  <c r="M37" i="40"/>
  <c r="M38" i="40" s="1"/>
  <c r="F34" i="40"/>
  <c r="H28" i="40"/>
  <c r="H29" i="40" s="1"/>
  <c r="I28" i="40"/>
  <c r="I41" i="40" s="1"/>
  <c r="I42" i="40" s="1"/>
  <c r="F69" i="40"/>
  <c r="L77" i="40"/>
  <c r="K28" i="40"/>
  <c r="K29" i="40" s="1"/>
  <c r="F17" i="40"/>
  <c r="M77" i="40"/>
  <c r="F63" i="40"/>
  <c r="L29" i="40"/>
  <c r="I37" i="40"/>
  <c r="H37" i="40"/>
  <c r="H38" i="40" s="1"/>
  <c r="J77" i="40"/>
  <c r="F27" i="40"/>
  <c r="F23" i="40"/>
  <c r="L37" i="40"/>
  <c r="L45" i="40" s="1"/>
  <c r="M28" i="40"/>
  <c r="M29" i="40" s="1"/>
  <c r="H77" i="40"/>
  <c r="I38" i="40"/>
  <c r="J45" i="40"/>
  <c r="J29" i="40"/>
  <c r="B17" i="40"/>
  <c r="B20" i="40" s="1"/>
  <c r="H309" i="5"/>
  <c r="B276" i="5"/>
  <c r="K356" i="5"/>
  <c r="M299" i="5"/>
  <c r="P335" i="5"/>
  <c r="M307" i="5"/>
  <c r="P281" i="5"/>
  <c r="S328" i="5"/>
  <c r="P279" i="5"/>
  <c r="P267" i="5"/>
  <c r="P271" i="5" s="1"/>
  <c r="P285" i="5"/>
  <c r="K307" i="5"/>
  <c r="M341" i="5"/>
  <c r="S307" i="5"/>
  <c r="S330" i="5"/>
  <c r="S332" i="5"/>
  <c r="S344" i="5"/>
  <c r="S348" i="5"/>
  <c r="P307" i="5"/>
  <c r="P345" i="5"/>
  <c r="P346" i="5"/>
  <c r="K271" i="5"/>
  <c r="M271" i="5"/>
  <c r="P290" i="5"/>
  <c r="P325" i="5"/>
  <c r="Q351" i="5"/>
  <c r="R351" i="5" s="1"/>
  <c r="P347" i="5"/>
  <c r="S349" i="5"/>
  <c r="P292" i="5"/>
  <c r="P331" i="5"/>
  <c r="M351" i="5"/>
  <c r="P277" i="5"/>
  <c r="K341" i="5"/>
  <c r="R356" i="5"/>
  <c r="S356" i="5"/>
  <c r="P294" i="5"/>
  <c r="R307" i="5"/>
  <c r="P329" i="5"/>
  <c r="O360" i="5"/>
  <c r="O362" i="5" s="1"/>
  <c r="S284" i="5"/>
  <c r="K299" i="5"/>
  <c r="J309" i="5"/>
  <c r="S326" i="5"/>
  <c r="Q271" i="5"/>
  <c r="P334" i="5"/>
  <c r="P336" i="5"/>
  <c r="S276" i="5"/>
  <c r="S287" i="5"/>
  <c r="Q341" i="5"/>
  <c r="K351" i="5"/>
  <c r="M356" i="5"/>
  <c r="S280" i="5"/>
  <c r="S293" i="5"/>
  <c r="S278" i="5"/>
  <c r="Q299" i="5"/>
  <c r="S269" i="5"/>
  <c r="S291" i="5"/>
  <c r="H41" i="40" l="1"/>
  <c r="H42" i="40" s="1"/>
  <c r="H46" i="40" s="1"/>
  <c r="M41" i="40"/>
  <c r="M42" i="40" s="1"/>
  <c r="F28" i="40"/>
  <c r="I29" i="40"/>
  <c r="L38" i="40"/>
  <c r="L46" i="40" s="1"/>
  <c r="I46" i="40"/>
  <c r="M46" i="40"/>
  <c r="I45" i="40"/>
  <c r="K41" i="40"/>
  <c r="K42" i="40" s="1"/>
  <c r="K46" i="40" s="1"/>
  <c r="F29" i="40"/>
  <c r="M45" i="40"/>
  <c r="B21" i="40"/>
  <c r="B22" i="40" s="1"/>
  <c r="B277" i="5"/>
  <c r="T356" i="5"/>
  <c r="P351" i="5"/>
  <c r="T307" i="5"/>
  <c r="P299" i="5"/>
  <c r="P309" i="5" s="1"/>
  <c r="S351" i="5"/>
  <c r="P341" i="5"/>
  <c r="S341" i="5"/>
  <c r="R341" i="5"/>
  <c r="T341" i="5" s="1"/>
  <c r="Q309" i="5"/>
  <c r="Q360" i="5" s="1"/>
  <c r="Q362" i="5" s="1"/>
  <c r="R299" i="5"/>
  <c r="T299" i="5" s="1"/>
  <c r="S299" i="5"/>
  <c r="M309" i="5"/>
  <c r="M360" i="5" s="1"/>
  <c r="M362" i="5" s="1"/>
  <c r="K309" i="5"/>
  <c r="J360" i="5"/>
  <c r="J362" i="5" s="1"/>
  <c r="S271" i="5"/>
  <c r="R271" i="5"/>
  <c r="T271" i="5" s="1"/>
  <c r="T351" i="5"/>
  <c r="E249" i="39"/>
  <c r="E247" i="39"/>
  <c r="J246" i="39"/>
  <c r="M246" i="39" s="1"/>
  <c r="J245" i="39"/>
  <c r="E241" i="39"/>
  <c r="J238" i="39"/>
  <c r="L238" i="39" s="1"/>
  <c r="M238" i="39" s="1"/>
  <c r="J237" i="39"/>
  <c r="L237" i="39" s="1"/>
  <c r="E239" i="39"/>
  <c r="H230" i="39"/>
  <c r="J227" i="39"/>
  <c r="E230" i="39"/>
  <c r="E223" i="39"/>
  <c r="J220" i="39"/>
  <c r="L220" i="39" s="1"/>
  <c r="M220" i="39" s="1"/>
  <c r="E221" i="39"/>
  <c r="J219" i="39"/>
  <c r="J218" i="39"/>
  <c r="L218" i="39" s="1"/>
  <c r="M218" i="39" s="1"/>
  <c r="H223" i="39"/>
  <c r="J211" i="39"/>
  <c r="L211" i="39" s="1"/>
  <c r="M211" i="39" s="1"/>
  <c r="J210" i="39"/>
  <c r="L210" i="39" s="1"/>
  <c r="J209" i="39"/>
  <c r="L209" i="39" s="1"/>
  <c r="M209" i="39" s="1"/>
  <c r="E212" i="39"/>
  <c r="J202" i="39"/>
  <c r="L202" i="39" s="1"/>
  <c r="M202" i="39" s="1"/>
  <c r="E203" i="39"/>
  <c r="J191" i="39"/>
  <c r="E194" i="39"/>
  <c r="E187" i="39"/>
  <c r="J184" i="39"/>
  <c r="L184" i="39" s="1"/>
  <c r="M184" i="39" s="1"/>
  <c r="E185" i="39"/>
  <c r="J183" i="39"/>
  <c r="L183" i="39" s="1"/>
  <c r="J182" i="39"/>
  <c r="L182" i="39" s="1"/>
  <c r="M182" i="39" s="1"/>
  <c r="H187" i="39"/>
  <c r="J163" i="39"/>
  <c r="L163" i="39" s="1"/>
  <c r="J162" i="39"/>
  <c r="L162" i="39" s="1"/>
  <c r="M162" i="39" s="1"/>
  <c r="E165" i="39"/>
  <c r="E156" i="39"/>
  <c r="J155" i="39"/>
  <c r="L155" i="39" s="1"/>
  <c r="M155" i="39" s="1"/>
  <c r="J154" i="39"/>
  <c r="L154" i="39" s="1"/>
  <c r="J146" i="39"/>
  <c r="M146" i="39" s="1"/>
  <c r="J145" i="39"/>
  <c r="M145" i="39" s="1"/>
  <c r="H147" i="39"/>
  <c r="E138" i="39"/>
  <c r="J137" i="39"/>
  <c r="M137" i="39" s="1"/>
  <c r="E140" i="39"/>
  <c r="J136" i="39"/>
  <c r="M136" i="39" s="1"/>
  <c r="J128" i="39"/>
  <c r="L128" i="39" s="1"/>
  <c r="M128" i="39" s="1"/>
  <c r="J126" i="39"/>
  <c r="L126" i="39" s="1"/>
  <c r="J125" i="39"/>
  <c r="H131" i="39"/>
  <c r="H119" i="39"/>
  <c r="J117" i="39"/>
  <c r="L117" i="39" s="1"/>
  <c r="M117" i="39" s="1"/>
  <c r="J116" i="39"/>
  <c r="L116" i="39" s="1"/>
  <c r="J115" i="39"/>
  <c r="E119" i="39"/>
  <c r="J108" i="39"/>
  <c r="L108" i="39" s="1"/>
  <c r="M108" i="39" s="1"/>
  <c r="J107" i="39"/>
  <c r="L107" i="39" s="1"/>
  <c r="M107" i="39" s="1"/>
  <c r="J106" i="39"/>
  <c r="L106" i="39" s="1"/>
  <c r="H111" i="39"/>
  <c r="J105" i="39"/>
  <c r="L105" i="39" s="1"/>
  <c r="M105" i="39" s="1"/>
  <c r="J97" i="39"/>
  <c r="L97" i="39" s="1"/>
  <c r="M97" i="39" s="1"/>
  <c r="J96" i="39"/>
  <c r="L96" i="39" s="1"/>
  <c r="J95" i="39"/>
  <c r="L95" i="39" s="1"/>
  <c r="M95" i="39" s="1"/>
  <c r="E99" i="39"/>
  <c r="J77" i="39"/>
  <c r="L77" i="39" s="1"/>
  <c r="M77" i="39" s="1"/>
  <c r="J76" i="39"/>
  <c r="E80" i="39"/>
  <c r="J75" i="39"/>
  <c r="L75" i="39" s="1"/>
  <c r="J74" i="39"/>
  <c r="L74" i="39" s="1"/>
  <c r="M74" i="39" s="1"/>
  <c r="H80" i="39"/>
  <c r="J65" i="39"/>
  <c r="L65" i="39" s="1"/>
  <c r="J64" i="39"/>
  <c r="L64" i="39" s="1"/>
  <c r="M64" i="39" s="1"/>
  <c r="E68" i="39"/>
  <c r="J57" i="39"/>
  <c r="L57" i="39" s="1"/>
  <c r="M57" i="39" s="1"/>
  <c r="J55" i="39"/>
  <c r="L55" i="39" s="1"/>
  <c r="J54" i="39"/>
  <c r="H50" i="39"/>
  <c r="J46" i="39"/>
  <c r="L46" i="39" s="1"/>
  <c r="M46" i="39" s="1"/>
  <c r="E48" i="39"/>
  <c r="J45" i="39"/>
  <c r="L45" i="39" s="1"/>
  <c r="E40" i="39"/>
  <c r="J37" i="39"/>
  <c r="L37" i="39" s="1"/>
  <c r="M37" i="39" s="1"/>
  <c r="H38" i="39"/>
  <c r="J35" i="39"/>
  <c r="L35" i="39" s="1"/>
  <c r="J34" i="39"/>
  <c r="H40" i="39"/>
  <c r="H28" i="39"/>
  <c r="J26" i="39"/>
  <c r="L26" i="39" s="1"/>
  <c r="M26" i="39" s="1"/>
  <c r="J25" i="39"/>
  <c r="L25" i="39" s="1"/>
  <c r="J24" i="39"/>
  <c r="E28" i="39"/>
  <c r="J17" i="39"/>
  <c r="L17" i="39" s="1"/>
  <c r="M17" i="39" s="1"/>
  <c r="J16" i="39"/>
  <c r="L16" i="39" s="1"/>
  <c r="M16" i="39" s="1"/>
  <c r="E20" i="39"/>
  <c r="A14" i="39"/>
  <c r="A15" i="39" s="1"/>
  <c r="A16" i="39" s="1"/>
  <c r="A17" i="39" s="1"/>
  <c r="A18" i="39" s="1"/>
  <c r="A20" i="39" s="1"/>
  <c r="A21" i="39" s="1"/>
  <c r="A24" i="39" s="1"/>
  <c r="A25" i="39" s="1"/>
  <c r="A26" i="39" s="1"/>
  <c r="A27" i="39" s="1"/>
  <c r="A28" i="39" s="1"/>
  <c r="A30" i="39" s="1"/>
  <c r="A31" i="39" s="1"/>
  <c r="A34" i="39" s="1"/>
  <c r="A35" i="39" s="1"/>
  <c r="A36" i="39" s="1"/>
  <c r="A37" i="39" s="1"/>
  <c r="A38" i="39" s="1"/>
  <c r="A40" i="39" s="1"/>
  <c r="A41" i="39" s="1"/>
  <c r="A54" i="39" s="1"/>
  <c r="A55" i="39" s="1"/>
  <c r="A56" i="39" s="1"/>
  <c r="A57" i="39" s="1"/>
  <c r="A58" i="39" s="1"/>
  <c r="A60" i="39" s="1"/>
  <c r="A61" i="39" s="1"/>
  <c r="A44" i="39" s="1"/>
  <c r="A45" i="39" s="1"/>
  <c r="A46" i="39" s="1"/>
  <c r="A47" i="39" s="1"/>
  <c r="A48" i="39" s="1"/>
  <c r="A50" i="39" s="1"/>
  <c r="A51" i="39" s="1"/>
  <c r="A64" i="39" s="1"/>
  <c r="A65" i="39" s="1"/>
  <c r="A66" i="39" s="1"/>
  <c r="A67" i="39" s="1"/>
  <c r="A68" i="39" s="1"/>
  <c r="A70" i="39" s="1"/>
  <c r="A71" i="39" s="1"/>
  <c r="A74" i="39" s="1"/>
  <c r="A75" i="39" s="1"/>
  <c r="A76" i="39" s="1"/>
  <c r="A77" i="39" s="1"/>
  <c r="A78" i="39" s="1"/>
  <c r="A80" i="39" s="1"/>
  <c r="A81" i="39" s="1"/>
  <c r="A95" i="39" s="1"/>
  <c r="A96" i="39" s="1"/>
  <c r="A97" i="39" s="1"/>
  <c r="A98" i="39" s="1"/>
  <c r="A99" i="39" s="1"/>
  <c r="A101" i="39" s="1"/>
  <c r="A102" i="39" s="1"/>
  <c r="A105" i="39" s="1"/>
  <c r="A106" i="39" s="1"/>
  <c r="A107" i="39" s="1"/>
  <c r="A108" i="39" s="1"/>
  <c r="A109" i="39" s="1"/>
  <c r="A111" i="39" s="1"/>
  <c r="A112" i="39" s="1"/>
  <c r="A115" i="39" s="1"/>
  <c r="A116" i="39" s="1"/>
  <c r="A117" i="39" s="1"/>
  <c r="A118" i="39" s="1"/>
  <c r="A119" i="39" s="1"/>
  <c r="A121" i="39" s="1"/>
  <c r="A122" i="39" s="1"/>
  <c r="A125" i="39" s="1"/>
  <c r="A126" i="39" s="1"/>
  <c r="A127" i="39" s="1"/>
  <c r="A128" i="39" s="1"/>
  <c r="A129" i="39" s="1"/>
  <c r="A131" i="39" s="1"/>
  <c r="A132" i="39" s="1"/>
  <c r="A135" i="39" s="1"/>
  <c r="A137" i="39" s="1"/>
  <c r="A136" i="39" s="1"/>
  <c r="A138" i="39" s="1"/>
  <c r="A140" i="39" s="1"/>
  <c r="A141" i="39" s="1"/>
  <c r="A144" i="39" s="1"/>
  <c r="A146" i="39" s="1"/>
  <c r="A145" i="39" s="1"/>
  <c r="A147" i="39" s="1"/>
  <c r="A149" i="39" s="1"/>
  <c r="A150" i="39" s="1"/>
  <c r="A153" i="39" s="1"/>
  <c r="A154" i="39" s="1"/>
  <c r="A155" i="39" s="1"/>
  <c r="A156" i="39" s="1"/>
  <c r="A158" i="39" s="1"/>
  <c r="A159" i="39" s="1"/>
  <c r="A162" i="39" s="1"/>
  <c r="A163" i="39" s="1"/>
  <c r="A164" i="39" s="1"/>
  <c r="A165" i="39" s="1"/>
  <c r="A167" i="39" s="1"/>
  <c r="A168" i="39" s="1"/>
  <c r="A182" i="39" s="1"/>
  <c r="A183" i="39" s="1"/>
  <c r="A184" i="39" s="1"/>
  <c r="A185" i="39" s="1"/>
  <c r="A187" i="39" s="1"/>
  <c r="A188" i="39" s="1"/>
  <c r="A191" i="39" s="1"/>
  <c r="A192" i="39" s="1"/>
  <c r="A193" i="39" s="1"/>
  <c r="A194" i="39" s="1"/>
  <c r="A196" i="39" s="1"/>
  <c r="A197" i="39" s="1"/>
  <c r="A200" i="39" s="1"/>
  <c r="A201" i="39" s="1"/>
  <c r="A202" i="39" s="1"/>
  <c r="A203" i="39" s="1"/>
  <c r="A205" i="39" s="1"/>
  <c r="A206" i="39" s="1"/>
  <c r="A209" i="39" s="1"/>
  <c r="A210" i="39" s="1"/>
  <c r="A211" i="39" s="1"/>
  <c r="A212" i="39" s="1"/>
  <c r="A214" i="39" s="1"/>
  <c r="A215" i="39" s="1"/>
  <c r="A218" i="39" s="1"/>
  <c r="A219" i="39" s="1"/>
  <c r="A220" i="39" s="1"/>
  <c r="A221" i="39" s="1"/>
  <c r="A223" i="39" s="1"/>
  <c r="A224" i="39" s="1"/>
  <c r="A227" i="39" s="1"/>
  <c r="A228" i="39" s="1"/>
  <c r="A229" i="39" s="1"/>
  <c r="A230" i="39" s="1"/>
  <c r="A232" i="39" s="1"/>
  <c r="A233" i="39" s="1"/>
  <c r="A236" i="39" s="1"/>
  <c r="A237" i="39" s="1"/>
  <c r="A238" i="39" s="1"/>
  <c r="A239" i="39" s="1"/>
  <c r="A241" i="39" s="1"/>
  <c r="A242" i="39" s="1"/>
  <c r="A245" i="39" s="1"/>
  <c r="A246" i="39" s="1"/>
  <c r="A247" i="39" s="1"/>
  <c r="A249" i="39" s="1"/>
  <c r="A250" i="39" s="1"/>
  <c r="M9" i="39"/>
  <c r="L9" i="39"/>
  <c r="M8" i="39"/>
  <c r="L8" i="39"/>
  <c r="H165" i="38"/>
  <c r="H161" i="38"/>
  <c r="H163" i="38"/>
  <c r="H153" i="38"/>
  <c r="E153" i="38"/>
  <c r="F151" i="38"/>
  <c r="J148" i="38"/>
  <c r="L148" i="38" s="1"/>
  <c r="M148" i="38" s="1"/>
  <c r="J147" i="38"/>
  <c r="L147" i="38" s="1"/>
  <c r="M147" i="38" s="1"/>
  <c r="J146" i="38"/>
  <c r="L146" i="38" s="1"/>
  <c r="J145" i="38"/>
  <c r="H151" i="38"/>
  <c r="J136" i="38"/>
  <c r="L136" i="38" s="1"/>
  <c r="J127" i="38"/>
  <c r="L127" i="38" s="1"/>
  <c r="M127" i="38" s="1"/>
  <c r="H129" i="38"/>
  <c r="J118" i="38"/>
  <c r="L118" i="38" s="1"/>
  <c r="M118" i="38" s="1"/>
  <c r="E121" i="38"/>
  <c r="J117" i="38"/>
  <c r="L117" i="38" s="1"/>
  <c r="M117" i="38" s="1"/>
  <c r="J116" i="38"/>
  <c r="L116" i="38" s="1"/>
  <c r="E119" i="38"/>
  <c r="E111" i="38"/>
  <c r="J108" i="38"/>
  <c r="L108" i="38" s="1"/>
  <c r="M108" i="38" s="1"/>
  <c r="J106" i="38"/>
  <c r="L106" i="38" s="1"/>
  <c r="J105" i="38"/>
  <c r="H111" i="38"/>
  <c r="H101" i="38"/>
  <c r="E99" i="38"/>
  <c r="J96" i="38"/>
  <c r="L96" i="38" s="1"/>
  <c r="J95" i="38"/>
  <c r="J77" i="38"/>
  <c r="L77" i="38" s="1"/>
  <c r="M77" i="38" s="1"/>
  <c r="J76" i="38"/>
  <c r="L76" i="38" s="1"/>
  <c r="M76" i="38" s="1"/>
  <c r="J67" i="38"/>
  <c r="L67" i="38" s="1"/>
  <c r="M67" i="38" s="1"/>
  <c r="E70" i="38"/>
  <c r="J66" i="38"/>
  <c r="L66" i="38" s="1"/>
  <c r="M66" i="38" s="1"/>
  <c r="J65" i="38"/>
  <c r="L65" i="38" s="1"/>
  <c r="E68" i="38"/>
  <c r="E60" i="38"/>
  <c r="J57" i="38"/>
  <c r="L57" i="38" s="1"/>
  <c r="M57" i="38" s="1"/>
  <c r="J56" i="38"/>
  <c r="L56" i="38" s="1"/>
  <c r="M56" i="38" s="1"/>
  <c r="J55" i="38"/>
  <c r="L55" i="38" s="1"/>
  <c r="J54" i="38"/>
  <c r="H60" i="38"/>
  <c r="H50" i="38"/>
  <c r="E48" i="38"/>
  <c r="J45" i="38"/>
  <c r="L45" i="38" s="1"/>
  <c r="J44" i="38"/>
  <c r="J37" i="38"/>
  <c r="L37" i="38" s="1"/>
  <c r="M37" i="38" s="1"/>
  <c r="J36" i="38"/>
  <c r="L36" i="38" s="1"/>
  <c r="M36" i="38" s="1"/>
  <c r="H38" i="38"/>
  <c r="J27" i="38"/>
  <c r="L27" i="38" s="1"/>
  <c r="M27" i="38" s="1"/>
  <c r="E30" i="38"/>
  <c r="J26" i="38"/>
  <c r="L26" i="38" s="1"/>
  <c r="M26" i="38" s="1"/>
  <c r="J25" i="38"/>
  <c r="L25" i="38" s="1"/>
  <c r="E28" i="38"/>
  <c r="E18" i="38"/>
  <c r="J16" i="38"/>
  <c r="L16" i="38" s="1"/>
  <c r="M16" i="38" s="1"/>
  <c r="E20" i="38"/>
  <c r="J15" i="38"/>
  <c r="L15" i="38" s="1"/>
  <c r="A15" i="38"/>
  <c r="A16" i="38" s="1"/>
  <c r="A17" i="38" s="1"/>
  <c r="A18" i="38" s="1"/>
  <c r="A20" i="38" s="1"/>
  <c r="A21" i="38" s="1"/>
  <c r="A24" i="38" s="1"/>
  <c r="A25" i="38" s="1"/>
  <c r="A26" i="38" s="1"/>
  <c r="A27" i="38" s="1"/>
  <c r="A28" i="38" s="1"/>
  <c r="A30" i="38" s="1"/>
  <c r="A31" i="38" s="1"/>
  <c r="A34" i="38" s="1"/>
  <c r="A35" i="38" s="1"/>
  <c r="A36" i="38" s="1"/>
  <c r="A37" i="38" s="1"/>
  <c r="A38" i="38" s="1"/>
  <c r="A40" i="38" s="1"/>
  <c r="A41" i="38" s="1"/>
  <c r="A54" i="38" s="1"/>
  <c r="A55" i="38" s="1"/>
  <c r="A56" i="38" s="1"/>
  <c r="A57" i="38" s="1"/>
  <c r="A58" i="38" s="1"/>
  <c r="A60" i="38" s="1"/>
  <c r="A61" i="38" s="1"/>
  <c r="A44" i="38" s="1"/>
  <c r="A45" i="38" s="1"/>
  <c r="A46" i="38" s="1"/>
  <c r="A47" i="38" s="1"/>
  <c r="A48" i="38" s="1"/>
  <c r="A50" i="38" s="1"/>
  <c r="A51" i="38" s="1"/>
  <c r="A64" i="38" s="1"/>
  <c r="A65" i="38" s="1"/>
  <c r="A66" i="38" s="1"/>
  <c r="A67" i="38" s="1"/>
  <c r="A68" i="38" s="1"/>
  <c r="A70" i="38" s="1"/>
  <c r="A71" i="38" s="1"/>
  <c r="A74" i="38" s="1"/>
  <c r="A75" i="38" s="1"/>
  <c r="A76" i="38" s="1"/>
  <c r="A77" i="38" s="1"/>
  <c r="A78" i="38" s="1"/>
  <c r="A80" i="38" s="1"/>
  <c r="A81" i="38" s="1"/>
  <c r="A95" i="38" s="1"/>
  <c r="A96" i="38" s="1"/>
  <c r="A97" i="38" s="1"/>
  <c r="A98" i="38" s="1"/>
  <c r="A99" i="38" s="1"/>
  <c r="A101" i="38" s="1"/>
  <c r="A102" i="38" s="1"/>
  <c r="A105" i="38" s="1"/>
  <c r="A106" i="38" s="1"/>
  <c r="A107" i="38" s="1"/>
  <c r="A108" i="38" s="1"/>
  <c r="A109" i="38" s="1"/>
  <c r="A111" i="38" s="1"/>
  <c r="A112" i="38" s="1"/>
  <c r="A115" i="38" s="1"/>
  <c r="A116" i="38" s="1"/>
  <c r="A117" i="38" s="1"/>
  <c r="A118" i="38" s="1"/>
  <c r="A119" i="38" s="1"/>
  <c r="A121" i="38" s="1"/>
  <c r="A122" i="38" s="1"/>
  <c r="A125" i="38" s="1"/>
  <c r="A126" i="38" s="1"/>
  <c r="A127" i="38" s="1"/>
  <c r="A128" i="38" s="1"/>
  <c r="A129" i="38" s="1"/>
  <c r="A131" i="38" s="1"/>
  <c r="A132" i="38" s="1"/>
  <c r="A135" i="38" s="1"/>
  <c r="A136" i="38" s="1"/>
  <c r="A137" i="38" s="1"/>
  <c r="A138" i="38" s="1"/>
  <c r="A139" i="38" s="1"/>
  <c r="A141" i="38" s="1"/>
  <c r="A142" i="38" s="1"/>
  <c r="A145" i="38" s="1"/>
  <c r="A146" i="38" s="1"/>
  <c r="A147" i="38" s="1"/>
  <c r="A148" i="38" s="1"/>
  <c r="A149" i="38" s="1"/>
  <c r="A151" i="38" s="1"/>
  <c r="A152" i="38" s="1"/>
  <c r="A153" i="38" s="1"/>
  <c r="A154" i="38" s="1"/>
  <c r="A157" i="38" s="1"/>
  <c r="A158" i="38" s="1"/>
  <c r="A159" i="38" s="1"/>
  <c r="A160" i="38" s="1"/>
  <c r="A161" i="38" s="1"/>
  <c r="A163" i="38" s="1"/>
  <c r="A164" i="38" s="1"/>
  <c r="A165" i="38" s="1"/>
  <c r="A166" i="38" s="1"/>
  <c r="E287" i="37"/>
  <c r="J285" i="37"/>
  <c r="M285" i="37" s="1"/>
  <c r="J284" i="37"/>
  <c r="M284" i="37" s="1"/>
  <c r="J275" i="37"/>
  <c r="L275" i="37" s="1"/>
  <c r="M275" i="37" s="1"/>
  <c r="J274" i="37"/>
  <c r="L274" i="37" s="1"/>
  <c r="M274" i="37" s="1"/>
  <c r="E276" i="37"/>
  <c r="J273" i="37"/>
  <c r="L273" i="37" s="1"/>
  <c r="J272" i="37"/>
  <c r="H276" i="37"/>
  <c r="J263" i="37"/>
  <c r="L263" i="37" s="1"/>
  <c r="M263" i="37" s="1"/>
  <c r="J262" i="37"/>
  <c r="L262" i="37" s="1"/>
  <c r="M262" i="37" s="1"/>
  <c r="E264" i="37"/>
  <c r="J261" i="37"/>
  <c r="L261" i="37" s="1"/>
  <c r="H264" i="37"/>
  <c r="J240" i="37"/>
  <c r="L240" i="37" s="1"/>
  <c r="M240" i="37" s="1"/>
  <c r="J239" i="37"/>
  <c r="J238" i="37"/>
  <c r="L238" i="37" s="1"/>
  <c r="J237" i="37"/>
  <c r="E241" i="37"/>
  <c r="J228" i="37"/>
  <c r="L228" i="37" s="1"/>
  <c r="M228" i="37" s="1"/>
  <c r="J227" i="37"/>
  <c r="L227" i="37" s="1"/>
  <c r="M227" i="37" s="1"/>
  <c r="J226" i="37"/>
  <c r="L226" i="37" s="1"/>
  <c r="E229" i="37"/>
  <c r="J216" i="37"/>
  <c r="L216" i="37" s="1"/>
  <c r="M216" i="37" s="1"/>
  <c r="E217" i="37"/>
  <c r="J214" i="37"/>
  <c r="L214" i="37" s="1"/>
  <c r="J213" i="37"/>
  <c r="J204" i="37"/>
  <c r="L204" i="37" s="1"/>
  <c r="M204" i="37" s="1"/>
  <c r="J203" i="37"/>
  <c r="L203" i="37" s="1"/>
  <c r="M203" i="37" s="1"/>
  <c r="E205" i="37"/>
  <c r="J194" i="37"/>
  <c r="L194" i="37" s="1"/>
  <c r="M194" i="37" s="1"/>
  <c r="J193" i="37"/>
  <c r="L193" i="37" s="1"/>
  <c r="J192" i="37"/>
  <c r="E195" i="37"/>
  <c r="J183" i="37"/>
  <c r="L183" i="37" s="1"/>
  <c r="M183" i="37" s="1"/>
  <c r="J182" i="37"/>
  <c r="L182" i="37" s="1"/>
  <c r="M182" i="37" s="1"/>
  <c r="J180" i="37"/>
  <c r="E161" i="37"/>
  <c r="E149" i="37"/>
  <c r="E137" i="37"/>
  <c r="J135" i="37"/>
  <c r="L135" i="37" s="1"/>
  <c r="M135" i="37" s="1"/>
  <c r="J134" i="37"/>
  <c r="L134" i="37" s="1"/>
  <c r="J133" i="37"/>
  <c r="J124" i="37"/>
  <c r="L124" i="37" s="1"/>
  <c r="M124" i="37" s="1"/>
  <c r="J123" i="37"/>
  <c r="L123" i="37" s="1"/>
  <c r="M123" i="37" s="1"/>
  <c r="J122" i="37"/>
  <c r="L122" i="37" s="1"/>
  <c r="H125" i="37"/>
  <c r="H113" i="37"/>
  <c r="J112" i="37"/>
  <c r="L112" i="37" s="1"/>
  <c r="M112" i="37" s="1"/>
  <c r="J111" i="37"/>
  <c r="L111" i="37" s="1"/>
  <c r="M111" i="37" s="1"/>
  <c r="J110" i="37"/>
  <c r="L110" i="37" s="1"/>
  <c r="J109" i="37"/>
  <c r="E113" i="37"/>
  <c r="J100" i="37"/>
  <c r="J99" i="37"/>
  <c r="E101" i="37"/>
  <c r="J98" i="37"/>
  <c r="L98" i="37" s="1"/>
  <c r="J97" i="37"/>
  <c r="L97" i="37" s="1"/>
  <c r="M97" i="37" s="1"/>
  <c r="H101" i="37"/>
  <c r="J77" i="37"/>
  <c r="L77" i="37" s="1"/>
  <c r="M77" i="37" s="1"/>
  <c r="J76" i="37"/>
  <c r="L76" i="37" s="1"/>
  <c r="M76" i="37" s="1"/>
  <c r="J75" i="37"/>
  <c r="L75" i="37" s="1"/>
  <c r="J74" i="37"/>
  <c r="E78" i="37"/>
  <c r="J65" i="37"/>
  <c r="L65" i="37" s="1"/>
  <c r="M65" i="37" s="1"/>
  <c r="J64" i="37"/>
  <c r="L64" i="37" s="1"/>
  <c r="M64" i="37" s="1"/>
  <c r="E66" i="37"/>
  <c r="J63" i="37"/>
  <c r="L63" i="37" s="1"/>
  <c r="J62" i="37"/>
  <c r="J53" i="37"/>
  <c r="L53" i="37" s="1"/>
  <c r="M53" i="37" s="1"/>
  <c r="J52" i="37"/>
  <c r="L52" i="37" s="1"/>
  <c r="M52" i="37" s="1"/>
  <c r="E54" i="37"/>
  <c r="J51" i="37"/>
  <c r="L51" i="37" s="1"/>
  <c r="H54" i="37"/>
  <c r="J41" i="37"/>
  <c r="L41" i="37" s="1"/>
  <c r="M41" i="37" s="1"/>
  <c r="J40" i="37"/>
  <c r="L40" i="37" s="1"/>
  <c r="M40" i="37" s="1"/>
  <c r="E42" i="37"/>
  <c r="J39" i="37"/>
  <c r="L39" i="37" s="1"/>
  <c r="J38" i="37"/>
  <c r="H30" i="37"/>
  <c r="J29" i="37"/>
  <c r="L29" i="37" s="1"/>
  <c r="M29" i="37" s="1"/>
  <c r="J28" i="37"/>
  <c r="L28" i="37" s="1"/>
  <c r="M28" i="37" s="1"/>
  <c r="J27" i="37"/>
  <c r="L27" i="37" s="1"/>
  <c r="J26" i="37"/>
  <c r="E30" i="37"/>
  <c r="J17" i="37"/>
  <c r="L17" i="37" s="1"/>
  <c r="M17" i="37" s="1"/>
  <c r="J16" i="37"/>
  <c r="L16" i="37" s="1"/>
  <c r="M16" i="37" s="1"/>
  <c r="J15" i="37"/>
  <c r="L15" i="37" s="1"/>
  <c r="J14" i="37"/>
  <c r="E18" i="37"/>
  <c r="A14" i="37"/>
  <c r="A15" i="37" s="1"/>
  <c r="A16" i="37" s="1"/>
  <c r="A17" i="37" s="1"/>
  <c r="A18" i="37" s="1"/>
  <c r="A20" i="37" s="1"/>
  <c r="A21" i="37" s="1"/>
  <c r="A22" i="37" s="1"/>
  <c r="A23" i="37" s="1"/>
  <c r="A26" i="37" s="1"/>
  <c r="A27" i="37" s="1"/>
  <c r="A28" i="37" s="1"/>
  <c r="A29" i="37" s="1"/>
  <c r="A30" i="37" s="1"/>
  <c r="A32" i="37" s="1"/>
  <c r="A33" i="37" s="1"/>
  <c r="A34" i="37" s="1"/>
  <c r="A35" i="37" s="1"/>
  <c r="A38" i="37" s="1"/>
  <c r="A39" i="37" s="1"/>
  <c r="A40" i="37" s="1"/>
  <c r="A41" i="37" s="1"/>
  <c r="A42" i="37" s="1"/>
  <c r="A44" i="37" s="1"/>
  <c r="A45" i="37" s="1"/>
  <c r="A46" i="37" s="1"/>
  <c r="A47" i="37" s="1"/>
  <c r="A50" i="37" s="1"/>
  <c r="A51" i="37" s="1"/>
  <c r="A52" i="37" s="1"/>
  <c r="A53" i="37" s="1"/>
  <c r="A54" i="37" s="1"/>
  <c r="A56" i="37" s="1"/>
  <c r="A57" i="37" s="1"/>
  <c r="A58" i="37" s="1"/>
  <c r="A59" i="37" s="1"/>
  <c r="A62" i="37" s="1"/>
  <c r="A63" i="37" s="1"/>
  <c r="A64" i="37" s="1"/>
  <c r="A65" i="37" s="1"/>
  <c r="A66" i="37" s="1"/>
  <c r="A68" i="37" s="1"/>
  <c r="A69" i="37" s="1"/>
  <c r="A70" i="37" s="1"/>
  <c r="A71" i="37" s="1"/>
  <c r="A74" i="37" s="1"/>
  <c r="A75" i="37" s="1"/>
  <c r="A76" i="37" s="1"/>
  <c r="A77" i="37" s="1"/>
  <c r="A78" i="37" s="1"/>
  <c r="A80" i="37" s="1"/>
  <c r="A81" i="37" s="1"/>
  <c r="A82" i="37" s="1"/>
  <c r="A83" i="37" s="1"/>
  <c r="A110" i="37" s="1"/>
  <c r="A111" i="37" s="1"/>
  <c r="A112" i="37" s="1"/>
  <c r="A113" i="37" s="1"/>
  <c r="A115" i="37" s="1"/>
  <c r="A116" i="37" s="1"/>
  <c r="A117" i="37" s="1"/>
  <c r="A118" i="37" s="1"/>
  <c r="A98" i="37" s="1"/>
  <c r="A99" i="37" s="1"/>
  <c r="A100" i="37" s="1"/>
  <c r="A101" i="37" s="1"/>
  <c r="A103" i="37" s="1"/>
  <c r="A104" i="37" s="1"/>
  <c r="A105" i="37" s="1"/>
  <c r="A106" i="37" s="1"/>
  <c r="A121" i="37" s="1"/>
  <c r="A122" i="37" s="1"/>
  <c r="A123" i="37" s="1"/>
  <c r="A124" i="37" s="1"/>
  <c r="A125" i="37" s="1"/>
  <c r="A127" i="37" s="1"/>
  <c r="A128" i="37" s="1"/>
  <c r="A129" i="37" s="1"/>
  <c r="A130" i="37" s="1"/>
  <c r="A133" i="37" s="1"/>
  <c r="A134" i="37" s="1"/>
  <c r="A135" i="37" s="1"/>
  <c r="A136" i="37" s="1"/>
  <c r="A137" i="37" s="1"/>
  <c r="A139" i="37" s="1"/>
  <c r="A140" i="37" s="1"/>
  <c r="A141" i="37" s="1"/>
  <c r="A142" i="37" s="1"/>
  <c r="A145" i="37" s="1"/>
  <c r="A146" i="37" s="1"/>
  <c r="A147" i="37" s="1"/>
  <c r="A148" i="37" s="1"/>
  <c r="A149" i="37" s="1"/>
  <c r="A151" i="37" s="1"/>
  <c r="A152" i="37" s="1"/>
  <c r="A153" i="37" s="1"/>
  <c r="A154" i="37" s="1"/>
  <c r="A157" i="37" s="1"/>
  <c r="A158" i="37" s="1"/>
  <c r="A159" i="37" s="1"/>
  <c r="A160" i="37" s="1"/>
  <c r="A161" i="37" s="1"/>
  <c r="A163" i="37" s="1"/>
  <c r="A164" i="37" s="1"/>
  <c r="A165" i="37" s="1"/>
  <c r="A166" i="37" s="1"/>
  <c r="A180" i="37" s="1"/>
  <c r="A181" i="37" s="1"/>
  <c r="A182" i="37" s="1"/>
  <c r="A183" i="37" s="1"/>
  <c r="A184" i="37" s="1"/>
  <c r="A186" i="37" s="1"/>
  <c r="A187" i="37" s="1"/>
  <c r="A188" i="37" s="1"/>
  <c r="A189" i="37" s="1"/>
  <c r="A192" i="37" s="1"/>
  <c r="A193" i="37" s="1"/>
  <c r="A194" i="37" s="1"/>
  <c r="A195" i="37" s="1"/>
  <c r="A197" i="37" s="1"/>
  <c r="A198" i="37" s="1"/>
  <c r="A201" i="37" s="1"/>
  <c r="A202" i="37" s="1"/>
  <c r="A203" i="37" s="1"/>
  <c r="A204" i="37" s="1"/>
  <c r="A205" i="37" s="1"/>
  <c r="A207" i="37" s="1"/>
  <c r="A208" i="37" s="1"/>
  <c r="A209" i="37" s="1"/>
  <c r="A210" i="37" s="1"/>
  <c r="A213" i="37" s="1"/>
  <c r="A214" i="37" s="1"/>
  <c r="A215" i="37" s="1"/>
  <c r="A216" i="37" s="1"/>
  <c r="A217" i="37" s="1"/>
  <c r="A219" i="37" s="1"/>
  <c r="A220" i="37" s="1"/>
  <c r="A221" i="37" s="1"/>
  <c r="A222" i="37" s="1"/>
  <c r="A225" i="37" s="1"/>
  <c r="A226" i="37" s="1"/>
  <c r="A227" i="37" s="1"/>
  <c r="A228" i="37" s="1"/>
  <c r="A229" i="37" s="1"/>
  <c r="A231" i="37" s="1"/>
  <c r="A232" i="37" s="1"/>
  <c r="A233" i="37" s="1"/>
  <c r="A234" i="37" s="1"/>
  <c r="A237" i="37" s="1"/>
  <c r="A238" i="37" s="1"/>
  <c r="A239" i="37" s="1"/>
  <c r="A240" i="37" s="1"/>
  <c r="A241" i="37" s="1"/>
  <c r="A243" i="37" s="1"/>
  <c r="A244" i="37" s="1"/>
  <c r="A245" i="37" s="1"/>
  <c r="A246" i="37" s="1"/>
  <c r="A260" i="37" s="1"/>
  <c r="A261" i="37" s="1"/>
  <c r="A262" i="37" s="1"/>
  <c r="A263" i="37" s="1"/>
  <c r="A264" i="37" s="1"/>
  <c r="A266" i="37" s="1"/>
  <c r="A267" i="37" s="1"/>
  <c r="A268" i="37" s="1"/>
  <c r="A269" i="37" s="1"/>
  <c r="A272" i="37" s="1"/>
  <c r="A273" i="37" s="1"/>
  <c r="A274" i="37" s="1"/>
  <c r="A275" i="37" s="1"/>
  <c r="A276" i="37" s="1"/>
  <c r="A278" i="37" s="1"/>
  <c r="A279" i="37" s="1"/>
  <c r="A280" i="37" s="1"/>
  <c r="A281" i="37" s="1"/>
  <c r="A284" i="37" s="1"/>
  <c r="A285" i="37" s="1"/>
  <c r="A286" i="37" s="1"/>
  <c r="A287" i="37" s="1"/>
  <c r="A289" i="37" s="1"/>
  <c r="A290" i="37" s="1"/>
  <c r="A291" i="37" s="1"/>
  <c r="A292" i="37" s="1"/>
  <c r="J80" i="39" l="1"/>
  <c r="J109" i="39"/>
  <c r="J153" i="38"/>
  <c r="M276" i="37"/>
  <c r="L272" i="37"/>
  <c r="M272" i="37" s="1"/>
  <c r="J101" i="37"/>
  <c r="L101" i="37" s="1"/>
  <c r="M101" i="37"/>
  <c r="H45" i="40"/>
  <c r="K45" i="40"/>
  <c r="B23" i="40"/>
  <c r="B25" i="40" s="1"/>
  <c r="B278" i="5"/>
  <c r="P360" i="5"/>
  <c r="P362" i="5" s="1"/>
  <c r="R309" i="5"/>
  <c r="T309" i="5" s="1"/>
  <c r="S309" i="5"/>
  <c r="M78" i="37"/>
  <c r="L74" i="37"/>
  <c r="M74" i="37" s="1"/>
  <c r="J78" i="37"/>
  <c r="L78" i="37" s="1"/>
  <c r="L239" i="37"/>
  <c r="M239" i="37" s="1"/>
  <c r="J241" i="37"/>
  <c r="L241" i="37" s="1"/>
  <c r="J30" i="37"/>
  <c r="L30" i="37" s="1"/>
  <c r="M113" i="37"/>
  <c r="J66" i="37"/>
  <c r="L66" i="37" s="1"/>
  <c r="M66" i="37"/>
  <c r="L62" i="37"/>
  <c r="M62" i="37" s="1"/>
  <c r="M18" i="37"/>
  <c r="L14" i="37"/>
  <c r="M14" i="37" s="1"/>
  <c r="J18" i="37"/>
  <c r="L18" i="37" s="1"/>
  <c r="M42" i="37"/>
  <c r="L38" i="37"/>
  <c r="M38" i="37" s="1"/>
  <c r="J42" i="37"/>
  <c r="L42" i="37" s="1"/>
  <c r="M184" i="37"/>
  <c r="L180" i="37"/>
  <c r="M180" i="37" s="1"/>
  <c r="J135" i="38"/>
  <c r="E139" i="38"/>
  <c r="M153" i="38"/>
  <c r="L153" i="38"/>
  <c r="L26" i="37"/>
  <c r="M26" i="37" s="1"/>
  <c r="M30" i="37"/>
  <c r="H78" i="37"/>
  <c r="L99" i="37"/>
  <c r="M99" i="37" s="1"/>
  <c r="L100" i="37"/>
  <c r="M100" i="37" s="1"/>
  <c r="L109" i="37"/>
  <c r="M109" i="37" s="1"/>
  <c r="L213" i="37"/>
  <c r="M213" i="37" s="1"/>
  <c r="J60" i="38"/>
  <c r="J58" i="38"/>
  <c r="M58" i="38"/>
  <c r="L54" i="38"/>
  <c r="M54" i="38" s="1"/>
  <c r="M109" i="38"/>
  <c r="L105" i="38"/>
  <c r="M105" i="38" s="1"/>
  <c r="H18" i="37"/>
  <c r="J202" i="37"/>
  <c r="L202" i="37" s="1"/>
  <c r="E125" i="37"/>
  <c r="J158" i="37"/>
  <c r="L158" i="37" s="1"/>
  <c r="J160" i="37"/>
  <c r="L160" i="37" s="1"/>
  <c r="M160" i="37" s="1"/>
  <c r="J260" i="37"/>
  <c r="J276" i="37"/>
  <c r="L276" i="37" s="1"/>
  <c r="J164" i="39"/>
  <c r="L164" i="39" s="1"/>
  <c r="M164" i="39" s="1"/>
  <c r="H167" i="39"/>
  <c r="H165" i="39"/>
  <c r="E167" i="39"/>
  <c r="J15" i="39"/>
  <c r="L15" i="39" s="1"/>
  <c r="H66" i="37"/>
  <c r="J181" i="37"/>
  <c r="L181" i="37" s="1"/>
  <c r="H195" i="37"/>
  <c r="J201" i="37"/>
  <c r="J215" i="37"/>
  <c r="L215" i="37" s="1"/>
  <c r="M215" i="37" s="1"/>
  <c r="H217" i="37"/>
  <c r="H229" i="37"/>
  <c r="E141" i="38"/>
  <c r="E129" i="39"/>
  <c r="J127" i="39"/>
  <c r="L127" i="39" s="1"/>
  <c r="M127" i="39" s="1"/>
  <c r="E131" i="39"/>
  <c r="L219" i="39"/>
  <c r="J221" i="39"/>
  <c r="J223" i="39"/>
  <c r="J286" i="37"/>
  <c r="M286" i="37" s="1"/>
  <c r="J74" i="38"/>
  <c r="H80" i="38"/>
  <c r="J113" i="37"/>
  <c r="L113" i="37" s="1"/>
  <c r="L133" i="37"/>
  <c r="M133" i="37" s="1"/>
  <c r="J146" i="37"/>
  <c r="L146" i="37" s="1"/>
  <c r="J225" i="37"/>
  <c r="M241" i="37"/>
  <c r="L237" i="37"/>
  <c r="M237" i="37" s="1"/>
  <c r="J46" i="38"/>
  <c r="L46" i="38" s="1"/>
  <c r="M46" i="38" s="1"/>
  <c r="H48" i="38"/>
  <c r="J97" i="38"/>
  <c r="L97" i="38" s="1"/>
  <c r="M97" i="38" s="1"/>
  <c r="H99" i="38"/>
  <c r="M80" i="39"/>
  <c r="L80" i="39"/>
  <c r="M195" i="37"/>
  <c r="L192" i="37"/>
  <c r="M192" i="37" s="1"/>
  <c r="H78" i="38"/>
  <c r="J247" i="39"/>
  <c r="M247" i="39" s="1"/>
  <c r="M245" i="39"/>
  <c r="J136" i="37"/>
  <c r="L136" i="37" s="1"/>
  <c r="M136" i="37" s="1"/>
  <c r="J157" i="37"/>
  <c r="E184" i="37"/>
  <c r="J195" i="37"/>
  <c r="L195" i="37" s="1"/>
  <c r="H241" i="37"/>
  <c r="J159" i="38"/>
  <c r="L159" i="38" s="1"/>
  <c r="M159" i="38" s="1"/>
  <c r="L76" i="39"/>
  <c r="M76" i="39" s="1"/>
  <c r="H42" i="37"/>
  <c r="J50" i="37"/>
  <c r="J147" i="37"/>
  <c r="L147" i="37" s="1"/>
  <c r="M147" i="37" s="1"/>
  <c r="J34" i="38"/>
  <c r="H40" i="38"/>
  <c r="J125" i="38"/>
  <c r="H131" i="38"/>
  <c r="J121" i="37"/>
  <c r="J145" i="37"/>
  <c r="J148" i="37"/>
  <c r="L148" i="37" s="1"/>
  <c r="M148" i="37" s="1"/>
  <c r="J159" i="37"/>
  <c r="L159" i="37" s="1"/>
  <c r="M159" i="37" s="1"/>
  <c r="H161" i="37"/>
  <c r="H184" i="37"/>
  <c r="M287" i="37"/>
  <c r="J17" i="38"/>
  <c r="L17" i="38" s="1"/>
  <c r="M17" i="38" s="1"/>
  <c r="E149" i="39"/>
  <c r="J144" i="39"/>
  <c r="E147" i="39"/>
  <c r="J192" i="39"/>
  <c r="L192" i="39" s="1"/>
  <c r="H196" i="39"/>
  <c r="H194" i="39"/>
  <c r="H149" i="37"/>
  <c r="H205" i="37"/>
  <c r="H287" i="37"/>
  <c r="H30" i="38"/>
  <c r="H28" i="38"/>
  <c r="E58" i="38"/>
  <c r="H70" i="38"/>
  <c r="H68" i="38"/>
  <c r="E109" i="38"/>
  <c r="H121" i="38"/>
  <c r="H119" i="38"/>
  <c r="J138" i="38"/>
  <c r="L138" i="38" s="1"/>
  <c r="M138" i="38" s="1"/>
  <c r="J66" i="39"/>
  <c r="L66" i="39" s="1"/>
  <c r="M66" i="39" s="1"/>
  <c r="H68" i="39"/>
  <c r="H99" i="39"/>
  <c r="L125" i="39"/>
  <c r="M125" i="39" s="1"/>
  <c r="J185" i="39"/>
  <c r="E205" i="39"/>
  <c r="H137" i="37"/>
  <c r="L44" i="38"/>
  <c r="M44" i="38" s="1"/>
  <c r="J48" i="38"/>
  <c r="L48" i="38" s="1"/>
  <c r="L95" i="38"/>
  <c r="M95" i="38" s="1"/>
  <c r="J151" i="38"/>
  <c r="J149" i="38"/>
  <c r="E18" i="39"/>
  <c r="E38" i="39"/>
  <c r="J36" i="39"/>
  <c r="L36" i="39" s="1"/>
  <c r="M36" i="39" s="1"/>
  <c r="E50" i="39"/>
  <c r="J47" i="39"/>
  <c r="L47" i="39" s="1"/>
  <c r="M47" i="39" s="1"/>
  <c r="H20" i="38"/>
  <c r="H18" i="38"/>
  <c r="J24" i="38"/>
  <c r="J35" i="38"/>
  <c r="L35" i="38" s="1"/>
  <c r="J64" i="38"/>
  <c r="J75" i="38"/>
  <c r="L75" i="38" s="1"/>
  <c r="J115" i="38"/>
  <c r="J126" i="38"/>
  <c r="L126" i="38" s="1"/>
  <c r="L145" i="38"/>
  <c r="M145" i="38" s="1"/>
  <c r="L34" i="39"/>
  <c r="M34" i="39" s="1"/>
  <c r="E60" i="39"/>
  <c r="J56" i="39"/>
  <c r="J121" i="39"/>
  <c r="L115" i="39"/>
  <c r="M115" i="39" s="1"/>
  <c r="H138" i="39"/>
  <c r="H140" i="39"/>
  <c r="J135" i="39"/>
  <c r="E40" i="38"/>
  <c r="J47" i="38"/>
  <c r="L47" i="38" s="1"/>
  <c r="M47" i="38" s="1"/>
  <c r="E50" i="38"/>
  <c r="E80" i="38"/>
  <c r="J98" i="38"/>
  <c r="L98" i="38" s="1"/>
  <c r="M98" i="38" s="1"/>
  <c r="E101" i="38"/>
  <c r="E131" i="38"/>
  <c r="J128" i="38"/>
  <c r="L128" i="38" s="1"/>
  <c r="M128" i="38" s="1"/>
  <c r="J137" i="38"/>
  <c r="L137" i="38" s="1"/>
  <c r="M137" i="38" s="1"/>
  <c r="J158" i="38"/>
  <c r="L158" i="38" s="1"/>
  <c r="J160" i="38"/>
  <c r="L160" i="38" s="1"/>
  <c r="M160" i="38" s="1"/>
  <c r="E165" i="38"/>
  <c r="J165" i="38" s="1"/>
  <c r="E163" i="38"/>
  <c r="E58" i="39"/>
  <c r="H70" i="39"/>
  <c r="E111" i="39"/>
  <c r="E158" i="39"/>
  <c r="J228" i="39"/>
  <c r="L228" i="39" s="1"/>
  <c r="H232" i="39"/>
  <c r="J14" i="38"/>
  <c r="E38" i="38"/>
  <c r="E78" i="38"/>
  <c r="J107" i="38"/>
  <c r="L107" i="38" s="1"/>
  <c r="M107" i="38" s="1"/>
  <c r="E129" i="38"/>
  <c r="M149" i="38"/>
  <c r="E161" i="38"/>
  <c r="F163" i="38"/>
  <c r="J30" i="39"/>
  <c r="L24" i="39"/>
  <c r="M24" i="39" s="1"/>
  <c r="J44" i="39"/>
  <c r="H48" i="39"/>
  <c r="L54" i="39"/>
  <c r="M54" i="39" s="1"/>
  <c r="J67" i="39"/>
  <c r="L67" i="39" s="1"/>
  <c r="M67" i="39" s="1"/>
  <c r="E70" i="39"/>
  <c r="E78" i="39"/>
  <c r="J200" i="39"/>
  <c r="H139" i="38"/>
  <c r="H141" i="38"/>
  <c r="E149" i="38"/>
  <c r="E151" i="38"/>
  <c r="J78" i="39"/>
  <c r="J236" i="39"/>
  <c r="J27" i="39"/>
  <c r="L27" i="39" s="1"/>
  <c r="M27" i="39" s="1"/>
  <c r="E30" i="39"/>
  <c r="J118" i="39"/>
  <c r="L118" i="39" s="1"/>
  <c r="M118" i="39" s="1"/>
  <c r="E121" i="39"/>
  <c r="H58" i="38"/>
  <c r="H109" i="38"/>
  <c r="H149" i="38"/>
  <c r="J157" i="38"/>
  <c r="J14" i="39"/>
  <c r="E101" i="39"/>
  <c r="J98" i="39"/>
  <c r="L98" i="39" s="1"/>
  <c r="M98" i="39" s="1"/>
  <c r="H101" i="39"/>
  <c r="J111" i="39"/>
  <c r="L191" i="39"/>
  <c r="M191" i="39" s="1"/>
  <c r="J196" i="39"/>
  <c r="E196" i="39"/>
  <c r="J193" i="39"/>
  <c r="L193" i="39" s="1"/>
  <c r="M193" i="39" s="1"/>
  <c r="H30" i="39"/>
  <c r="J101" i="39"/>
  <c r="E109" i="39"/>
  <c r="M109" i="39" s="1"/>
  <c r="H121" i="39"/>
  <c r="J153" i="39"/>
  <c r="J167" i="39"/>
  <c r="J165" i="39"/>
  <c r="L227" i="39"/>
  <c r="M227" i="39" s="1"/>
  <c r="J232" i="39"/>
  <c r="E232" i="39"/>
  <c r="J229" i="39"/>
  <c r="L229" i="39" s="1"/>
  <c r="M229" i="39" s="1"/>
  <c r="J187" i="39"/>
  <c r="J201" i="39"/>
  <c r="L201" i="39" s="1"/>
  <c r="J214" i="39"/>
  <c r="J212" i="39"/>
  <c r="H18" i="39"/>
  <c r="H20" i="39"/>
  <c r="H58" i="39"/>
  <c r="H60" i="39"/>
  <c r="H109" i="39"/>
  <c r="H149" i="39"/>
  <c r="H156" i="39"/>
  <c r="H158" i="39"/>
  <c r="H203" i="39"/>
  <c r="H205" i="39"/>
  <c r="E214" i="39"/>
  <c r="H239" i="39"/>
  <c r="H241" i="39"/>
  <c r="H249" i="39"/>
  <c r="J249" i="39" s="1"/>
  <c r="M249" i="39" s="1"/>
  <c r="H247" i="39"/>
  <c r="H212" i="39"/>
  <c r="H214" i="39"/>
  <c r="H78" i="39"/>
  <c r="H129" i="39"/>
  <c r="H185" i="39"/>
  <c r="H221" i="39"/>
  <c r="J70" i="39" l="1"/>
  <c r="J131" i="39"/>
  <c r="J101" i="38"/>
  <c r="M99" i="38"/>
  <c r="L149" i="38"/>
  <c r="J217" i="37"/>
  <c r="L217" i="37" s="1"/>
  <c r="J287" i="37"/>
  <c r="M217" i="37"/>
  <c r="B27" i="40"/>
  <c r="B28" i="40" s="1"/>
  <c r="B279" i="5"/>
  <c r="L165" i="38"/>
  <c r="M165" i="38"/>
  <c r="L70" i="39"/>
  <c r="M70" i="39"/>
  <c r="J140" i="39"/>
  <c r="M140" i="39" s="1"/>
  <c r="M135" i="39"/>
  <c r="J138" i="39"/>
  <c r="J125" i="37"/>
  <c r="L125" i="37" s="1"/>
  <c r="M125" i="37"/>
  <c r="L121" i="37"/>
  <c r="M121" i="37" s="1"/>
  <c r="J28" i="39"/>
  <c r="J38" i="39"/>
  <c r="M28" i="38"/>
  <c r="L24" i="38"/>
  <c r="M24" i="38" s="1"/>
  <c r="J28" i="38"/>
  <c r="L28" i="38" s="1"/>
  <c r="J30" i="38"/>
  <c r="J111" i="38"/>
  <c r="L214" i="39"/>
  <c r="M214" i="39"/>
  <c r="M187" i="39"/>
  <c r="L187" i="39"/>
  <c r="J109" i="38"/>
  <c r="L109" i="38" s="1"/>
  <c r="L14" i="39"/>
  <c r="M14" i="39" s="1"/>
  <c r="J20" i="39"/>
  <c r="J18" i="39"/>
  <c r="J194" i="39"/>
  <c r="J163" i="38"/>
  <c r="J161" i="38"/>
  <c r="L161" i="38" s="1"/>
  <c r="L157" i="38"/>
  <c r="M157" i="38" s="1"/>
  <c r="M161" i="38"/>
  <c r="L236" i="39"/>
  <c r="M236" i="39" s="1"/>
  <c r="J241" i="39"/>
  <c r="J239" i="39"/>
  <c r="L30" i="39"/>
  <c r="M30" i="39"/>
  <c r="J20" i="38"/>
  <c r="M18" i="38"/>
  <c r="J18" i="38"/>
  <c r="L18" i="38" s="1"/>
  <c r="L14" i="38"/>
  <c r="M14" i="38" s="1"/>
  <c r="J119" i="39"/>
  <c r="M151" i="38"/>
  <c r="L151" i="38"/>
  <c r="M48" i="38"/>
  <c r="M38" i="38"/>
  <c r="L34" i="38"/>
  <c r="M34" i="38" s="1"/>
  <c r="J38" i="38"/>
  <c r="L38" i="38" s="1"/>
  <c r="J40" i="38"/>
  <c r="M229" i="37"/>
  <c r="L225" i="37"/>
  <c r="M225" i="37" s="1"/>
  <c r="J229" i="37"/>
  <c r="L229" i="37" s="1"/>
  <c r="M223" i="39"/>
  <c r="L223" i="39"/>
  <c r="J137" i="37"/>
  <c r="L137" i="37" s="1"/>
  <c r="M139" i="38"/>
  <c r="L135" i="38"/>
  <c r="M135" i="38" s="1"/>
  <c r="J141" i="38"/>
  <c r="J139" i="38"/>
  <c r="L139" i="38" s="1"/>
  <c r="L165" i="39"/>
  <c r="M165" i="39"/>
  <c r="J50" i="39"/>
  <c r="J48" i="39"/>
  <c r="L44" i="39"/>
  <c r="M44" i="39" s="1"/>
  <c r="J129" i="39"/>
  <c r="J50" i="38"/>
  <c r="M129" i="38"/>
  <c r="L125" i="38"/>
  <c r="M125" i="38" s="1"/>
  <c r="J131" i="38"/>
  <c r="J129" i="38"/>
  <c r="L129" i="38" s="1"/>
  <c r="M196" i="39"/>
  <c r="L196" i="39"/>
  <c r="M78" i="39"/>
  <c r="L78" i="39"/>
  <c r="L121" i="39"/>
  <c r="M121" i="39"/>
  <c r="J99" i="38"/>
  <c r="L99" i="38" s="1"/>
  <c r="M161" i="37"/>
  <c r="L157" i="37"/>
  <c r="M157" i="37" s="1"/>
  <c r="J161" i="37"/>
  <c r="L161" i="37" s="1"/>
  <c r="M221" i="39"/>
  <c r="L221" i="39"/>
  <c r="J184" i="37"/>
  <c r="L184" i="37" s="1"/>
  <c r="M131" i="39"/>
  <c r="L131" i="39"/>
  <c r="M68" i="38"/>
  <c r="L64" i="38"/>
  <c r="M64" i="38" s="1"/>
  <c r="J68" i="38"/>
  <c r="L68" i="38" s="1"/>
  <c r="J70" i="38"/>
  <c r="M264" i="37"/>
  <c r="L260" i="37"/>
  <c r="M260" i="37" s="1"/>
  <c r="J264" i="37"/>
  <c r="L264" i="37" s="1"/>
  <c r="L200" i="39"/>
  <c r="M200" i="39" s="1"/>
  <c r="J205" i="39"/>
  <c r="J203" i="39"/>
  <c r="J40" i="39"/>
  <c r="M78" i="38"/>
  <c r="L74" i="38"/>
  <c r="M74" i="38" s="1"/>
  <c r="J78" i="38"/>
  <c r="L78" i="38" s="1"/>
  <c r="J80" i="38"/>
  <c r="J99" i="39"/>
  <c r="L101" i="39"/>
  <c r="M101" i="39"/>
  <c r="M101" i="38"/>
  <c r="L101" i="38"/>
  <c r="J147" i="39"/>
  <c r="M144" i="39"/>
  <c r="J149" i="39"/>
  <c r="M149" i="39" s="1"/>
  <c r="M54" i="37"/>
  <c r="L50" i="37"/>
  <c r="M50" i="37" s="1"/>
  <c r="J54" i="37"/>
  <c r="L54" i="37" s="1"/>
  <c r="M137" i="37"/>
  <c r="M205" i="37"/>
  <c r="L201" i="37"/>
  <c r="M201" i="37" s="1"/>
  <c r="J205" i="37"/>
  <c r="L205" i="37" s="1"/>
  <c r="L58" i="38"/>
  <c r="L56" i="39"/>
  <c r="M56" i="39" s="1"/>
  <c r="J60" i="39"/>
  <c r="L167" i="39"/>
  <c r="M167" i="39"/>
  <c r="L153" i="39"/>
  <c r="M153" i="39" s="1"/>
  <c r="J156" i="39"/>
  <c r="J158" i="39"/>
  <c r="J230" i="39"/>
  <c r="M232" i="39"/>
  <c r="L232" i="39"/>
  <c r="J58" i="39"/>
  <c r="L109" i="39"/>
  <c r="L212" i="39"/>
  <c r="M212" i="39"/>
  <c r="J68" i="39"/>
  <c r="M111" i="39"/>
  <c r="L111" i="39"/>
  <c r="M119" i="38"/>
  <c r="L115" i="38"/>
  <c r="M115" i="38" s="1"/>
  <c r="J119" i="38"/>
  <c r="L119" i="38" s="1"/>
  <c r="J121" i="38"/>
  <c r="M185" i="39"/>
  <c r="L185" i="39"/>
  <c r="M149" i="37"/>
  <c r="L145" i="37"/>
  <c r="M145" i="37" s="1"/>
  <c r="J149" i="37"/>
  <c r="L149" i="37" s="1"/>
  <c r="M60" i="38"/>
  <c r="L60" i="38"/>
  <c r="B29" i="40" l="1"/>
  <c r="B280" i="5"/>
  <c r="M50" i="38"/>
  <c r="L50" i="38"/>
  <c r="M141" i="38"/>
  <c r="L141" i="38"/>
  <c r="L119" i="39"/>
  <c r="M119" i="39"/>
  <c r="M241" i="39"/>
  <c r="L241" i="39"/>
  <c r="M20" i="39"/>
  <c r="L20" i="39"/>
  <c r="M30" i="38"/>
  <c r="L30" i="38"/>
  <c r="M121" i="38"/>
  <c r="L121" i="38"/>
  <c r="M70" i="38"/>
  <c r="L70" i="38"/>
  <c r="M129" i="39"/>
  <c r="L129" i="39"/>
  <c r="M40" i="38"/>
  <c r="L40" i="38"/>
  <c r="M156" i="39"/>
  <c r="L156" i="39"/>
  <c r="M60" i="39"/>
  <c r="L60" i="39"/>
  <c r="M205" i="39"/>
  <c r="L205" i="39"/>
  <c r="L50" i="39"/>
  <c r="M50" i="39"/>
  <c r="M20" i="38"/>
  <c r="L20" i="38"/>
  <c r="M38" i="39"/>
  <c r="L38" i="39"/>
  <c r="M40" i="39"/>
  <c r="L40" i="39"/>
  <c r="L99" i="39"/>
  <c r="M99" i="39"/>
  <c r="M131" i="38"/>
  <c r="L131" i="38"/>
  <c r="M163" i="38"/>
  <c r="L163" i="38"/>
  <c r="L28" i="39"/>
  <c r="M28" i="39"/>
  <c r="M58" i="39"/>
  <c r="L58" i="39"/>
  <c r="M203" i="39"/>
  <c r="L203" i="39"/>
  <c r="L48" i="39"/>
  <c r="M48" i="39"/>
  <c r="M230" i="39"/>
  <c r="L230" i="39"/>
  <c r="M80" i="38"/>
  <c r="L80" i="38"/>
  <c r="M194" i="39"/>
  <c r="L194" i="39"/>
  <c r="L68" i="39"/>
  <c r="M68" i="39"/>
  <c r="M158" i="39"/>
  <c r="L158" i="39"/>
  <c r="M239" i="39"/>
  <c r="L239" i="39"/>
  <c r="M18" i="39"/>
  <c r="L18" i="39"/>
  <c r="M111" i="38"/>
  <c r="L111" i="38"/>
  <c r="B32" i="40" l="1"/>
  <c r="B281" i="5"/>
  <c r="R285" i="36"/>
  <c r="P285" i="36" s="1"/>
  <c r="P276" i="36"/>
  <c r="P274" i="36" s="1"/>
  <c r="P275" i="36"/>
  <c r="P273" i="36" s="1"/>
  <c r="R273" i="36" s="1"/>
  <c r="P271" i="36"/>
  <c r="P269" i="36" s="1"/>
  <c r="R269" i="36" s="1"/>
  <c r="P270" i="36"/>
  <c r="P268" i="36" s="1"/>
  <c r="N264" i="36"/>
  <c r="N263" i="36"/>
  <c r="N259" i="36"/>
  <c r="N258" i="36"/>
  <c r="P247" i="36"/>
  <c r="P245" i="36"/>
  <c r="P244" i="36"/>
  <c r="P243" i="36"/>
  <c r="P242" i="36"/>
  <c r="P241" i="36"/>
  <c r="P240" i="36"/>
  <c r="P239" i="36"/>
  <c r="P238" i="36"/>
  <c r="P237" i="36"/>
  <c r="P236" i="36"/>
  <c r="P235" i="36"/>
  <c r="P234" i="36"/>
  <c r="P233" i="36"/>
  <c r="P232" i="36"/>
  <c r="B222" i="36"/>
  <c r="N216" i="36"/>
  <c r="N210" i="36"/>
  <c r="R209" i="36"/>
  <c r="R208" i="36"/>
  <c r="R207" i="36"/>
  <c r="R206" i="36"/>
  <c r="R205" i="36"/>
  <c r="R204" i="36"/>
  <c r="R203" i="36"/>
  <c r="R202" i="36"/>
  <c r="R201" i="36"/>
  <c r="R200" i="36"/>
  <c r="R199" i="36"/>
  <c r="R198" i="36"/>
  <c r="R197" i="36"/>
  <c r="R196" i="36"/>
  <c r="R195" i="36"/>
  <c r="P187" i="36"/>
  <c r="P185" i="36"/>
  <c r="P184" i="36"/>
  <c r="P183" i="36"/>
  <c r="P182" i="36"/>
  <c r="P181" i="36"/>
  <c r="P180" i="36"/>
  <c r="P179" i="36"/>
  <c r="P178" i="36"/>
  <c r="P177" i="36"/>
  <c r="P176" i="36"/>
  <c r="P175" i="36"/>
  <c r="P174" i="36"/>
  <c r="P173" i="36"/>
  <c r="P168" i="36"/>
  <c r="B166" i="36"/>
  <c r="B155" i="36"/>
  <c r="B77" i="36"/>
  <c r="B16" i="36"/>
  <c r="B168" i="36" l="1"/>
  <c r="B173" i="36" s="1"/>
  <c r="B33" i="40"/>
  <c r="B34" i="40" s="1"/>
  <c r="B37" i="40" s="1"/>
  <c r="B38" i="40" s="1"/>
  <c r="B41" i="40" s="1"/>
  <c r="B42" i="40" s="1"/>
  <c r="B284" i="5"/>
  <c r="R268" i="36"/>
  <c r="R274" i="36"/>
  <c r="B17" i="36"/>
  <c r="B45" i="40" l="1"/>
  <c r="B46" i="40" s="1"/>
  <c r="B60" i="40" s="1"/>
  <c r="B61" i="40" s="1"/>
  <c r="B62" i="40" s="1"/>
  <c r="B63" i="40" s="1"/>
  <c r="B66" i="40" s="1"/>
  <c r="B67" i="40" s="1"/>
  <c r="B68" i="40" s="1"/>
  <c r="B69" i="40" s="1"/>
  <c r="B71" i="40" s="1"/>
  <c r="B73" i="40" s="1"/>
  <c r="B75" i="40" s="1"/>
  <c r="B77" i="40" s="1"/>
  <c r="B285" i="5"/>
  <c r="B174" i="36"/>
  <c r="B18" i="36"/>
  <c r="B287" i="5" l="1"/>
  <c r="B19" i="36"/>
  <c r="B175" i="36"/>
  <c r="B176" i="36" s="1"/>
  <c r="B290" i="5" l="1"/>
  <c r="B177" i="36"/>
  <c r="B178" i="36" s="1"/>
  <c r="B20" i="36"/>
  <c r="B291" i="5" l="1"/>
  <c r="B292" i="5" s="1"/>
  <c r="B293" i="5" s="1"/>
  <c r="B179" i="36"/>
  <c r="B180" i="36" s="1"/>
  <c r="B181" i="36" s="1"/>
  <c r="B23" i="36"/>
  <c r="B294" i="5" l="1"/>
  <c r="B295" i="5" s="1"/>
  <c r="B296" i="5" s="1"/>
  <c r="B297" i="5" s="1"/>
  <c r="B299" i="5" s="1"/>
  <c r="B302" i="5" s="1"/>
  <c r="B303" i="5" s="1"/>
  <c r="B305" i="5" s="1"/>
  <c r="B307" i="5" s="1"/>
  <c r="B309" i="5" s="1"/>
  <c r="B325" i="5" s="1"/>
  <c r="B326" i="5" s="1"/>
  <c r="B327" i="5" s="1"/>
  <c r="B328" i="5" s="1"/>
  <c r="B329" i="5" s="1"/>
  <c r="B330" i="5" s="1"/>
  <c r="B331" i="5" s="1"/>
  <c r="B332" i="5" s="1"/>
  <c r="B333" i="5" s="1"/>
  <c r="B182" i="36"/>
  <c r="B24" i="36"/>
  <c r="B334" i="5" l="1"/>
  <c r="B335" i="5" s="1"/>
  <c r="B336" i="5" s="1"/>
  <c r="B338" i="5" s="1"/>
  <c r="B339" i="5" s="1"/>
  <c r="B341" i="5" s="1"/>
  <c r="B344" i="5" s="1"/>
  <c r="B345" i="5" s="1"/>
  <c r="B346" i="5" s="1"/>
  <c r="B347" i="5" s="1"/>
  <c r="B348" i="5" s="1"/>
  <c r="B349" i="5" s="1"/>
  <c r="B351" i="5" s="1"/>
  <c r="B354" i="5" s="1"/>
  <c r="B356" i="5" s="1"/>
  <c r="B358" i="5" s="1"/>
  <c r="B360" i="5" s="1"/>
  <c r="B362" i="5" s="1"/>
  <c r="B25" i="36"/>
  <c r="B183" i="36"/>
  <c r="B26" i="36" l="1"/>
  <c r="B27" i="36" s="1"/>
  <c r="B28" i="36" s="1"/>
  <c r="B31" i="36" s="1"/>
  <c r="B32" i="36" s="1"/>
  <c r="B34" i="36" s="1"/>
  <c r="B35" i="36" s="1"/>
  <c r="B36" i="36" s="1"/>
  <c r="B37" i="36" s="1"/>
  <c r="B38" i="36" s="1"/>
  <c r="B41" i="36" s="1"/>
  <c r="B43" i="36" s="1"/>
  <c r="B44" i="36" s="1"/>
  <c r="B46" i="36" s="1"/>
  <c r="B47" i="36" s="1"/>
  <c r="B48" i="36" s="1"/>
  <c r="B49" i="36" s="1"/>
  <c r="B50" i="36" s="1"/>
  <c r="B51" i="36" s="1"/>
  <c r="B54" i="36" s="1"/>
  <c r="B56" i="36" s="1"/>
  <c r="B57" i="36" s="1"/>
  <c r="B58" i="36" s="1"/>
  <c r="B59" i="36" s="1"/>
  <c r="B60" i="36" s="1"/>
  <c r="B63" i="36" s="1"/>
  <c r="B64" i="36" s="1"/>
  <c r="B66" i="36" s="1"/>
  <c r="B67" i="36" s="1"/>
  <c r="B68" i="36" s="1"/>
  <c r="B69" i="36" s="1"/>
  <c r="B70" i="36" s="1"/>
  <c r="B71" i="36" s="1"/>
  <c r="B86" i="36" s="1"/>
  <c r="B87" i="36" s="1"/>
  <c r="B88" i="36" s="1"/>
  <c r="B89" i="36" s="1"/>
  <c r="B90" i="36" s="1"/>
  <c r="B91" i="36" s="1"/>
  <c r="B92" i="36" s="1"/>
  <c r="B93" i="36" s="1"/>
  <c r="B96" i="36" s="1"/>
  <c r="B97" i="36" s="1"/>
  <c r="B98" i="36" s="1"/>
  <c r="B99" i="36" s="1"/>
  <c r="B100" i="36" s="1"/>
  <c r="B101" i="36" s="1"/>
  <c r="B102" i="36" s="1"/>
  <c r="B103" i="36" s="1"/>
  <c r="B106" i="36" s="1"/>
  <c r="B107" i="36" s="1"/>
  <c r="B108" i="36" s="1"/>
  <c r="B109" i="36" s="1"/>
  <c r="B110" i="36" s="1"/>
  <c r="B111" i="36" s="1"/>
  <c r="B114" i="36" s="1"/>
  <c r="B116" i="36" s="1"/>
  <c r="B117" i="36" s="1"/>
  <c r="B118" i="36" s="1"/>
  <c r="B119" i="36" s="1"/>
  <c r="B120" i="36" s="1"/>
  <c r="B121" i="36" s="1"/>
  <c r="B122" i="36" s="1"/>
  <c r="B125" i="36" s="1"/>
  <c r="B126" i="36" s="1"/>
  <c r="B127" i="36" s="1"/>
  <c r="B128" i="36" s="1"/>
  <c r="B129" i="36" s="1"/>
  <c r="B130" i="36" s="1"/>
  <c r="B133" i="36" s="1"/>
  <c r="B135" i="36" s="1"/>
  <c r="B137" i="36" s="1"/>
  <c r="B139" i="36" s="1"/>
  <c r="B141" i="36" s="1"/>
  <c r="B142" i="36" s="1"/>
  <c r="B143" i="36" s="1"/>
  <c r="B144" i="36" s="1"/>
  <c r="B145" i="36" s="1"/>
  <c r="B184" i="36"/>
  <c r="B185" i="36" s="1"/>
  <c r="B187" i="36" s="1"/>
  <c r="B190" i="36" s="1"/>
  <c r="B191" i="36" s="1"/>
  <c r="B192" i="36" s="1"/>
  <c r="B195" i="36" s="1"/>
  <c r="B196" i="36" s="1"/>
  <c r="B197" i="36" s="1"/>
  <c r="B198" i="36" s="1"/>
  <c r="B199" i="36" s="1"/>
  <c r="B200" i="36" s="1"/>
  <c r="B201" i="36" s="1"/>
  <c r="B202" i="36" s="1"/>
  <c r="B203" i="36" s="1"/>
  <c r="B204" i="36" s="1"/>
  <c r="B205" i="36" s="1"/>
  <c r="B206" i="36" s="1"/>
  <c r="B207" i="36" s="1"/>
  <c r="B208" i="36" s="1"/>
  <c r="B209" i="36" s="1"/>
  <c r="B210" i="36" s="1"/>
  <c r="B212" i="36" s="1"/>
  <c r="B216" i="36" s="1"/>
  <c r="B232" i="36" s="1"/>
  <c r="B233" i="36" s="1"/>
  <c r="B234" i="36" s="1"/>
  <c r="B235" i="36" s="1"/>
  <c r="B236" i="36" s="1"/>
  <c r="B237" i="36" s="1"/>
  <c r="B238" i="36" s="1"/>
  <c r="B239" i="36" s="1"/>
  <c r="B240" i="36" s="1"/>
  <c r="B241" i="36" s="1"/>
  <c r="B242" i="36" s="1"/>
  <c r="B243" i="36" s="1"/>
  <c r="B244" i="36" s="1"/>
  <c r="B245" i="36" s="1"/>
  <c r="B247" i="36" s="1"/>
  <c r="B250" i="36" s="1"/>
  <c r="B252" i="36" s="1"/>
  <c r="B253" i="36" s="1"/>
  <c r="B254" i="36" s="1"/>
  <c r="B256" i="36" s="1"/>
  <c r="B257" i="36" s="1"/>
  <c r="B258" i="36" s="1"/>
  <c r="B259" i="36" s="1"/>
  <c r="B261" i="36" s="1"/>
  <c r="B262" i="36" s="1"/>
  <c r="B263" i="36" s="1"/>
  <c r="B264" i="36" s="1"/>
  <c r="B268" i="36" s="1"/>
  <c r="B269" i="36" s="1"/>
  <c r="B270" i="36" s="1"/>
  <c r="B271" i="36" s="1"/>
  <c r="B273" i="36" s="1"/>
  <c r="B274" i="36" s="1"/>
  <c r="B275" i="36" s="1"/>
  <c r="B276" i="36" s="1"/>
  <c r="B279" i="36" s="1"/>
  <c r="B280" i="36" s="1"/>
  <c r="B281" i="36" s="1"/>
  <c r="B282" i="36" s="1"/>
  <c r="B283" i="36" s="1"/>
  <c r="B285" i="36" s="1"/>
  <c r="B286" i="36" s="1"/>
  <c r="I97" i="35" l="1"/>
  <c r="I96" i="35"/>
  <c r="I98" i="35" s="1"/>
  <c r="G89" i="35"/>
  <c r="I89" i="35" s="1"/>
  <c r="G90" i="35"/>
  <c r="I90" i="35" s="1"/>
  <c r="I81" i="35"/>
  <c r="G88" i="35"/>
  <c r="I75" i="35"/>
  <c r="I69" i="35"/>
  <c r="A69" i="35"/>
  <c r="A70" i="35" s="1"/>
  <c r="A71" i="35" s="1"/>
  <c r="A74" i="35" s="1"/>
  <c r="A75" i="35" s="1"/>
  <c r="A76" i="35" s="1"/>
  <c r="A77" i="35" s="1"/>
  <c r="A80" i="35" s="1"/>
  <c r="A81" i="35" s="1"/>
  <c r="A82" i="35" s="1"/>
  <c r="A83" i="35" s="1"/>
  <c r="A84" i="35" s="1"/>
  <c r="A85" i="35" s="1"/>
  <c r="A88" i="35" s="1"/>
  <c r="A89" i="35" s="1"/>
  <c r="A90" i="35" s="1"/>
  <c r="A91" i="35" s="1"/>
  <c r="A92" i="35" s="1"/>
  <c r="A93" i="35" s="1"/>
  <c r="A96" i="35" s="1"/>
  <c r="A97" i="35" s="1"/>
  <c r="A98" i="35" s="1"/>
  <c r="A100" i="35" s="1"/>
  <c r="G74" i="35"/>
  <c r="I45" i="35"/>
  <c r="I36" i="35"/>
  <c r="I35" i="35"/>
  <c r="I34" i="35"/>
  <c r="I28" i="35"/>
  <c r="I27" i="35"/>
  <c r="I26" i="35"/>
  <c r="I25" i="35"/>
  <c r="I21" i="35"/>
  <c r="I20" i="35"/>
  <c r="I19" i="35"/>
  <c r="I15" i="35"/>
  <c r="I14" i="35"/>
  <c r="I13" i="35"/>
  <c r="A13" i="35" a="1"/>
  <c r="A13" i="35" s="1"/>
  <c r="E32" i="34"/>
  <c r="E27" i="34"/>
  <c r="E20" i="34"/>
  <c r="A15" i="34"/>
  <c r="A18" i="34" s="1"/>
  <c r="E15" i="34"/>
  <c r="A14" i="33" a="1"/>
  <c r="A14" i="33" s="1"/>
  <c r="E15" i="33"/>
  <c r="E31" i="32"/>
  <c r="E33" i="32" s="1"/>
  <c r="E26" i="32"/>
  <c r="E21" i="32"/>
  <c r="A15" i="32" a="1"/>
  <c r="A15" i="32" s="1"/>
  <c r="A29" i="31" a="1"/>
  <c r="A29" i="31" s="1"/>
  <c r="A14" i="31" a="1"/>
  <c r="A14" i="31" s="1"/>
  <c r="E21" i="30"/>
  <c r="A14" i="30" a="1"/>
  <c r="A14" i="30" s="1"/>
  <c r="N92" i="29"/>
  <c r="A92" i="29"/>
  <c r="A93" i="29" s="1"/>
  <c r="A94" i="29" s="1"/>
  <c r="A96" i="29" s="1"/>
  <c r="A98" i="29" s="1"/>
  <c r="A100" i="29" s="1"/>
  <c r="A102" i="29" s="1"/>
  <c r="A106" i="29" s="1"/>
  <c r="A107" i="29" s="1"/>
  <c r="A108" i="29" s="1"/>
  <c r="A110" i="29" s="1"/>
  <c r="A111" i="29" s="1"/>
  <c r="A80" i="29"/>
  <c r="A81" i="29" s="1"/>
  <c r="A82" i="29" s="1"/>
  <c r="A84" i="29" s="1"/>
  <c r="A87" i="29" s="1"/>
  <c r="A33" i="29"/>
  <c r="A35" i="29" s="1"/>
  <c r="A37" i="29" s="1"/>
  <c r="A39" i="29" s="1"/>
  <c r="A29" i="29"/>
  <c r="H19" i="29"/>
  <c r="J81" i="29"/>
  <c r="I81" i="29"/>
  <c r="H81" i="29"/>
  <c r="J24" i="29"/>
  <c r="I19" i="29"/>
  <c r="H24" i="29"/>
  <c r="A17" i="29"/>
  <c r="A18" i="29" s="1"/>
  <c r="A19" i="29" s="1"/>
  <c r="A21" i="29" s="1"/>
  <c r="A24" i="29" s="1"/>
  <c r="N77" i="29"/>
  <c r="L77" i="29"/>
  <c r="I31" i="28"/>
  <c r="C29" i="28"/>
  <c r="I28" i="28"/>
  <c r="I27" i="28"/>
  <c r="I26" i="28"/>
  <c r="C18" i="28"/>
  <c r="I17" i="28"/>
  <c r="I15" i="28"/>
  <c r="I14" i="28"/>
  <c r="A13" i="28" a="1"/>
  <c r="A13" i="28" s="1"/>
  <c r="G18" i="28"/>
  <c r="I12" i="28"/>
  <c r="I29" i="35" l="1"/>
  <c r="I31" i="35" s="1"/>
  <c r="I47" i="35" s="1"/>
  <c r="N93" i="29"/>
  <c r="I16" i="35"/>
  <c r="I37" i="35"/>
  <c r="I39" i="35" s="1"/>
  <c r="I22" i="35"/>
  <c r="I16" i="28"/>
  <c r="E28" i="34"/>
  <c r="I68" i="35"/>
  <c r="I25" i="28"/>
  <c r="E16" i="32"/>
  <c r="E15" i="30"/>
  <c r="G29" i="28"/>
  <c r="G33" i="28" s="1"/>
  <c r="L21" i="29"/>
  <c r="E22" i="34"/>
  <c r="I76" i="35"/>
  <c r="I20" i="28"/>
  <c r="H80" i="29"/>
  <c r="H87" i="29" s="1"/>
  <c r="E19" i="31"/>
  <c r="E23" i="31" s="1"/>
  <c r="E25" i="31" s="1"/>
  <c r="E29" i="28"/>
  <c r="J80" i="29"/>
  <c r="J82" i="29" s="1"/>
  <c r="A15" i="33" a="1"/>
  <c r="A15" i="33" s="1"/>
  <c r="A18" i="33" s="1" a="1"/>
  <c r="A18" i="33" s="1"/>
  <c r="A14" i="35" a="1"/>
  <c r="A14" i="35" s="1"/>
  <c r="A15" i="35" s="1" a="1"/>
  <c r="A15" i="35" s="1"/>
  <c r="A15" i="30" a="1"/>
  <c r="A15" i="30" s="1"/>
  <c r="I74" i="35"/>
  <c r="I77" i="35" s="1"/>
  <c r="A14" i="28" a="1"/>
  <c r="A14" i="28" s="1"/>
  <c r="A15" i="28" s="1" a="1"/>
  <c r="A15" i="28" s="1"/>
  <c r="A15" i="31" a="1"/>
  <c r="A15" i="31" s="1"/>
  <c r="A16" i="31" s="1" a="1"/>
  <c r="A16" i="31" s="1"/>
  <c r="A30" i="31" a="1"/>
  <c r="A30" i="31" s="1"/>
  <c r="A16" i="32" a="1"/>
  <c r="A16" i="32" s="1"/>
  <c r="E32" i="31"/>
  <c r="E34" i="31"/>
  <c r="I18" i="28"/>
  <c r="O25" i="29"/>
  <c r="O31" i="29" s="1"/>
  <c r="O33" i="29" s="1"/>
  <c r="I70" i="35"/>
  <c r="I88" i="35"/>
  <c r="I91" i="35" s="1"/>
  <c r="I93" i="35" s="1"/>
  <c r="I80" i="29"/>
  <c r="A19" i="34"/>
  <c r="I80" i="35"/>
  <c r="I82" i="35"/>
  <c r="I24" i="28"/>
  <c r="I29" i="28" s="1"/>
  <c r="E18" i="28"/>
  <c r="L17" i="29"/>
  <c r="L24" i="29" s="1"/>
  <c r="L31" i="29" s="1"/>
  <c r="J19" i="29"/>
  <c r="L19" i="29"/>
  <c r="H29" i="29" s="1"/>
  <c r="I24" i="29"/>
  <c r="H82" i="29" l="1"/>
  <c r="J29" i="29"/>
  <c r="I71" i="35"/>
  <c r="I21" i="29"/>
  <c r="I27" i="29" s="1"/>
  <c r="J30" i="29"/>
  <c r="J31" i="29" s="1"/>
  <c r="I29" i="29"/>
  <c r="E33" i="28"/>
  <c r="J87" i="29"/>
  <c r="H30" i="29"/>
  <c r="H31" i="29" s="1"/>
  <c r="P25" i="29"/>
  <c r="P31" i="29" s="1"/>
  <c r="P33" i="29" s="1"/>
  <c r="N25" i="29"/>
  <c r="N31" i="29" s="1"/>
  <c r="N33" i="29" s="1"/>
  <c r="I33" i="28"/>
  <c r="A16" i="35" a="1"/>
  <c r="A16" i="35" s="1"/>
  <c r="A19" i="35" s="1" a="1"/>
  <c r="A19" i="35" s="1"/>
  <c r="A20" i="33" a="1"/>
  <c r="A20" i="33" s="1"/>
  <c r="A19" i="30" a="1"/>
  <c r="A19" i="30" s="1"/>
  <c r="A20" i="30" s="1" a="1"/>
  <c r="A20" i="30" s="1"/>
  <c r="A21" i="30" s="1" a="1"/>
  <c r="A21" i="30" s="1"/>
  <c r="A16" i="28" a="1"/>
  <c r="A16" i="28" s="1"/>
  <c r="J47" i="29"/>
  <c r="H47" i="29"/>
  <c r="A32" i="31" a="1"/>
  <c r="A32" i="31" s="1"/>
  <c r="A34" i="31" s="1" a="1"/>
  <c r="A34" i="31" s="1"/>
  <c r="A17" i="31" a="1"/>
  <c r="A17" i="31" s="1"/>
  <c r="I82" i="29"/>
  <c r="L82" i="29" s="1"/>
  <c r="H93" i="29" s="1"/>
  <c r="I87" i="29"/>
  <c r="A19" i="32" a="1"/>
  <c r="A19" i="32" s="1"/>
  <c r="L80" i="29"/>
  <c r="L87" i="29" s="1"/>
  <c r="L94" i="29" s="1"/>
  <c r="I83" i="35"/>
  <c r="I85" i="35" s="1"/>
  <c r="J21" i="29"/>
  <c r="A20" i="34"/>
  <c r="I30" i="29"/>
  <c r="H21" i="29"/>
  <c r="I31" i="29" l="1"/>
  <c r="I100" i="35"/>
  <c r="A21" i="33" a="1"/>
  <c r="A21" i="33" s="1"/>
  <c r="A18" i="31" a="1"/>
  <c r="A18" i="31" s="1"/>
  <c r="H92" i="29"/>
  <c r="N88" i="29"/>
  <c r="N94" i="29" s="1"/>
  <c r="N96" i="29" s="1"/>
  <c r="A20" i="32" a="1"/>
  <c r="A20" i="32" s="1"/>
  <c r="A21" i="32" s="1" a="1"/>
  <c r="A21" i="32" s="1"/>
  <c r="H84" i="29"/>
  <c r="A22" i="34"/>
  <c r="A21" i="34"/>
  <c r="I84" i="29"/>
  <c r="I92" i="29"/>
  <c r="I93" i="29"/>
  <c r="A20" i="35" a="1"/>
  <c r="A20" i="35" s="1"/>
  <c r="A21" i="35" s="1" a="1"/>
  <c r="A21" i="35" s="1"/>
  <c r="I45" i="29"/>
  <c r="H45" i="29"/>
  <c r="J93" i="29"/>
  <c r="J84" i="29"/>
  <c r="J92" i="29"/>
  <c r="A17" i="28" a="1"/>
  <c r="A17" i="28" s="1"/>
  <c r="H35" i="29"/>
  <c r="H27" i="29"/>
  <c r="J27" i="29"/>
  <c r="I46" i="29"/>
  <c r="J46" i="29"/>
  <c r="A22" i="35" l="1" a="1"/>
  <c r="A22" i="35" s="1"/>
  <c r="A25" i="35" s="1" a="1"/>
  <c r="A25" i="35" s="1"/>
  <c r="A26" i="34"/>
  <c r="A23" i="33" a="1"/>
  <c r="A23" i="33" s="1"/>
  <c r="A25" i="33" s="1" a="1"/>
  <c r="A25" i="33" s="1"/>
  <c r="A24" i="32" a="1"/>
  <c r="A24" i="32" s="1"/>
  <c r="H43" i="29"/>
  <c r="H48" i="29" s="1"/>
  <c r="J37" i="29"/>
  <c r="J39" i="29" s="1"/>
  <c r="J43" i="29" s="1"/>
  <c r="J48" i="29" s="1"/>
  <c r="H37" i="29"/>
  <c r="J94" i="29"/>
  <c r="J90" i="29"/>
  <c r="I94" i="29"/>
  <c r="I90" i="29"/>
  <c r="A19" i="31" a="1"/>
  <c r="A19" i="31" s="1"/>
  <c r="A21" i="31" s="1" a="1"/>
  <c r="A21" i="31" s="1"/>
  <c r="L84" i="29"/>
  <c r="H90" i="29"/>
  <c r="H94" i="29"/>
  <c r="H98" i="29" s="1"/>
  <c r="H106" i="29" s="1"/>
  <c r="H108" i="29" s="1"/>
  <c r="I37" i="29"/>
  <c r="I39" i="29" s="1"/>
  <c r="I43" i="29" s="1"/>
  <c r="I107" i="29"/>
  <c r="H107" i="29"/>
  <c r="A18" i="28" a="1"/>
  <c r="A18" i="28" s="1"/>
  <c r="A20" i="28" s="1" a="1"/>
  <c r="A20" i="28" s="1"/>
  <c r="A27" i="34"/>
  <c r="A23" i="31" l="1" a="1"/>
  <c r="A23" i="31" s="1"/>
  <c r="A25" i="31" s="1" a="1"/>
  <c r="A25" i="31" s="1"/>
  <c r="A23" i="28" a="1"/>
  <c r="A23" i="28" s="1"/>
  <c r="A24" i="28" s="1" a="1"/>
  <c r="A24" i="28" s="1"/>
  <c r="H110" i="29"/>
  <c r="J110" i="29" s="1"/>
  <c r="H100" i="29"/>
  <c r="J100" i="29"/>
  <c r="I100" i="29"/>
  <c r="I48" i="29"/>
  <c r="I51" i="29"/>
  <c r="A26" i="35" a="1"/>
  <c r="A26" i="35" s="1"/>
  <c r="A25" i="32" a="1"/>
  <c r="A25" i="32" s="1"/>
  <c r="A26" i="32" s="1" a="1"/>
  <c r="A26" i="32" s="1"/>
  <c r="A29" i="32" s="1" a="1"/>
  <c r="A29" i="32" s="1"/>
  <c r="A28" i="34"/>
  <c r="A31" i="34" s="1"/>
  <c r="E18" i="33"/>
  <c r="E23" i="33" s="1"/>
  <c r="E25" i="33" s="1"/>
  <c r="H50" i="29"/>
  <c r="J50" i="29" s="1"/>
  <c r="A32" i="34" l="1"/>
  <c r="A30" i="32" a="1"/>
  <c r="A30" i="32" s="1"/>
  <c r="A31" i="32" s="1" a="1"/>
  <c r="A31" i="32" s="1"/>
  <c r="A33" i="32" s="1" a="1"/>
  <c r="A33" i="32" s="1"/>
  <c r="A25" i="28" a="1"/>
  <c r="A25" i="28" s="1"/>
  <c r="A26" i="28" s="1" a="1"/>
  <c r="A26" i="28" s="1"/>
  <c r="A27" i="28" s="1" a="1"/>
  <c r="A27" i="28" s="1"/>
  <c r="A27" i="35" a="1"/>
  <c r="A27" i="35" s="1"/>
  <c r="I102" i="29"/>
  <c r="I106" i="29" s="1"/>
  <c r="I108" i="29" s="1"/>
  <c r="I111" i="29" s="1"/>
  <c r="J102" i="29"/>
  <c r="J106" i="29" s="1"/>
  <c r="J108" i="29" s="1"/>
  <c r="A28" i="28" l="1" a="1"/>
  <c r="A28" i="28" s="1"/>
  <c r="A29" i="28" s="1" a="1"/>
  <c r="A29" i="28" s="1"/>
  <c r="A31" i="28" s="1" a="1"/>
  <c r="A31" i="28" s="1"/>
  <c r="A33" i="28" s="1" a="1"/>
  <c r="A33" i="28" s="1"/>
  <c r="A28" i="35" a="1"/>
  <c r="A28" i="35" s="1"/>
  <c r="A29" i="35" s="1" a="1"/>
  <c r="A29" i="35" s="1"/>
  <c r="A30" i="35" s="1" a="1"/>
  <c r="A30" i="35" s="1"/>
  <c r="A31" i="35" s="1" a="1"/>
  <c r="A31" i="35" s="1"/>
  <c r="A34" i="35" s="1" a="1"/>
  <c r="A34" i="35" s="1"/>
  <c r="A35" i="35" s="1" a="1"/>
  <c r="A35" i="35" s="1"/>
  <c r="A36" i="35" s="1" a="1"/>
  <c r="A36" i="35" s="1"/>
  <c r="A37" i="35" s="1" a="1"/>
  <c r="A37" i="35" s="1"/>
  <c r="A38" i="35" s="1" a="1"/>
  <c r="A38" i="35" s="1"/>
  <c r="A39" i="35" s="1" a="1"/>
  <c r="A39" i="35" s="1"/>
  <c r="A42" i="35" s="1" a="1"/>
  <c r="A42" i="35" s="1"/>
  <c r="A43" i="35" s="1" a="1"/>
  <c r="A43" i="35" s="1"/>
  <c r="A44" i="35" s="1" a="1"/>
  <c r="A44" i="35" s="1"/>
  <c r="A45" i="35" s="1" a="1"/>
  <c r="A45" i="35" s="1"/>
  <c r="A47" i="35" s="1" a="1"/>
  <c r="A47" i="35" s="1"/>
  <c r="Q128" i="4" l="1"/>
  <c r="K128" i="4"/>
  <c r="P128" i="4" s="1"/>
  <c r="G128" i="4"/>
  <c r="N80" i="4"/>
  <c r="F22" i="14" l="1"/>
  <c r="F23" i="14" s="1"/>
  <c r="H22" i="14"/>
  <c r="H23" i="14" s="1"/>
  <c r="H24" i="14" l="1"/>
  <c r="H28" i="14" l="1"/>
  <c r="H36" i="14" l="1"/>
  <c r="F28" i="14" l="1"/>
  <c r="H29" i="14" s="1"/>
  <c r="H31" i="14" s="1"/>
  <c r="H50" i="14"/>
  <c r="H52" i="14" s="1"/>
  <c r="H43" i="14" l="1"/>
  <c r="H45" i="14" s="1"/>
  <c r="O110" i="5" l="1"/>
  <c r="H57" i="14" l="1"/>
  <c r="H59" i="14" s="1"/>
  <c r="H64" i="14" l="1"/>
  <c r="H66" i="14" s="1"/>
  <c r="O28" i="13" l="1"/>
  <c r="K22" i="13"/>
  <c r="K24" i="13" l="1"/>
  <c r="B14" i="14"/>
  <c r="B15" i="14" l="1"/>
  <c r="B20" i="14" l="1"/>
  <c r="B21" i="14" l="1"/>
  <c r="B22" i="14" s="1"/>
  <c r="H177" i="14"/>
  <c r="B23" i="14" l="1"/>
  <c r="B24" i="14" s="1"/>
  <c r="B26" i="14" l="1"/>
  <c r="B27" i="14" s="1"/>
  <c r="B28" i="14" s="1"/>
  <c r="B29" i="14" s="1"/>
  <c r="B31" i="14" s="1"/>
  <c r="B34" i="14" s="1"/>
  <c r="B35" i="14" s="1"/>
  <c r="B36" i="14" s="1"/>
  <c r="B41" i="14" s="1"/>
  <c r="B42" i="14" l="1"/>
  <c r="B43" i="14" s="1"/>
  <c r="B44" i="14" s="1"/>
  <c r="B45" i="14" l="1"/>
  <c r="B48" i="14" s="1"/>
  <c r="B49" i="14" s="1"/>
  <c r="B50" i="14" s="1"/>
  <c r="B51" i="14" s="1"/>
  <c r="B52" i="14" s="1"/>
  <c r="B55" i="14" s="1"/>
  <c r="B56" i="14" s="1"/>
  <c r="B57" i="14" s="1"/>
  <c r="B58" i="14" s="1"/>
  <c r="B59" i="14" s="1"/>
  <c r="B62" i="14" s="1"/>
  <c r="B63" i="14" s="1"/>
  <c r="B64" i="14" s="1"/>
  <c r="B65" i="14" s="1"/>
  <c r="B66" i="14" s="1"/>
  <c r="B81" i="14" s="1"/>
  <c r="B82" i="14" s="1"/>
  <c r="B83" i="14" s="1"/>
  <c r="B86" i="14" s="1"/>
  <c r="B87" i="14" s="1"/>
  <c r="B88" i="14" s="1"/>
  <c r="B91" i="14" s="1"/>
  <c r="B92" i="14" s="1"/>
  <c r="B93" i="14" s="1"/>
  <c r="B96" i="14" s="1"/>
  <c r="B97" i="14" s="1"/>
  <c r="B98" i="14" s="1"/>
  <c r="B101" i="14" s="1"/>
  <c r="B102" i="14" s="1"/>
  <c r="B103" i="14" s="1"/>
  <c r="B106" i="14" s="1"/>
  <c r="B107" i="14" s="1"/>
  <c r="B108" i="14" s="1"/>
  <c r="B111" i="14" s="1"/>
  <c r="B112" i="14" s="1"/>
  <c r="B113" i="14" s="1"/>
  <c r="B116" i="14" s="1"/>
  <c r="B117" i="14" s="1"/>
  <c r="B118" i="14" s="1"/>
  <c r="B121" i="14" s="1"/>
  <c r="B122" i="14" s="1"/>
  <c r="B123" i="14" s="1"/>
  <c r="B126" i="14" s="1"/>
  <c r="B127" i="14" s="1"/>
  <c r="B128" i="14" s="1"/>
  <c r="B143" i="14" s="1"/>
  <c r="B144" i="14" s="1"/>
  <c r="B145" i="14" s="1"/>
  <c r="B148" i="14" s="1"/>
  <c r="B149" i="14" s="1"/>
  <c r="B150" i="14" s="1"/>
  <c r="B153" i="14" s="1"/>
  <c r="B154" i="14" s="1"/>
  <c r="B155" i="14" s="1"/>
  <c r="B158" i="14" s="1"/>
  <c r="B159" i="14" s="1"/>
  <c r="B160" i="14" s="1"/>
  <c r="B163" i="14" s="1"/>
  <c r="B164" i="14" s="1"/>
  <c r="B165" i="14" s="1"/>
  <c r="O119" i="5" l="1"/>
  <c r="P119" i="5" s="1"/>
  <c r="J28" i="5" l="1"/>
  <c r="Q142" i="5" l="1"/>
  <c r="P142" i="5" s="1"/>
  <c r="Q118" i="5"/>
  <c r="Q117" i="5"/>
  <c r="Q91" i="5"/>
  <c r="P91" i="5" s="1"/>
  <c r="H98" i="14" l="1"/>
  <c r="H232" i="5"/>
  <c r="H243" i="5" s="1"/>
  <c r="H214" i="5"/>
  <c r="H207" i="5"/>
  <c r="H171" i="5"/>
  <c r="H155" i="5"/>
  <c r="K116" i="4"/>
  <c r="O116" i="4" s="1"/>
  <c r="K115" i="4"/>
  <c r="O115" i="4" s="1"/>
  <c r="K113" i="4"/>
  <c r="O113" i="4" s="1"/>
  <c r="K112" i="4"/>
  <c r="O112" i="4" s="1"/>
  <c r="K111" i="4"/>
  <c r="O111" i="4" s="1"/>
  <c r="K110" i="4"/>
  <c r="O110" i="4" s="1"/>
  <c r="K108" i="4"/>
  <c r="O108" i="4" s="1"/>
  <c r="K107" i="4"/>
  <c r="O107" i="4" s="1"/>
  <c r="N25" i="4"/>
  <c r="N24" i="4"/>
  <c r="N22" i="4"/>
  <c r="N21" i="4"/>
  <c r="N18" i="4"/>
  <c r="N17" i="4"/>
  <c r="N16" i="4"/>
  <c r="N15" i="4"/>
  <c r="G61" i="4"/>
  <c r="G15" i="4"/>
  <c r="J245" i="5"/>
  <c r="J223" i="5"/>
  <c r="J207" i="5"/>
  <c r="J180" i="5"/>
  <c r="J164" i="5"/>
  <c r="J146" i="5"/>
  <c r="J106" i="5"/>
  <c r="J63" i="5"/>
  <c r="J44" i="5"/>
  <c r="F27" i="17" l="1"/>
  <c r="H27" i="17"/>
  <c r="F26" i="16"/>
  <c r="G108" i="4"/>
  <c r="G116" i="4"/>
  <c r="G115" i="4"/>
  <c r="G19" i="4"/>
  <c r="G63" i="4"/>
  <c r="G71" i="4"/>
  <c r="G112" i="4"/>
  <c r="H113" i="14"/>
  <c r="H219" i="5"/>
  <c r="H128" i="14"/>
  <c r="G68" i="4"/>
  <c r="G65" i="4"/>
  <c r="H15" i="14"/>
  <c r="G67" i="4"/>
  <c r="G62" i="4"/>
  <c r="G70" i="4"/>
  <c r="G111" i="4"/>
  <c r="G113" i="4"/>
  <c r="G69" i="4"/>
  <c r="G20" i="4"/>
  <c r="J121" i="5"/>
  <c r="G21" i="4"/>
  <c r="G114" i="4"/>
  <c r="G22" i="4"/>
  <c r="G64" i="4"/>
  <c r="G23" i="4"/>
  <c r="G16" i="4"/>
  <c r="G24" i="4"/>
  <c r="G66" i="4"/>
  <c r="G109" i="4"/>
  <c r="G117" i="4"/>
  <c r="K114" i="4"/>
  <c r="O114" i="4" s="1"/>
  <c r="G17" i="4"/>
  <c r="G25" i="4"/>
  <c r="G110" i="4"/>
  <c r="G18" i="4"/>
  <c r="K109" i="4"/>
  <c r="O109" i="4" s="1"/>
  <c r="K117" i="4"/>
  <c r="O117" i="4" s="1"/>
  <c r="H176" i="5"/>
  <c r="K207" i="5"/>
  <c r="H160" i="5"/>
  <c r="O82" i="5" l="1"/>
  <c r="S82" i="5" s="1"/>
  <c r="O144" i="5" l="1"/>
  <c r="S144" i="5" s="1"/>
  <c r="O229" i="5" l="1"/>
  <c r="S229" i="5" s="1"/>
  <c r="P229" i="5" l="1"/>
  <c r="Q159" i="5" l="1"/>
  <c r="O159" i="5" s="1"/>
  <c r="P159" i="5" s="1"/>
  <c r="B46" i="10" l="1"/>
  <c r="B14" i="10"/>
  <c r="B15" i="10" s="1"/>
  <c r="B16" i="10" s="1"/>
  <c r="B50" i="10" l="1"/>
  <c r="B17" i="10"/>
  <c r="B51" i="10" l="1"/>
  <c r="B18" i="10"/>
  <c r="B52" i="10" l="1"/>
  <c r="B56" i="10" s="1"/>
  <c r="B19" i="10"/>
  <c r="B20" i="10" s="1"/>
  <c r="B21" i="10" s="1"/>
  <c r="B57" i="10" l="1"/>
  <c r="B22" i="10"/>
  <c r="B23" i="10" s="1"/>
  <c r="B58" i="10" l="1"/>
  <c r="B59" i="10" s="1"/>
  <c r="B63" i="10" s="1"/>
  <c r="B25" i="10"/>
  <c r="B64" i="10" l="1"/>
  <c r="B65" i="10" s="1"/>
  <c r="B68" i="10" s="1"/>
  <c r="B71" i="10" s="1"/>
  <c r="B74" i="10" s="1"/>
  <c r="B77" i="10" s="1"/>
  <c r="B80" i="10" s="1"/>
  <c r="B82" i="10" s="1"/>
  <c r="B16" i="17" l="1"/>
  <c r="B15" i="16"/>
  <c r="B16" i="16" l="1"/>
  <c r="B17" i="17"/>
  <c r="B17" i="16" l="1"/>
  <c r="B18" i="16" s="1"/>
  <c r="B18" i="17"/>
  <c r="B19" i="17" s="1"/>
  <c r="B20" i="17" s="1"/>
  <c r="B19" i="16" l="1"/>
  <c r="B20" i="16" s="1"/>
  <c r="B21" i="17"/>
  <c r="B22" i="17" s="1"/>
  <c r="B21" i="16" l="1"/>
  <c r="B22" i="16" s="1"/>
  <c r="B23" i="16" s="1"/>
  <c r="B24" i="16" s="1"/>
  <c r="B23" i="17"/>
  <c r="B26" i="16" l="1"/>
  <c r="B24" i="17"/>
  <c r="B25" i="17" s="1"/>
  <c r="B27" i="17" l="1"/>
  <c r="Q240" i="5" l="1"/>
  <c r="P240" i="5" s="1"/>
  <c r="F80" i="10"/>
  <c r="F77" i="10"/>
  <c r="F74" i="10"/>
  <c r="F71" i="10"/>
  <c r="S110" i="5"/>
  <c r="D65" i="10"/>
  <c r="D59" i="10"/>
  <c r="D52" i="10"/>
  <c r="H114" i="5" l="1"/>
  <c r="Q201" i="5"/>
  <c r="P201" i="5" s="1"/>
  <c r="Q167" i="5"/>
  <c r="Q227" i="5"/>
  <c r="Q149" i="5"/>
  <c r="S149" i="5" s="1"/>
  <c r="Q116" i="5"/>
  <c r="H164" i="5"/>
  <c r="K164" i="5" s="1"/>
  <c r="Q150" i="5"/>
  <c r="H180" i="5"/>
  <c r="K180" i="5" s="1"/>
  <c r="Q168" i="5"/>
  <c r="Q141" i="5"/>
  <c r="Q143" i="5"/>
  <c r="Q137" i="5"/>
  <c r="H245" i="5"/>
  <c r="K245" i="5" s="1"/>
  <c r="Q228" i="5"/>
  <c r="P228" i="5" s="1"/>
  <c r="Q109" i="5"/>
  <c r="Q138" i="5"/>
  <c r="H146" i="5"/>
  <c r="K146" i="5" s="1"/>
  <c r="Q210" i="5"/>
  <c r="S210" i="5" s="1"/>
  <c r="Q211" i="5"/>
  <c r="H223" i="5"/>
  <c r="K223" i="5" s="1"/>
  <c r="F63" i="10"/>
  <c r="F64" i="10"/>
  <c r="F68" i="10"/>
  <c r="H121" i="5"/>
  <c r="K121" i="5" s="1"/>
  <c r="P110" i="5"/>
  <c r="H80" i="10"/>
  <c r="H77" i="10"/>
  <c r="J77" i="10" s="1"/>
  <c r="H74" i="10"/>
  <c r="J74" i="10" s="1"/>
  <c r="H71" i="10"/>
  <c r="J71" i="10" s="1"/>
  <c r="H68" i="10"/>
  <c r="H65" i="10"/>
  <c r="H59" i="10"/>
  <c r="H52" i="10"/>
  <c r="H46" i="10"/>
  <c r="H43" i="10"/>
  <c r="H82" i="10" l="1"/>
  <c r="J64" i="10"/>
  <c r="P227" i="5"/>
  <c r="P211" i="5"/>
  <c r="S211" i="5"/>
  <c r="P210" i="5"/>
  <c r="P167" i="5"/>
  <c r="S167" i="5"/>
  <c r="P168" i="5"/>
  <c r="S168" i="5"/>
  <c r="P150" i="5"/>
  <c r="S150" i="5"/>
  <c r="P149" i="5"/>
  <c r="P116" i="5"/>
  <c r="S116" i="5"/>
  <c r="P143" i="5"/>
  <c r="S143" i="5"/>
  <c r="P137" i="5"/>
  <c r="S137" i="5"/>
  <c r="P141" i="5"/>
  <c r="S141" i="5"/>
  <c r="S138" i="5"/>
  <c r="P138" i="5"/>
  <c r="P109" i="5"/>
  <c r="S109" i="5"/>
  <c r="J68" i="10"/>
  <c r="H50" i="10"/>
  <c r="H51" i="10"/>
  <c r="J80" i="10"/>
  <c r="F65" i="10"/>
  <c r="J65" i="10" s="1"/>
  <c r="H25" i="10"/>
  <c r="N126" i="4"/>
  <c r="J63" i="10" l="1"/>
  <c r="M118" i="4"/>
  <c r="K75" i="4" l="1"/>
  <c r="B108" i="4"/>
  <c r="B62" i="4"/>
  <c r="B63" i="4" s="1"/>
  <c r="K125" i="4"/>
  <c r="P125" i="4" s="1"/>
  <c r="K121" i="4"/>
  <c r="Q125" i="4"/>
  <c r="Q121" i="4"/>
  <c r="P121" i="4" l="1"/>
  <c r="M121" i="4"/>
  <c r="B109" i="4"/>
  <c r="B110" i="4" s="1"/>
  <c r="B111" i="4" s="1"/>
  <c r="G125" i="4"/>
  <c r="G121" i="4"/>
  <c r="B64" i="4"/>
  <c r="B65" i="4" s="1"/>
  <c r="B112" i="4" l="1"/>
  <c r="B66" i="4"/>
  <c r="B113" i="4" l="1"/>
  <c r="B67" i="4"/>
  <c r="B68" i="4" s="1"/>
  <c r="B114" i="4" l="1"/>
  <c r="B115" i="4" s="1"/>
  <c r="B69" i="4"/>
  <c r="B70" i="4" s="1"/>
  <c r="B116" i="4" l="1"/>
  <c r="B117" i="4" s="1"/>
  <c r="B71" i="4"/>
  <c r="B72" i="4" s="1"/>
  <c r="B118" i="4" l="1"/>
  <c r="B121" i="4" s="1"/>
  <c r="B122" i="4" s="1"/>
  <c r="B123" i="4" s="1"/>
  <c r="B124" i="4" s="1"/>
  <c r="B125" i="4" s="1"/>
  <c r="B126" i="4" l="1"/>
  <c r="B128" i="4" l="1"/>
  <c r="B130" i="4" s="1"/>
  <c r="G107" i="4" l="1"/>
  <c r="I118" i="4" l="1"/>
  <c r="F118" i="4"/>
  <c r="F72" i="4"/>
  <c r="F58" i="10"/>
  <c r="J58" i="10" s="1"/>
  <c r="F57" i="10"/>
  <c r="J57" i="10" s="1"/>
  <c r="F56" i="10"/>
  <c r="F51" i="10"/>
  <c r="J51" i="10" s="1"/>
  <c r="F50" i="10"/>
  <c r="H54" i="5"/>
  <c r="F46" i="10"/>
  <c r="J46" i="10" s="1"/>
  <c r="H35" i="5"/>
  <c r="H44" i="5" s="1"/>
  <c r="F43" i="10"/>
  <c r="J43" i="10" s="1"/>
  <c r="B16" i="5"/>
  <c r="J247" i="5" l="1"/>
  <c r="H93" i="5"/>
  <c r="H104" i="5" s="1"/>
  <c r="F52" i="10"/>
  <c r="J52" i="10" s="1"/>
  <c r="J50" i="10"/>
  <c r="J56" i="10"/>
  <c r="F59" i="10"/>
  <c r="J59" i="10" s="1"/>
  <c r="Q101" i="5"/>
  <c r="P101" i="5" s="1"/>
  <c r="Q89" i="5"/>
  <c r="P89" i="5" s="1"/>
  <c r="Q90" i="5"/>
  <c r="P90" i="5" s="1"/>
  <c r="G118" i="4"/>
  <c r="H52" i="5"/>
  <c r="H40" i="5"/>
  <c r="Q32" i="5"/>
  <c r="P32" i="5" s="1"/>
  <c r="K44" i="5"/>
  <c r="Q16" i="5"/>
  <c r="P16" i="5" s="1"/>
  <c r="B17" i="5"/>
  <c r="H19" i="5"/>
  <c r="H28" i="5" s="1"/>
  <c r="K28" i="5" s="1"/>
  <c r="S32" i="5" l="1"/>
  <c r="S16" i="5"/>
  <c r="B19" i="5"/>
  <c r="Q47" i="5" l="1"/>
  <c r="Q80" i="5"/>
  <c r="S47" i="5" l="1"/>
  <c r="S80" i="5"/>
  <c r="P80" i="5"/>
  <c r="P47" i="5"/>
  <c r="B16" i="4" l="1"/>
  <c r="B17" i="4" l="1"/>
  <c r="B18" i="4" l="1"/>
  <c r="B19" i="4" l="1"/>
  <c r="B20" i="4" l="1"/>
  <c r="B21" i="4" l="1"/>
  <c r="B22" i="4" l="1"/>
  <c r="B23" i="4" l="1"/>
  <c r="B24" i="4" s="1"/>
  <c r="B25" i="4" s="1"/>
  <c r="B26" i="4" s="1"/>
  <c r="B29" i="4" l="1"/>
  <c r="B30" i="4" s="1"/>
  <c r="B31" i="4" s="1"/>
  <c r="B32" i="4" s="1"/>
  <c r="B33" i="4" l="1"/>
  <c r="H87" i="5"/>
  <c r="H63" i="5" l="1"/>
  <c r="H106" i="5"/>
  <c r="B34" i="4" l="1"/>
  <c r="B36" i="4" s="1"/>
  <c r="H59" i="5"/>
  <c r="B38" i="4" l="1"/>
  <c r="B75" i="4" s="1"/>
  <c r="K63" i="5"/>
  <c r="B76" i="4" l="1"/>
  <c r="B77" i="4" s="1"/>
  <c r="B78" i="4" s="1"/>
  <c r="K106" i="5"/>
  <c r="B79" i="4" l="1"/>
  <c r="H24" i="5"/>
  <c r="B80" i="4" l="1"/>
  <c r="B82" i="4" s="1"/>
  <c r="B84" i="4" s="1"/>
  <c r="F26" i="4"/>
  <c r="Q15" i="5" l="1"/>
  <c r="Q31" i="5"/>
  <c r="S31" i="5" l="1"/>
  <c r="P31" i="5"/>
  <c r="S15" i="5" l="1"/>
  <c r="P15" i="5"/>
  <c r="Q81" i="5" l="1"/>
  <c r="Q48" i="5"/>
  <c r="P81" i="5" l="1"/>
  <c r="S48" i="5"/>
  <c r="P48" i="5" l="1"/>
  <c r="B22" i="5" l="1"/>
  <c r="B23" i="5" l="1"/>
  <c r="B24" i="5" l="1"/>
  <c r="B26" i="5" l="1"/>
  <c r="B28" i="5" s="1"/>
  <c r="B31" i="5" l="1"/>
  <c r="B32" i="5" l="1"/>
  <c r="B33" i="5" s="1"/>
  <c r="B35" i="5" s="1"/>
  <c r="B38" i="5" s="1"/>
  <c r="B39" i="5" s="1"/>
  <c r="B40" i="5" s="1"/>
  <c r="B42" i="5" l="1"/>
  <c r="B44" i="5" s="1"/>
  <c r="B47" i="5" s="1"/>
  <c r="B48" i="5" s="1"/>
  <c r="B50" i="5" s="1"/>
  <c r="B51" i="5" s="1"/>
  <c r="B52" i="5" s="1"/>
  <c r="B54" i="5" s="1"/>
  <c r="B57" i="5" s="1"/>
  <c r="B58" i="5" s="1"/>
  <c r="B59" i="5" s="1"/>
  <c r="B61" i="5" s="1"/>
  <c r="B63" i="5" s="1"/>
  <c r="B80" i="5" s="1"/>
  <c r="B81" i="5" s="1"/>
  <c r="B82" i="5" s="1"/>
  <c r="B84" i="5" s="1"/>
  <c r="B85" i="5" s="1"/>
  <c r="B86" i="5" s="1"/>
  <c r="B87" i="5" s="1"/>
  <c r="B89" i="5" s="1"/>
  <c r="B90" i="5" s="1"/>
  <c r="B91" i="5" l="1"/>
  <c r="B93" i="5" s="1"/>
  <c r="B96" i="5" s="1"/>
  <c r="B98" i="5" s="1"/>
  <c r="B99" i="5" s="1"/>
  <c r="B100" i="5" s="1"/>
  <c r="B101" i="5" s="1"/>
  <c r="B102" i="5" s="1"/>
  <c r="B104" i="5" s="1"/>
  <c r="B106" i="5" s="1"/>
  <c r="B109" i="5" s="1"/>
  <c r="B110" i="5" s="1"/>
  <c r="B112" i="5" s="1"/>
  <c r="B113" i="5" s="1"/>
  <c r="B114" i="5" s="1"/>
  <c r="B116" i="5" s="1"/>
  <c r="B117" i="5" s="1"/>
  <c r="B118" i="5" l="1"/>
  <c r="B119" i="5" s="1"/>
  <c r="B121" i="5" l="1"/>
  <c r="B137" i="5" s="1"/>
  <c r="B138" i="5" s="1"/>
  <c r="B139" i="5" s="1"/>
  <c r="B140" i="5" s="1"/>
  <c r="B141" i="5" s="1"/>
  <c r="B142" i="5" s="1"/>
  <c r="B143" i="5" s="1"/>
  <c r="B144" i="5" s="1"/>
  <c r="B146" i="5" s="1"/>
  <c r="B149" i="5" s="1"/>
  <c r="B150" i="5" s="1"/>
  <c r="B151" i="5" s="1"/>
  <c r="B152" i="5" s="1"/>
  <c r="B153" i="5" s="1"/>
  <c r="I72" i="4"/>
  <c r="B158" i="5" l="1"/>
  <c r="B155" i="5"/>
  <c r="G72" i="4"/>
  <c r="I26" i="4"/>
  <c r="G26" i="4"/>
  <c r="B159" i="5" l="1"/>
  <c r="B160" i="5" l="1"/>
  <c r="B162" i="5" s="1"/>
  <c r="B164" i="5" s="1"/>
  <c r="B167" i="5" s="1"/>
  <c r="B168" i="5" s="1"/>
  <c r="B169" i="5" s="1"/>
  <c r="H196" i="14"/>
  <c r="B174" i="5" l="1"/>
  <c r="B171" i="5"/>
  <c r="B175" i="5" l="1"/>
  <c r="H203" i="14"/>
  <c r="J203" i="14" s="1"/>
  <c r="B176" i="5" l="1"/>
  <c r="B178" i="5" s="1"/>
  <c r="B180" i="5" s="1"/>
  <c r="B196" i="5" s="1"/>
  <c r="B198" i="5" s="1"/>
  <c r="B199" i="5" s="1"/>
  <c r="B200" i="5" s="1"/>
  <c r="B201" i="5" s="1"/>
  <c r="B202" i="5" s="1"/>
  <c r="B204" i="5" s="1"/>
  <c r="B205" i="5" s="1"/>
  <c r="B207" i="5" s="1"/>
  <c r="P82" i="5"/>
  <c r="P144" i="5" l="1"/>
  <c r="Q217" i="5" l="1"/>
  <c r="O217" i="5" s="1"/>
  <c r="Q174" i="5"/>
  <c r="Q158" i="5"/>
  <c r="O158" i="5" s="1"/>
  <c r="O160" i="5" s="1"/>
  <c r="P217" i="5" l="1"/>
  <c r="O174" i="5"/>
  <c r="P158" i="5"/>
  <c r="P160" i="5" s="1"/>
  <c r="Q160" i="5"/>
  <c r="Q57" i="5"/>
  <c r="O57" i="5" s="1"/>
  <c r="Q218" i="5"/>
  <c r="Q175" i="5"/>
  <c r="O218" i="5" l="1"/>
  <c r="O219" i="5" s="1"/>
  <c r="Q219" i="5"/>
  <c r="Q176" i="5"/>
  <c r="O175" i="5"/>
  <c r="O176" i="5" s="1"/>
  <c r="P174" i="5"/>
  <c r="S160" i="5"/>
  <c r="R160" i="5"/>
  <c r="Q58" i="5"/>
  <c r="O58" i="5" s="1"/>
  <c r="R176" i="5" l="1"/>
  <c r="P175" i="5"/>
  <c r="P176" i="5" s="1"/>
  <c r="P218" i="5"/>
  <c r="P219" i="5" s="1"/>
  <c r="S219" i="5"/>
  <c r="R219" i="5"/>
  <c r="S176" i="5"/>
  <c r="Q59" i="5"/>
  <c r="R59" i="5" s="1"/>
  <c r="P58" i="5" l="1"/>
  <c r="O59" i="5" l="1"/>
  <c r="P57" i="5"/>
  <c r="P59" i="5" s="1"/>
  <c r="S59" i="5" l="1"/>
  <c r="Q22" i="5" l="1"/>
  <c r="O22" i="5" s="1"/>
  <c r="Q23" i="5" l="1"/>
  <c r="Q24" i="5" l="1"/>
  <c r="R24" i="5" s="1"/>
  <c r="O23" i="5"/>
  <c r="P23" i="5" s="1"/>
  <c r="O24" i="5" l="1"/>
  <c r="S24" i="5" s="1"/>
  <c r="P22" i="5"/>
  <c r="P24" i="5" s="1"/>
  <c r="Q38" i="5" l="1"/>
  <c r="O38" i="5" s="1"/>
  <c r="Q39" i="5" l="1"/>
  <c r="O39" i="5" s="1"/>
  <c r="Q40" i="5" l="1"/>
  <c r="R40" i="5" s="1"/>
  <c r="P39" i="5" l="1"/>
  <c r="O40" i="5" l="1"/>
  <c r="S40" i="5" s="1"/>
  <c r="P38" i="5"/>
  <c r="P40" i="5" s="1"/>
  <c r="N118" i="4" l="1"/>
  <c r="N130" i="4" s="1"/>
  <c r="H215" i="14" l="1"/>
  <c r="J215" i="14" l="1"/>
  <c r="H217" i="14" l="1"/>
  <c r="J217" i="14" s="1"/>
  <c r="H208" i="14" l="1"/>
  <c r="H210" i="14" s="1"/>
  <c r="J210" i="14" s="1"/>
  <c r="Q112" i="4" l="1"/>
  <c r="P112" i="4"/>
  <c r="Q117" i="4"/>
  <c r="P117" i="4"/>
  <c r="Q111" i="4"/>
  <c r="P111" i="4"/>
  <c r="P115" i="4"/>
  <c r="Q115" i="4"/>
  <c r="P113" i="4" l="1"/>
  <c r="Q113" i="4"/>
  <c r="Q116" i="4"/>
  <c r="P116" i="4"/>
  <c r="P110" i="4"/>
  <c r="Q110" i="4"/>
  <c r="P109" i="4"/>
  <c r="Q109" i="4"/>
  <c r="Q114" i="4" l="1"/>
  <c r="P114" i="4"/>
  <c r="K118" i="4"/>
  <c r="P108" i="4"/>
  <c r="Q108" i="4"/>
  <c r="Q107" i="4" l="1"/>
  <c r="P107" i="4"/>
  <c r="O118" i="4"/>
  <c r="P118" i="4" l="1"/>
  <c r="Q118" i="4"/>
  <c r="B210" i="5" l="1"/>
  <c r="B211" i="5" l="1"/>
  <c r="B212" i="5" l="1"/>
  <c r="B214" i="5" s="1"/>
  <c r="B217" i="5" l="1"/>
  <c r="B218" i="5" l="1"/>
  <c r="B219" i="5" s="1"/>
  <c r="B221" i="5" s="1"/>
  <c r="B223" i="5" l="1"/>
  <c r="B227" i="5" l="1"/>
  <c r="B228" i="5" s="1"/>
  <c r="B229" i="5" s="1"/>
  <c r="B230" i="5" l="1"/>
  <c r="B232" i="5" l="1"/>
  <c r="B235" i="5" s="1"/>
  <c r="B237" i="5" s="1"/>
  <c r="B238" i="5" s="1"/>
  <c r="B239" i="5" s="1"/>
  <c r="B240" i="5" s="1"/>
  <c r="B241" i="5" s="1"/>
  <c r="B243" i="5" l="1"/>
  <c r="B245" i="5" s="1"/>
  <c r="B247" i="5" s="1"/>
  <c r="B170" i="14" l="1"/>
  <c r="B171" i="14" s="1"/>
  <c r="B172" i="14" s="1"/>
  <c r="B175" i="14" s="1"/>
  <c r="B176" i="14" s="1"/>
  <c r="B177" i="14" s="1"/>
  <c r="B194" i="14" s="1"/>
  <c r="B195" i="14" s="1"/>
  <c r="B196" i="14" s="1"/>
  <c r="B201" i="14" s="1"/>
  <c r="B202" i="14" s="1"/>
  <c r="B203" i="14" s="1"/>
  <c r="B206" i="14" s="1"/>
  <c r="B207" i="14" s="1"/>
  <c r="B208" i="14" s="1"/>
  <c r="B209" i="14" s="1"/>
  <c r="B210" i="14" s="1"/>
  <c r="B213" i="14" s="1"/>
  <c r="B214" i="14" s="1"/>
  <c r="B215" i="14" s="1"/>
  <c r="B217" i="14" s="1"/>
  <c r="B220" i="14" s="1"/>
  <c r="B221" i="14" s="1"/>
  <c r="B222" i="14" s="1"/>
  <c r="B223" i="14" s="1"/>
  <c r="B224" i="14" s="1"/>
  <c r="O241" i="5" l="1"/>
  <c r="O243" i="5" s="1"/>
  <c r="O102" i="5"/>
  <c r="P102" i="5" s="1"/>
  <c r="O202" i="5"/>
  <c r="S202" i="5" s="1"/>
  <c r="P241" i="5" l="1"/>
  <c r="S241" i="5"/>
  <c r="S102" i="5"/>
  <c r="O104" i="5"/>
  <c r="P202" i="5"/>
  <c r="O139" i="5" l="1"/>
  <c r="S139" i="5" l="1"/>
  <c r="Q96" i="5" l="1"/>
  <c r="Q98" i="5"/>
  <c r="P98" i="5" s="1"/>
  <c r="Q99" i="5"/>
  <c r="P99" i="5" s="1"/>
  <c r="Q196" i="5"/>
  <c r="Q237" i="5"/>
  <c r="P237" i="5" s="1"/>
  <c r="P196" i="5" l="1"/>
  <c r="P96" i="5"/>
  <c r="Q235" i="5"/>
  <c r="P235" i="5" s="1"/>
  <c r="Q205" i="5"/>
  <c r="Q198" i="5"/>
  <c r="P198" i="5" s="1"/>
  <c r="Q204" i="5"/>
  <c r="P204" i="5" s="1"/>
  <c r="Q238" i="5"/>
  <c r="P238" i="5" s="1"/>
  <c r="Q100" i="5"/>
  <c r="Q199" i="5"/>
  <c r="P199" i="5" s="1"/>
  <c r="P100" i="5" l="1"/>
  <c r="Q104" i="5"/>
  <c r="P104" i="5"/>
  <c r="O205" i="5"/>
  <c r="O207" i="5" s="1"/>
  <c r="Q200" i="5"/>
  <c r="P200" i="5" s="1"/>
  <c r="Q239" i="5"/>
  <c r="P205" i="5" l="1"/>
  <c r="P207" i="5"/>
  <c r="M207" i="5"/>
  <c r="Q207" i="5"/>
  <c r="Q243" i="5"/>
  <c r="P239" i="5"/>
  <c r="P243" i="5" s="1"/>
  <c r="S104" i="5"/>
  <c r="R104" i="5"/>
  <c r="H165" i="14"/>
  <c r="S243" i="5" l="1"/>
  <c r="R243" i="5"/>
  <c r="R207" i="5"/>
  <c r="T207" i="5" s="1"/>
  <c r="S207" i="5"/>
  <c r="E16" i="13" l="1"/>
  <c r="M16" i="13" l="1"/>
  <c r="G20" i="13" l="1"/>
  <c r="I21" i="13" l="1"/>
  <c r="I15" i="13"/>
  <c r="I28" i="13"/>
  <c r="M28" i="13"/>
  <c r="Q28" i="13" s="1"/>
  <c r="S28" i="13" s="1"/>
  <c r="G22" i="13"/>
  <c r="O22" i="13" s="1"/>
  <c r="O20" i="13"/>
  <c r="I18" i="13"/>
  <c r="G16" i="13" l="1"/>
  <c r="I14" i="13"/>
  <c r="I16" i="13" s="1"/>
  <c r="I19" i="13"/>
  <c r="I20" i="13" s="1"/>
  <c r="I22" i="13" s="1"/>
  <c r="E20" i="13"/>
  <c r="I24" i="13" l="1"/>
  <c r="M20" i="13"/>
  <c r="Q20" i="13" s="1"/>
  <c r="E22" i="13"/>
  <c r="O16" i="13"/>
  <c r="Q16" i="13" s="1"/>
  <c r="G24" i="13"/>
  <c r="O24" i="13" s="1"/>
  <c r="M22" i="13" l="1"/>
  <c r="Q22" i="13" s="1"/>
  <c r="E24" i="13"/>
  <c r="M24" i="13" s="1"/>
  <c r="Q24" i="13" s="1"/>
  <c r="K82" i="4" l="1"/>
  <c r="K79" i="4" l="1"/>
  <c r="G79" i="4" l="1"/>
  <c r="G33" i="4" l="1"/>
  <c r="Q79" i="4" l="1"/>
  <c r="P79" i="4"/>
  <c r="P33" i="4"/>
  <c r="Q33" i="4"/>
  <c r="G82" i="4" l="1"/>
  <c r="G36" i="4"/>
  <c r="K77" i="4" l="1"/>
  <c r="K78" i="4" l="1"/>
  <c r="J22" i="17" l="1"/>
  <c r="J24" i="17"/>
  <c r="J19" i="17"/>
  <c r="J17" i="17"/>
  <c r="J21" i="17"/>
  <c r="J15" i="17"/>
  <c r="J25" i="17"/>
  <c r="J16" i="17"/>
  <c r="J18" i="17"/>
  <c r="J20" i="17"/>
  <c r="L27" i="17"/>
  <c r="J23" i="17"/>
  <c r="K71" i="4" l="1"/>
  <c r="Q26" i="5"/>
  <c r="O146" i="5"/>
  <c r="M146" i="5" s="1"/>
  <c r="N27" i="17"/>
  <c r="L16" i="17"/>
  <c r="N16" i="17" s="1"/>
  <c r="L23" i="17"/>
  <c r="N23" i="17" s="1"/>
  <c r="L20" i="17"/>
  <c r="N20" i="17" s="1"/>
  <c r="L24" i="17"/>
  <c r="N24" i="17" s="1"/>
  <c r="L19" i="17"/>
  <c r="N19" i="17" s="1"/>
  <c r="L17" i="17"/>
  <c r="N17" i="17" s="1"/>
  <c r="L21" i="17"/>
  <c r="N21" i="17" s="1"/>
  <c r="L15" i="17"/>
  <c r="N15" i="17" s="1"/>
  <c r="L18" i="17"/>
  <c r="N18" i="17" s="1"/>
  <c r="L25" i="17"/>
  <c r="N25" i="17" s="1"/>
  <c r="L22" i="17"/>
  <c r="N22" i="17" s="1"/>
  <c r="Q178" i="5"/>
  <c r="Q42" i="5"/>
  <c r="Q221" i="5"/>
  <c r="K69" i="4"/>
  <c r="Q162" i="5"/>
  <c r="Q61" i="5"/>
  <c r="O162" i="5" l="1"/>
  <c r="S162" i="5" s="1"/>
  <c r="P162" i="5"/>
  <c r="K63" i="4"/>
  <c r="O26" i="5"/>
  <c r="S26" i="5" s="1"/>
  <c r="O42" i="5"/>
  <c r="S42" i="5" s="1"/>
  <c r="O61" i="5"/>
  <c r="P61" i="5" s="1"/>
  <c r="K66" i="4"/>
  <c r="O178" i="5"/>
  <c r="P178" i="5" s="1"/>
  <c r="K65" i="4"/>
  <c r="K61" i="4"/>
  <c r="O35" i="5"/>
  <c r="K70" i="4"/>
  <c r="O232" i="5"/>
  <c r="O221" i="5"/>
  <c r="O171" i="5"/>
  <c r="S178" i="5" l="1"/>
  <c r="P42" i="5"/>
  <c r="S61" i="5"/>
  <c r="H221" i="14"/>
  <c r="K67" i="4"/>
  <c r="K64" i="4"/>
  <c r="O245" i="5"/>
  <c r="P26" i="5"/>
  <c r="O44" i="5"/>
  <c r="M44" i="5" s="1"/>
  <c r="O19" i="5"/>
  <c r="K68" i="4"/>
  <c r="K62" i="4"/>
  <c r="O214" i="5"/>
  <c r="S221" i="5"/>
  <c r="O180" i="5"/>
  <c r="M180" i="5" s="1"/>
  <c r="P221" i="5"/>
  <c r="O155" i="5"/>
  <c r="I80" i="4" l="1"/>
  <c r="I84" i="4" s="1"/>
  <c r="K76" i="4"/>
  <c r="K80" i="4" s="1"/>
  <c r="K72" i="4"/>
  <c r="K84" i="4" s="1"/>
  <c r="O223" i="5"/>
  <c r="M245" i="5"/>
  <c r="O164" i="5"/>
  <c r="M164" i="5" s="1"/>
  <c r="O28" i="5"/>
  <c r="M28" i="5" s="1"/>
  <c r="M223" i="5" l="1"/>
  <c r="P75" i="4" l="1"/>
  <c r="P29" i="4"/>
  <c r="P82" i="4" l="1"/>
  <c r="Q82" i="4"/>
  <c r="Q36" i="4"/>
  <c r="P36" i="4"/>
  <c r="P78" i="4" l="1"/>
  <c r="P77" i="4" l="1"/>
  <c r="K124" i="4" l="1"/>
  <c r="K123" i="4" l="1"/>
  <c r="H224" i="14" l="1"/>
  <c r="J224" i="14" s="1"/>
  <c r="M123" i="4" l="1"/>
  <c r="M124" i="4" l="1"/>
  <c r="P31" i="4"/>
  <c r="P123" i="4"/>
  <c r="P32" i="4" l="1"/>
  <c r="P124" i="4"/>
  <c r="O126" i="4" l="1"/>
  <c r="O130" i="4" s="1"/>
  <c r="I34" i="4" l="1"/>
  <c r="I38" i="4" s="1"/>
  <c r="I126" i="4" l="1"/>
  <c r="K122" i="4"/>
  <c r="M122" i="4" s="1"/>
  <c r="M126" i="4" s="1"/>
  <c r="I130" i="4" l="1"/>
  <c r="M130" i="4"/>
  <c r="M19" i="4"/>
  <c r="M23" i="4"/>
  <c r="O71" i="4"/>
  <c r="M25" i="4"/>
  <c r="O25" i="4" s="1"/>
  <c r="M22" i="4"/>
  <c r="O22" i="4" s="1"/>
  <c r="O68" i="4"/>
  <c r="M20" i="4"/>
  <c r="M16" i="4"/>
  <c r="O16" i="4" s="1"/>
  <c r="O62" i="4"/>
  <c r="K126" i="4"/>
  <c r="K130" i="4" s="1"/>
  <c r="P122" i="4"/>
  <c r="P22" i="4" l="1"/>
  <c r="Q22" i="4"/>
  <c r="M24" i="4"/>
  <c r="O24" i="4" s="1"/>
  <c r="O70" i="4"/>
  <c r="M15" i="4"/>
  <c r="M72" i="4"/>
  <c r="O61" i="4"/>
  <c r="M21" i="4"/>
  <c r="O21" i="4" s="1"/>
  <c r="O67" i="4"/>
  <c r="M17" i="4"/>
  <c r="O17" i="4" s="1"/>
  <c r="O63" i="4"/>
  <c r="P62" i="4"/>
  <c r="Q62" i="4"/>
  <c r="Q25" i="4"/>
  <c r="P25" i="4"/>
  <c r="P68" i="4"/>
  <c r="Q68" i="4"/>
  <c r="M18" i="4"/>
  <c r="O18" i="4" s="1"/>
  <c r="O64" i="4"/>
  <c r="P16" i="4"/>
  <c r="Q16" i="4"/>
  <c r="P71" i="4"/>
  <c r="Q71" i="4"/>
  <c r="P126" i="4"/>
  <c r="P18" i="4" l="1"/>
  <c r="Q18" i="4"/>
  <c r="P70" i="4"/>
  <c r="Q70" i="4"/>
  <c r="P61" i="4"/>
  <c r="Q61" i="4"/>
  <c r="P24" i="4"/>
  <c r="Q24" i="4"/>
  <c r="Q64" i="4"/>
  <c r="P64" i="4"/>
  <c r="Q63" i="4"/>
  <c r="P63" i="4"/>
  <c r="M26" i="4"/>
  <c r="O15" i="4"/>
  <c r="P17" i="4"/>
  <c r="Q17" i="4"/>
  <c r="O69" i="4"/>
  <c r="N23" i="4"/>
  <c r="O23" i="4" s="1"/>
  <c r="N20" i="4"/>
  <c r="O20" i="4" s="1"/>
  <c r="O66" i="4"/>
  <c r="P67" i="4"/>
  <c r="Q67" i="4"/>
  <c r="N19" i="4"/>
  <c r="N72" i="4"/>
  <c r="N84" i="4" s="1"/>
  <c r="O65" i="4"/>
  <c r="P21" i="4"/>
  <c r="Q21" i="4"/>
  <c r="P130" i="4"/>
  <c r="Q65" i="4" l="1"/>
  <c r="P65" i="4"/>
  <c r="O72" i="4"/>
  <c r="N26" i="4"/>
  <c r="O19" i="4"/>
  <c r="O26" i="4" s="1"/>
  <c r="P66" i="4"/>
  <c r="Q66" i="4"/>
  <c r="Q23" i="4"/>
  <c r="P23" i="4"/>
  <c r="P15" i="4"/>
  <c r="Q15" i="4"/>
  <c r="Q20" i="4"/>
  <c r="P20" i="4"/>
  <c r="Q69" i="4"/>
  <c r="P69" i="4"/>
  <c r="Q33" i="5"/>
  <c r="P26" i="4" l="1"/>
  <c r="Q26" i="4"/>
  <c r="Q169" i="5"/>
  <c r="Q230" i="5"/>
  <c r="Q19" i="4"/>
  <c r="P19" i="4"/>
  <c r="Q212" i="5"/>
  <c r="Q17" i="5"/>
  <c r="Q72" i="4"/>
  <c r="P72" i="4"/>
  <c r="Q152" i="5"/>
  <c r="Q35" i="5"/>
  <c r="P33" i="5"/>
  <c r="P35" i="5" s="1"/>
  <c r="P44" i="5" s="1"/>
  <c r="S33" i="5"/>
  <c r="H150" i="14" l="1"/>
  <c r="H160" i="14"/>
  <c r="S17" i="5"/>
  <c r="P17" i="5"/>
  <c r="P19" i="5" s="1"/>
  <c r="P28" i="5" s="1"/>
  <c r="Q19" i="5"/>
  <c r="S212" i="5"/>
  <c r="P212" i="5"/>
  <c r="P214" i="5" s="1"/>
  <c r="P223" i="5" s="1"/>
  <c r="Q214" i="5"/>
  <c r="Q232" i="5"/>
  <c r="P230" i="5"/>
  <c r="P232" i="5" s="1"/>
  <c r="P245" i="5" s="1"/>
  <c r="Q44" i="5"/>
  <c r="S35" i="5"/>
  <c r="R35" i="5"/>
  <c r="S152" i="5"/>
  <c r="P152" i="5"/>
  <c r="Q153" i="5"/>
  <c r="P153" i="5" s="1"/>
  <c r="P169" i="5"/>
  <c r="P171" i="5" s="1"/>
  <c r="P180" i="5" s="1"/>
  <c r="S169" i="5"/>
  <c r="Q171" i="5"/>
  <c r="Q140" i="5"/>
  <c r="H172" i="14" l="1"/>
  <c r="J172" i="14" s="1"/>
  <c r="R44" i="5"/>
  <c r="T44" i="5" s="1"/>
  <c r="S44" i="5"/>
  <c r="R214" i="5"/>
  <c r="Q223" i="5"/>
  <c r="S214" i="5"/>
  <c r="R171" i="5"/>
  <c r="S171" i="5"/>
  <c r="Q180" i="5"/>
  <c r="H155" i="14"/>
  <c r="S19" i="5"/>
  <c r="R19" i="5"/>
  <c r="Q28" i="5"/>
  <c r="S28" i="5" s="1"/>
  <c r="P140" i="5"/>
  <c r="P146" i="5" s="1"/>
  <c r="S140" i="5"/>
  <c r="Q146" i="5"/>
  <c r="Q245" i="5"/>
  <c r="R232" i="5"/>
  <c r="S232" i="5"/>
  <c r="O87" i="5"/>
  <c r="O52" i="5" l="1"/>
  <c r="O54" i="5" s="1"/>
  <c r="O114" i="5"/>
  <c r="O121" i="5" s="1"/>
  <c r="O93" i="5"/>
  <c r="H118" i="14"/>
  <c r="R146" i="5"/>
  <c r="T146" i="5" s="1"/>
  <c r="S146" i="5"/>
  <c r="R245" i="5"/>
  <c r="T245" i="5" s="1"/>
  <c r="S245" i="5"/>
  <c r="S180" i="5"/>
  <c r="R180" i="5"/>
  <c r="T180" i="5" s="1"/>
  <c r="O63" i="5"/>
  <c r="R223" i="5"/>
  <c r="T223" i="5" s="1"/>
  <c r="S223" i="5"/>
  <c r="R28" i="5"/>
  <c r="T28" i="5" s="1"/>
  <c r="M121" i="5"/>
  <c r="Q86" i="5" l="1"/>
  <c r="P86" i="5" s="1"/>
  <c r="Q112" i="5"/>
  <c r="M63" i="5"/>
  <c r="Q84" i="5"/>
  <c r="Q113" i="5"/>
  <c r="P113" i="5" s="1"/>
  <c r="Q85" i="5"/>
  <c r="P85" i="5" s="1"/>
  <c r="H121" i="14"/>
  <c r="H123" i="14" s="1"/>
  <c r="O106" i="5"/>
  <c r="Q50" i="5" l="1"/>
  <c r="H88" i="14"/>
  <c r="M106" i="5"/>
  <c r="M247" i="5" s="1"/>
  <c r="O247" i="5"/>
  <c r="Q151" i="5"/>
  <c r="H103" i="14"/>
  <c r="P112" i="5"/>
  <c r="P114" i="5" s="1"/>
  <c r="P121" i="5" s="1"/>
  <c r="Q114" i="5"/>
  <c r="P84" i="5"/>
  <c r="P87" i="5" s="1"/>
  <c r="P93" i="5" s="1"/>
  <c r="P106" i="5" s="1"/>
  <c r="Q87" i="5"/>
  <c r="Q51" i="5"/>
  <c r="P51" i="5" s="1"/>
  <c r="H145" i="14" l="1"/>
  <c r="S87" i="5"/>
  <c r="R87" i="5"/>
  <c r="Q93" i="5"/>
  <c r="H91" i="14"/>
  <c r="H93" i="14" s="1"/>
  <c r="P151" i="5"/>
  <c r="P155" i="5" s="1"/>
  <c r="P164" i="5" s="1"/>
  <c r="S151" i="5"/>
  <c r="Q155" i="5"/>
  <c r="P50" i="5"/>
  <c r="P52" i="5" s="1"/>
  <c r="P54" i="5" s="1"/>
  <c r="P63" i="5" s="1"/>
  <c r="Q52" i="5"/>
  <c r="H106" i="14"/>
  <c r="H108" i="14" s="1"/>
  <c r="Q121" i="5"/>
  <c r="S114" i="5"/>
  <c r="R114" i="5"/>
  <c r="H83" i="14"/>
  <c r="P247" i="5" l="1"/>
  <c r="S93" i="5"/>
  <c r="Q106" i="5"/>
  <c r="R93" i="5"/>
  <c r="S121" i="5"/>
  <c r="R121" i="5"/>
  <c r="T121" i="5" s="1"/>
  <c r="R52" i="5"/>
  <c r="S52" i="5"/>
  <c r="Q54" i="5"/>
  <c r="S155" i="5"/>
  <c r="R155" i="5"/>
  <c r="Q164" i="5"/>
  <c r="R164" i="5" l="1"/>
  <c r="T164" i="5" s="1"/>
  <c r="S164" i="5"/>
  <c r="R54" i="5"/>
  <c r="S54" i="5"/>
  <c r="Q63" i="5"/>
  <c r="S106" i="5"/>
  <c r="R106" i="5"/>
  <c r="T106" i="5" s="1"/>
  <c r="S63" i="5" l="1"/>
  <c r="R63" i="5"/>
  <c r="T63" i="5" s="1"/>
  <c r="Q247" i="5"/>
  <c r="G75" i="4" l="1"/>
  <c r="Q75" i="4"/>
  <c r="G29" i="4"/>
  <c r="Q29" i="4"/>
  <c r="G78" i="4" l="1"/>
  <c r="Q78" i="4"/>
  <c r="Q77" i="4" l="1"/>
  <c r="G77" i="4"/>
  <c r="F126" i="4" l="1"/>
  <c r="Q122" i="4"/>
  <c r="G122" i="4"/>
  <c r="G31" i="4"/>
  <c r="Q31" i="4"/>
  <c r="G123" i="4"/>
  <c r="Q123" i="4"/>
  <c r="F130" i="4" l="1"/>
  <c r="Q126" i="4"/>
  <c r="G32" i="4"/>
  <c r="Q32" i="4"/>
  <c r="G124" i="4"/>
  <c r="G126" i="4" s="1"/>
  <c r="Q124" i="4"/>
  <c r="G130" i="4" l="1"/>
  <c r="Q130" i="4"/>
  <c r="F80" i="4" l="1"/>
  <c r="F84" i="4" s="1"/>
  <c r="G76" i="4"/>
  <c r="G80" i="4" s="1"/>
  <c r="G84" i="4" s="1"/>
  <c r="F34" i="4"/>
  <c r="G30" i="4"/>
  <c r="G34" i="4" s="1"/>
  <c r="G38" i="4" l="1"/>
  <c r="F38" i="4"/>
  <c r="M80" i="4"/>
  <c r="M84" i="4" s="1"/>
  <c r="M34" i="4"/>
  <c r="O34" i="4"/>
  <c r="Q30" i="4"/>
  <c r="P30" i="4"/>
  <c r="O80" i="4"/>
  <c r="Q76" i="4"/>
  <c r="P76" i="4"/>
  <c r="M38" i="4" l="1"/>
  <c r="O84" i="4"/>
  <c r="P80" i="4"/>
  <c r="Q80" i="4"/>
  <c r="Q34" i="4"/>
  <c r="P34" i="4"/>
  <c r="O38" i="4"/>
  <c r="P38" i="4" l="1"/>
  <c r="Q38" i="4"/>
  <c r="P84" i="4"/>
  <c r="Q84" i="4"/>
  <c r="H20" i="16" l="1"/>
  <c r="H19" i="16"/>
  <c r="H15" i="16"/>
  <c r="H16" i="16"/>
  <c r="H18" i="16"/>
  <c r="H21" i="16"/>
  <c r="H23" i="16"/>
  <c r="H17" i="16"/>
  <c r="H14" i="16"/>
  <c r="H22" i="16"/>
  <c r="H24" i="16"/>
  <c r="N34" i="4" l="1"/>
  <c r="N3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<sst xmlns="http://schemas.openxmlformats.org/spreadsheetml/2006/main" count="3091" uniqueCount="897">
  <si>
    <t>Line</t>
  </si>
  <si>
    <t>No.</t>
  </si>
  <si>
    <t>(%)</t>
  </si>
  <si>
    <t>(a)</t>
  </si>
  <si>
    <t>(b)</t>
  </si>
  <si>
    <t>Notes:</t>
  </si>
  <si>
    <t xml:space="preserve">(1) </t>
  </si>
  <si>
    <t xml:space="preserve">(2) </t>
  </si>
  <si>
    <t xml:space="preserve">(3) </t>
  </si>
  <si>
    <t>Particulars</t>
  </si>
  <si>
    <t>Current Approved Revenue (1)</t>
  </si>
  <si>
    <t>Revenue (Deficiency) / Sufficiency</t>
  </si>
  <si>
    <r>
      <t>(cents/m</t>
    </r>
    <r>
      <rPr>
        <vertAlign val="superscript"/>
        <sz val="10"/>
        <rFont val="Arial"/>
        <family val="2"/>
      </rPr>
      <t>3</t>
    </r>
    <r>
      <rPr>
        <sz val="10"/>
        <rFont val="Arial"/>
        <family val="2"/>
      </rPr>
      <t>)</t>
    </r>
  </si>
  <si>
    <t>Ratios</t>
  </si>
  <si>
    <t>Rate Change</t>
  </si>
  <si>
    <t>(g)</t>
  </si>
  <si>
    <t>Ex-franchise</t>
  </si>
  <si>
    <t>Total Ex-franchise</t>
  </si>
  <si>
    <t xml:space="preserve">(4) </t>
  </si>
  <si>
    <t xml:space="preserve">(5) </t>
  </si>
  <si>
    <t>Billing</t>
  </si>
  <si>
    <t>Units</t>
  </si>
  <si>
    <t>Usage (1)</t>
  </si>
  <si>
    <t xml:space="preserve">2024 Forecast </t>
  </si>
  <si>
    <t>bills</t>
  </si>
  <si>
    <t>10³m³</t>
  </si>
  <si>
    <t>Current Approved</t>
  </si>
  <si>
    <t xml:space="preserve">(c) </t>
  </si>
  <si>
    <t>(d) = (b - e)</t>
  </si>
  <si>
    <t>Proposed 2024</t>
  </si>
  <si>
    <t>Revenue</t>
  </si>
  <si>
    <t>Rates (2)</t>
  </si>
  <si>
    <t>(e)</t>
  </si>
  <si>
    <t>Transportation - Western</t>
  </si>
  <si>
    <t>Total Delivery</t>
  </si>
  <si>
    <t>Rates</t>
  </si>
  <si>
    <t xml:space="preserve">(f) </t>
  </si>
  <si>
    <t>(h)</t>
  </si>
  <si>
    <t>(j) = (h - c) / (c)</t>
  </si>
  <si>
    <t>Proposed</t>
  </si>
  <si>
    <t>10³m³/d</t>
  </si>
  <si>
    <t>Monthly Customer Charge</t>
  </si>
  <si>
    <t>Delivery Commodity Charge</t>
  </si>
  <si>
    <t>Gas Supply Transportation Charge</t>
  </si>
  <si>
    <t>Gas Supply Commodity</t>
  </si>
  <si>
    <t>Delivery Contract Demand Charge</t>
  </si>
  <si>
    <t>Detailed Current &amp; Proposed Revenue Calculation by Rate Class</t>
  </si>
  <si>
    <t>Total</t>
  </si>
  <si>
    <t>In-franchise</t>
  </si>
  <si>
    <t>Rate E01</t>
  </si>
  <si>
    <t>Rate E02</t>
  </si>
  <si>
    <t>Rate E10</t>
  </si>
  <si>
    <t>Rate E20</t>
  </si>
  <si>
    <t>Rate E22</t>
  </si>
  <si>
    <t>Rate E24</t>
  </si>
  <si>
    <t>Rate E30</t>
  </si>
  <si>
    <t>Rate E34</t>
  </si>
  <si>
    <t>Rate E38</t>
  </si>
  <si>
    <t>Rate E62</t>
  </si>
  <si>
    <t>Rate E64</t>
  </si>
  <si>
    <t>Total In-franchise</t>
  </si>
  <si>
    <t>Delivery Demand Charge</t>
  </si>
  <si>
    <t>Total Rate E01</t>
  </si>
  <si>
    <t>Total Rate E02</t>
  </si>
  <si>
    <t>Total Rate E10</t>
  </si>
  <si>
    <t>Total Rate E20</t>
  </si>
  <si>
    <r>
      <t>up to 20,000 m</t>
    </r>
    <r>
      <rPr>
        <vertAlign val="superscript"/>
        <sz val="10"/>
        <rFont val="Arial"/>
        <family val="2"/>
      </rPr>
      <t>3</t>
    </r>
  </si>
  <si>
    <r>
      <t>over 20,000 m</t>
    </r>
    <r>
      <rPr>
        <vertAlign val="superscript"/>
        <sz val="10"/>
        <rFont val="Arial"/>
        <family val="2"/>
      </rPr>
      <t>3</t>
    </r>
  </si>
  <si>
    <t>Transportation Commodity</t>
  </si>
  <si>
    <t>Transportation Demand Charge - Firm</t>
  </si>
  <si>
    <r>
      <t>next 120,000 m</t>
    </r>
    <r>
      <rPr>
        <vertAlign val="superscript"/>
        <sz val="10"/>
        <rFont val="Arial"/>
        <family val="2"/>
      </rPr>
      <t>3</t>
    </r>
  </si>
  <si>
    <r>
      <t>up to 30,000 m</t>
    </r>
    <r>
      <rPr>
        <vertAlign val="superscript"/>
        <sz val="10"/>
        <rFont val="Arial"/>
        <family val="2"/>
      </rPr>
      <t>3</t>
    </r>
  </si>
  <si>
    <r>
      <t>over 150,000 m</t>
    </r>
    <r>
      <rPr>
        <vertAlign val="superscript"/>
        <sz val="10"/>
        <rFont val="Arial"/>
        <family val="2"/>
      </rPr>
      <t>3</t>
    </r>
  </si>
  <si>
    <t>Transportation Demand Charge - IT</t>
  </si>
  <si>
    <t>Storage</t>
  </si>
  <si>
    <t>Space Demand</t>
  </si>
  <si>
    <t>Firm Injection/Withdrawal Right</t>
  </si>
  <si>
    <t>Union provides deliverability inventory</t>
  </si>
  <si>
    <t>Customer provides deliverability inventory</t>
  </si>
  <si>
    <t>Firm incremental injection</t>
  </si>
  <si>
    <t>GJ/d/mo.</t>
  </si>
  <si>
    <t>GJ</t>
  </si>
  <si>
    <t>Total Transportation</t>
  </si>
  <si>
    <t>Total Storage</t>
  </si>
  <si>
    <t>Total Revenue</t>
  </si>
  <si>
    <t>Revenue Change</t>
  </si>
  <si>
    <t>(c)</t>
  </si>
  <si>
    <t>Gas Supply Revenue</t>
  </si>
  <si>
    <t>Current</t>
  </si>
  <si>
    <t>Rates (1)</t>
  </si>
  <si>
    <t xml:space="preserve">(a) </t>
  </si>
  <si>
    <t>Delivery Charge - Commodity</t>
  </si>
  <si>
    <t>Gas Supply Commodity Charge</t>
  </si>
  <si>
    <t>Gas Supply Western Transportation Charge</t>
  </si>
  <si>
    <t>Load Balancing - Transportation</t>
  </si>
  <si>
    <t>Transportation Demand</t>
  </si>
  <si>
    <t>Revenue Recovered From All</t>
  </si>
  <si>
    <t>Gas Supply Commodity (Reference Price)</t>
  </si>
  <si>
    <t>Gas Supply Administration</t>
  </si>
  <si>
    <t>Total Bundled In-franchise</t>
  </si>
  <si>
    <t>Rate E60</t>
  </si>
  <si>
    <t>Rate E70</t>
  </si>
  <si>
    <t>Rate E72</t>
  </si>
  <si>
    <t>Rate E80</t>
  </si>
  <si>
    <t>($/GJ)</t>
  </si>
  <si>
    <t>Monthly Fixed Charge</t>
  </si>
  <si>
    <t>Demand:</t>
  </si>
  <si>
    <t>GJ/d/mo</t>
  </si>
  <si>
    <t>Dawn to Parkway</t>
  </si>
  <si>
    <t>Dawn to Kirkwall</t>
  </si>
  <si>
    <t>Kirkwall to Parkway</t>
  </si>
  <si>
    <t xml:space="preserve">Parkway to Dawn/Kirkwall </t>
  </si>
  <si>
    <t>Kirkwall to Dawn</t>
  </si>
  <si>
    <t>Firm Transportation - Other Paths</t>
  </si>
  <si>
    <t>Parkway to Albion King's North</t>
  </si>
  <si>
    <t xml:space="preserve">Short-term Transportation </t>
  </si>
  <si>
    <t>Commodity</t>
  </si>
  <si>
    <t>Transmission Commodity Charge</t>
  </si>
  <si>
    <t>Charges West of Dawn:</t>
  </si>
  <si>
    <t xml:space="preserve">  Firm Demand Charge</t>
  </si>
  <si>
    <t>Charges East of Dawn:</t>
  </si>
  <si>
    <t xml:space="preserve">  Commodity Charge - To Dawn</t>
  </si>
  <si>
    <t xml:space="preserve">  Commodity Charge - To Pool</t>
  </si>
  <si>
    <t>GJ/d</t>
  </si>
  <si>
    <t>Monthly Fixed Charge - Typical Station</t>
  </si>
  <si>
    <t>Monthly Fixed Charge - Large Station</t>
  </si>
  <si>
    <t>RNG Sampling Charge</t>
  </si>
  <si>
    <t>per use</t>
  </si>
  <si>
    <t>Difference</t>
  </si>
  <si>
    <t>To Dawn from St.Clair, Bluewater, and Ojibway</t>
  </si>
  <si>
    <t>From Dawn to St.Clair, Bluewater, and Ojibway</t>
  </si>
  <si>
    <t>- F24-T</t>
  </si>
  <si>
    <t>Rate E82</t>
  </si>
  <si>
    <t>(d)</t>
  </si>
  <si>
    <t>(e) = (c + d)</t>
  </si>
  <si>
    <t>(f)</t>
  </si>
  <si>
    <t>(h) = (e + f + g)</t>
  </si>
  <si>
    <t>(i) = (h / e)</t>
  </si>
  <si>
    <t>(j) = (h - a) / (a)</t>
  </si>
  <si>
    <t xml:space="preserve"> </t>
  </si>
  <si>
    <t>($000s)</t>
  </si>
  <si>
    <t>Forecast</t>
  </si>
  <si>
    <t>(10³m³)</t>
  </si>
  <si>
    <t>DSM</t>
  </si>
  <si>
    <t>(cents / m³)</t>
  </si>
  <si>
    <t>Transportation Demand (Firm)</t>
  </si>
  <si>
    <t>Rate E22 - Unbundled</t>
  </si>
  <si>
    <t>Transportation Demand (IT)</t>
  </si>
  <si>
    <t>South Transportation Demand</t>
  </si>
  <si>
    <t>Total Rate E22</t>
  </si>
  <si>
    <t>Total Rate E24</t>
  </si>
  <si>
    <t>Delivery Commodity</t>
  </si>
  <si>
    <t>Delivery Demand (Interruptible)</t>
  </si>
  <si>
    <t>Delivery Demand (Firm)</t>
  </si>
  <si>
    <t>Transportation</t>
  </si>
  <si>
    <t>System Commodity</t>
  </si>
  <si>
    <t>Total Rate E30</t>
  </si>
  <si>
    <t>Delivery Demand</t>
  </si>
  <si>
    <t>Total Rate E34</t>
  </si>
  <si>
    <t>Total Rate E38</t>
  </si>
  <si>
    <t>Total Rate E62</t>
  </si>
  <si>
    <t>Transportation Commodity (Firm &amp; IT)</t>
  </si>
  <si>
    <t>Total Rate E64</t>
  </si>
  <si>
    <t>$</t>
  </si>
  <si>
    <t>cents/m³</t>
  </si>
  <si>
    <t>cents/m³/d</t>
  </si>
  <si>
    <t>$/GJ/mo</t>
  </si>
  <si>
    <t>$/GJ</t>
  </si>
  <si>
    <t>Delivery</t>
  </si>
  <si>
    <t>Gas Cost</t>
  </si>
  <si>
    <t>Rate</t>
  </si>
  <si>
    <t>Costs ($000s)</t>
  </si>
  <si>
    <t>Rate (6) ($/GJ)</t>
  </si>
  <si>
    <t>Line
No.</t>
  </si>
  <si>
    <t>Distribution</t>
  </si>
  <si>
    <t>Allocation
Units (5) (GJ)</t>
  </si>
  <si>
    <t>Fuel
Ratio (%)</t>
  </si>
  <si>
    <t>Storage Demand</t>
  </si>
  <si>
    <t>Space (1)</t>
  </si>
  <si>
    <t>Working Capital Adjustment (2)</t>
  </si>
  <si>
    <t>Firm Space</t>
  </si>
  <si>
    <t>Deliverability (1)</t>
  </si>
  <si>
    <t>Load Balancing Commodity (3)</t>
  </si>
  <si>
    <t>Customer Provides Deliverability Inventory</t>
  </si>
  <si>
    <t>Inventory Carrying Costs (4)</t>
  </si>
  <si>
    <t>Utility Provides Deliverability Inventory</t>
  </si>
  <si>
    <t>Total Storage Demand</t>
  </si>
  <si>
    <t>Storage Commodity</t>
  </si>
  <si>
    <t>Storage Commodity (1)</t>
  </si>
  <si>
    <t>(1)</t>
  </si>
  <si>
    <t>(2)</t>
  </si>
  <si>
    <t>(3)</t>
  </si>
  <si>
    <t>(4)</t>
  </si>
  <si>
    <t>Inventory carrying cost derived as the cost of 20% of total firm space units multiplied the ICC% of 6.62%.</t>
  </si>
  <si>
    <t>(5)</t>
  </si>
  <si>
    <t>(6)</t>
  </si>
  <si>
    <t>Calculation of Supplemental Service Charges</t>
  </si>
  <si>
    <t>Rate Class</t>
  </si>
  <si>
    <t>cents / m³</t>
  </si>
  <si>
    <t>Authorized Overrun</t>
  </si>
  <si>
    <t>Rate E20 Firm</t>
  </si>
  <si>
    <t>Transportation Commodity Charge</t>
  </si>
  <si>
    <t>Rate E20 IT</t>
  </si>
  <si>
    <t>Rate E22 Firm</t>
  </si>
  <si>
    <t>Rate E22 IT</t>
  </si>
  <si>
    <t>Rate E24 Firm</t>
  </si>
  <si>
    <t>Rate E24 IT</t>
  </si>
  <si>
    <t xml:space="preserve">Rate E64 </t>
  </si>
  <si>
    <t>Injection/Withdrawal Commodity Charge</t>
  </si>
  <si>
    <t>Rate E34 Unauthorized Overrun - Winter</t>
  </si>
  <si>
    <t>Unauthorized Overrun Non-Compliance</t>
  </si>
  <si>
    <t>Balancing Charges</t>
  </si>
  <si>
    <t>IFT and EFT Storage Withdrawal Charge ($/GJ)</t>
  </si>
  <si>
    <t xml:space="preserve">Bundled Direct Purchase </t>
  </si>
  <si>
    <t>Rate E38 Storage Withdrawal Fuel Ratio</t>
  </si>
  <si>
    <t>IFT and EFT Transportation Charge ($/GJ)</t>
  </si>
  <si>
    <t xml:space="preserve">Western Bundled Direct Purchase to Dawn Bundled </t>
  </si>
  <si>
    <t>Western Bundled Direct Purchase to Ex-Franchise</t>
  </si>
  <si>
    <t>D-PTRANS</t>
  </si>
  <si>
    <t>Allocation Units</t>
  </si>
  <si>
    <r>
      <t>(10</t>
    </r>
    <r>
      <rPr>
        <vertAlign val="superscript"/>
        <sz val="10"/>
        <rFont val="Arial"/>
        <family val="2"/>
      </rPr>
      <t>3</t>
    </r>
    <r>
      <rPr>
        <sz val="10"/>
        <rFont val="Arial"/>
        <family val="2"/>
      </rPr>
      <t>m</t>
    </r>
    <r>
      <rPr>
        <vertAlign val="superscript"/>
        <sz val="10"/>
        <rFont val="Arial"/>
        <family val="2"/>
      </rPr>
      <t>3</t>
    </r>
    <r>
      <rPr>
        <sz val="10"/>
        <rFont val="Arial"/>
        <family val="2"/>
      </rPr>
      <t>/day) (1)</t>
    </r>
  </si>
  <si>
    <t>Wholesale</t>
  </si>
  <si>
    <t>DSM Budget (1)</t>
  </si>
  <si>
    <t>Notes</t>
  </si>
  <si>
    <t>Particulars ($000s)</t>
  </si>
  <si>
    <t>Total 
Revenue (1)</t>
  </si>
  <si>
    <t>(c) = (a - b)</t>
  </si>
  <si>
    <t>Short-Term Transportation</t>
  </si>
  <si>
    <t>Monthly Charges</t>
  </si>
  <si>
    <t>Total Rate Base</t>
  </si>
  <si>
    <t>Return on Rate Base</t>
  </si>
  <si>
    <t>Operating and Maintenance Costs</t>
  </si>
  <si>
    <t>Depreciation</t>
  </si>
  <si>
    <t xml:space="preserve">Taxes </t>
  </si>
  <si>
    <t>Proposed Rate Design Methodology</t>
  </si>
  <si>
    <t>Station Costs</t>
  </si>
  <si>
    <t xml:space="preserve">Dawn to </t>
  </si>
  <si>
    <t xml:space="preserve">Kirkwall to </t>
  </si>
  <si>
    <t>Dawn</t>
  </si>
  <si>
    <t>Parkway</t>
  </si>
  <si>
    <t>Kirkwall</t>
  </si>
  <si>
    <t>Station</t>
  </si>
  <si>
    <t>Allocation Units (GJ)</t>
  </si>
  <si>
    <t xml:space="preserve">Easterly Demands </t>
  </si>
  <si>
    <t>Distance (km)</t>
  </si>
  <si>
    <t>Annual Billing Units</t>
  </si>
  <si>
    <t>Dawn Parkway Easterly Demands (line 2 x 12)</t>
  </si>
  <si>
    <t>Station Specific Demands (from line 6)</t>
  </si>
  <si>
    <t xml:space="preserve">Adjusted Westerly Demands Recovered over 100 days </t>
  </si>
  <si>
    <t>(8)</t>
  </si>
  <si>
    <t xml:space="preserve">Adjusted Westerly Demands Recovered over 214 days </t>
  </si>
  <si>
    <t>Total Demands (line 6 + line 7 + line 9 + line 10)</t>
  </si>
  <si>
    <t>Demand Charges ($/GJ)  ((line 5 - line 14) x 1000 / line 6)</t>
  </si>
  <si>
    <t>Dawn Station</t>
  </si>
  <si>
    <t>Kirkwall Station</t>
  </si>
  <si>
    <t>Parkway Station</t>
  </si>
  <si>
    <t/>
  </si>
  <si>
    <t>Derivation of Rate E70 Long-Term Firm Transportation Demand Charges</t>
  </si>
  <si>
    <t>Typical Producer Station</t>
  </si>
  <si>
    <t>Number of Customer Stations</t>
  </si>
  <si>
    <t>Large Producer Station</t>
  </si>
  <si>
    <t>East of Dawn Demand Charge</t>
  </si>
  <si>
    <t>Distance - Dawn to Stratford lateral (km)</t>
  </si>
  <si>
    <t>Distance - Dawn to Parkway (km)</t>
  </si>
  <si>
    <t>Unit Rate</t>
  </si>
  <si>
    <t>Costs</t>
  </si>
  <si>
    <t>Heritage Pool Transportation Charges (GJ; $/GJ)</t>
  </si>
  <si>
    <t>Total Heritage Pool</t>
  </si>
  <si>
    <t>Tipperary Pool Transportation Charges (GJ; $/GJ)</t>
  </si>
  <si>
    <t>Total Tipperary Pool</t>
  </si>
  <si>
    <t>Dow Moore Pool Storage Charges (10³m³; $/10³m³)</t>
  </si>
  <si>
    <t>Annual turnover volume</t>
  </si>
  <si>
    <t>Maximum daily withdrawal volume</t>
  </si>
  <si>
    <t>Commodity charge</t>
  </si>
  <si>
    <t xml:space="preserve">Total </t>
  </si>
  <si>
    <t>Unregulated allocation</t>
  </si>
  <si>
    <t>Total Dow Moore Pool</t>
  </si>
  <si>
    <t>Black Creek Pool Storage Charges (10³m³; $/10³m³)</t>
  </si>
  <si>
    <t>Total Black Creek Pool</t>
  </si>
  <si>
    <t>OBA/LBA</t>
  </si>
  <si>
    <t>UFG</t>
  </si>
  <si>
    <t>Hysteresis</t>
  </si>
  <si>
    <t>Total Long-Term Storage System Integrity</t>
  </si>
  <si>
    <t>Total Non-Utility Cross Charge</t>
  </si>
  <si>
    <t xml:space="preserve">Costs </t>
  </si>
  <si>
    <t>No</t>
  </si>
  <si>
    <t>Particulars (GJ; $/GJ)</t>
  </si>
  <si>
    <t>(GJ)</t>
  </si>
  <si>
    <t>($)</t>
  </si>
  <si>
    <t>Storage space</t>
  </si>
  <si>
    <t>Storage deliverability</t>
  </si>
  <si>
    <t>E70-X  (between Dawn, Kirkwall and Parkway)</t>
  </si>
  <si>
    <t xml:space="preserve">Dawn to Parkway  </t>
  </si>
  <si>
    <t>Firm Transportation</t>
  </si>
  <si>
    <t>Revenue Requirement</t>
  </si>
  <si>
    <t>Summary of Proposed Revenue Change by Rate Class</t>
  </si>
  <si>
    <t>Derivation of Proposed Rates and Revenue by Rate Class</t>
  </si>
  <si>
    <t>Storage Rate Detail</t>
  </si>
  <si>
    <t>Rate E70 - St. Clair &amp; Ojibway to Dawn</t>
  </si>
  <si>
    <t>Rate E80 - Transmission Commodity Charge</t>
  </si>
  <si>
    <t>Derivation of Rate E80 Charges</t>
  </si>
  <si>
    <t xml:space="preserve">Particulars </t>
  </si>
  <si>
    <t>Transportation Demand Charge</t>
  </si>
  <si>
    <t>Dawn to Owen Sound Line</t>
  </si>
  <si>
    <t>F24-T</t>
  </si>
  <si>
    <t>Between two points within Dawn</t>
  </si>
  <si>
    <t>Monthly Demand Charges</t>
  </si>
  <si>
    <t>Maximum</t>
  </si>
  <si>
    <t>Monthly Demand Charges:</t>
  </si>
  <si>
    <t>Limited Firm Interruptible</t>
  </si>
  <si>
    <t>E70-X - Between Dawn, Kirkwall and Parkway</t>
  </si>
  <si>
    <t>Monthly demand charges:</t>
  </si>
  <si>
    <t xml:space="preserve">  East of Dawn</t>
  </si>
  <si>
    <t xml:space="preserve">  West of Dawn</t>
  </si>
  <si>
    <t>Transmission commodity charge to Dawn</t>
  </si>
  <si>
    <t>Transportation Fuel Charges to Dawn:</t>
  </si>
  <si>
    <t>Transportation Fuel Charges to Pools:</t>
  </si>
  <si>
    <t>Monthly Fixed Charge - Typical</t>
  </si>
  <si>
    <t>Monthly Fixed Charge - Large</t>
  </si>
  <si>
    <t xml:space="preserve"> Transmission commodity charge to Dawn</t>
  </si>
  <si>
    <t>Rate E80 - RNG Sampling Charge</t>
  </si>
  <si>
    <t>Rate E70 - Owen Sound Line Demand Charges</t>
  </si>
  <si>
    <t>Dawn to Owen Sound Line Demand Charge</t>
  </si>
  <si>
    <t>Annual demands (GJ) (4)</t>
  </si>
  <si>
    <t>Transportation Demand Charge ($/GJ) (line 5 x 1000 / line 6)</t>
  </si>
  <si>
    <t>Rate M12/C1 Westerly Parkway to Dawn firm demand charge ($/GJ) (6)</t>
  </si>
  <si>
    <t>Rate E70 - St. Clair, Bluewater, Ojibway and Dawn Demand Rate</t>
  </si>
  <si>
    <t>Maximum Day Demand (GJ) (2)</t>
  </si>
  <si>
    <t>Budget (2)</t>
  </si>
  <si>
    <t>PAN_STCLAIR (1)</t>
  </si>
  <si>
    <t>SUPPLY_VOL (2)</t>
  </si>
  <si>
    <t>Credit (3)</t>
  </si>
  <si>
    <r>
      <t>(10</t>
    </r>
    <r>
      <rPr>
        <vertAlign val="superscript"/>
        <sz val="10"/>
        <rFont val="Arial"/>
        <family val="2"/>
      </rPr>
      <t>3</t>
    </r>
    <r>
      <rPr>
        <sz val="10"/>
        <rFont val="Arial"/>
        <family val="2"/>
      </rPr>
      <t>m</t>
    </r>
    <r>
      <rPr>
        <vertAlign val="superscript"/>
        <sz val="10"/>
        <rFont val="Arial"/>
        <family val="2"/>
      </rPr>
      <t>3</t>
    </r>
    <r>
      <rPr>
        <sz val="10"/>
        <rFont val="Arial"/>
        <family val="2"/>
      </rPr>
      <t>/day)</t>
    </r>
  </si>
  <si>
    <r>
      <t>(10</t>
    </r>
    <r>
      <rPr>
        <vertAlign val="superscript"/>
        <sz val="10"/>
        <rFont val="Arial"/>
        <family val="2"/>
      </rPr>
      <t>3</t>
    </r>
    <r>
      <rPr>
        <sz val="10"/>
        <rFont val="Arial"/>
        <family val="2"/>
      </rPr>
      <t>m</t>
    </r>
    <r>
      <rPr>
        <vertAlign val="superscript"/>
        <sz val="10"/>
        <rFont val="Arial"/>
        <family val="2"/>
      </rPr>
      <t>3</t>
    </r>
    <r>
      <rPr>
        <sz val="10"/>
        <rFont val="Arial"/>
        <family val="2"/>
      </rPr>
      <t>)</t>
    </r>
  </si>
  <si>
    <t>Delivery Revenue Adjustments</t>
  </si>
  <si>
    <t>Customer Supplied Fuel - Transportation</t>
  </si>
  <si>
    <t>Customer Supplied Fuel - Storage</t>
  </si>
  <si>
    <t>Central Transportation Charge</t>
  </si>
  <si>
    <r>
      <t>Unit Rates - Delivery (cents/m</t>
    </r>
    <r>
      <rPr>
        <u/>
        <vertAlign val="superscript"/>
        <sz val="10"/>
        <rFont val="Arial"/>
        <family val="2"/>
      </rPr>
      <t>3</t>
    </r>
    <r>
      <rPr>
        <u/>
        <sz val="10"/>
        <rFont val="Arial"/>
        <family val="2"/>
      </rPr>
      <t xml:space="preserve">) </t>
    </r>
  </si>
  <si>
    <r>
      <t>Unit Rates - Gas Supply (cents/m</t>
    </r>
    <r>
      <rPr>
        <u/>
        <vertAlign val="superscript"/>
        <sz val="10"/>
        <rFont val="Arial"/>
        <family val="2"/>
      </rPr>
      <t>3</t>
    </r>
    <r>
      <rPr>
        <u/>
        <sz val="10"/>
        <rFont val="Arial"/>
        <family val="2"/>
      </rPr>
      <t xml:space="preserve">) </t>
    </r>
  </si>
  <si>
    <r>
      <t>Unit Rates - Total (cents/m</t>
    </r>
    <r>
      <rPr>
        <u/>
        <vertAlign val="superscript"/>
        <sz val="10"/>
        <rFont val="Arial"/>
        <family val="2"/>
      </rPr>
      <t>3</t>
    </r>
    <r>
      <rPr>
        <u/>
        <sz val="10"/>
        <rFont val="Arial"/>
        <family val="2"/>
      </rPr>
      <t xml:space="preserve">) </t>
    </r>
  </si>
  <si>
    <t>Line No.</t>
  </si>
  <si>
    <r>
      <t>Gas Supply Commodity Charge - Delivery (cents/m</t>
    </r>
    <r>
      <rPr>
        <vertAlign val="superscript"/>
        <sz val="10"/>
        <rFont val="Arial"/>
        <family val="2"/>
      </rPr>
      <t>3</t>
    </r>
    <r>
      <rPr>
        <sz val="10"/>
        <rFont val="Arial"/>
        <family val="2"/>
      </rPr>
      <t>)</t>
    </r>
  </si>
  <si>
    <r>
      <t>Gas Supply Commodity Charge - Gas Supply (cents/m</t>
    </r>
    <r>
      <rPr>
        <vertAlign val="superscript"/>
        <sz val="10"/>
        <rFont val="Arial"/>
        <family val="2"/>
      </rPr>
      <t>3</t>
    </r>
    <r>
      <rPr>
        <sz val="10"/>
        <rFont val="Arial"/>
        <family val="2"/>
      </rPr>
      <t>)</t>
    </r>
  </si>
  <si>
    <r>
      <t>Gas Supply Commodity Charge - Total (cents/m</t>
    </r>
    <r>
      <rPr>
        <vertAlign val="superscript"/>
        <sz val="10"/>
        <rFont val="Arial"/>
        <family val="2"/>
      </rPr>
      <t>3</t>
    </r>
    <r>
      <rPr>
        <sz val="10"/>
        <rFont val="Arial"/>
        <family val="2"/>
      </rPr>
      <t>)</t>
    </r>
  </si>
  <si>
    <r>
      <t>Forecast Sales Volumes (10</t>
    </r>
    <r>
      <rPr>
        <vertAlign val="superscript"/>
        <sz val="10"/>
        <rFont val="Arial"/>
        <family val="2"/>
      </rPr>
      <t>3</t>
    </r>
    <r>
      <rPr>
        <sz val="10"/>
        <rFont val="Arial"/>
        <family val="2"/>
      </rPr>
      <t>m</t>
    </r>
    <r>
      <rPr>
        <vertAlign val="superscript"/>
        <sz val="10"/>
        <rFont val="Arial"/>
        <family val="2"/>
      </rPr>
      <t>3</t>
    </r>
    <r>
      <rPr>
        <sz val="10"/>
        <rFont val="Arial"/>
        <family val="2"/>
      </rPr>
      <t>) (2)</t>
    </r>
  </si>
  <si>
    <t>Gas Supply Admin Charge Unit Rate (line 1 / line 2)</t>
  </si>
  <si>
    <t>Rate E20 Firm - Central</t>
  </si>
  <si>
    <t>Rate E22 Firm - South</t>
  </si>
  <si>
    <t>Rate E24 Firm - South</t>
  </si>
  <si>
    <t>Storage and Transportation (S&amp;T) Margin Summary</t>
  </si>
  <si>
    <t>Total S&amp;T Margin (sum lines 7, 8, 16, 17)</t>
  </si>
  <si>
    <t>Other Charges</t>
  </si>
  <si>
    <t>Rate E72 - Transportation Demand and Commodity Charges</t>
  </si>
  <si>
    <t>Allocated 
Costs (1)</t>
  </si>
  <si>
    <t>Total 
Margin (1)</t>
  </si>
  <si>
    <t>Rate E70 - Dawn to Dawn-Vector</t>
  </si>
  <si>
    <t>Rate E70 - Dawn to Dawn-TCPL</t>
  </si>
  <si>
    <t>Firm Transportation Charges</t>
  </si>
  <si>
    <t>Revenue Requirement ($000s)</t>
  </si>
  <si>
    <t>Revenue Requirement ($000s) (line 1 allocated using line 4)</t>
  </si>
  <si>
    <t>Easterly Dawn Parkway Demand Charge ($/GJ) (line 5 x 1000 / line 6)</t>
  </si>
  <si>
    <t xml:space="preserve">Monthly Demand Charge ($/GJ) </t>
  </si>
  <si>
    <t>Easterly Demand Charge</t>
  </si>
  <si>
    <t>Station Charge (line 12)</t>
  </si>
  <si>
    <t>Total Easterly Demand Charge</t>
  </si>
  <si>
    <t>(7)</t>
  </si>
  <si>
    <t>(9)</t>
  </si>
  <si>
    <t>(1)(2)(3)(4)</t>
  </si>
  <si>
    <t>(5)(6)(7)</t>
  </si>
  <si>
    <t>Dawn Parkway Easterly</t>
  </si>
  <si>
    <t>Rate E70-X Monthly Firm Demand Charge</t>
  </si>
  <si>
    <t>F24-T Firm All Day Demand Charge</t>
  </si>
  <si>
    <t>Particulars ($/GJ)</t>
  </si>
  <si>
    <t>Panhandle/St. Clair Revenue Requirement ($000s) (1)</t>
  </si>
  <si>
    <t>Charges</t>
  </si>
  <si>
    <t>Operating and Maintenance Costs ($000s) (1)</t>
  </si>
  <si>
    <t>Operating and Maintenance Costs ($000s) (3)</t>
  </si>
  <si>
    <t>Monthly Fixed Charges</t>
  </si>
  <si>
    <t>Number of Large Customer Stations</t>
  </si>
  <si>
    <t>Rate E80/Rate E72 Transmission Commodity Charge</t>
  </si>
  <si>
    <t>Number of RNG Sampling Tests</t>
  </si>
  <si>
    <t>Derivation of Rate E72 Charges</t>
  </si>
  <si>
    <t>Dawn-Parkway Easterly Demand Charge ($/GJ) (2)</t>
  </si>
  <si>
    <t>Rate E20 Transportation Fuel Ratio</t>
  </si>
  <si>
    <t>Rate E22 Transportation Fuel Ratio</t>
  </si>
  <si>
    <t>Rate E24 South Transportation Fuel Ratio</t>
  </si>
  <si>
    <t>Rate E64 Transportation Fuel Ratio</t>
  </si>
  <si>
    <t>Transportation Fuel Ratios</t>
  </si>
  <si>
    <t>Transportation Charges</t>
  </si>
  <si>
    <t>Revenue Before Recovery</t>
  </si>
  <si>
    <t>Proposed Revenue Requirement</t>
  </si>
  <si>
    <t>Revenue After Recovery</t>
  </si>
  <si>
    <t>Exhibit 7, Tab 1, Schedule 1, Attachment 1.</t>
  </si>
  <si>
    <t>Revenue (Deficiency) / Sufficiency (2)</t>
  </si>
  <si>
    <t>Proposed Revenue (6)</t>
  </si>
  <si>
    <t>DSM Budget Allocation by Rate Class</t>
  </si>
  <si>
    <t>Gas Supply Transportation Charge (line 4 / line 13)</t>
  </si>
  <si>
    <t>Gas Supply Western Transportation Charge (line 18)</t>
  </si>
  <si>
    <t>Gas Supply Transportation Charge (line 11 / line 13)</t>
  </si>
  <si>
    <t>Gas Supply Western Transportation Charge (line 18 + line 9)</t>
  </si>
  <si>
    <t xml:space="preserve">(6) </t>
  </si>
  <si>
    <t>Exhibit 7, Tab 3, Schedule 1, Attachments 8, line 35.</t>
  </si>
  <si>
    <t>Exhibit 7, Tab 3, Schedule 1, Attachments 9, line 35.</t>
  </si>
  <si>
    <t>Rate E20 Central Transportation Charge</t>
  </si>
  <si>
    <t>Demand Rate  (line 5 / line 4 x 100)</t>
  </si>
  <si>
    <t>Commodity Unit Rate (line 9 / line 10 x 100)</t>
  </si>
  <si>
    <t>Rate E20 - Central Transportation Charge (line 8 + line 12)</t>
  </si>
  <si>
    <t>Rate E22 &amp; E24 South Transportation Demand Charge</t>
  </si>
  <si>
    <t>Rate E22 &amp; E24 South Transportation Demand Charge (line 14 / line 15 x 100)</t>
  </si>
  <si>
    <t>Transportation Unit Rate (line 17 / line 18 x 100)</t>
  </si>
  <si>
    <t>Rate E20 Transportation Fuel Ratio (line 19 / line 20)</t>
  </si>
  <si>
    <t>Exhibit 4, Tab 2, Schedule 2, paragraph 2.</t>
  </si>
  <si>
    <t>Transportation Unit Rate (line 22 / line 23 x 100)</t>
  </si>
  <si>
    <t>Rate E22 Transportation Fuel Ratio (line 24 / line 25)</t>
  </si>
  <si>
    <t>Transportation Unit Rate (line 27 / line 28 x 100)</t>
  </si>
  <si>
    <t>Rate E24 Transportation Fuel Ratio (line 29 / line 30)</t>
  </si>
  <si>
    <t>Transportation Unit Rate (line 32 / line 33 x 100)</t>
  </si>
  <si>
    <t>Demand Rate - Commoditized at 100% Load Factor (line 6 x 12 / 365)</t>
  </si>
  <si>
    <t>Rate E10 Authorized Overrun Charge</t>
  </si>
  <si>
    <t>Rate E20 Firm Authorized Overrun Charge</t>
  </si>
  <si>
    <t>Rate E20 Firm Authorized Overrun Charge - Central</t>
  </si>
  <si>
    <t>Rate E20 IT Authorized Overrun Charge</t>
  </si>
  <si>
    <t>Rate E22 Firm Authorized Overrun Charge</t>
  </si>
  <si>
    <t xml:space="preserve">Rate E20 Central Transportation Charge </t>
  </si>
  <si>
    <t>Rate E20 Firm Authorized Overrun Charge - South</t>
  </si>
  <si>
    <t>Rate E22 Firm Authorized Overrun Charge - South</t>
  </si>
  <si>
    <t>Rate E22 IT Authorized Overrun Charge</t>
  </si>
  <si>
    <t>Rate E24 Firm Authorized Overrun Charge</t>
  </si>
  <si>
    <t>Rate E24 IT Authorized Overrun Charge</t>
  </si>
  <si>
    <t>Rate E30 Authorized Overrun Charge</t>
  </si>
  <si>
    <t>Rate E34 Authorized Overrun Charge</t>
  </si>
  <si>
    <t>Rate E62 Authorized Overrun Charge</t>
  </si>
  <si>
    <t>Rate E64 Authorized Overrun Charge</t>
  </si>
  <si>
    <t>Authorized Injection/Withdrawal Overrun (Rates E20, E38, E64)</t>
  </si>
  <si>
    <t>Injection/Withdrawal Authorized Overrun Charge ($/GJ)</t>
  </si>
  <si>
    <t>Rate E34 Unauthorized Overrun Charge - Winter</t>
  </si>
  <si>
    <t>Storage Withdrawal Charge (line 88 x line 89)</t>
  </si>
  <si>
    <t>Transportation Charge (line 91 / line 92 x 10)</t>
  </si>
  <si>
    <t>Heat Value Conversion (GJ/10³m³)</t>
  </si>
  <si>
    <t>Parkway to Dawn Commodity (line 94 x line 95)</t>
  </si>
  <si>
    <t>Transportation Charge (line 96 + line 97)</t>
  </si>
  <si>
    <t>North Storage Commodity Charge</t>
  </si>
  <si>
    <t xml:space="preserve">UBS Daily Commodity Charge </t>
  </si>
  <si>
    <t>UBS Net Usage (15%) (line 101 x 15%)</t>
  </si>
  <si>
    <t>Rate E70 Dawn to Parkway Demand ($/GJ)</t>
  </si>
  <si>
    <t>Rate E70 Average Dawn to Parkway Fuel Charge ($/GJ)</t>
  </si>
  <si>
    <t>Rate E70 Dawn to Parkway Facility Carbon Charge ($/GJ)</t>
  </si>
  <si>
    <t xml:space="preserve">Total PDCI Rate ($/GJ) (line 104 + line 105 + line 106) x (-1) </t>
  </si>
  <si>
    <t>Empress to Union Parkway Belt - Commoditized at 100% Load Factor (6)</t>
  </si>
  <si>
    <t>North Storage Demand Charge - Commoditized at 100% Load Factor (6)</t>
  </si>
  <si>
    <t>Rate E70 Dawn to Parkway Demand - Commoditized at 100% Load Factor (line 105 x 12 / 365) (6)</t>
  </si>
  <si>
    <t>Exhibit 8, Tab 4, Schedule 2, Section 3.2.</t>
  </si>
  <si>
    <t>Gas Supply Transportation Charges</t>
  </si>
  <si>
    <t>Gas Supply Commodity Charges</t>
  </si>
  <si>
    <t>Panhandle/St. Clair Transportation</t>
  </si>
  <si>
    <t>Allocated Costs - Delivery ($000s) (1)</t>
  </si>
  <si>
    <t>Allocated Costs - Gas Supply ($000s) (2)</t>
  </si>
  <si>
    <r>
      <t>Empress-Dawn Differential (cents/m</t>
    </r>
    <r>
      <rPr>
        <vertAlign val="superscript"/>
        <sz val="10"/>
        <rFont val="Arial"/>
        <family val="2"/>
      </rPr>
      <t>3</t>
    </r>
    <r>
      <rPr>
        <sz val="10"/>
        <rFont val="Arial"/>
        <family val="2"/>
      </rPr>
      <t>) (3)</t>
    </r>
  </si>
  <si>
    <t>Western Incremental Revenue ($000s) (4)</t>
  </si>
  <si>
    <r>
      <t>Billing Units (10</t>
    </r>
    <r>
      <rPr>
        <u/>
        <vertAlign val="superscript"/>
        <sz val="10"/>
        <rFont val="Arial"/>
        <family val="2"/>
      </rPr>
      <t>3</t>
    </r>
    <r>
      <rPr>
        <u/>
        <sz val="10"/>
        <rFont val="Arial"/>
        <family val="2"/>
      </rPr>
      <t>m</t>
    </r>
    <r>
      <rPr>
        <u/>
        <vertAlign val="superscript"/>
        <sz val="10"/>
        <rFont val="Arial"/>
        <family val="2"/>
      </rPr>
      <t>3</t>
    </r>
    <r>
      <rPr>
        <u/>
        <sz val="10"/>
        <rFont val="Arial"/>
        <family val="2"/>
      </rPr>
      <t>) (5)</t>
    </r>
  </si>
  <si>
    <r>
      <t>Billing Units (10</t>
    </r>
    <r>
      <rPr>
        <vertAlign val="superscript"/>
        <sz val="10"/>
        <rFont val="Arial"/>
        <family val="2"/>
      </rPr>
      <t>3</t>
    </r>
    <r>
      <rPr>
        <sz val="10"/>
        <rFont val="Arial"/>
        <family val="2"/>
      </rPr>
      <t>m</t>
    </r>
    <r>
      <rPr>
        <vertAlign val="superscript"/>
        <sz val="10"/>
        <rFont val="Arial"/>
        <family val="2"/>
      </rPr>
      <t>3</t>
    </r>
    <r>
      <rPr>
        <sz val="10"/>
        <rFont val="Arial"/>
        <family val="2"/>
      </rPr>
      <t>) (6)</t>
    </r>
  </si>
  <si>
    <t>Exhibit 7, Tab 3, Schedule 1, Attachment 9.</t>
  </si>
  <si>
    <t>Exhibit 7, Tab 3, Schedule 1, Attachment 10.</t>
  </si>
  <si>
    <t xml:space="preserve">Difference between the Dawn supply price of $5.267/GJ and the Empress supply price of $4.539/GJ based on the April 2022 QRAM, converted to cents/m³. </t>
  </si>
  <si>
    <t>Western Transportation</t>
  </si>
  <si>
    <t>Derivation of DSM Unit Rates</t>
  </si>
  <si>
    <t>Allocated in proportion to column (a).</t>
  </si>
  <si>
    <t>S&amp;T Margin</t>
  </si>
  <si>
    <t>Allocation</t>
  </si>
  <si>
    <t>Panhandle/St. Clair Transmission Cost Re-Allocation</t>
  </si>
  <si>
    <t>Re-Allocation</t>
  </si>
  <si>
    <t>Panhandle/</t>
  </si>
  <si>
    <t>St. Clair</t>
  </si>
  <si>
    <t>Allocated in proportion to column (b).</t>
  </si>
  <si>
    <t>Total (5)</t>
  </si>
  <si>
    <t>Sales Service</t>
  </si>
  <si>
    <t>Charge (4)</t>
  </si>
  <si>
    <t>Panhandle/St. Clair</t>
  </si>
  <si>
    <t>Transmission</t>
  </si>
  <si>
    <t>Exhibit 7, Tab 3, Schedule 1, Attachment 8.</t>
  </si>
  <si>
    <r>
      <t>Weighted Average Reference Price (cents/m</t>
    </r>
    <r>
      <rPr>
        <vertAlign val="superscript"/>
        <sz val="10"/>
        <rFont val="Arial"/>
        <family val="2"/>
      </rPr>
      <t>3</t>
    </r>
    <r>
      <rPr>
        <sz val="10"/>
        <rFont val="Arial"/>
        <family val="2"/>
      </rPr>
      <t>) (4)</t>
    </r>
  </si>
  <si>
    <t>Weighted Average Reference Price ($/GJ) (4)</t>
  </si>
  <si>
    <t>Delivery Demand Charge (Tier 1) - Commoditized @ 100% Load Factor (5)</t>
  </si>
  <si>
    <t>IT Transportation Demand Charge - Commoditized @ 100% Load Factor (5)</t>
  </si>
  <si>
    <t>Firm Transportation Demand Charge (Tier 1) - Commoditized @ 100% Load Factor (5)</t>
  </si>
  <si>
    <t>Rate E22 South Transportation Demand Charge - Commoditized @ 100% Load Factor (5)</t>
  </si>
  <si>
    <t>Rate E24 South Transportation Demand Charge - Commoditized @ 100% Load Factor (5)</t>
  </si>
  <si>
    <t>Delivery Demand Charge - Commoditized @ 100% Load Factor (5)</t>
  </si>
  <si>
    <t>Transportation Demand Charge - Commoditized @ 100% Load Factor (5)</t>
  </si>
  <si>
    <t>Injection/Withdrawal Rights Demand Charge - Commoditized @ 100% Load Factor (5)</t>
  </si>
  <si>
    <t>Delivery Demand Charge - Commoditized @ 100% Load Factor x 121 days x 120% (5)</t>
  </si>
  <si>
    <t>Rate ($/GJ) (6)</t>
  </si>
  <si>
    <t>Western Transportation Price Differential (cents/m³) (7)</t>
  </si>
  <si>
    <t>Usage</t>
  </si>
  <si>
    <t>Revenue Requirement (1)</t>
  </si>
  <si>
    <t>Total In-franchise (2) (3)</t>
  </si>
  <si>
    <t xml:space="preserve">Usage </t>
  </si>
  <si>
    <t>(b) = (a - e)</t>
  </si>
  <si>
    <t xml:space="preserve">2024 
Forecast </t>
  </si>
  <si>
    <t>Revenue-
to-Cost</t>
  </si>
  <si>
    <t>Rate 
Change</t>
  </si>
  <si>
    <t>(f) = (g - e)</t>
  </si>
  <si>
    <t>(i) = (g / e)</t>
  </si>
  <si>
    <t>Gas Supply Administration Charge</t>
  </si>
  <si>
    <t>Authorized Overrun Charges</t>
  </si>
  <si>
    <t>Unauthorized Overrun Charges</t>
  </si>
  <si>
    <t>($000s) (2)</t>
  </si>
  <si>
    <t>Commodity allocation units per the total forecasted storage activity.</t>
  </si>
  <si>
    <t>Service Fee</t>
  </si>
  <si>
    <t>Non-Utility Cross Charge</t>
  </si>
  <si>
    <t xml:space="preserve">Firm Transportation - Easterly Dawn Parkway </t>
  </si>
  <si>
    <t>Firm Transportation - Westerly Dawn Parkway</t>
  </si>
  <si>
    <t>Dawn to Dawn-Vector</t>
  </si>
  <si>
    <t>Dawn to Dawn-TCPL</t>
  </si>
  <si>
    <t>Corunna (ANR) to Dawn</t>
  </si>
  <si>
    <t xml:space="preserve">            Transportation </t>
  </si>
  <si>
    <t>2024 total revenue deficiency can be found at Exhibit 7, Tab 1, Schedule 1, Attachment 1, column (i), line 15.</t>
  </si>
  <si>
    <t>Revenue requirement by rate class can be found at Exhibit 7, Tab 3, Schedule 1, Attachment 2, line 20.</t>
  </si>
  <si>
    <t>S&amp;T 
Margin (5)</t>
  </si>
  <si>
    <t>Allocated 
Cost (3)</t>
  </si>
  <si>
    <t>Ratio</t>
  </si>
  <si>
    <t xml:space="preserve"> Derivation of Gas Supply Transportation and Commodity Charges by Rate Class</t>
  </si>
  <si>
    <t>Delivery Revenue</t>
  </si>
  <si>
    <t>Rate E70 - Corunna (ANR) to Dawn</t>
  </si>
  <si>
    <t>Non-Utility Cross Charge Revenue</t>
  </si>
  <si>
    <t xml:space="preserve">Derivation of Rate E70 Dawn Parkway Firm Transportation Demand Charges </t>
  </si>
  <si>
    <t>Dawn Parkway (line 13 or line 15)</t>
  </si>
  <si>
    <t xml:space="preserve">Derivation of Rate M12/Rate C1 Transportation Demand Charges </t>
  </si>
  <si>
    <t>Approved Rate Design Methodology</t>
  </si>
  <si>
    <t>(1)(2)</t>
  </si>
  <si>
    <t>Adjusted Dawn to Parkway Easterly Demand Charge ($/GJ) (line 5 / line 9)</t>
  </si>
  <si>
    <t>Dawn Station (line 12)</t>
  </si>
  <si>
    <t>Derivation of Rate E70-X and F24-T Firm Transportation Demand Charges</t>
  </si>
  <si>
    <t>E70-X Firm Demand Charge (line 1 + line 2)</t>
  </si>
  <si>
    <t>Rate E70 - Dawn to Dawn-Vector and Dawn to Dawn-TCPL Demand Charge</t>
  </si>
  <si>
    <t>Dawn Compression Revenue Requirement  ($000s) (3)</t>
  </si>
  <si>
    <t>Dawn transmission compression-related costs related to the Panhandle transmission system.</t>
  </si>
  <si>
    <t>Number of Typical Customer Stations (2)</t>
  </si>
  <si>
    <t>Operating and Maintenance Costs ($000s) (4)</t>
  </si>
  <si>
    <t>Dawn to Parkway Easterly Demand Charge ($/GJ/mo) (5)</t>
  </si>
  <si>
    <t>Parkway Station Demand Charge ($/GJ/mo) (6)</t>
  </si>
  <si>
    <t>Dawn to Parkway Demand Charge less Parkway Station ($/GJ/mo) (lines 10 - 11)</t>
  </si>
  <si>
    <t>Revenue Requirement ($000s) (1)</t>
  </si>
  <si>
    <t>Derivation of Rate E60/Rate E70 Wholesale Transportation Charges</t>
  </si>
  <si>
    <t>Monthly Fixed Charge per Station ($/mo) (line 1 / 12)</t>
  </si>
  <si>
    <t>Total Demand costs ($000s) (line 3 + line 4)</t>
  </si>
  <si>
    <t>Transmission Demand costs ($000s) (5)</t>
  </si>
  <si>
    <t>Parkway/Kirkwall to Owen Sound Line or Dawn Demand Charge</t>
  </si>
  <si>
    <t>Total Parkway/Kirkwall to Owen Sound Line Demand Charge ($/GJ/mo) (line 10)</t>
  </si>
  <si>
    <t>Calculation of Non-Utility Cross Charge Revenue</t>
  </si>
  <si>
    <t>Current Approved Revenue</t>
  </si>
  <si>
    <t>Unit Rate (1)</t>
  </si>
  <si>
    <t>Fuel &amp; UFG to Dawn</t>
  </si>
  <si>
    <t>Fuel &amp; UFG to Pool</t>
  </si>
  <si>
    <t>Operating charges (mo; $/mo) (2)</t>
  </si>
  <si>
    <t>Storage System Integrity (3)</t>
  </si>
  <si>
    <t>EB-2022-0133, 2023 Rates at April 2022 QRAM. Unit rates for Heritage and Tipperary Pool transportation using Rate M16 unit rates and unit rates for Dow Moore and Black Creek pool storage using Rate 325 unit rates.</t>
  </si>
  <si>
    <t>Monthly operating charge per agreement between EGD and Union.</t>
  </si>
  <si>
    <t>Proposed Revenue</t>
  </si>
  <si>
    <t>Heritage Pool Transportation Charges (1)</t>
  </si>
  <si>
    <t>Tipperary Pool Transportation Charges (1)</t>
  </si>
  <si>
    <t>Dow Moore Pool Storage Charges (2)</t>
  </si>
  <si>
    <t>Black Creek Pool Storage Charges (2)</t>
  </si>
  <si>
    <t>Long-Term Storage Operational Contingency (3)</t>
  </si>
  <si>
    <t>Total Long-Term Storage Operational Contingency</t>
  </si>
  <si>
    <t>Summary of Proposed Rate Changes and Unit Rate Component by Rate Class</t>
  </si>
  <si>
    <t xml:space="preserve">In-franchise Rate Classes </t>
  </si>
  <si>
    <t>Proposed Unit Rate Components</t>
  </si>
  <si>
    <t>Class</t>
  </si>
  <si>
    <t>Utility provides deliverability inventory</t>
  </si>
  <si>
    <t>Ex-franchise Rate Classes</t>
  </si>
  <si>
    <t>$/GJ/d</t>
  </si>
  <si>
    <t>Parkway to Dawn</t>
  </si>
  <si>
    <t>Parkway to Kirkwall</t>
  </si>
  <si>
    <t>Parkway to Owen Sound Line or Dawn</t>
  </si>
  <si>
    <t>Kirkwall to Owen Sound Line or Dawn</t>
  </si>
  <si>
    <t>Dawn to St. Clair, Bluewater, and Ojibway</t>
  </si>
  <si>
    <t>St. Clair, Bluewater, and Ojibway to Dawn</t>
  </si>
  <si>
    <t xml:space="preserve">Dawn to Dawn-Vector </t>
  </si>
  <si>
    <t xml:space="preserve">Dawn to Dawn-TCPL </t>
  </si>
  <si>
    <t>Commodity Charges - Shipper Supplied Fuel</t>
  </si>
  <si>
    <t xml:space="preserve">Dawn to Parkway </t>
  </si>
  <si>
    <t xml:space="preserve">Dawn to Kirkwall </t>
  </si>
  <si>
    <t xml:space="preserve">Kirkwall to Parkway </t>
  </si>
  <si>
    <t xml:space="preserve">Parkway to Dawn </t>
  </si>
  <si>
    <t xml:space="preserve">Parkway to Kirkwall </t>
  </si>
  <si>
    <t xml:space="preserve">Kirkwall to Dawn </t>
  </si>
  <si>
    <t xml:space="preserve">Dawn to Owen Sound Line </t>
  </si>
  <si>
    <t xml:space="preserve">Parkway to Owen Sound Line or Dawn </t>
  </si>
  <si>
    <t xml:space="preserve">Dawn to St. Clair, Bluewater, and Ojibway </t>
  </si>
  <si>
    <t>St. Clair, Bluewater, and Ojibway To Dawn</t>
  </si>
  <si>
    <t xml:space="preserve">Parkway to Albion King's North </t>
  </si>
  <si>
    <t>Note (3)</t>
  </si>
  <si>
    <t>Parkway to Dawn/Kirkwall</t>
  </si>
  <si>
    <t>Dawn to St. Clair, Bluewater, &amp; Ojibway</t>
  </si>
  <si>
    <t>Note (4)</t>
  </si>
  <si>
    <t>St. Clair, Bluewater, &amp; Ojibway to Dawn</t>
  </si>
  <si>
    <t xml:space="preserve">   East of Dawn - Utility Supplied Fuel</t>
  </si>
  <si>
    <t xml:space="preserve">   West of Dawn - Utility Supplied Fuel</t>
  </si>
  <si>
    <t xml:space="preserve">   East of Dawn - Shipper Supplied Fuel</t>
  </si>
  <si>
    <t xml:space="preserve">   West of Dawn - Shipper Supplied Fuel</t>
  </si>
  <si>
    <t xml:space="preserve"> Commodity charge - Utility Supplied Fuel</t>
  </si>
  <si>
    <t xml:space="preserve"> Commodity charge - Shipper Supplied Fuel</t>
  </si>
  <si>
    <t xml:space="preserve"> Authorized Overrun - Utility Supplied Fuel</t>
  </si>
  <si>
    <t xml:space="preserve"> Authorized Overrun - Shipper Supplied Fuel</t>
  </si>
  <si>
    <t>Plus shipper supplied fuel per rate schedule.</t>
  </si>
  <si>
    <t>EB-2022-0200 - 2024 Proposed</t>
  </si>
  <si>
    <t>Bill Impact</t>
  </si>
  <si>
    <t>Total Bill</t>
  </si>
  <si>
    <t>Including Federal</t>
  </si>
  <si>
    <t xml:space="preserve">Excluding Federal </t>
  </si>
  <si>
    <t>Bill</t>
  </si>
  <si>
    <t>Change</t>
  </si>
  <si>
    <t>Carbon Charge</t>
  </si>
  <si>
    <t>(e) = (c - a)</t>
  </si>
  <si>
    <t>(f) = (e / a)</t>
  </si>
  <si>
    <t>Delivery Charges</t>
  </si>
  <si>
    <t>Federal Carbon Charge</t>
  </si>
  <si>
    <t>Gas Supply Transportation</t>
  </si>
  <si>
    <t>Total Bill - Sales Service</t>
  </si>
  <si>
    <t>Total Bill - Bundled Direct Purchase WTS</t>
  </si>
  <si>
    <t xml:space="preserve">   Bundled Direct Purchase Impact WTS</t>
  </si>
  <si>
    <t>Total Bill - Bundled Direct Purchase DTS</t>
  </si>
  <si>
    <t xml:space="preserve">   Bundled Direct Purchase Impact DTS</t>
  </si>
  <si>
    <t>Total Bill - Bundled Direct Purchase</t>
  </si>
  <si>
    <t xml:space="preserve">   Bundled Direct Purchase Impact</t>
  </si>
  <si>
    <r>
      <t>Contract Demand 20m</t>
    </r>
    <r>
      <rPr>
        <vertAlign val="superscript"/>
        <sz val="10"/>
        <rFont val="Arial"/>
        <family val="2"/>
      </rPr>
      <t>3</t>
    </r>
    <r>
      <rPr>
        <sz val="10"/>
        <rFont val="Arial"/>
        <family val="2"/>
      </rPr>
      <t xml:space="preserve"> Annual Volume 2,200 m³</t>
    </r>
  </si>
  <si>
    <t xml:space="preserve">Total Bill - Sales Service </t>
  </si>
  <si>
    <r>
      <t>Contract Demand 365m</t>
    </r>
    <r>
      <rPr>
        <vertAlign val="superscript"/>
        <sz val="10"/>
        <rFont val="Arial"/>
        <family val="2"/>
      </rPr>
      <t>3</t>
    </r>
    <r>
      <rPr>
        <sz val="10"/>
        <rFont val="Arial"/>
        <family val="2"/>
      </rPr>
      <t xml:space="preserve"> Annual Volume 40,000 m³</t>
    </r>
  </si>
  <si>
    <t>Small Rate 10 to E02</t>
  </si>
  <si>
    <t>Average Rate 10 to E02</t>
  </si>
  <si>
    <t xml:space="preserve">   Sales Service Impact</t>
  </si>
  <si>
    <t xml:space="preserve">   Bundled-T (Direct Purchase) Impact</t>
  </si>
  <si>
    <t>Large Rate 10 to E02</t>
  </si>
  <si>
    <t xml:space="preserve">Small Rate 20 to E10 </t>
  </si>
  <si>
    <t>Large Rate 20 to E10</t>
  </si>
  <si>
    <t>Small Rate 20 to E22</t>
  </si>
  <si>
    <t>Large Rate 20 to E22</t>
  </si>
  <si>
    <t>Small Rate 20 to E24</t>
  </si>
  <si>
    <t>Large Rate 20 to E24</t>
  </si>
  <si>
    <t>Average Rate 25 to E30</t>
  </si>
  <si>
    <t>Small Rate 100 to E22</t>
  </si>
  <si>
    <t>Total Bill - Unbundled Direct Purchase</t>
  </si>
  <si>
    <t xml:space="preserve">   Unbundled Direct Purchase Impact</t>
  </si>
  <si>
    <t>Large Rate 100 to E22</t>
  </si>
  <si>
    <t>Gas Supply Charges</t>
  </si>
  <si>
    <r>
      <t>Contract Demand 613m</t>
    </r>
    <r>
      <rPr>
        <vertAlign val="superscript"/>
        <sz val="10"/>
        <rFont val="Arial"/>
        <family val="2"/>
      </rPr>
      <t>3</t>
    </r>
    <r>
      <rPr>
        <sz val="10"/>
        <rFont val="Arial"/>
        <family val="2"/>
      </rPr>
      <t xml:space="preserve"> Annual Volume 60,000 m³</t>
    </r>
  </si>
  <si>
    <r>
      <t>Contract Demand 746m</t>
    </r>
    <r>
      <rPr>
        <vertAlign val="superscript"/>
        <sz val="10"/>
        <rFont val="Arial"/>
        <family val="2"/>
      </rPr>
      <t>3</t>
    </r>
    <r>
      <rPr>
        <sz val="10"/>
        <rFont val="Arial"/>
        <family val="2"/>
      </rPr>
      <t xml:space="preserve"> Annual Volume 73,000 m³</t>
    </r>
  </si>
  <si>
    <r>
      <t>Contract Demand 2,556m</t>
    </r>
    <r>
      <rPr>
        <vertAlign val="superscript"/>
        <sz val="10"/>
        <rFont val="Arial"/>
        <family val="2"/>
      </rPr>
      <t>3</t>
    </r>
    <r>
      <rPr>
        <sz val="10"/>
        <rFont val="Arial"/>
        <family val="2"/>
      </rPr>
      <t xml:space="preserve"> Annual Volume 250,000 m³</t>
    </r>
  </si>
  <si>
    <r>
      <t>Contract Demand 4,800m</t>
    </r>
    <r>
      <rPr>
        <vertAlign val="superscript"/>
        <sz val="10"/>
        <rFont val="Arial"/>
        <family val="2"/>
      </rPr>
      <t>3</t>
    </r>
    <r>
      <rPr>
        <sz val="10"/>
        <rFont val="Arial"/>
        <family val="2"/>
      </rPr>
      <t xml:space="preserve"> Annual Volume 875,000 m</t>
    </r>
    <r>
      <rPr>
        <vertAlign val="superscript"/>
        <sz val="10"/>
        <rFont val="Arial"/>
        <family val="2"/>
      </rPr>
      <t xml:space="preserve">3 </t>
    </r>
  </si>
  <si>
    <r>
      <t>Contract Demand 50,000m</t>
    </r>
    <r>
      <rPr>
        <vertAlign val="superscript"/>
        <sz val="10"/>
        <rFont val="Arial"/>
        <family val="2"/>
      </rPr>
      <t>3</t>
    </r>
    <r>
      <rPr>
        <sz val="10"/>
        <rFont val="Arial"/>
        <family val="2"/>
      </rPr>
      <t xml:space="preserve"> Annual Volume 12,000,000 m</t>
    </r>
    <r>
      <rPr>
        <vertAlign val="superscript"/>
        <sz val="10"/>
        <rFont val="Arial"/>
        <family val="2"/>
      </rPr>
      <t xml:space="preserve">3 </t>
    </r>
  </si>
  <si>
    <r>
      <t>Contract Demand 7,500m</t>
    </r>
    <r>
      <rPr>
        <vertAlign val="superscript"/>
        <sz val="10"/>
        <rFont val="Arial"/>
        <family val="2"/>
      </rPr>
      <t>3</t>
    </r>
    <r>
      <rPr>
        <sz val="10"/>
        <rFont val="Arial"/>
        <family val="2"/>
      </rPr>
      <t xml:space="preserve"> Annual Volume 825,000 m</t>
    </r>
    <r>
      <rPr>
        <vertAlign val="superscript"/>
        <sz val="10"/>
        <rFont val="Arial"/>
        <family val="2"/>
      </rPr>
      <t xml:space="preserve">3 </t>
    </r>
  </si>
  <si>
    <r>
      <t>Contract Demand 70,000m</t>
    </r>
    <r>
      <rPr>
        <vertAlign val="superscript"/>
        <sz val="10"/>
        <rFont val="Arial"/>
        <family val="2"/>
      </rPr>
      <t>3</t>
    </r>
    <r>
      <rPr>
        <sz val="10"/>
        <rFont val="Arial"/>
        <family val="2"/>
      </rPr>
      <t xml:space="preserve"> Annual Volume 6,500,000 m</t>
    </r>
    <r>
      <rPr>
        <vertAlign val="superscript"/>
        <sz val="10"/>
        <rFont val="Arial"/>
        <family val="2"/>
      </rPr>
      <t xml:space="preserve">3 </t>
    </r>
  </si>
  <si>
    <r>
      <t>Contract Demand 165,000m</t>
    </r>
    <r>
      <rPr>
        <vertAlign val="superscript"/>
        <sz val="10"/>
        <rFont val="Arial"/>
        <family val="2"/>
      </rPr>
      <t>3</t>
    </r>
    <r>
      <rPr>
        <sz val="10"/>
        <rFont val="Arial"/>
        <family val="2"/>
      </rPr>
      <t xml:space="preserve"> Annual Volume 36,000,000 m</t>
    </r>
    <r>
      <rPr>
        <vertAlign val="superscript"/>
        <sz val="10"/>
        <rFont val="Arial"/>
        <family val="2"/>
      </rPr>
      <t xml:space="preserve">3 </t>
    </r>
  </si>
  <si>
    <r>
      <t>Contract Demand 720,000m</t>
    </r>
    <r>
      <rPr>
        <vertAlign val="superscript"/>
        <sz val="10"/>
        <rFont val="Arial"/>
        <family val="2"/>
      </rPr>
      <t>3</t>
    </r>
    <r>
      <rPr>
        <sz val="10"/>
        <rFont val="Arial"/>
        <family val="2"/>
      </rPr>
      <t xml:space="preserve"> Annual Volume 52,000,000 m</t>
    </r>
    <r>
      <rPr>
        <vertAlign val="superscript"/>
        <sz val="10"/>
        <rFont val="Arial"/>
        <family val="2"/>
      </rPr>
      <t xml:space="preserve">3 </t>
    </r>
  </si>
  <si>
    <r>
      <t>Contract Demand 56,439m</t>
    </r>
    <r>
      <rPr>
        <vertAlign val="superscript"/>
        <sz val="10"/>
        <rFont val="Arial"/>
        <family val="2"/>
      </rPr>
      <t>3</t>
    </r>
    <r>
      <rPr>
        <sz val="10"/>
        <rFont val="Arial"/>
        <family val="2"/>
      </rPr>
      <t xml:space="preserve"> Annual Volume 6,950,000 m</t>
    </r>
    <r>
      <rPr>
        <vertAlign val="superscript"/>
        <sz val="10"/>
        <rFont val="Arial"/>
        <family val="2"/>
      </rPr>
      <t xml:space="preserve">3 </t>
    </r>
  </si>
  <si>
    <r>
      <t>Contract Demand 168,100m</t>
    </r>
    <r>
      <rPr>
        <vertAlign val="superscript"/>
        <sz val="10"/>
        <rFont val="Arial"/>
        <family val="2"/>
      </rPr>
      <t>3</t>
    </r>
    <r>
      <rPr>
        <sz val="10"/>
        <rFont val="Arial"/>
        <family val="2"/>
      </rPr>
      <t xml:space="preserve"> Annual Volume 20,178,000 m</t>
    </r>
    <r>
      <rPr>
        <vertAlign val="superscript"/>
        <sz val="10"/>
        <rFont val="Arial"/>
        <family val="2"/>
      </rPr>
      <t xml:space="preserve">3 </t>
    </r>
  </si>
  <si>
    <r>
      <t>Contract Demand 25,750m</t>
    </r>
    <r>
      <rPr>
        <vertAlign val="superscript"/>
        <sz val="10"/>
        <rFont val="Arial"/>
        <family val="2"/>
      </rPr>
      <t>3</t>
    </r>
    <r>
      <rPr>
        <sz val="10"/>
        <rFont val="Arial"/>
        <family val="2"/>
      </rPr>
      <t xml:space="preserve"> Annual Volume 7,537,000 m</t>
    </r>
    <r>
      <rPr>
        <vertAlign val="superscript"/>
        <sz val="10"/>
        <rFont val="Arial"/>
        <family val="2"/>
      </rPr>
      <t xml:space="preserve">3 </t>
    </r>
  </si>
  <si>
    <r>
      <t>Contract Demand 48,750m</t>
    </r>
    <r>
      <rPr>
        <vertAlign val="superscript"/>
        <sz val="10"/>
        <rFont val="Arial"/>
        <family val="2"/>
      </rPr>
      <t>3</t>
    </r>
    <r>
      <rPr>
        <sz val="10"/>
        <rFont val="Arial"/>
        <family val="2"/>
      </rPr>
      <t xml:space="preserve"> Annual Volume 11,565,938 m</t>
    </r>
    <r>
      <rPr>
        <vertAlign val="superscript"/>
        <sz val="10"/>
        <rFont val="Arial"/>
        <family val="2"/>
      </rPr>
      <t xml:space="preserve">3 </t>
    </r>
  </si>
  <si>
    <t>Annual Volume 25,624,080 m³</t>
  </si>
  <si>
    <r>
      <t>Contract Demand 190,000m</t>
    </r>
    <r>
      <rPr>
        <vertAlign val="superscript"/>
        <sz val="10"/>
        <rFont val="Arial"/>
        <family val="2"/>
      </rPr>
      <t>3</t>
    </r>
    <r>
      <rPr>
        <sz val="10"/>
        <rFont val="Arial"/>
        <family val="2"/>
      </rPr>
      <t xml:space="preserve"> Annual Volume 59,256,000 m³</t>
    </r>
  </si>
  <si>
    <r>
      <t>Contract Demand 669,000m</t>
    </r>
    <r>
      <rPr>
        <vertAlign val="superscript"/>
        <sz val="10"/>
        <rFont val="Arial"/>
        <family val="2"/>
      </rPr>
      <t>3</t>
    </r>
    <r>
      <rPr>
        <sz val="10"/>
        <rFont val="Arial"/>
        <family val="2"/>
      </rPr>
      <t xml:space="preserve"> Annual Volume 197,789,850 m³</t>
    </r>
  </si>
  <si>
    <r>
      <t>Contract Demand 1,200,000m</t>
    </r>
    <r>
      <rPr>
        <vertAlign val="superscript"/>
        <sz val="10"/>
        <rFont val="Arial"/>
        <family val="2"/>
      </rPr>
      <t>3</t>
    </r>
    <r>
      <rPr>
        <sz val="10"/>
        <rFont val="Arial"/>
        <family val="2"/>
      </rPr>
      <t xml:space="preserve"> Annual Volume 370,089,000 m³</t>
    </r>
  </si>
  <si>
    <r>
      <t>Contract Demand 2,350,000m</t>
    </r>
    <r>
      <rPr>
        <vertAlign val="superscript"/>
        <sz val="10"/>
        <rFont val="Arial"/>
        <family val="2"/>
      </rPr>
      <t>3</t>
    </r>
    <r>
      <rPr>
        <sz val="10"/>
        <rFont val="Arial"/>
        <family val="2"/>
      </rPr>
      <t xml:space="preserve"> Annual Volume 272,712,000 m³</t>
    </r>
  </si>
  <si>
    <t>Storage Deliverability Demand costs ($000s) (2)</t>
  </si>
  <si>
    <t>Attachment 2, column (b).</t>
  </si>
  <si>
    <t>Attachment 8, column (e).</t>
  </si>
  <si>
    <t>Attachment 7, column (b).</t>
  </si>
  <si>
    <t>Attachment 2, column (g).</t>
  </si>
  <si>
    <t>Attachment 1, column (e).</t>
  </si>
  <si>
    <t>Attachment 2, column (a), sum of gas supply commodity billing units.</t>
  </si>
  <si>
    <t>Transportation billing units per Attachment 2, column (a), sum of transportation billing units.</t>
  </si>
  <si>
    <t>Western transportation billing units per Attachment 2, column (a), sum of transportation - Western billing units.</t>
  </si>
  <si>
    <t>Attachment 2, column (h).</t>
  </si>
  <si>
    <t>Attachment 2, column (a).</t>
  </si>
  <si>
    <t>Attachment 12, p.1, column (a), line 21.</t>
  </si>
  <si>
    <t>Assumes two full time staff and $100,000 in additional compressor fuel and maintenance costs.</t>
  </si>
  <si>
    <t>Revenue requirement of Rate E72 stations (previously Rate M16).</t>
  </si>
  <si>
    <t>Storage System Integrity relates to the short-term excess utility storage and long-term storage allocation of storage system integrity per Union's 2013 Cost Allocation Study.</t>
  </si>
  <si>
    <t>Exhibit 7, Tab 2, Schedule 1, Attachment 8, column (as), line 10.</t>
  </si>
  <si>
    <t>Exhibit 7, Tab 2, Schedule 1, Attachment 8, column (as), line 13 + line 16.</t>
  </si>
  <si>
    <t>Long-term storage operational contingency per the 2024 Cost Allocation Study.</t>
  </si>
  <si>
    <r>
      <t>over 30,000 m</t>
    </r>
    <r>
      <rPr>
        <vertAlign val="superscript"/>
        <sz val="10"/>
        <rFont val="Arial"/>
        <family val="2"/>
      </rPr>
      <t>3</t>
    </r>
  </si>
  <si>
    <r>
      <t>Demand Billing Units (10</t>
    </r>
    <r>
      <rPr>
        <vertAlign val="superscript"/>
        <sz val="10"/>
        <rFont val="Arial"/>
        <family val="2"/>
      </rPr>
      <t>3</t>
    </r>
    <r>
      <rPr>
        <sz val="10"/>
        <rFont val="Arial"/>
        <family val="2"/>
      </rPr>
      <t>m</t>
    </r>
    <r>
      <rPr>
        <vertAlign val="superscript"/>
        <sz val="10"/>
        <rFont val="Arial"/>
        <family val="2"/>
      </rPr>
      <t>3</t>
    </r>
    <r>
      <rPr>
        <sz val="10"/>
        <rFont val="Arial"/>
        <family val="2"/>
      </rPr>
      <t>/d) (3)</t>
    </r>
  </si>
  <si>
    <r>
      <t>Transportation Billing Units (10</t>
    </r>
    <r>
      <rPr>
        <vertAlign val="superscript"/>
        <sz val="10"/>
        <rFont val="Arial"/>
        <family val="2"/>
      </rPr>
      <t>3</t>
    </r>
    <r>
      <rPr>
        <sz val="10"/>
        <rFont val="Arial"/>
        <family val="2"/>
      </rPr>
      <t>m</t>
    </r>
    <r>
      <rPr>
        <vertAlign val="superscript"/>
        <sz val="10"/>
        <rFont val="Arial"/>
        <family val="2"/>
      </rPr>
      <t>3</t>
    </r>
    <r>
      <rPr>
        <sz val="10"/>
        <rFont val="Arial"/>
        <family val="2"/>
      </rPr>
      <t>) (3)</t>
    </r>
  </si>
  <si>
    <t>Attachment 7, column (b) and Attachment 11, column (c).</t>
  </si>
  <si>
    <t>Exhibit 7, Tab 3, Schedule 1, Attachment 10, line 35.</t>
  </si>
  <si>
    <t>Rate derived as costs in columns (a), (b) and (c) divided by allocation units in column (d), respectively. Demand unit rates divided by 12 months.</t>
  </si>
  <si>
    <t>Exhibit 7, Tab 3, Schedule 1, Attachment 10, Attachment 9 and Attachment 8, column (a), line 9, line 8 and line 11, respectively.</t>
  </si>
  <si>
    <t>Exhibit 7, Tab 3, Schedule 1, Attachment 5, line 52, column (g) multiplied by ICC% of 6.62%.</t>
  </si>
  <si>
    <t>Exhibit 7, Tab 3, Schedule 1, Attachment 10 and Attachment 8, line 3, column (a), respectively.</t>
  </si>
  <si>
    <t>Firm space and deliverability allocation units per Exhibit 7, Tab 3, Schedule 1, Attachment 12, STORAGEXCESS and NETFROMSTOR allocation factors, respectively.</t>
  </si>
  <si>
    <t>Firm Transportation Demand Charge (Tier 1), Commoditized @ 100%</t>
  </si>
  <si>
    <t>Rate E70 Parkway to Dawn average annual fuel ratio</t>
  </si>
  <si>
    <t>Unbundled Balancing Service (UBS) Daily Commodity Charge</t>
  </si>
  <si>
    <t xml:space="preserve">Parkway Delivery Commitment Incentive (PDCI) </t>
  </si>
  <si>
    <t xml:space="preserve">Attachment 11, column (c). </t>
  </si>
  <si>
    <t>Exhibit 8, Tab 2, Schedule 2, Table 2, line 5 provides the calculation of the total sales service annual cost for use of the Panhandle and St. Clair systems.</t>
  </si>
  <si>
    <r>
      <t>Contract Demand 24 m</t>
    </r>
    <r>
      <rPr>
        <vertAlign val="superscript"/>
        <sz val="10"/>
        <rFont val="Arial"/>
        <family val="2"/>
      </rPr>
      <t>3</t>
    </r>
    <r>
      <rPr>
        <sz val="10"/>
        <rFont val="Arial"/>
        <family val="2"/>
      </rPr>
      <t xml:space="preserve"> Annual Volume 2,400 m</t>
    </r>
    <r>
      <rPr>
        <vertAlign val="superscript"/>
        <sz val="10"/>
        <rFont val="Arial"/>
        <family val="2"/>
      </rPr>
      <t xml:space="preserve">3 </t>
    </r>
  </si>
  <si>
    <r>
      <t>Contract Demand 51 m</t>
    </r>
    <r>
      <rPr>
        <vertAlign val="superscript"/>
        <sz val="10"/>
        <rFont val="Arial"/>
        <family val="2"/>
      </rPr>
      <t>3</t>
    </r>
    <r>
      <rPr>
        <sz val="10"/>
        <rFont val="Arial"/>
        <family val="2"/>
      </rPr>
      <t xml:space="preserve"> Annual Volume 5,048 m</t>
    </r>
    <r>
      <rPr>
        <vertAlign val="superscript"/>
        <sz val="10"/>
        <rFont val="Arial"/>
        <family val="2"/>
      </rPr>
      <t xml:space="preserve">3 </t>
    </r>
  </si>
  <si>
    <r>
      <t>Contract Demand 3,097 m</t>
    </r>
    <r>
      <rPr>
        <vertAlign val="superscript"/>
        <sz val="10"/>
        <rFont val="Arial"/>
        <family val="2"/>
      </rPr>
      <t>3</t>
    </r>
    <r>
      <rPr>
        <sz val="10"/>
        <rFont val="Arial"/>
        <family val="2"/>
      </rPr>
      <t xml:space="preserve"> Annual Volume 339,124 m</t>
    </r>
    <r>
      <rPr>
        <vertAlign val="superscript"/>
        <sz val="10"/>
        <rFont val="Arial"/>
        <family val="2"/>
      </rPr>
      <t xml:space="preserve">3 </t>
    </r>
  </si>
  <si>
    <r>
      <t>Contract Demand 2,993 m</t>
    </r>
    <r>
      <rPr>
        <vertAlign val="superscript"/>
        <sz val="10"/>
        <rFont val="Arial"/>
        <family val="2"/>
      </rPr>
      <t>3</t>
    </r>
    <r>
      <rPr>
        <sz val="10"/>
        <rFont val="Arial"/>
        <family val="2"/>
      </rPr>
      <t xml:space="preserve"> Annual Volume 339,188 m</t>
    </r>
    <r>
      <rPr>
        <vertAlign val="superscript"/>
        <sz val="10"/>
        <rFont val="Arial"/>
        <family val="2"/>
      </rPr>
      <t>3</t>
    </r>
    <r>
      <rPr>
        <sz val="10"/>
        <rFont val="Arial"/>
        <family val="2"/>
      </rPr>
      <t xml:space="preserve"> </t>
    </r>
  </si>
  <si>
    <r>
      <t>Contract Demand 15,000 m</t>
    </r>
    <r>
      <rPr>
        <vertAlign val="superscript"/>
        <sz val="10"/>
        <rFont val="Arial"/>
        <family val="2"/>
      </rPr>
      <t>3</t>
    </r>
    <r>
      <rPr>
        <sz val="10"/>
        <rFont val="Arial"/>
        <family val="2"/>
      </rPr>
      <t xml:space="preserve"> Annual Volume 598,567 m</t>
    </r>
    <r>
      <rPr>
        <vertAlign val="superscript"/>
        <sz val="10"/>
        <rFont val="Arial"/>
        <family val="2"/>
      </rPr>
      <t>3</t>
    </r>
    <r>
      <rPr>
        <sz val="10"/>
        <rFont val="Arial"/>
        <family val="2"/>
      </rPr>
      <t xml:space="preserve"> </t>
    </r>
  </si>
  <si>
    <r>
      <t>Contract Demand 30,000 m</t>
    </r>
    <r>
      <rPr>
        <vertAlign val="superscript"/>
        <sz val="10"/>
        <rFont val="Arial"/>
        <family val="2"/>
      </rPr>
      <t>3</t>
    </r>
    <r>
      <rPr>
        <sz val="10"/>
        <rFont val="Arial"/>
        <family val="2"/>
      </rPr>
      <t xml:space="preserve"> Annual Volume 1,500,000 m</t>
    </r>
    <r>
      <rPr>
        <vertAlign val="superscript"/>
        <sz val="10"/>
        <rFont val="Arial"/>
        <family val="2"/>
      </rPr>
      <t xml:space="preserve">3 </t>
    </r>
  </si>
  <si>
    <r>
      <t>Contract Demand 3,292 m</t>
    </r>
    <r>
      <rPr>
        <vertAlign val="superscript"/>
        <sz val="10"/>
        <rFont val="Arial"/>
        <family val="2"/>
      </rPr>
      <t>3</t>
    </r>
    <r>
      <rPr>
        <sz val="10"/>
        <rFont val="Arial"/>
        <family val="2"/>
      </rPr>
      <t xml:space="preserve"> Annual Volume 598,568 m</t>
    </r>
    <r>
      <rPr>
        <vertAlign val="superscript"/>
        <sz val="10"/>
        <rFont val="Arial"/>
        <family val="2"/>
      </rPr>
      <t xml:space="preserve">3 </t>
    </r>
  </si>
  <si>
    <r>
      <t>Contract Demand 36,413 m</t>
    </r>
    <r>
      <rPr>
        <vertAlign val="superscript"/>
        <sz val="10"/>
        <rFont val="Arial"/>
        <family val="2"/>
      </rPr>
      <t>3</t>
    </r>
    <r>
      <rPr>
        <sz val="10"/>
        <rFont val="Arial"/>
        <family val="2"/>
      </rPr>
      <t xml:space="preserve"> Annual Volume 9,976,120 m</t>
    </r>
    <r>
      <rPr>
        <vertAlign val="superscript"/>
        <sz val="10"/>
        <rFont val="Arial"/>
        <family val="2"/>
      </rPr>
      <t xml:space="preserve">3 </t>
    </r>
  </si>
  <si>
    <r>
      <t>Contract Demand 53,871 m</t>
    </r>
    <r>
      <rPr>
        <vertAlign val="superscript"/>
        <sz val="10"/>
        <rFont val="Arial"/>
        <family val="2"/>
      </rPr>
      <t xml:space="preserve">3 </t>
    </r>
    <r>
      <rPr>
        <sz val="10"/>
        <rFont val="Arial"/>
        <family val="2"/>
      </rPr>
      <t>Annual Volume 9,976,121 m</t>
    </r>
    <r>
      <rPr>
        <vertAlign val="superscript"/>
        <sz val="10"/>
        <rFont val="Arial"/>
        <family val="2"/>
      </rPr>
      <t xml:space="preserve">3 </t>
    </r>
  </si>
  <si>
    <r>
      <t>Annual Volume 4,471,609 m</t>
    </r>
    <r>
      <rPr>
        <vertAlign val="superscript"/>
        <sz val="10"/>
        <rFont val="Arial"/>
        <family val="2"/>
      </rPr>
      <t xml:space="preserve">3 </t>
    </r>
  </si>
  <si>
    <r>
      <t>Contract Demand 238,928 m</t>
    </r>
    <r>
      <rPr>
        <vertAlign val="superscript"/>
        <sz val="10"/>
        <rFont val="Arial"/>
        <family val="2"/>
      </rPr>
      <t>3</t>
    </r>
    <r>
      <rPr>
        <sz val="10"/>
        <rFont val="Arial"/>
        <family val="2"/>
      </rPr>
      <t xml:space="preserve"> Annual Volume 69,832,850 m</t>
    </r>
    <r>
      <rPr>
        <vertAlign val="superscript"/>
        <sz val="10"/>
        <rFont val="Arial"/>
        <family val="2"/>
      </rPr>
      <t xml:space="preserve">3 </t>
    </r>
  </si>
  <si>
    <r>
      <t>Contract Demand 2,315,000 m</t>
    </r>
    <r>
      <rPr>
        <vertAlign val="superscript"/>
        <sz val="10"/>
        <rFont val="Arial"/>
        <family val="2"/>
      </rPr>
      <t>3</t>
    </r>
    <r>
      <rPr>
        <sz val="10"/>
        <rFont val="Arial"/>
        <family val="2"/>
      </rPr>
      <t xml:space="preserve"> Annual Volume 206,000,000 m</t>
    </r>
    <r>
      <rPr>
        <vertAlign val="superscript"/>
        <sz val="10"/>
        <rFont val="Arial"/>
        <family val="2"/>
      </rPr>
      <t xml:space="preserve">3 </t>
    </r>
  </si>
  <si>
    <r>
      <t>Contract Demand 8,180 m</t>
    </r>
    <r>
      <rPr>
        <vertAlign val="superscript"/>
        <sz val="10"/>
        <rFont val="Arial"/>
        <family val="2"/>
      </rPr>
      <t>3</t>
    </r>
    <r>
      <rPr>
        <sz val="10"/>
        <rFont val="Arial"/>
        <family val="2"/>
      </rPr>
      <t xml:space="preserve"> Annual Volume 598,567 m</t>
    </r>
    <r>
      <rPr>
        <vertAlign val="superscript"/>
        <sz val="10"/>
        <rFont val="Arial"/>
        <family val="2"/>
      </rPr>
      <t xml:space="preserve">3 </t>
    </r>
  </si>
  <si>
    <r>
      <t>Contract Demand 2,993 m</t>
    </r>
    <r>
      <rPr>
        <vertAlign val="superscript"/>
        <sz val="10"/>
        <rFont val="Arial"/>
        <family val="2"/>
      </rPr>
      <t>3</t>
    </r>
    <r>
      <rPr>
        <sz val="10"/>
        <rFont val="Arial"/>
        <family val="2"/>
      </rPr>
      <t xml:space="preserve"> Annual Volume 339,188 m</t>
    </r>
    <r>
      <rPr>
        <vertAlign val="superscript"/>
        <sz val="10"/>
        <rFont val="Arial"/>
        <family val="2"/>
      </rPr>
      <t xml:space="preserve">3 </t>
    </r>
  </si>
  <si>
    <r>
      <t>Contract Demand 4,489 m</t>
    </r>
    <r>
      <rPr>
        <vertAlign val="superscript"/>
        <sz val="10"/>
        <rFont val="Arial"/>
        <family val="2"/>
      </rPr>
      <t>3</t>
    </r>
    <r>
      <rPr>
        <sz val="10"/>
        <rFont val="Arial"/>
        <family val="2"/>
      </rPr>
      <t xml:space="preserve"> Annual Volume 598,567 m</t>
    </r>
    <r>
      <rPr>
        <vertAlign val="superscript"/>
        <sz val="10"/>
        <rFont val="Arial"/>
        <family val="2"/>
      </rPr>
      <t xml:space="preserve">3 </t>
    </r>
  </si>
  <si>
    <r>
      <t>Contract Demand 53,871 m</t>
    </r>
    <r>
      <rPr>
        <vertAlign val="superscript"/>
        <sz val="10"/>
        <rFont val="Arial"/>
        <family val="2"/>
      </rPr>
      <t>3</t>
    </r>
    <r>
      <rPr>
        <sz val="10"/>
        <rFont val="Arial"/>
        <family val="2"/>
      </rPr>
      <t xml:space="preserve"> Annual Volume 9,976,121 m</t>
    </r>
    <r>
      <rPr>
        <vertAlign val="superscript"/>
        <sz val="10"/>
        <rFont val="Arial"/>
        <family val="2"/>
      </rPr>
      <t xml:space="preserve">3 </t>
    </r>
  </si>
  <si>
    <r>
      <t>Contract Demand 255,089 m</t>
    </r>
    <r>
      <rPr>
        <vertAlign val="superscript"/>
        <sz val="10"/>
        <rFont val="Arial"/>
        <family val="2"/>
      </rPr>
      <t>3</t>
    </r>
    <r>
      <rPr>
        <sz val="10"/>
        <rFont val="Arial"/>
        <family val="2"/>
      </rPr>
      <t xml:space="preserve"> Annual Volume 69,832,850 m</t>
    </r>
    <r>
      <rPr>
        <vertAlign val="superscript"/>
        <sz val="10"/>
        <rFont val="Arial"/>
        <family val="2"/>
      </rPr>
      <t xml:space="preserve">3 </t>
    </r>
  </si>
  <si>
    <r>
      <t>Contract Demand 1,252,000 m</t>
    </r>
    <r>
      <rPr>
        <vertAlign val="superscript"/>
        <sz val="10"/>
        <rFont val="Arial"/>
        <family val="2"/>
      </rPr>
      <t>3</t>
    </r>
    <r>
      <rPr>
        <sz val="10"/>
        <rFont val="Arial"/>
        <family val="2"/>
      </rPr>
      <t xml:space="preserve"> Annual Volume 140,305,600 m</t>
    </r>
    <r>
      <rPr>
        <vertAlign val="superscript"/>
        <sz val="10"/>
        <rFont val="Arial"/>
        <family val="2"/>
      </rPr>
      <t xml:space="preserve">3 </t>
    </r>
  </si>
  <si>
    <r>
      <t>Contract Demand 20 m</t>
    </r>
    <r>
      <rPr>
        <vertAlign val="superscript"/>
        <sz val="10"/>
        <rFont val="Arial"/>
        <family val="2"/>
      </rPr>
      <t>3</t>
    </r>
    <r>
      <rPr>
        <sz val="10"/>
        <rFont val="Arial"/>
        <family val="2"/>
      </rPr>
      <t xml:space="preserve"> Annual Volume 2,200 m³</t>
    </r>
  </si>
  <si>
    <r>
      <t>Contract Demand 365 m</t>
    </r>
    <r>
      <rPr>
        <vertAlign val="superscript"/>
        <sz val="10"/>
        <rFont val="Arial"/>
        <family val="2"/>
      </rPr>
      <t>3</t>
    </r>
    <r>
      <rPr>
        <sz val="10"/>
        <rFont val="Arial"/>
        <family val="2"/>
      </rPr>
      <t xml:space="preserve"> Annual Volume 40,000 m³</t>
    </r>
  </si>
  <si>
    <r>
      <t>Contract Demand 548 m</t>
    </r>
    <r>
      <rPr>
        <vertAlign val="superscript"/>
        <sz val="10"/>
        <rFont val="Arial"/>
        <family val="2"/>
      </rPr>
      <t>3</t>
    </r>
    <r>
      <rPr>
        <sz val="10"/>
        <rFont val="Arial"/>
        <family val="2"/>
      </rPr>
      <t xml:space="preserve"> Annual Volume 60,000 m³</t>
    </r>
  </si>
  <si>
    <r>
      <t>Contract Demand 850 m</t>
    </r>
    <r>
      <rPr>
        <vertAlign val="superscript"/>
        <sz val="10"/>
        <rFont val="Arial"/>
        <family val="2"/>
      </rPr>
      <t>3</t>
    </r>
    <r>
      <rPr>
        <sz val="10"/>
        <rFont val="Arial"/>
        <family val="2"/>
      </rPr>
      <t xml:space="preserve"> Annual Volume 93,000 m³</t>
    </r>
  </si>
  <si>
    <r>
      <t>Contract Demand 2,285 m</t>
    </r>
    <r>
      <rPr>
        <vertAlign val="superscript"/>
        <sz val="10"/>
        <rFont val="Arial"/>
        <family val="2"/>
      </rPr>
      <t>3</t>
    </r>
    <r>
      <rPr>
        <sz val="10"/>
        <rFont val="Arial"/>
        <family val="2"/>
      </rPr>
      <t xml:space="preserve"> Annual Volume 250,000 m³</t>
    </r>
  </si>
  <si>
    <r>
      <t>Contract Demand 14,000 m</t>
    </r>
    <r>
      <rPr>
        <vertAlign val="superscript"/>
        <sz val="10"/>
        <rFont val="Arial"/>
        <family val="2"/>
      </rPr>
      <t>3</t>
    </r>
    <r>
      <rPr>
        <sz val="10"/>
        <rFont val="Arial"/>
        <family val="2"/>
      </rPr>
      <t xml:space="preserve"> Annual Volume 3,000,000 m³</t>
    </r>
  </si>
  <si>
    <r>
      <t>Contract Demand 60,000 m</t>
    </r>
    <r>
      <rPr>
        <vertAlign val="superscript"/>
        <sz val="10"/>
        <rFont val="Arial"/>
        <family val="2"/>
      </rPr>
      <t>3</t>
    </r>
    <r>
      <rPr>
        <sz val="10"/>
        <rFont val="Arial"/>
        <family val="2"/>
      </rPr>
      <t xml:space="preserve"> Annual Volume 15,000,000 m³</t>
    </r>
  </si>
  <si>
    <r>
      <t>Contract Demand 14,000 m</t>
    </r>
    <r>
      <rPr>
        <vertAlign val="superscript"/>
        <sz val="10"/>
        <rFont val="Arial"/>
        <family val="2"/>
      </rPr>
      <t>3</t>
    </r>
    <r>
      <rPr>
        <sz val="10"/>
        <rFont val="Arial"/>
        <family val="2"/>
      </rPr>
      <t xml:space="preserve">  Annual Volume 3,000,000 m³</t>
    </r>
  </si>
  <si>
    <r>
      <t>Contract Demand 20,776 m</t>
    </r>
    <r>
      <rPr>
        <vertAlign val="superscript"/>
        <sz val="10"/>
        <rFont val="Arial"/>
        <family val="2"/>
      </rPr>
      <t>3</t>
    </r>
    <r>
      <rPr>
        <sz val="10"/>
        <rFont val="Arial"/>
        <family val="2"/>
      </rPr>
      <t xml:space="preserve"> Annual Volume 2,275,000 m³</t>
    </r>
  </si>
  <si>
    <r>
      <t>Contract Demand 100,000 m</t>
    </r>
    <r>
      <rPr>
        <vertAlign val="superscript"/>
        <sz val="10"/>
        <rFont val="Arial"/>
        <family val="2"/>
      </rPr>
      <t>3</t>
    </r>
    <r>
      <rPr>
        <sz val="10"/>
        <rFont val="Arial"/>
        <family val="2"/>
      </rPr>
      <t xml:space="preserve"> Annual Volume 27,000,000 m³</t>
    </r>
  </si>
  <si>
    <r>
      <t>Contract Demand 850,000 m</t>
    </r>
    <r>
      <rPr>
        <vertAlign val="superscript"/>
        <sz val="10"/>
        <rFont val="Arial"/>
        <family val="2"/>
      </rPr>
      <t>3</t>
    </r>
    <r>
      <rPr>
        <sz val="10"/>
        <rFont val="Arial"/>
        <family val="2"/>
      </rPr>
      <t xml:space="preserve"> Annual Volume 240,000,000 m³</t>
    </r>
  </si>
  <si>
    <t>Small Rate 1 to Rate E01</t>
  </si>
  <si>
    <t>Large Rate 1 to Rate E01</t>
  </si>
  <si>
    <t>Small Rate 6 to Rate E01</t>
  </si>
  <si>
    <t>Average Rate 6 to Rate E02</t>
  </si>
  <si>
    <t>Large Rate 6 to Rate E02</t>
  </si>
  <si>
    <t>Small Rate 100 to Rate E10</t>
  </si>
  <si>
    <t xml:space="preserve">Average Rate 100 to Rate E10 </t>
  </si>
  <si>
    <t xml:space="preserve">Large Rate 100 to Rate E10 </t>
  </si>
  <si>
    <t xml:space="preserve">Small Rate 110 to Rate E10 </t>
  </si>
  <si>
    <t>Average Rate 110 to Rate E10</t>
  </si>
  <si>
    <t>Large Rate 110 to Rate E10</t>
  </si>
  <si>
    <t xml:space="preserve">Small Rate 115 to Rate E10 </t>
  </si>
  <si>
    <t xml:space="preserve">Large Rate 115 to Rate E10 </t>
  </si>
  <si>
    <t>Average Rate 125 to Rate E24</t>
  </si>
  <si>
    <t>Average Rate 135 to Rate E34</t>
  </si>
  <si>
    <t>Small Rate 145 to Rate E30</t>
  </si>
  <si>
    <t>Large Rate 145 to Rate E30</t>
  </si>
  <si>
    <t xml:space="preserve">Small Rate 170 to Rate E30 </t>
  </si>
  <si>
    <t>Large Rate 170 to Rate E30</t>
  </si>
  <si>
    <r>
      <t>Average Rate 200 to Rate E62</t>
    </r>
    <r>
      <rPr>
        <sz val="10"/>
        <rFont val="Arial"/>
        <family val="2"/>
      </rPr>
      <t xml:space="preserve">  (1)</t>
    </r>
  </si>
  <si>
    <t>Small Rate 01 to Rate E01</t>
  </si>
  <si>
    <t>Large Rate 01 to Rate E02</t>
  </si>
  <si>
    <t>Small Rate M1 to Rate E01</t>
  </si>
  <si>
    <t>Large Rate M1 to Rate E02</t>
  </si>
  <si>
    <t>Small Rate M2 to Rate E02</t>
  </si>
  <si>
    <t>Average Rate M2 to Rate E02</t>
  </si>
  <si>
    <t>Large Rate M2 to Rate E02</t>
  </si>
  <si>
    <t>Small Rate M4 to Rate E10</t>
  </si>
  <si>
    <t>Large Rate M4 to Rate E10</t>
  </si>
  <si>
    <t>Small Rate M5 to Rate E30</t>
  </si>
  <si>
    <t>Large Rate M5 to Rate E30</t>
  </si>
  <si>
    <t>Small Rate M7 to Rate E10</t>
  </si>
  <si>
    <t>Large Rate M7 to Rate E10</t>
  </si>
  <si>
    <r>
      <t>Small Rate M9 to Rate E62</t>
    </r>
    <r>
      <rPr>
        <sz val="10"/>
        <rFont val="Arial"/>
        <family val="2"/>
      </rPr>
      <t xml:space="preserve">  (1)</t>
    </r>
  </si>
  <si>
    <r>
      <t>Large Rate M9 to Rate E62</t>
    </r>
    <r>
      <rPr>
        <sz val="10"/>
        <rFont val="Arial"/>
        <family val="2"/>
      </rPr>
      <t xml:space="preserve">  (1)</t>
    </r>
  </si>
  <si>
    <t>Small Rate T1 to Rate E20</t>
  </si>
  <si>
    <t>Average Rate T1 to Rate E20</t>
  </si>
  <si>
    <t>Large Rate T1 to Rate E20</t>
  </si>
  <si>
    <t>Small Rate T2 to Rate E20</t>
  </si>
  <si>
    <t>Average Rate T2 to Rate E20</t>
  </si>
  <si>
    <t>Large Rate T2 to Rate E20</t>
  </si>
  <si>
    <t>Small Rate T2 to Rate E24</t>
  </si>
  <si>
    <t>Average Rate T2 to Rate E24</t>
  </si>
  <si>
    <t>Large Rate T2 to Rate E24</t>
  </si>
  <si>
    <r>
      <t>Large Rate T3 to Rate E64</t>
    </r>
    <r>
      <rPr>
        <sz val="10"/>
        <rFont val="Arial"/>
        <family val="2"/>
      </rPr>
      <t xml:space="preserve">  (1)</t>
    </r>
  </si>
  <si>
    <t>Monthly fuel rates and fuel and commodity ratios per Rate E70 Schedule B.</t>
  </si>
  <si>
    <t>Dawn Station revenue requirement per Exhibit 7, Tab 2, Schedule 1, Attachment 8, columns (an) and (ap), line 13.</t>
  </si>
  <si>
    <t>Kirkwall Station revenue requirement per Exhibit 7, Tab 2, Schedule 1, Attachment 8, columns (an) and (ap), line 14.</t>
  </si>
  <si>
    <t>Parkway Station revenue requirement per Exhibit 7, Tab 2, Schedule 1, Attachment 8, columns (an) and (ap), line 15.</t>
  </si>
  <si>
    <t>Panhandle System and St. Clair System maximum design capacity.</t>
  </si>
  <si>
    <t>Exhibit 7, Tab 3, Schedule 1, Attachment 1, p. 4, column (g).</t>
  </si>
  <si>
    <t>Typical customer station count includes gas purchase agreement stations.</t>
  </si>
  <si>
    <t>Ex-franchise (Continued)</t>
  </si>
  <si>
    <t>In-franchise (Continued)</t>
  </si>
  <si>
    <t xml:space="preserve"> Derivation of Gas Supply Transportation and Commodity Charges by Rate Class (Continued)</t>
  </si>
  <si>
    <t>In-franchise Rate Classes (Continued)</t>
  </si>
  <si>
    <t>Ex-franchise Rate Classes (Continued)</t>
  </si>
  <si>
    <t>Rate E70 (Continued)</t>
  </si>
  <si>
    <t>Injection/Withdrawal Commodity</t>
  </si>
  <si>
    <t>South Transportation - Customer Supplied Fuel</t>
  </si>
  <si>
    <t>Easterly - Shipper Supplied Fuel</t>
  </si>
  <si>
    <t>Westerly - Shipper Supplied Fuel</t>
  </si>
  <si>
    <t>Short-term Transportation  - Utility Supplied Fuel</t>
  </si>
  <si>
    <t>Commodity - Shipper Supplied Fuel</t>
  </si>
  <si>
    <t xml:space="preserve">  Shipper Supplied Fuel to Dawn</t>
  </si>
  <si>
    <t xml:space="preserve">  Shipper Supplied Fuel to Pool</t>
  </si>
  <si>
    <t xml:space="preserve">  Utility Supplied Fuel to Dawn</t>
  </si>
  <si>
    <t>Commodity - Utility Supplied Fuel</t>
  </si>
  <si>
    <t xml:space="preserve">  Utility Supplied Fuel to Pool</t>
  </si>
  <si>
    <t>Storage ($/GJ)</t>
  </si>
  <si>
    <t xml:space="preserve">Customer Supplied Fuel - Storage </t>
  </si>
  <si>
    <t>Calculation of Supplemental Service Charges (Continued)</t>
  </si>
  <si>
    <t>Gas Supply Administration Cost ($000s) (1)</t>
  </si>
  <si>
    <t>Transportation Commodity Cost ($000s) (1)</t>
  </si>
  <si>
    <t>Transportation Fuel Cost ($000s) (1)</t>
  </si>
  <si>
    <t>Transportation Demand Cost ($000s) (1)</t>
  </si>
  <si>
    <t>Distribution Demand costs ($000s) (3)</t>
  </si>
  <si>
    <t>Storage and Transportation (S&amp;T) Margin Allocation</t>
  </si>
  <si>
    <t>Exhibit 7, Tab 3, Schedule 1, Attachment 12, pp.11-13, line 19.</t>
  </si>
  <si>
    <t>Exhibit 7, Tab 3, Schedule 1, Attachment 12, pp.14-16, line 41.</t>
  </si>
  <si>
    <t>Note:</t>
  </si>
  <si>
    <t>Attachment 9, p.1, column (a).</t>
  </si>
  <si>
    <t>EGD Rate Zone</t>
  </si>
  <si>
    <t>Rate 200 customers are not charged the Federal Carbon Charge.</t>
  </si>
  <si>
    <t>EB-2022-0133 - Current Approved (2)</t>
  </si>
  <si>
    <t>EGD Rate Zone (Continued)</t>
  </si>
  <si>
    <t>Rate M9 and Rate T3 customers are not charged the Federal Carbon Charge.</t>
  </si>
  <si>
    <t>Union South Rate Zone (Continued)</t>
  </si>
  <si>
    <t>Union South Rate Zone</t>
  </si>
  <si>
    <t>Attachment 2, pp.5-6, columns (g), (e), and (f), respectively.</t>
  </si>
  <si>
    <t>Ibid, line 20.</t>
  </si>
  <si>
    <t>Ibid, line 21.</t>
  </si>
  <si>
    <t>Pre-authorized Interruptible Service</t>
  </si>
  <si>
    <t>Total (2) (3)</t>
  </si>
  <si>
    <t>Transportation - Customer Supplied Fuel</t>
  </si>
  <si>
    <t>Delivery Demand Charge - Commoditized @ 100% Load Factor (8)</t>
  </si>
  <si>
    <t>Commoditized demand charge at 100% load factor is equal to the respective demand charge multiplied by 12 and divided by 365.</t>
  </si>
  <si>
    <t>Rate E34 demand charge at 100% load factor is commoditized at 100% demand charge for 8 months and 10% demand charge for 4 months multiplied by 12 and divided by 365.</t>
  </si>
  <si>
    <t>(b) = (c - a)</t>
  </si>
  <si>
    <t>Ibid, line 51.</t>
  </si>
  <si>
    <t>Exhibit 7, Tab 3, Schedule 1, Attachment 12, pp.11-13, lines 21 and 23.</t>
  </si>
  <si>
    <t>EB-2022-0133, Exhibit D, Tab 1, Appendix A.</t>
  </si>
  <si>
    <t>Gas Supply charges based on Union North East rate zone.</t>
  </si>
  <si>
    <t>EB-2022-0133, Exhibit D, Tab 2, Appendix A.</t>
  </si>
  <si>
    <t>EB-2022-0133, Exhibit D, Tab 1, Appendix A for the EGD rate zone; and Exhibit D, Tab 2, Appendix A for the Union rate zones.</t>
  </si>
  <si>
    <t>Dawn Parkway revenue requirement per Exhibit 7, Tab 2, Schedule 1, Attachment 8, columns (an) and (ap), line 10 + line 16, less F24-T revenue.</t>
  </si>
  <si>
    <t>Western incremental revenue calculated as line 9 x line 14 / 100.</t>
  </si>
  <si>
    <r>
      <t>Difference between the Dawn supply price of $5.267/GJ and the Empress supply price of $4.539/GJ based on the April 2022 QRAM, converted to cents/m</t>
    </r>
    <r>
      <rPr>
        <vertAlign val="superscript"/>
        <sz val="10"/>
        <rFont val="Arial"/>
        <family val="2"/>
      </rPr>
      <t>3</t>
    </r>
    <r>
      <rPr>
        <sz val="10"/>
        <rFont val="Arial"/>
        <family val="2"/>
      </rPr>
      <t>.</t>
    </r>
  </si>
  <si>
    <t>Dawn to Parkway easterly demands per Attachment 2, p. 4, column (a), line 4 + line 12.</t>
  </si>
  <si>
    <t>Dawn to Kirkwall easterly demands per Attachment 2, p. 5, column (a), line 6.</t>
  </si>
  <si>
    <t>Kirkwall to Parkway easterly demands per Attachment 2, p. 5, column (a), line 8.</t>
  </si>
  <si>
    <t>Parkway to Dawn westerly demands in column (d) per Attachment 2, p. 5, column (a), line 10 + line 12 x 12 / 365 x 100 days.</t>
  </si>
  <si>
    <t>Kirkwall to Dawn westerly demands in column (d) per Attachment 2, p. 5, column (a), line 11 x 12 / 365 x 214 days, distance weighted.</t>
  </si>
  <si>
    <t>Adjusted Easterly Demand Charge ($/GJ) (line 5 x 1000 / line 11)</t>
  </si>
  <si>
    <t>Distance weighted TJ/km (line 2 x line 3 / 1000)</t>
  </si>
  <si>
    <t>Dawn, Parkway and Kirkwall Station 
Demand Charges ($/GJ) (line 1 x 1000 / line 11)</t>
  </si>
  <si>
    <t>Westerly Revenue Adjustment ($000s) ((line 9 + line 10) x line 13 / 1000)</t>
  </si>
  <si>
    <t>Ibid, Attachment 12.</t>
  </si>
  <si>
    <r>
      <t>Unauthorized Overrun Non-Compliance Charge (cents/m</t>
    </r>
    <r>
      <rPr>
        <vertAlign val="superscript"/>
        <sz val="10"/>
        <rFont val="Arial"/>
        <family val="2"/>
      </rPr>
      <t>3</t>
    </r>
    <r>
      <rPr>
        <sz val="10"/>
        <rFont val="Arial"/>
        <family val="2"/>
      </rPr>
      <t>) (line 85 x line 86 / 10)</t>
    </r>
  </si>
  <si>
    <t>Authorized Overrun Charges (Continued)</t>
  </si>
  <si>
    <t>F24-T Firm Demand Charge (line 5 x 1000 / (line 6 x 12))</t>
  </si>
  <si>
    <t>Attachment 2, p.5, column (a), line 5 + line 7 + line 17.</t>
  </si>
  <si>
    <t>From Dawn to St. Clair, Bluewater and Ojibway Demand Charge ($/GJ/mo) (line 6 x 1000 / (line 7 x12))</t>
  </si>
  <si>
    <t>To Dawn from St. Clair, Bluewater and Ojibway Demand Charge ($/GJ/mo) (line 8 x 100/365)</t>
  </si>
  <si>
    <t>Dawn to Dawn-Vector Demand Charge ($/GJ/mo) (line 12 x 60/365)</t>
  </si>
  <si>
    <t>Dawn to Dawn-TCPL Demand Charge ($/GJ/mo) (line 12 x 90/365)</t>
  </si>
  <si>
    <t>Monthly Fixed Charge Per Typical Customer Station ($/mo) (line 1 / line 2 x 12 x 1000)</t>
  </si>
  <si>
    <t>Monthly Fixed Charge Per Large Customer Station ($/mo) (line 4 / line 5 x 12 x 1000)</t>
  </si>
  <si>
    <t>RNG Sampling Charge ($/test) (line 7 / line 8 x 1000)</t>
  </si>
  <si>
    <t>Rate E80/Rate E72 Transmission Commodity Charge ($/GJ) (line 13 x 12/365 x 50%)</t>
  </si>
  <si>
    <t>Monthly Fixed Charge Per Customer Station ($/mo) (line 1 / (line 2 x 12) x 1000)</t>
  </si>
  <si>
    <t>Distance adjusted Dawn to Parkway Demand Charge ($/GJ) (line 4 x (line 5 / line 6))</t>
  </si>
  <si>
    <t>East of Dawn Demand Charge - Adjusted for Easterly Flow ($/GJ) (line 7 x 214 / 365)</t>
  </si>
  <si>
    <t>Total Dawn to Owen Sound Line Demand Charge ($/GJ/mo) (line 8 / line 9 x 1000)</t>
  </si>
  <si>
    <t>Attachment 2, p.5, column (a), line 2 x 12 months.</t>
  </si>
  <si>
    <t>Attachment 12, column (a), p. 1, line 22.</t>
  </si>
  <si>
    <t xml:space="preserve">Unit rates for Heritage and Tipperary Pool transportation per Rate E72 charges provided at Attachment 2, p.6, column (h), lines 28, 31 and 32, and lines 28, 37 and 38, respectively. </t>
  </si>
  <si>
    <t>Easterly Demands (from p.1, line 2)</t>
  </si>
  <si>
    <t>Adjusted Westerly Demands Recovered over 100 days (from p.1, line 9)</t>
  </si>
  <si>
    <t>Adjusted Westerly Demands Recovered over 214 days (from p.1, line 10)</t>
  </si>
  <si>
    <r>
      <t>Contract Demand 206 m</t>
    </r>
    <r>
      <rPr>
        <vertAlign val="superscript"/>
        <sz val="10"/>
        <rFont val="Arial"/>
        <family val="2"/>
      </rPr>
      <t>3</t>
    </r>
    <r>
      <rPr>
        <sz val="10"/>
        <rFont val="Arial"/>
        <family val="2"/>
      </rPr>
      <t xml:space="preserve"> Annual Volume 22,606 m</t>
    </r>
    <r>
      <rPr>
        <vertAlign val="superscript"/>
        <sz val="10"/>
        <rFont val="Arial"/>
        <family val="2"/>
      </rPr>
      <t xml:space="preserve">3 </t>
    </r>
  </si>
  <si>
    <t>Rate E70 Dawn to Parkway Firm Demand Charge (from p.1, column (a), line 21)</t>
  </si>
  <si>
    <t>Rate E70 Parkway to Dawn Firm Demand Charge (from p.1, column (a), line 22)</t>
  </si>
  <si>
    <t>Operating &amp; Maintenance Costs ($000s) (1)</t>
  </si>
  <si>
    <t>F24-T Demand (GJ/d) (2)</t>
  </si>
  <si>
    <t xml:space="preserve">Dawn Parkway revenue requirement includes Dawn Parkway, Kirkwall Station and Parkway Station. Total revenue requirement from p.1, line 1. </t>
  </si>
  <si>
    <t xml:space="preserve">Dawn Station includes measuring and regulating costs as proposed at Exhibit 7, Tab 1, Schedule 4. Dawn Station revenue requirement from p. 1, line 1. </t>
  </si>
  <si>
    <t>Total Revenue Requirement (sum of lines 2 to 5)</t>
  </si>
  <si>
    <t>Delivery Charge - Contract Demand</t>
  </si>
  <si>
    <t>Delivery Charge - Contract Demand (Interruptible)</t>
  </si>
  <si>
    <t>Delivery Charge - Contract Demand (Firm)</t>
  </si>
  <si>
    <t>%</t>
  </si>
  <si>
    <t>There are no comparable current rates at harmonized rate classes.</t>
  </si>
  <si>
    <t>Calculation of Sales Service and Direct Purchase Bill Impacts for Typical Small and Large Customers</t>
  </si>
  <si>
    <t>Union North Rate Zone (Continued)</t>
  </si>
  <si>
    <t>Union North Rate Zone</t>
  </si>
  <si>
    <t>Westerly Demand Charge ((lines 16+9) x 214/365 + (line 18) x 100/365)</t>
  </si>
  <si>
    <t>Westerly Demand Charges (line 21 x 100 / 365; or line 22)</t>
  </si>
  <si>
    <t>Total Easterly Demand Charge (lines 16+17)</t>
  </si>
  <si>
    <t>Operating and maintenance costs of typical producer stations.</t>
  </si>
  <si>
    <t>Operating and maintenance costs of large producer stations.</t>
  </si>
  <si>
    <t>Operating and maintenance costs of RNG sampling at $10,000/test.</t>
  </si>
  <si>
    <t>Operating and maintenance costs for Rate E60 station (previously Rate M17).</t>
  </si>
  <si>
    <t xml:space="preserve">Unit rates for Dow Moore and Black Creek pool storage space and deliverability calculated as the capital component of storage space and deliverability demand charges provided at Attachment 5. Dow Moore and Black Creek pool storage unit rate charge for commodity per Attachment 5, line 10. </t>
  </si>
  <si>
    <t>Panhandle/
St. Clair Reallocation (4)</t>
  </si>
  <si>
    <t>Dawn Station Demand Charges ($/GJ) (line 1 x 1000 / line 11)</t>
  </si>
  <si>
    <t>Westerly Demand Charge (line 18 x 100 / 365, or line 19)</t>
  </si>
  <si>
    <t>Westerly Demand Charge (line 18 x 214 / 365)</t>
  </si>
  <si>
    <t>Monthly Demand per Unit ($/GJ)  (line 10 x 1000 / (line 11 x 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</si>
</sst>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1" formatCode="_(* #,##0_);_(* \(#,##0\);_(* &quot;-&quot;_);_(@_)"/>
    <numFmt numFmtId="44" formatCode="_(&quot;$&quot;* #,##0.00_);_(&quot;$&quot;* \(#,##0.00\);_(&quot;$&quot;* &quot;-&quot;??_);_(@_)"/>
    <numFmt numFmtId="43" formatCode="_(* #,##0.00_);_(* \(#,##0.00\);_(* &quot;-&quot;??_);_(@_)"/>
    <numFmt numFmtId="164" formatCode="_(* #,##0_);_(* \(#,##0\);_(* &quot;-&quot;??_);_(@_)"/>
    <numFmt numFmtId="165" formatCode="#,##0_);\(#,##0\);\-"/>
    <numFmt numFmtId="166" formatCode="#,##0.000_);\(#,##0.000\)"/>
    <numFmt numFmtId="167" formatCode="#,##0.0000_);\(#,##0.0000\);\-"/>
    <numFmt numFmtId="168" formatCode="0.0%"/>
    <numFmt numFmtId="169" formatCode="&quot;$&quot;#,##0.00"/>
    <numFmt numFmtId="170" formatCode="#,##0.000_);\(#,##0.000\);\-"/>
    <numFmt numFmtId="171" formatCode="&quot;$&quot;#,##0.00_);\(&quot;$&quot;#,##0.00\);\-"/>
    <numFmt numFmtId="172" formatCode="0.000%"/>
    <numFmt numFmtId="173" formatCode="_-* #,##0_-;\-* #,##0_-;_-* &quot;-&quot;??_-;_-@_-"/>
    <numFmt numFmtId="174" formatCode="_(* #,##0.0000_);_(* \(#,##0.0000\);_(* &quot;-&quot;??_);_(@_)"/>
    <numFmt numFmtId="175" formatCode="#,##0;[Red]\(#,##0\);\-"/>
    <numFmt numFmtId="176" formatCode="_(* #,##0.000_);_(* \(#,##0.000\);_(* &quot;-&quot;??_);_(@_)"/>
    <numFmt numFmtId="177" formatCode="#,##0.0000_-;\(#,##0.0000\);_(* &quot;-&quot;??_)"/>
    <numFmt numFmtId="178" formatCode="#,##0.000_-;\(#,##0.000\);_(* &quot;-&quot;??_)"/>
    <numFmt numFmtId="179" formatCode="#,##0.000;\-#,##0.000"/>
    <numFmt numFmtId="180" formatCode="_-* #,##0.00_-;\-* #,##0.00_-;_-* &quot;-&quot;??_-;_-@_-"/>
    <numFmt numFmtId="181" formatCode="_-* #,##0.000_-;\-* #,##0.000_-;_-* &quot;-&quot;??_-;_-@_-"/>
    <numFmt numFmtId="182" formatCode="0.000"/>
    <numFmt numFmtId="183" formatCode="_(&quot;$&quot;* #,##0_);_(&quot;$&quot;* \(#,##0\);_(&quot;$&quot;* &quot;-&quot;??_);_(@_)"/>
    <numFmt numFmtId="184" formatCode="0_)"/>
    <numFmt numFmtId="185" formatCode="###0%;\(###0%\)\ "/>
    <numFmt numFmtId="186" formatCode="#,##0_-;\(#,##0\);_(* &quot;-&quot;??_)"/>
    <numFmt numFmtId="187" formatCode="0.00_);\(0.00\)"/>
    <numFmt numFmtId="188" formatCode="0.0000"/>
    <numFmt numFmtId="189" formatCode="0.0000%"/>
    <numFmt numFmtId="190" formatCode="###0.0%;\(###0.0%\)\ "/>
  </numFmts>
  <fonts count="14" x14ac:knownFonts="1">
    <font>
      <sz val="11"/>
      <color theme="1"/>
      <name val="Calibri"/>
      <family val="2"/>
      <scheme val="minor"/>
    </font>
    <font>
      <sz val="11"/>
      <color theme="1"/>
      <name val="Calibri"/>
      <family val="2"/>
      <scheme val="minor"/>
    </font>
    <font>
      <sz val="10"/>
      <name val="Times New Roman"/>
      <family val="1"/>
    </font>
    <font>
      <sz val="10"/>
      <name val="Arial"/>
      <family val="2"/>
    </font>
    <font>
      <u/>
      <sz val="10"/>
      <name val="Arial"/>
      <family val="2"/>
    </font>
    <font>
      <b/>
      <sz val="10"/>
      <name val="Arial"/>
      <family val="2"/>
    </font>
    <font>
      <vertAlign val="superscript"/>
      <sz val="10"/>
      <name val="Arial"/>
      <family val="2"/>
    </font>
    <font>
      <sz val="10"/>
      <color theme="1"/>
      <name val="Arial"/>
      <family val="2"/>
    </font>
    <font>
      <u/>
      <vertAlign val="superscript"/>
      <sz val="10"/>
      <name val="Arial"/>
      <family val="2"/>
    </font>
    <font>
      <u/>
      <sz val="10"/>
      <color theme="1"/>
      <name val="Arial"/>
      <family val="2"/>
    </font>
    <font>
      <sz val="8"/>
      <name val="Calibri"/>
      <family val="2"/>
      <scheme val="minor"/>
    </font>
    <font>
      <sz val="12"/>
      <name val="Arial"/>
      <family val="2"/>
    </font>
    <font>
      <sz val="12"/>
      <color theme="1"/>
      <name val="Times New Roman"/>
      <family val="2"/>
    </font>
    <font>
      <i/>
      <sz val="10"/>
      <name val="Arial"/>
      <family val="2"/>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thin">
        <color indexed="64"/>
      </top>
      <bottom/>
      <diagonal/>
    </border>
    <border>
      <left/>
      <right/>
      <top/>
      <bottom style="double">
        <color indexed="64"/>
      </bottom>
      <diagonal/>
    </border>
    <border>
      <left/>
      <right/>
      <top/>
      <bottom style="thin">
        <color indexed="8"/>
      </bottom>
      <diagonal/>
    </border>
  </borders>
  <cellStyleXfs count="24">
    <xf numFmtId="0" fontId="0" fillId="0" borderId="0"/>
    <xf numFmtId="9" fontId="1" fillId="0" borderId="0" applyFont="0" applyFill="0" applyBorder="0" applyAlignment="0" applyProtection="0"/>
    <xf numFmtId="0" fontId="2" fillId="0" borderId="0"/>
    <xf numFmtId="0" fontId="3" fillId="0" borderId="0"/>
    <xf numFmtId="43" fontId="3" fillId="0" borderId="0" applyFont="0" applyFill="0" applyBorder="0" applyAlignment="0" applyProtection="0"/>
    <xf numFmtId="0" fontId="3" fillId="0" borderId="0"/>
    <xf numFmtId="44" fontId="1" fillId="0" borderId="0" applyFont="0" applyFill="0" applyBorder="0" applyAlignment="0" applyProtection="0"/>
    <xf numFmtId="43" fontId="1" fillId="0" borderId="0" applyFont="0" applyFill="0" applyBorder="0" applyAlignment="0" applyProtection="0"/>
    <xf numFmtId="0" fontId="1" fillId="0" borderId="0"/>
    <xf numFmtId="0" fontId="3" fillId="0" borderId="0"/>
    <xf numFmtId="0" fontId="3" fillId="0" borderId="0"/>
    <xf numFmtId="37" fontId="11" fillId="0" borderId="0"/>
    <xf numFmtId="180" fontId="12" fillId="0" borderId="0" applyFont="0" applyFill="0" applyBorder="0" applyAlignment="0" applyProtection="0"/>
    <xf numFmtId="37" fontId="11" fillId="0" borderId="0"/>
    <xf numFmtId="43" fontId="1" fillId="0" borderId="0" applyFont="0" applyFill="0" applyBorder="0" applyAlignment="0" applyProtection="0"/>
    <xf numFmtId="0" fontId="12" fillId="0" borderId="0"/>
    <xf numFmtId="37" fontId="11" fillId="0" borderId="0"/>
    <xf numFmtId="0" fontId="3" fillId="0" borderId="0"/>
    <xf numFmtId="180" fontId="12" fillId="0" borderId="0" applyFont="0" applyFill="0" applyBorder="0" applyAlignment="0" applyProtection="0"/>
    <xf numFmtId="0" fontId="1" fillId="0" borderId="0"/>
    <xf numFmtId="0" fontId="7" fillId="0" borderId="0"/>
    <xf numFmtId="180" fontId="7" fillId="0" borderId="0" applyFont="0" applyFill="0" applyBorder="0" applyAlignment="0" applyProtection="0"/>
    <xf numFmtId="9" fontId="7" fillId="0" borderId="0" applyFont="0" applyFill="0" applyBorder="0" applyAlignment="0" applyProtection="0"/>
    <xf numFmtId="44" fontId="1" fillId="0" borderId="0" applyFont="0" applyFill="0" applyBorder="0" applyAlignment="0" applyProtection="0"/>
  </cellStyleXfs>
  <cellXfs count="525">
    <xf numFmtId="0" fontId="0" fillId="0" borderId="0" xfId="0"/>
    <xf numFmtId="0" fontId="3" fillId="0" borderId="0" xfId="2" applyFont="1"/>
    <xf numFmtId="0" fontId="3" fillId="0" borderId="0" xfId="3" applyFont="1" applyAlignment="1">
      <alignment horizontal="centerContinuous"/>
    </xf>
    <xf numFmtId="0" fontId="3" fillId="0" borderId="0" xfId="2" applyFont="1" applyAlignment="1">
      <alignment horizontal="centerContinuous"/>
    </xf>
    <xf numFmtId="0" fontId="4" fillId="0" borderId="0" xfId="2" applyFont="1" applyAlignment="1">
      <alignment horizontal="centerContinuous"/>
    </xf>
    <xf numFmtId="0" fontId="4" fillId="0" borderId="0" xfId="2" applyFont="1"/>
    <xf numFmtId="0" fontId="5" fillId="0" borderId="0" xfId="3" applyFont="1" applyAlignment="1">
      <alignment horizontal="center"/>
    </xf>
    <xf numFmtId="0" fontId="3" fillId="0" borderId="0" xfId="3" applyFont="1"/>
    <xf numFmtId="0" fontId="3" fillId="0" borderId="1" xfId="3" applyFont="1" applyBorder="1" applyAlignment="1">
      <alignment horizontal="center"/>
    </xf>
    <xf numFmtId="0" fontId="3" fillId="0" borderId="1" xfId="3" applyFont="1" applyBorder="1"/>
    <xf numFmtId="0" fontId="3" fillId="0" borderId="0" xfId="3" quotePrefix="1" applyFont="1" applyAlignment="1">
      <alignment horizontal="center"/>
    </xf>
    <xf numFmtId="164" fontId="3" fillId="0" borderId="0" xfId="4" applyNumberFormat="1" applyFont="1" applyFill="1" applyBorder="1"/>
    <xf numFmtId="164" fontId="5" fillId="0" borderId="0" xfId="4" applyNumberFormat="1" applyFont="1" applyFill="1" applyBorder="1"/>
    <xf numFmtId="0" fontId="3" fillId="0" borderId="0" xfId="2" applyFont="1" applyAlignment="1">
      <alignment horizontal="left" indent="1"/>
    </xf>
    <xf numFmtId="165" fontId="3" fillId="0" borderId="0" xfId="3" applyNumberFormat="1" applyFont="1" applyAlignment="1">
      <alignment horizontal="center"/>
    </xf>
    <xf numFmtId="165" fontId="3" fillId="0" borderId="0" xfId="4" applyNumberFormat="1" applyFont="1" applyFill="1" applyBorder="1" applyAlignment="1">
      <alignment horizontal="center"/>
    </xf>
    <xf numFmtId="166" fontId="3" fillId="0" borderId="0" xfId="4" applyNumberFormat="1" applyFont="1" applyFill="1" applyBorder="1" applyAlignment="1">
      <alignment horizontal="center"/>
    </xf>
    <xf numFmtId="165" fontId="5" fillId="0" borderId="0" xfId="3" applyNumberFormat="1" applyFont="1" applyAlignment="1">
      <alignment horizontal="center"/>
    </xf>
    <xf numFmtId="166" fontId="3" fillId="0" borderId="0" xfId="3" applyNumberFormat="1" applyFont="1" applyAlignment="1">
      <alignment horizontal="center"/>
    </xf>
    <xf numFmtId="0" fontId="3" fillId="0" borderId="0" xfId="3" applyFont="1" applyAlignment="1">
      <alignment horizontal="left" indent="1"/>
    </xf>
    <xf numFmtId="0" fontId="3" fillId="0" borderId="0" xfId="2" applyFont="1" applyAlignment="1">
      <alignment horizontal="left"/>
    </xf>
    <xf numFmtId="0" fontId="3" fillId="0" borderId="0" xfId="3" applyFont="1" applyAlignment="1">
      <alignment horizontal="left"/>
    </xf>
    <xf numFmtId="164" fontId="3" fillId="0" borderId="0" xfId="3" applyNumberFormat="1" applyFont="1" applyAlignment="1">
      <alignment horizontal="center"/>
    </xf>
    <xf numFmtId="0" fontId="4" fillId="0" borderId="0" xfId="5" applyFont="1"/>
    <xf numFmtId="0" fontId="3" fillId="0" borderId="0" xfId="5" quotePrefix="1" applyFont="1" applyAlignment="1">
      <alignment horizontal="center" vertical="top"/>
    </xf>
    <xf numFmtId="0" fontId="3" fillId="0" borderId="0" xfId="3" applyFont="1" applyAlignment="1">
      <alignment horizontal="center" wrapText="1"/>
    </xf>
    <xf numFmtId="0" fontId="3" fillId="0" borderId="0" xfId="2" applyFont="1" applyAlignment="1">
      <alignment horizontal="center" wrapText="1"/>
    </xf>
    <xf numFmtId="0" fontId="3" fillId="0" borderId="1" xfId="3" applyFont="1" applyBorder="1" applyAlignment="1">
      <alignment horizontal="centerContinuous"/>
    </xf>
    <xf numFmtId="168" fontId="3" fillId="0" borderId="0" xfId="1" applyNumberFormat="1" applyFont="1" applyFill="1" applyBorder="1" applyAlignment="1">
      <alignment horizontal="center"/>
    </xf>
    <xf numFmtId="0" fontId="3" fillId="0" borderId="1" xfId="2" applyFont="1" applyBorder="1" applyAlignment="1">
      <alignment horizontal="centerContinuous"/>
    </xf>
    <xf numFmtId="0" fontId="3" fillId="0" borderId="0" xfId="3" applyFont="1" applyBorder="1"/>
    <xf numFmtId="0" fontId="3" fillId="0" borderId="0" xfId="3" applyFont="1" applyBorder="1" applyAlignment="1">
      <alignment horizontal="centerContinuous"/>
    </xf>
    <xf numFmtId="0" fontId="3" fillId="0" borderId="0" xfId="3" applyFont="1" applyBorder="1" applyAlignment="1">
      <alignment horizontal="center"/>
    </xf>
    <xf numFmtId="165" fontId="3" fillId="0" borderId="0" xfId="3" applyNumberFormat="1" applyFont="1" applyBorder="1" applyAlignment="1">
      <alignment horizontal="center"/>
    </xf>
    <xf numFmtId="165" fontId="3" fillId="0" borderId="0" xfId="2" applyNumberFormat="1" applyFont="1" applyBorder="1" applyAlignment="1">
      <alignment horizontal="center"/>
    </xf>
    <xf numFmtId="0" fontId="3" fillId="0" borderId="0" xfId="2" applyFont="1" applyBorder="1"/>
    <xf numFmtId="165" fontId="5" fillId="0" borderId="0" xfId="3" applyNumberFormat="1" applyFont="1" applyBorder="1" applyAlignment="1">
      <alignment horizontal="center"/>
    </xf>
    <xf numFmtId="166" fontId="3" fillId="0" borderId="0" xfId="3" applyNumberFormat="1" applyFont="1" applyBorder="1" applyAlignment="1">
      <alignment horizontal="center"/>
    </xf>
    <xf numFmtId="0" fontId="3" fillId="0" borderId="0" xfId="2" applyFont="1" applyFill="1" applyAlignment="1">
      <alignment horizontal="left" indent="1"/>
    </xf>
    <xf numFmtId="0" fontId="3" fillId="0" borderId="0" xfId="2" applyFont="1" applyFill="1" applyAlignment="1">
      <alignment horizontal="left" indent="2"/>
    </xf>
    <xf numFmtId="0" fontId="3" fillId="0" borderId="0" xfId="2" applyFont="1" applyFill="1"/>
    <xf numFmtId="0" fontId="3" fillId="0" borderId="0" xfId="2" applyFont="1" applyFill="1" applyBorder="1"/>
    <xf numFmtId="0" fontId="3" fillId="0" borderId="0" xfId="3" applyFont="1" applyFill="1" applyBorder="1"/>
    <xf numFmtId="0" fontId="4" fillId="0" borderId="0" xfId="2" applyFont="1" applyFill="1"/>
    <xf numFmtId="0" fontId="3" fillId="0" borderId="0" xfId="3" applyFont="1" applyFill="1" applyBorder="1" applyAlignment="1">
      <alignment horizontal="left"/>
    </xf>
    <xf numFmtId="0" fontId="3" fillId="0" borderId="0" xfId="3" applyFont="1" applyFill="1" applyAlignment="1">
      <alignment horizontal="center"/>
    </xf>
    <xf numFmtId="0" fontId="3" fillId="0" borderId="0" xfId="3" applyFont="1" applyFill="1"/>
    <xf numFmtId="165" fontId="3" fillId="0" borderId="0" xfId="2" applyNumberFormat="1" applyFont="1"/>
    <xf numFmtId="0" fontId="4" fillId="0" borderId="0" xfId="2" applyFont="1" applyAlignment="1">
      <alignment horizontal="left"/>
    </xf>
    <xf numFmtId="165" fontId="3" fillId="0" borderId="0" xfId="3" applyNumberFormat="1" applyFont="1" applyFill="1" applyBorder="1" applyAlignment="1">
      <alignment horizontal="center"/>
    </xf>
    <xf numFmtId="165" fontId="5" fillId="0" borderId="0" xfId="3" applyNumberFormat="1" applyFont="1" applyFill="1" applyBorder="1" applyAlignment="1">
      <alignment horizontal="center"/>
    </xf>
    <xf numFmtId="0" fontId="3" fillId="0" borderId="0" xfId="2" applyFont="1" applyFill="1" applyAlignment="1">
      <alignment horizontal="left" indent="3"/>
    </xf>
    <xf numFmtId="0" fontId="4" fillId="0" borderId="0" xfId="3" applyFont="1"/>
    <xf numFmtId="171" fontId="3" fillId="0" borderId="0" xfId="6" applyNumberFormat="1" applyFont="1" applyFill="1" applyBorder="1" applyAlignment="1">
      <alignment horizontal="center"/>
    </xf>
    <xf numFmtId="167" fontId="3" fillId="0" borderId="0" xfId="4" applyNumberFormat="1" applyFont="1" applyFill="1" applyBorder="1" applyAlignment="1">
      <alignment horizontal="center"/>
    </xf>
    <xf numFmtId="0" fontId="3" fillId="0" borderId="0" xfId="2" applyFont="1" applyAlignment="1">
      <alignment horizontal="left" indent="2"/>
    </xf>
    <xf numFmtId="0" fontId="3" fillId="2" borderId="0" xfId="2" applyFont="1" applyFill="1"/>
    <xf numFmtId="0" fontId="3" fillId="2" borderId="1" xfId="3" applyFont="1" applyFill="1" applyBorder="1" applyAlignment="1">
      <alignment horizontal="centerContinuous"/>
    </xf>
    <xf numFmtId="0" fontId="3" fillId="2" borderId="1" xfId="2" applyFont="1" applyFill="1" applyBorder="1" applyAlignment="1">
      <alignment horizontal="centerContinuous"/>
    </xf>
    <xf numFmtId="0" fontId="3" fillId="2" borderId="0" xfId="2" applyFont="1" applyFill="1" applyAlignment="1">
      <alignment horizontal="center" wrapText="1"/>
    </xf>
    <xf numFmtId="0" fontId="3" fillId="2" borderId="0" xfId="3" applyFont="1" applyFill="1"/>
    <xf numFmtId="0" fontId="3" fillId="0" borderId="0" xfId="2" applyFont="1" applyAlignment="1"/>
    <xf numFmtId="0" fontId="3" fillId="0" borderId="0" xfId="3" applyFont="1" applyAlignment="1"/>
    <xf numFmtId="0" fontId="3" fillId="0" borderId="0" xfId="2" applyFont="1" applyFill="1" applyBorder="1" applyAlignment="1"/>
    <xf numFmtId="0" fontId="7" fillId="0" borderId="0" xfId="0" applyFont="1"/>
    <xf numFmtId="0" fontId="3" fillId="0" borderId="0" xfId="0" applyFont="1" applyAlignment="1" applyProtection="1">
      <alignment horizontal="center"/>
      <protection locked="0"/>
    </xf>
    <xf numFmtId="0" fontId="7" fillId="0" borderId="0" xfId="0" applyFont="1" applyAlignment="1">
      <alignment horizontal="center"/>
    </xf>
    <xf numFmtId="0" fontId="3" fillId="0" borderId="0" xfId="0" applyFont="1" applyProtection="1">
      <protection locked="0"/>
    </xf>
    <xf numFmtId="0" fontId="9" fillId="0" borderId="0" xfId="0" applyFont="1" applyAlignment="1">
      <alignment horizontal="centerContinuous"/>
    </xf>
    <xf numFmtId="0" fontId="3" fillId="0" borderId="1" xfId="9" applyFont="1" applyBorder="1" applyAlignment="1" applyProtection="1">
      <alignment horizontal="center"/>
      <protection locked="0"/>
    </xf>
    <xf numFmtId="0" fontId="3" fillId="0" borderId="0" xfId="0" applyFont="1" applyBorder="1" applyAlignment="1" applyProtection="1">
      <alignment horizontal="center"/>
      <protection locked="0"/>
    </xf>
    <xf numFmtId="0" fontId="3" fillId="0" borderId="0" xfId="9" applyFont="1" applyBorder="1" applyAlignment="1" applyProtection="1">
      <alignment horizontal="center"/>
      <protection locked="0"/>
    </xf>
    <xf numFmtId="0" fontId="3" fillId="0" borderId="0" xfId="0" quotePrefix="1" applyFont="1" applyBorder="1" applyAlignment="1" applyProtection="1">
      <alignment horizontal="center"/>
      <protection locked="0"/>
    </xf>
    <xf numFmtId="0" fontId="3" fillId="0" borderId="0" xfId="0" applyFont="1" applyBorder="1" applyProtection="1">
      <protection locked="0"/>
    </xf>
    <xf numFmtId="0" fontId="3" fillId="0" borderId="0" xfId="2" applyFont="1" applyFill="1" applyAlignment="1">
      <alignment horizontal="center"/>
    </xf>
    <xf numFmtId="0" fontId="7" fillId="0" borderId="0" xfId="0" quotePrefix="1" applyFont="1" applyAlignment="1">
      <alignment horizontal="center"/>
    </xf>
    <xf numFmtId="0" fontId="3" fillId="0" borderId="0" xfId="0" quotePrefix="1" applyFont="1" applyAlignment="1" applyProtection="1">
      <alignment horizontal="center"/>
      <protection locked="0"/>
    </xf>
    <xf numFmtId="0" fontId="3" fillId="0" borderId="1" xfId="0" applyFont="1" applyBorder="1" applyAlignment="1" applyProtection="1">
      <alignment horizontal="center"/>
      <protection locked="0"/>
    </xf>
    <xf numFmtId="0" fontId="7" fillId="0" borderId="0" xfId="0" applyFont="1" applyAlignment="1">
      <alignment horizontal="centerContinuous"/>
    </xf>
    <xf numFmtId="164" fontId="3" fillId="0" borderId="0" xfId="7" applyNumberFormat="1" applyFont="1"/>
    <xf numFmtId="174" fontId="3" fillId="0" borderId="0" xfId="7" applyNumberFormat="1" applyFont="1"/>
    <xf numFmtId="174" fontId="3" fillId="0" borderId="1" xfId="7" applyNumberFormat="1" applyFont="1" applyBorder="1"/>
    <xf numFmtId="0" fontId="4" fillId="0" borderId="0" xfId="2" applyFont="1" applyFill="1" applyAlignment="1">
      <alignment horizontal="left"/>
    </xf>
    <xf numFmtId="0" fontId="3" fillId="0" borderId="0" xfId="0" applyFont="1"/>
    <xf numFmtId="0" fontId="3" fillId="0" borderId="0" xfId="0" applyFont="1" applyAlignment="1">
      <alignment horizontal="left" indent="1"/>
    </xf>
    <xf numFmtId="167" fontId="3" fillId="0" borderId="0" xfId="2" applyNumberFormat="1" applyFont="1"/>
    <xf numFmtId="0" fontId="3" fillId="0" borderId="0" xfId="2" applyFont="1" applyFill="1" applyAlignment="1">
      <alignment horizontal="left"/>
    </xf>
    <xf numFmtId="0" fontId="7" fillId="0" borderId="1" xfId="0" applyFont="1" applyBorder="1" applyAlignment="1">
      <alignment horizontal="center" wrapText="1"/>
    </xf>
    <xf numFmtId="0" fontId="9" fillId="0" borderId="0" xfId="0" applyFont="1"/>
    <xf numFmtId="0" fontId="7" fillId="0" borderId="0" xfId="0" applyFont="1" applyAlignment="1">
      <alignment horizontal="left"/>
    </xf>
    <xf numFmtId="0" fontId="7" fillId="0" borderId="0" xfId="0" applyFont="1" applyAlignment="1">
      <alignment horizontal="left" indent="1"/>
    </xf>
    <xf numFmtId="164" fontId="7" fillId="0" borderId="0" xfId="7" applyNumberFormat="1" applyFont="1" applyFill="1"/>
    <xf numFmtId="0" fontId="9" fillId="0" borderId="0" xfId="0" applyFont="1" applyAlignment="1">
      <alignment horizontal="left"/>
    </xf>
    <xf numFmtId="0" fontId="3" fillId="0" borderId="0" xfId="2" applyFont="1" applyAlignment="1">
      <alignment vertical="top" wrapText="1"/>
    </xf>
    <xf numFmtId="0" fontId="3" fillId="0" borderId="1" xfId="0" applyFont="1" applyBorder="1"/>
    <xf numFmtId="0" fontId="4" fillId="0" borderId="0" xfId="0" applyFont="1"/>
    <xf numFmtId="0" fontId="3" fillId="0" borderId="0" xfId="0" quotePrefix="1" applyFont="1" applyAlignment="1">
      <alignment horizontal="center"/>
    </xf>
    <xf numFmtId="173" fontId="3" fillId="0" borderId="0" xfId="12" applyNumberFormat="1" applyFont="1" applyFill="1"/>
    <xf numFmtId="173" fontId="5" fillId="0" borderId="0" xfId="12" applyNumberFormat="1" applyFont="1" applyFill="1"/>
    <xf numFmtId="173" fontId="3" fillId="0" borderId="1" xfId="12" applyNumberFormat="1" applyFont="1" applyFill="1" applyBorder="1"/>
    <xf numFmtId="9" fontId="3" fillId="0" borderId="0" xfId="1" applyFont="1"/>
    <xf numFmtId="173" fontId="3" fillId="0" borderId="0" xfId="0" applyNumberFormat="1" applyFont="1"/>
    <xf numFmtId="181" fontId="3" fillId="0" borderId="2" xfId="12" applyNumberFormat="1" applyFont="1" applyFill="1" applyBorder="1"/>
    <xf numFmtId="173" fontId="3" fillId="0" borderId="0" xfId="12" applyNumberFormat="1" applyFont="1" applyFill="1" applyBorder="1"/>
    <xf numFmtId="173" fontId="3" fillId="0" borderId="1" xfId="0" applyNumberFormat="1" applyFont="1" applyBorder="1"/>
    <xf numFmtId="0" fontId="3" fillId="0" borderId="0" xfId="0" applyFont="1" applyAlignment="1">
      <alignment horizontal="center" vertical="top"/>
    </xf>
    <xf numFmtId="0" fontId="3" fillId="0" borderId="0" xfId="0" applyFont="1" applyAlignment="1">
      <alignment wrapText="1"/>
    </xf>
    <xf numFmtId="181" fontId="3" fillId="0" borderId="3" xfId="12" applyNumberFormat="1" applyFont="1" applyFill="1" applyBorder="1"/>
    <xf numFmtId="181" fontId="3" fillId="0" borderId="0" xfId="12" applyNumberFormat="1" applyFont="1" applyFill="1" applyBorder="1"/>
    <xf numFmtId="180" fontId="3" fillId="0" borderId="0" xfId="0" applyNumberFormat="1" applyFont="1"/>
    <xf numFmtId="172" fontId="3" fillId="0" borderId="0" xfId="1" applyNumberFormat="1" applyFont="1" applyFill="1"/>
    <xf numFmtId="172" fontId="3" fillId="0" borderId="0" xfId="1" applyNumberFormat="1" applyFont="1" applyFill="1" applyBorder="1"/>
    <xf numFmtId="181" fontId="3" fillId="0" borderId="0" xfId="12" applyNumberFormat="1" applyFont="1" applyFill="1"/>
    <xf numFmtId="173" fontId="3" fillId="0" borderId="0" xfId="7" applyNumberFormat="1" applyFont="1" applyFill="1"/>
    <xf numFmtId="181" fontId="3" fillId="0" borderId="0" xfId="0" applyNumberFormat="1" applyFont="1"/>
    <xf numFmtId="181" fontId="3" fillId="0" borderId="5" xfId="0" applyNumberFormat="1" applyFont="1" applyBorder="1"/>
    <xf numFmtId="37" fontId="3" fillId="0" borderId="0" xfId="11" applyFont="1" applyAlignment="1">
      <alignment horizontal="center"/>
    </xf>
    <xf numFmtId="37" fontId="3" fillId="0" borderId="0" xfId="11" applyFont="1"/>
    <xf numFmtId="37" fontId="3" fillId="0" borderId="6" xfId="11" applyFont="1" applyBorder="1" applyAlignment="1">
      <alignment horizontal="center"/>
    </xf>
    <xf numFmtId="37" fontId="3" fillId="0" borderId="6" xfId="11" applyFont="1" applyBorder="1"/>
    <xf numFmtId="37" fontId="4" fillId="0" borderId="0" xfId="11" applyFont="1"/>
    <xf numFmtId="184" fontId="3" fillId="0" borderId="0" xfId="11" applyNumberFormat="1" applyFont="1" applyAlignment="1">
      <alignment horizontal="center"/>
    </xf>
    <xf numFmtId="37" fontId="3" fillId="0" borderId="0" xfId="13" applyFont="1"/>
    <xf numFmtId="164" fontId="3" fillId="0" borderId="0" xfId="14" applyNumberFormat="1" applyFont="1"/>
    <xf numFmtId="164" fontId="3" fillId="0" borderId="0" xfId="14" applyNumberFormat="1" applyFont="1" applyFill="1" applyAlignment="1">
      <alignment horizontal="center"/>
    </xf>
    <xf numFmtId="184" fontId="3" fillId="0" borderId="0" xfId="0" applyNumberFormat="1" applyFont="1" applyAlignment="1">
      <alignment horizontal="center"/>
    </xf>
    <xf numFmtId="164" fontId="3" fillId="0" borderId="1" xfId="14" applyNumberFormat="1" applyFont="1" applyFill="1" applyBorder="1" applyAlignment="1">
      <alignment horizontal="center"/>
    </xf>
    <xf numFmtId="184" fontId="3" fillId="0" borderId="0" xfId="15" applyNumberFormat="1" applyFont="1" applyAlignment="1">
      <alignment horizontal="center"/>
    </xf>
    <xf numFmtId="164" fontId="3" fillId="0" borderId="0" xfId="14" applyNumberFormat="1" applyFont="1" applyFill="1"/>
    <xf numFmtId="176" fontId="3" fillId="0" borderId="0" xfId="14" applyNumberFormat="1" applyFont="1"/>
    <xf numFmtId="164" fontId="3" fillId="0" borderId="5" xfId="14" applyNumberFormat="1" applyFont="1" applyBorder="1" applyAlignment="1">
      <alignment horizontal="center"/>
    </xf>
    <xf numFmtId="164" fontId="3" fillId="0" borderId="0" xfId="14" applyNumberFormat="1" applyFont="1" applyAlignment="1">
      <alignment horizontal="center"/>
    </xf>
    <xf numFmtId="176" fontId="3" fillId="0" borderId="0" xfId="14" applyNumberFormat="1" applyFont="1" applyAlignment="1">
      <alignment horizontal="center"/>
    </xf>
    <xf numFmtId="176" fontId="3" fillId="0" borderId="0" xfId="14" applyNumberFormat="1" applyFont="1" applyFill="1" applyAlignment="1">
      <alignment horizontal="center"/>
    </xf>
    <xf numFmtId="0" fontId="3" fillId="0" borderId="0" xfId="15" applyFont="1"/>
    <xf numFmtId="176" fontId="3" fillId="0" borderId="0" xfId="14" applyNumberFormat="1" applyFont="1" applyFill="1"/>
    <xf numFmtId="164" fontId="3" fillId="0" borderId="3" xfId="14" applyNumberFormat="1" applyFont="1" applyFill="1" applyBorder="1" applyAlignment="1">
      <alignment horizontal="center"/>
    </xf>
    <xf numFmtId="164" fontId="3" fillId="0" borderId="0" xfId="14" applyNumberFormat="1" applyFont="1" applyFill="1" applyBorder="1" applyAlignment="1">
      <alignment horizontal="center"/>
    </xf>
    <xf numFmtId="168" fontId="3" fillId="0" borderId="0" xfId="1" applyNumberFormat="1" applyFont="1" applyFill="1" applyAlignment="1">
      <alignment horizontal="right"/>
    </xf>
    <xf numFmtId="0" fontId="7" fillId="0" borderId="0" xfId="0" applyFont="1" applyAlignment="1">
      <alignment wrapText="1"/>
    </xf>
    <xf numFmtId="165" fontId="3" fillId="0" borderId="0" xfId="3" applyNumberFormat="1" applyFont="1" applyAlignment="1">
      <alignment horizontal="right"/>
    </xf>
    <xf numFmtId="165" fontId="3" fillId="0" borderId="0" xfId="4" applyNumberFormat="1" applyFont="1" applyFill="1" applyBorder="1" applyAlignment="1">
      <alignment horizontal="right"/>
    </xf>
    <xf numFmtId="165" fontId="3" fillId="0" borderId="0" xfId="2" applyNumberFormat="1" applyFont="1" applyAlignment="1">
      <alignment horizontal="right"/>
    </xf>
    <xf numFmtId="166" fontId="3" fillId="0" borderId="0" xfId="4" applyNumberFormat="1" applyFont="1" applyFill="1" applyBorder="1" applyAlignment="1">
      <alignment horizontal="right"/>
    </xf>
    <xf numFmtId="0" fontId="3" fillId="0" borderId="0" xfId="2" applyFont="1" applyAlignment="1">
      <alignment horizontal="right"/>
    </xf>
    <xf numFmtId="168" fontId="3" fillId="0" borderId="0" xfId="1" applyNumberFormat="1" applyFont="1" applyFill="1" applyBorder="1" applyAlignment="1">
      <alignment horizontal="right"/>
    </xf>
    <xf numFmtId="165" fontId="3" fillId="0" borderId="2" xfId="3" applyNumberFormat="1" applyFont="1" applyBorder="1" applyAlignment="1">
      <alignment horizontal="right"/>
    </xf>
    <xf numFmtId="165" fontId="5" fillId="0" borderId="0" xfId="3" applyNumberFormat="1" applyFont="1" applyAlignment="1">
      <alignment horizontal="right"/>
    </xf>
    <xf numFmtId="166" fontId="3" fillId="0" borderId="0" xfId="3" applyNumberFormat="1" applyFont="1" applyAlignment="1">
      <alignment horizontal="right"/>
    </xf>
    <xf numFmtId="165" fontId="3" fillId="0" borderId="3" xfId="3" applyNumberFormat="1" applyFont="1" applyBorder="1" applyAlignment="1">
      <alignment horizontal="right"/>
    </xf>
    <xf numFmtId="0" fontId="5" fillId="0" borderId="0" xfId="3" applyFont="1" applyAlignment="1">
      <alignment horizontal="right"/>
    </xf>
    <xf numFmtId="0" fontId="3" fillId="0" borderId="0" xfId="3" applyFont="1" applyAlignment="1">
      <alignment horizontal="right"/>
    </xf>
    <xf numFmtId="164" fontId="5" fillId="0" borderId="0" xfId="4" applyNumberFormat="1" applyFont="1" applyFill="1" applyBorder="1" applyAlignment="1">
      <alignment horizontal="right"/>
    </xf>
    <xf numFmtId="164" fontId="3" fillId="0" borderId="0" xfId="4" applyNumberFormat="1" applyFont="1" applyFill="1" applyBorder="1" applyAlignment="1">
      <alignment horizontal="right"/>
    </xf>
    <xf numFmtId="167" fontId="3" fillId="0" borderId="2" xfId="4" applyNumberFormat="1" applyFont="1" applyFill="1" applyBorder="1" applyAlignment="1">
      <alignment horizontal="right"/>
    </xf>
    <xf numFmtId="166" fontId="3" fillId="0" borderId="2" xfId="3" applyNumberFormat="1" applyFont="1" applyBorder="1" applyAlignment="1">
      <alignment horizontal="right"/>
    </xf>
    <xf numFmtId="167" fontId="3" fillId="0" borderId="3" xfId="4" applyNumberFormat="1" applyFont="1" applyFill="1" applyBorder="1" applyAlignment="1">
      <alignment horizontal="right"/>
    </xf>
    <xf numFmtId="166" fontId="3" fillId="0" borderId="3" xfId="3" applyNumberFormat="1" applyFont="1" applyBorder="1" applyAlignment="1">
      <alignment horizontal="right"/>
    </xf>
    <xf numFmtId="165" fontId="5" fillId="0" borderId="0" xfId="3" applyNumberFormat="1" applyFont="1" applyBorder="1" applyAlignment="1">
      <alignment horizontal="right"/>
    </xf>
    <xf numFmtId="165" fontId="3" fillId="0" borderId="0" xfId="3" applyNumberFormat="1" applyFont="1" applyBorder="1" applyAlignment="1">
      <alignment horizontal="right"/>
    </xf>
    <xf numFmtId="0" fontId="3" fillId="0" borderId="0" xfId="3" applyFont="1" applyFill="1" applyAlignment="1">
      <alignment horizontal="right"/>
    </xf>
    <xf numFmtId="165" fontId="3" fillId="0" borderId="0" xfId="3" applyNumberFormat="1" applyFont="1" applyFill="1" applyAlignment="1">
      <alignment horizontal="right"/>
    </xf>
    <xf numFmtId="165" fontId="3" fillId="0" borderId="0" xfId="2" applyNumberFormat="1" applyFont="1" applyFill="1" applyAlignment="1">
      <alignment horizontal="right"/>
    </xf>
    <xf numFmtId="0" fontId="3" fillId="0" borderId="0" xfId="2" applyFont="1" applyFill="1" applyAlignment="1">
      <alignment horizontal="right"/>
    </xf>
    <xf numFmtId="165" fontId="3" fillId="0" borderId="0" xfId="3" applyNumberFormat="1" applyFont="1" applyFill="1" applyBorder="1" applyAlignment="1">
      <alignment horizontal="right"/>
    </xf>
    <xf numFmtId="0" fontId="3" fillId="0" borderId="0" xfId="2" applyFont="1" applyBorder="1" applyAlignment="1">
      <alignment horizontal="right"/>
    </xf>
    <xf numFmtId="166" fontId="3" fillId="0" borderId="0" xfId="3" applyNumberFormat="1" applyFont="1" applyBorder="1" applyAlignment="1">
      <alignment horizontal="right"/>
    </xf>
    <xf numFmtId="167" fontId="3" fillId="0" borderId="0" xfId="2" applyNumberFormat="1" applyFont="1" applyAlignment="1">
      <alignment horizontal="right"/>
    </xf>
    <xf numFmtId="165" fontId="3" fillId="0" borderId="3" xfId="3" applyNumberFormat="1" applyFont="1" applyFill="1" applyBorder="1" applyAlignment="1">
      <alignment horizontal="right"/>
    </xf>
    <xf numFmtId="170" fontId="3" fillId="0" borderId="0" xfId="2" applyNumberFormat="1" applyFont="1" applyAlignment="1">
      <alignment horizontal="right"/>
    </xf>
    <xf numFmtId="167" fontId="3" fillId="0" borderId="0" xfId="4" applyNumberFormat="1" applyFont="1" applyFill="1" applyBorder="1" applyAlignment="1">
      <alignment horizontal="right"/>
    </xf>
    <xf numFmtId="165" fontId="3" fillId="0" borderId="0" xfId="2" applyNumberFormat="1" applyFont="1" applyFill="1" applyBorder="1" applyAlignment="1">
      <alignment horizontal="right"/>
    </xf>
    <xf numFmtId="166" fontId="3" fillId="0" borderId="0" xfId="3" applyNumberFormat="1" applyFont="1" applyFill="1" applyBorder="1" applyAlignment="1">
      <alignment horizontal="right"/>
    </xf>
    <xf numFmtId="0" fontId="4" fillId="0" borderId="0" xfId="3" applyFont="1" applyAlignment="1">
      <alignment horizontal="centerContinuous"/>
    </xf>
    <xf numFmtId="164" fontId="3" fillId="0" borderId="5" xfId="3" applyNumberFormat="1" applyFont="1" applyBorder="1" applyAlignment="1">
      <alignment horizontal="center"/>
    </xf>
    <xf numFmtId="164" fontId="3" fillId="0" borderId="5" xfId="3" applyNumberFormat="1" applyFont="1" applyFill="1" applyBorder="1" applyAlignment="1">
      <alignment horizontal="center"/>
    </xf>
    <xf numFmtId="0" fontId="3" fillId="0" borderId="0" xfId="2" applyFont="1" applyFill="1" applyAlignment="1">
      <alignment horizontal="centerContinuous"/>
    </xf>
    <xf numFmtId="0" fontId="4" fillId="0" borderId="0" xfId="3" applyFont="1" applyFill="1" applyAlignment="1">
      <alignment horizontal="centerContinuous"/>
    </xf>
    <xf numFmtId="0" fontId="4" fillId="0" borderId="0" xfId="5" applyFont="1" applyFill="1"/>
    <xf numFmtId="0" fontId="4" fillId="0" borderId="0" xfId="2" applyFont="1" applyFill="1" applyAlignment="1">
      <alignment horizontal="centerContinuous"/>
    </xf>
    <xf numFmtId="164" fontId="3" fillId="0" borderId="0" xfId="3" applyNumberFormat="1" applyFont="1" applyFill="1" applyAlignment="1">
      <alignment horizontal="center"/>
    </xf>
    <xf numFmtId="0" fontId="3" fillId="0" borderId="0" xfId="3" applyFont="1" applyFill="1" applyAlignment="1">
      <alignment horizontal="left"/>
    </xf>
    <xf numFmtId="0" fontId="3" fillId="0" borderId="0" xfId="3" applyFont="1" applyFill="1" applyAlignment="1">
      <alignment horizontal="left" indent="1"/>
    </xf>
    <xf numFmtId="164" fontId="3" fillId="0" borderId="0" xfId="3" applyNumberFormat="1" applyFont="1" applyFill="1" applyBorder="1" applyAlignment="1">
      <alignment horizontal="center"/>
    </xf>
    <xf numFmtId="0" fontId="3" fillId="0" borderId="0" xfId="3" applyFont="1" applyFill="1" applyBorder="1" applyAlignment="1">
      <alignment horizontal="center"/>
    </xf>
    <xf numFmtId="0" fontId="3" fillId="0" borderId="0" xfId="5" quotePrefix="1" applyFont="1" applyFill="1" applyAlignment="1">
      <alignment horizontal="center" vertical="top"/>
    </xf>
    <xf numFmtId="9" fontId="3" fillId="0" borderId="0" xfId="1" applyNumberFormat="1" applyFont="1" applyFill="1" applyBorder="1" applyAlignment="1">
      <alignment horizontal="right"/>
    </xf>
    <xf numFmtId="9" fontId="3" fillId="0" borderId="2" xfId="1" applyNumberFormat="1" applyFont="1" applyFill="1" applyBorder="1" applyAlignment="1">
      <alignment horizontal="right"/>
    </xf>
    <xf numFmtId="9" fontId="3" fillId="0" borderId="0" xfId="3" applyNumberFormat="1" applyFont="1" applyAlignment="1">
      <alignment horizontal="center"/>
    </xf>
    <xf numFmtId="9" fontId="3" fillId="0" borderId="0" xfId="3" applyNumberFormat="1" applyFont="1" applyAlignment="1">
      <alignment horizontal="right"/>
    </xf>
    <xf numFmtId="9" fontId="3" fillId="0" borderId="3" xfId="1" applyNumberFormat="1" applyFont="1" applyFill="1" applyBorder="1" applyAlignment="1">
      <alignment horizontal="right"/>
    </xf>
    <xf numFmtId="9" fontId="3" fillId="0" borderId="0" xfId="3" applyNumberFormat="1" applyFont="1"/>
    <xf numFmtId="9" fontId="3" fillId="0" borderId="0" xfId="2" applyNumberFormat="1" applyFont="1" applyAlignment="1">
      <alignment horizontal="left"/>
    </xf>
    <xf numFmtId="9" fontId="3" fillId="0" borderId="0" xfId="2" applyNumberFormat="1" applyFont="1"/>
    <xf numFmtId="166" fontId="3" fillId="0" borderId="3" xfId="3" applyNumberFormat="1" applyFont="1" applyFill="1" applyBorder="1" applyAlignment="1">
      <alignment horizontal="right"/>
    </xf>
    <xf numFmtId="165" fontId="3" fillId="0" borderId="2" xfId="3" applyNumberFormat="1" applyFont="1" applyFill="1" applyBorder="1" applyAlignment="1">
      <alignment horizontal="right"/>
    </xf>
    <xf numFmtId="166" fontId="3" fillId="0" borderId="2" xfId="3" applyNumberFormat="1" applyFont="1" applyFill="1" applyBorder="1" applyAlignment="1">
      <alignment horizontal="right"/>
    </xf>
    <xf numFmtId="185" fontId="3" fillId="0" borderId="0" xfId="1" applyNumberFormat="1" applyFont="1" applyFill="1" applyBorder="1" applyAlignment="1">
      <alignment horizontal="right"/>
    </xf>
    <xf numFmtId="0" fontId="4" fillId="0" borderId="0" xfId="2" applyFont="1" applyFill="1" applyAlignment="1">
      <alignment horizontal="left" indent="1"/>
    </xf>
    <xf numFmtId="0" fontId="3" fillId="0" borderId="0" xfId="2" applyFont="1" applyAlignment="1">
      <alignment horizontal="left" wrapText="1" indent="1"/>
    </xf>
    <xf numFmtId="165" fontId="3" fillId="0" borderId="1" xfId="4" applyNumberFormat="1" applyFont="1" applyFill="1" applyBorder="1" applyAlignment="1">
      <alignment horizontal="right"/>
    </xf>
    <xf numFmtId="177" fontId="3" fillId="0" borderId="0" xfId="0" applyNumberFormat="1" applyFont="1" applyFill="1"/>
    <xf numFmtId="0" fontId="4" fillId="0" borderId="0" xfId="3" applyFont="1" applyAlignment="1">
      <alignment horizontal="center"/>
    </xf>
    <xf numFmtId="0" fontId="7" fillId="0" borderId="0" xfId="0" applyFont="1" applyAlignment="1">
      <alignment horizontal="left" indent="2"/>
    </xf>
    <xf numFmtId="0" fontId="13" fillId="0" borderId="0" xfId="2" applyFont="1"/>
    <xf numFmtId="0" fontId="3" fillId="0" borderId="0" xfId="0" applyFont="1" applyAlignment="1">
      <alignment horizontal="left" indent="2"/>
    </xf>
    <xf numFmtId="177" fontId="3" fillId="0" borderId="0" xfId="0" applyNumberFormat="1" applyFont="1"/>
    <xf numFmtId="0" fontId="5" fillId="0" borderId="0" xfId="2" applyFont="1"/>
    <xf numFmtId="176" fontId="3" fillId="0" borderId="0" xfId="2" applyNumberFormat="1" applyFont="1"/>
    <xf numFmtId="176" fontId="3" fillId="0" borderId="2" xfId="2" applyNumberFormat="1" applyFont="1" applyBorder="1"/>
    <xf numFmtId="0" fontId="9" fillId="0" borderId="0" xfId="0" applyFont="1" applyAlignment="1">
      <alignment horizontal="center"/>
    </xf>
    <xf numFmtId="178" fontId="3" fillId="0" borderId="0" xfId="0" applyNumberFormat="1" applyFont="1" applyFill="1"/>
    <xf numFmtId="178" fontId="3" fillId="0" borderId="0" xfId="2" applyNumberFormat="1" applyFont="1"/>
    <xf numFmtId="176" fontId="3" fillId="0" borderId="0" xfId="4" applyNumberFormat="1" applyFont="1" applyFill="1" applyBorder="1"/>
    <xf numFmtId="0" fontId="7" fillId="0" borderId="0" xfId="0" applyFont="1" applyAlignment="1">
      <alignment horizontal="center" wrapText="1"/>
    </xf>
    <xf numFmtId="164" fontId="7" fillId="0" borderId="0" xfId="7" applyNumberFormat="1" applyFont="1"/>
    <xf numFmtId="37" fontId="7" fillId="0" borderId="0" xfId="0" applyNumberFormat="1" applyFont="1"/>
    <xf numFmtId="43" fontId="7" fillId="0" borderId="0" xfId="7" applyFont="1"/>
    <xf numFmtId="37" fontId="7" fillId="0" borderId="2" xfId="0" applyNumberFormat="1" applyFont="1" applyBorder="1"/>
    <xf numFmtId="164" fontId="7" fillId="0" borderId="0" xfId="7" applyNumberFormat="1" applyFont="1" applyAlignment="1">
      <alignment horizontal="left"/>
    </xf>
    <xf numFmtId="37" fontId="7" fillId="0" borderId="3" xfId="0" applyNumberFormat="1" applyFont="1" applyBorder="1"/>
    <xf numFmtId="164" fontId="7" fillId="0" borderId="2" xfId="7" applyNumberFormat="1" applyFont="1" applyBorder="1"/>
    <xf numFmtId="0" fontId="3" fillId="0" borderId="0" xfId="0" quotePrefix="1" applyFont="1" applyAlignment="1">
      <alignment horizontal="left"/>
    </xf>
    <xf numFmtId="0" fontId="3" fillId="0" borderId="0" xfId="0" applyFont="1" applyFill="1"/>
    <xf numFmtId="0" fontId="3" fillId="0" borderId="0" xfId="0" applyFont="1" applyFill="1" applyAlignment="1">
      <alignment horizontal="center"/>
    </xf>
    <xf numFmtId="37" fontId="4" fillId="0" borderId="0" xfId="11" applyFont="1" applyAlignment="1">
      <alignment horizontal="centerContinuous"/>
    </xf>
    <xf numFmtId="170" fontId="3" fillId="0" borderId="3" xfId="4" applyNumberFormat="1" applyFont="1" applyFill="1" applyBorder="1" applyAlignment="1">
      <alignment horizontal="right"/>
    </xf>
    <xf numFmtId="170" fontId="3" fillId="0" borderId="0" xfId="4" applyNumberFormat="1" applyFont="1" applyFill="1" applyBorder="1" applyAlignment="1">
      <alignment horizontal="right"/>
    </xf>
    <xf numFmtId="37" fontId="3" fillId="0" borderId="0" xfId="11" applyFont="1" applyAlignment="1">
      <alignment horizontal="left" indent="1"/>
    </xf>
    <xf numFmtId="37" fontId="3" fillId="0" borderId="0" xfId="11" applyFont="1" applyAlignment="1">
      <alignment horizontal="left"/>
    </xf>
    <xf numFmtId="176" fontId="3" fillId="0" borderId="2" xfId="7" applyNumberFormat="1" applyFont="1" applyFill="1" applyBorder="1" applyAlignment="1">
      <alignment horizontal="center"/>
    </xf>
    <xf numFmtId="37" fontId="3" fillId="0" borderId="0" xfId="13" applyFont="1" applyAlignment="1">
      <alignment horizontal="center"/>
    </xf>
    <xf numFmtId="37" fontId="3" fillId="0" borderId="6" xfId="13" applyFont="1" applyBorder="1" applyAlignment="1">
      <alignment horizontal="center"/>
    </xf>
    <xf numFmtId="37" fontId="3" fillId="0" borderId="6" xfId="13" applyFont="1" applyBorder="1"/>
    <xf numFmtId="164" fontId="3" fillId="0" borderId="0" xfId="18" applyNumberFormat="1" applyFont="1" applyFill="1" applyBorder="1"/>
    <xf numFmtId="176" fontId="3" fillId="0" borderId="0" xfId="18" applyNumberFormat="1" applyFont="1" applyFill="1" applyBorder="1"/>
    <xf numFmtId="0" fontId="3" fillId="0" borderId="0" xfId="0" applyFont="1" applyAlignment="1">
      <alignment horizontal="centerContinuous"/>
    </xf>
    <xf numFmtId="0" fontId="3" fillId="0" borderId="0" xfId="0" applyFont="1" applyAlignment="1">
      <alignment horizontal="right"/>
    </xf>
    <xf numFmtId="37" fontId="3" fillId="0" borderId="0" xfId="13" applyFont="1" applyAlignment="1">
      <alignment horizontal="left" indent="1"/>
    </xf>
    <xf numFmtId="0" fontId="3" fillId="0" borderId="0" xfId="15" applyFont="1" applyAlignment="1">
      <alignment horizontal="left"/>
    </xf>
    <xf numFmtId="0" fontId="4" fillId="0" borderId="0" xfId="3" applyFont="1" applyFill="1" applyAlignment="1">
      <alignment horizontal="center"/>
    </xf>
    <xf numFmtId="177" fontId="3" fillId="0" borderId="1" xfId="0" applyNumberFormat="1" applyFont="1" applyBorder="1"/>
    <xf numFmtId="41" fontId="3" fillId="0" borderId="0" xfId="1" applyNumberFormat="1" applyFont="1" applyFill="1" applyBorder="1" applyAlignment="1">
      <alignment horizontal="right"/>
    </xf>
    <xf numFmtId="0" fontId="4" fillId="2" borderId="0" xfId="5" applyFont="1" applyFill="1"/>
    <xf numFmtId="0" fontId="3" fillId="2" borderId="0" xfId="5" quotePrefix="1" applyFont="1" applyFill="1" applyAlignment="1">
      <alignment horizontal="center" vertical="top"/>
    </xf>
    <xf numFmtId="0" fontId="3" fillId="2" borderId="0" xfId="2" applyFont="1" applyFill="1" applyAlignment="1">
      <alignment horizontal="left"/>
    </xf>
    <xf numFmtId="0" fontId="3" fillId="2" borderId="0" xfId="2" applyFont="1" applyFill="1" applyAlignment="1">
      <alignment horizontal="center"/>
    </xf>
    <xf numFmtId="170" fontId="3" fillId="0" borderId="0" xfId="2" applyNumberFormat="1" applyFont="1"/>
    <xf numFmtId="0" fontId="4" fillId="0" borderId="0" xfId="2" applyFont="1" applyAlignment="1"/>
    <xf numFmtId="176" fontId="3" fillId="0" borderId="0" xfId="3" applyNumberFormat="1" applyFont="1" applyFill="1" applyBorder="1"/>
    <xf numFmtId="0" fontId="3" fillId="0" borderId="0" xfId="0" applyFont="1" applyAlignment="1">
      <alignment horizontal="left"/>
    </xf>
    <xf numFmtId="178" fontId="3" fillId="0" borderId="2" xfId="0" applyNumberFormat="1" applyFont="1" applyBorder="1"/>
    <xf numFmtId="0" fontId="3" fillId="0" borderId="0" xfId="3" applyFont="1" applyAlignment="1">
      <alignment horizontal="center"/>
    </xf>
    <xf numFmtId="164" fontId="3" fillId="0" borderId="0" xfId="7" applyNumberFormat="1" applyFont="1" applyFill="1"/>
    <xf numFmtId="0" fontId="3" fillId="0" borderId="0" xfId="2" applyFont="1" applyAlignment="1">
      <alignment horizontal="center"/>
    </xf>
    <xf numFmtId="0" fontId="3" fillId="0" borderId="0" xfId="3" applyFont="1" applyFill="1" applyAlignment="1">
      <alignment horizontal="centerContinuous"/>
    </xf>
    <xf numFmtId="0" fontId="3" fillId="0" borderId="1" xfId="3" applyFont="1" applyFill="1" applyBorder="1" applyAlignment="1">
      <alignment horizontal="center"/>
    </xf>
    <xf numFmtId="0" fontId="3" fillId="0" borderId="1" xfId="3" applyFont="1" applyFill="1" applyBorder="1"/>
    <xf numFmtId="0" fontId="3" fillId="0" borderId="0" xfId="5" quotePrefix="1" applyFont="1" applyFill="1" applyAlignment="1">
      <alignment horizontal="left" vertical="center"/>
    </xf>
    <xf numFmtId="0" fontId="3" fillId="0" borderId="0" xfId="3" applyFont="1" applyFill="1" applyAlignment="1">
      <alignment horizontal="center" vertical="center"/>
    </xf>
    <xf numFmtId="0" fontId="3" fillId="0" borderId="0" xfId="5" quotePrefix="1" applyFont="1" applyAlignment="1">
      <alignment horizontal="left" vertical="center"/>
    </xf>
    <xf numFmtId="164" fontId="3" fillId="0" borderId="1" xfId="4" applyNumberFormat="1" applyFont="1" applyFill="1" applyBorder="1"/>
    <xf numFmtId="168" fontId="3" fillId="0" borderId="3" xfId="1" applyNumberFormat="1" applyFont="1" applyFill="1" applyBorder="1" applyAlignment="1">
      <alignment horizontal="right"/>
    </xf>
    <xf numFmtId="0" fontId="3" fillId="0" borderId="0" xfId="0" applyFont="1" applyFill="1" applyAlignment="1">
      <alignment horizontal="left"/>
    </xf>
    <xf numFmtId="0" fontId="3" fillId="0" borderId="0" xfId="2" quotePrefix="1" applyFont="1" applyFill="1"/>
    <xf numFmtId="0" fontId="3" fillId="0" borderId="0" xfId="3" applyFont="1" applyFill="1" applyBorder="1" applyAlignment="1">
      <alignment horizontal="centerContinuous"/>
    </xf>
    <xf numFmtId="0" fontId="3" fillId="0" borderId="1" xfId="3" applyFont="1" applyFill="1" applyBorder="1" applyAlignment="1">
      <alignment horizontal="centerContinuous"/>
    </xf>
    <xf numFmtId="0" fontId="3" fillId="0" borderId="1" xfId="2" applyFont="1" applyFill="1" applyBorder="1" applyAlignment="1">
      <alignment horizontal="centerContinuous"/>
    </xf>
    <xf numFmtId="0" fontId="3" fillId="0" borderId="0" xfId="3" applyFont="1" applyFill="1" applyAlignment="1">
      <alignment horizontal="center" wrapText="1"/>
    </xf>
    <xf numFmtId="0" fontId="3" fillId="0" borderId="0" xfId="3" quotePrefix="1" applyFont="1" applyFill="1" applyAlignment="1">
      <alignment horizontal="center"/>
    </xf>
    <xf numFmtId="0" fontId="3" fillId="0" borderId="0" xfId="0" applyFont="1" applyFill="1" applyAlignment="1">
      <alignment horizontal="left" indent="1"/>
    </xf>
    <xf numFmtId="0" fontId="3" fillId="0" borderId="0" xfId="0" applyFont="1" applyFill="1" applyAlignment="1">
      <alignment horizontal="left" indent="4"/>
    </xf>
    <xf numFmtId="0" fontId="3" fillId="0" borderId="0" xfId="0" quotePrefix="1" applyFont="1" applyFill="1" applyAlignment="1">
      <alignment horizontal="left" indent="5"/>
    </xf>
    <xf numFmtId="0" fontId="3" fillId="0" borderId="0" xfId="0" applyFont="1" applyFill="1" applyAlignment="1">
      <alignment horizontal="left" indent="2"/>
    </xf>
    <xf numFmtId="168" fontId="3" fillId="0" borderId="2" xfId="1" applyNumberFormat="1" applyFont="1" applyFill="1" applyBorder="1" applyAlignment="1">
      <alignment horizontal="right"/>
    </xf>
    <xf numFmtId="0" fontId="4" fillId="0" borderId="0" xfId="3" applyFont="1" applyFill="1"/>
    <xf numFmtId="0" fontId="5" fillId="0" borderId="0" xfId="3" applyFont="1" applyAlignment="1">
      <alignment horizontal="centerContinuous"/>
    </xf>
    <xf numFmtId="9" fontId="3" fillId="0" borderId="0" xfId="3" applyNumberFormat="1" applyFont="1" applyAlignment="1">
      <alignment horizontal="centerContinuous"/>
    </xf>
    <xf numFmtId="164" fontId="3" fillId="0" borderId="0" xfId="12" applyNumberFormat="1" applyFont="1" applyFill="1" applyBorder="1"/>
    <xf numFmtId="0" fontId="4" fillId="0" borderId="0" xfId="12" applyNumberFormat="1" applyFont="1" applyFill="1" applyBorder="1"/>
    <xf numFmtId="2" fontId="4" fillId="0" borderId="0" xfId="12" applyNumberFormat="1" applyFont="1" applyFill="1" applyBorder="1"/>
    <xf numFmtId="173" fontId="5" fillId="0" borderId="0" xfId="7" applyNumberFormat="1" applyFont="1" applyFill="1"/>
    <xf numFmtId="181" fontId="3" fillId="0" borderId="2" xfId="7" applyNumberFormat="1" applyFont="1" applyFill="1" applyBorder="1"/>
    <xf numFmtId="173" fontId="3" fillId="0" borderId="4" xfId="7" applyNumberFormat="1" applyFont="1" applyFill="1" applyBorder="1"/>
    <xf numFmtId="181" fontId="3" fillId="0" borderId="3" xfId="7" applyNumberFormat="1" applyFont="1" applyFill="1" applyBorder="1"/>
    <xf numFmtId="173" fontId="3" fillId="0" borderId="0" xfId="7" applyNumberFormat="1" applyFont="1" applyFill="1" applyBorder="1"/>
    <xf numFmtId="181" fontId="3" fillId="0" borderId="0" xfId="7" applyNumberFormat="1" applyFont="1" applyFill="1" applyBorder="1"/>
    <xf numFmtId="181" fontId="3" fillId="0" borderId="0" xfId="7" applyNumberFormat="1" applyFont="1" applyFill="1"/>
    <xf numFmtId="0" fontId="5" fillId="0" borderId="0" xfId="0" applyFont="1"/>
    <xf numFmtId="15" fontId="4" fillId="0" borderId="0" xfId="17" applyNumberFormat="1" applyFont="1"/>
    <xf numFmtId="0" fontId="4" fillId="0" borderId="0" xfId="17" applyFont="1"/>
    <xf numFmtId="164" fontId="3" fillId="0" borderId="0" xfId="7" applyNumberFormat="1" applyFont="1" applyFill="1" applyBorder="1" applyAlignment="1">
      <alignment horizontal="center"/>
    </xf>
    <xf numFmtId="176" fontId="3" fillId="0" borderId="0" xfId="7" applyNumberFormat="1" applyFont="1" applyFill="1" applyBorder="1" applyAlignment="1">
      <alignment horizontal="center"/>
    </xf>
    <xf numFmtId="164" fontId="3" fillId="0" borderId="0" xfId="7" applyNumberFormat="1" applyFont="1" applyBorder="1" applyAlignment="1">
      <alignment horizontal="center"/>
    </xf>
    <xf numFmtId="164" fontId="3" fillId="0" borderId="2" xfId="7" applyNumberFormat="1" applyFont="1" applyBorder="1" applyAlignment="1">
      <alignment horizontal="center"/>
    </xf>
    <xf numFmtId="174" fontId="3" fillId="0" borderId="0" xfId="7" applyNumberFormat="1" applyFont="1" applyFill="1" applyBorder="1" applyAlignment="1">
      <alignment horizontal="center"/>
    </xf>
    <xf numFmtId="183" fontId="3" fillId="0" borderId="0" xfId="6" applyNumberFormat="1" applyFont="1"/>
    <xf numFmtId="37" fontId="4" fillId="0" borderId="0" xfId="13" applyFont="1"/>
    <xf numFmtId="0" fontId="3" fillId="0" borderId="0" xfId="0" quotePrefix="1" applyFont="1" applyAlignment="1">
      <alignment horizontal="center" vertical="top" wrapText="1"/>
    </xf>
    <xf numFmtId="0" fontId="3" fillId="0" borderId="0" xfId="0" quotePrefix="1" applyFont="1" applyAlignment="1">
      <alignment horizontal="left" wrapText="1"/>
    </xf>
    <xf numFmtId="164" fontId="3" fillId="0" borderId="0" xfId="7" applyNumberFormat="1" applyFont="1" applyFill="1" applyAlignment="1">
      <alignment horizontal="center"/>
    </xf>
    <xf numFmtId="44" fontId="3" fillId="0" borderId="0" xfId="6" applyFont="1" applyFill="1"/>
    <xf numFmtId="176" fontId="3" fillId="0" borderId="0" xfId="7" applyNumberFormat="1" applyFont="1" applyFill="1" applyAlignment="1">
      <alignment horizontal="right"/>
    </xf>
    <xf numFmtId="176" fontId="3" fillId="0" borderId="0" xfId="7" applyNumberFormat="1" applyFont="1" applyFill="1"/>
    <xf numFmtId="0" fontId="3" fillId="0" borderId="0" xfId="20" applyFont="1"/>
    <xf numFmtId="0" fontId="4" fillId="0" borderId="0" xfId="20" applyFont="1"/>
    <xf numFmtId="0" fontId="4" fillId="0" borderId="0" xfId="20" applyFont="1" applyAlignment="1">
      <alignment horizontal="centerContinuous"/>
    </xf>
    <xf numFmtId="0" fontId="3" fillId="0" borderId="0" xfId="21" applyNumberFormat="1" applyFont="1" applyFill="1" applyBorder="1" applyAlignment="1"/>
    <xf numFmtId="0" fontId="3" fillId="0" borderId="0" xfId="21" applyNumberFormat="1" applyFont="1" applyFill="1" applyBorder="1" applyAlignment="1">
      <alignment horizontal="center"/>
    </xf>
    <xf numFmtId="0" fontId="3" fillId="0" borderId="1" xfId="20" applyFont="1" applyBorder="1"/>
    <xf numFmtId="3" fontId="3" fillId="0" borderId="0" xfId="20" applyNumberFormat="1" applyFont="1"/>
    <xf numFmtId="4" fontId="3" fillId="0" borderId="0" xfId="20" applyNumberFormat="1" applyFont="1"/>
    <xf numFmtId="188" fontId="3" fillId="0" borderId="0" xfId="20" applyNumberFormat="1" applyFont="1"/>
    <xf numFmtId="164" fontId="3" fillId="0" borderId="0" xfId="20" applyNumberFormat="1" applyFont="1"/>
    <xf numFmtId="168" fontId="3" fillId="0" borderId="0" xfId="22" applyNumberFormat="1" applyFont="1" applyFill="1"/>
    <xf numFmtId="168" fontId="3" fillId="0" borderId="0" xfId="22" applyNumberFormat="1" applyFont="1" applyFill="1" applyAlignment="1">
      <alignment horizontal="right"/>
    </xf>
    <xf numFmtId="3" fontId="3" fillId="0" borderId="2" xfId="20" applyNumberFormat="1" applyFont="1" applyBorder="1"/>
    <xf numFmtId="188" fontId="3" fillId="0" borderId="2" xfId="20" applyNumberFormat="1" applyFont="1" applyBorder="1"/>
    <xf numFmtId="164" fontId="3" fillId="0" borderId="2" xfId="20" applyNumberFormat="1" applyFont="1" applyBorder="1"/>
    <xf numFmtId="168" fontId="3" fillId="0" borderId="2" xfId="20" applyNumberFormat="1" applyFont="1" applyBorder="1"/>
    <xf numFmtId="168" fontId="3" fillId="0" borderId="0" xfId="20" applyNumberFormat="1" applyFont="1"/>
    <xf numFmtId="43" fontId="3" fillId="0" borderId="0" xfId="20" applyNumberFormat="1" applyFont="1"/>
    <xf numFmtId="168" fontId="3" fillId="0" borderId="4" xfId="20" applyNumberFormat="1" applyFont="1" applyBorder="1"/>
    <xf numFmtId="164" fontId="3" fillId="0" borderId="0" xfId="20" applyNumberFormat="1" applyFont="1" applyAlignment="1">
      <alignment horizontal="center"/>
    </xf>
    <xf numFmtId="43" fontId="3" fillId="0" borderId="0" xfId="20" applyNumberFormat="1" applyFont="1" applyAlignment="1">
      <alignment horizontal="center"/>
    </xf>
    <xf numFmtId="168" fontId="3" fillId="0" borderId="0" xfId="22" applyNumberFormat="1" applyFont="1" applyFill="1" applyBorder="1"/>
    <xf numFmtId="0" fontId="3" fillId="0" borderId="0" xfId="20" quotePrefix="1" applyFont="1"/>
    <xf numFmtId="3" fontId="3" fillId="0" borderId="0" xfId="20" quotePrefix="1" applyNumberFormat="1" applyFont="1"/>
    <xf numFmtId="0" fontId="3" fillId="0" borderId="0" xfId="20" applyFont="1" applyAlignment="1">
      <alignment vertical="top" wrapText="1"/>
    </xf>
    <xf numFmtId="43" fontId="3" fillId="0" borderId="2" xfId="20" applyNumberFormat="1" applyFont="1" applyBorder="1"/>
    <xf numFmtId="189" fontId="3" fillId="0" borderId="0" xfId="22" applyNumberFormat="1" applyFont="1" applyFill="1"/>
    <xf numFmtId="0" fontId="3" fillId="0" borderId="0" xfId="20" quotePrefix="1" applyFont="1" applyAlignment="1">
      <alignment horizontal="left"/>
    </xf>
    <xf numFmtId="187" fontId="3" fillId="0" borderId="0" xfId="20" applyNumberFormat="1" applyFont="1" applyAlignment="1">
      <alignment horizontal="right"/>
    </xf>
    <xf numFmtId="0" fontId="3" fillId="0" borderId="0" xfId="20" applyFont="1" applyAlignment="1">
      <alignment horizontal="right"/>
    </xf>
    <xf numFmtId="0" fontId="4" fillId="0" borderId="0" xfId="20" applyFont="1" applyAlignment="1">
      <alignment horizontal="right"/>
    </xf>
    <xf numFmtId="180" fontId="3" fillId="0" borderId="0" xfId="21" applyFont="1"/>
    <xf numFmtId="0" fontId="3" fillId="0" borderId="0" xfId="2" applyFont="1" applyBorder="1" applyAlignment="1">
      <alignment horizontal="center" wrapText="1"/>
    </xf>
    <xf numFmtId="0" fontId="3" fillId="0" borderId="0" xfId="2" applyFont="1" applyFill="1" applyAlignment="1">
      <alignment horizontal="left" indent="4"/>
    </xf>
    <xf numFmtId="170" fontId="3" fillId="0" borderId="0" xfId="2" applyNumberFormat="1" applyFont="1" applyFill="1" applyAlignment="1">
      <alignment horizontal="right"/>
    </xf>
    <xf numFmtId="0" fontId="3" fillId="0" borderId="0" xfId="2" quotePrefix="1" applyFont="1" applyFill="1" applyAlignment="1">
      <alignment horizontal="center"/>
    </xf>
    <xf numFmtId="43" fontId="3" fillId="0" borderId="0" xfId="2" applyNumberFormat="1" applyFont="1" applyFill="1"/>
    <xf numFmtId="176" fontId="3" fillId="0" borderId="0" xfId="2" applyNumberFormat="1" applyFont="1" applyFill="1"/>
    <xf numFmtId="37" fontId="3" fillId="0" borderId="0" xfId="16" applyFont="1" applyFill="1" applyAlignment="1">
      <alignment horizontal="left" indent="2"/>
    </xf>
    <xf numFmtId="37" fontId="3" fillId="0" borderId="0" xfId="16" applyFont="1" applyFill="1" applyAlignment="1">
      <alignment horizontal="left" indent="1"/>
    </xf>
    <xf numFmtId="37" fontId="3" fillId="0" borderId="0" xfId="16" applyFont="1" applyFill="1" applyAlignment="1">
      <alignment horizontal="left" indent="3"/>
    </xf>
    <xf numFmtId="37" fontId="3" fillId="0" borderId="0" xfId="16" applyFont="1" applyFill="1"/>
    <xf numFmtId="39" fontId="3" fillId="0" borderId="0" xfId="2" applyNumberFormat="1" applyFont="1" applyFill="1"/>
    <xf numFmtId="166" fontId="3" fillId="0" borderId="0" xfId="2" applyNumberFormat="1" applyFont="1" applyFill="1"/>
    <xf numFmtId="39" fontId="3" fillId="0" borderId="0" xfId="2" applyNumberFormat="1" applyFont="1" applyFill="1" applyAlignment="1">
      <alignment horizontal="right"/>
    </xf>
    <xf numFmtId="166" fontId="3" fillId="0" borderId="0" xfId="2" applyNumberFormat="1" applyFont="1" applyFill="1" applyAlignment="1">
      <alignment horizontal="right"/>
    </xf>
    <xf numFmtId="170" fontId="3" fillId="0" borderId="0" xfId="19" applyNumberFormat="1" applyFont="1" applyFill="1" applyAlignment="1">
      <alignment horizontal="right"/>
    </xf>
    <xf numFmtId="0" fontId="3" fillId="0" borderId="0" xfId="19" quotePrefix="1" applyFont="1" applyFill="1"/>
    <xf numFmtId="0" fontId="3" fillId="0" borderId="0" xfId="0" applyFont="1" applyFill="1" applyAlignment="1">
      <alignment wrapText="1"/>
    </xf>
    <xf numFmtId="37" fontId="4" fillId="0" borderId="0" xfId="11" applyFont="1" applyFill="1" applyAlignment="1">
      <alignment horizontal="centerContinuous"/>
    </xf>
    <xf numFmtId="0" fontId="4" fillId="0" borderId="0" xfId="5" applyFont="1" applyFill="1" applyAlignment="1">
      <alignment horizontal="left"/>
    </xf>
    <xf numFmtId="165" fontId="3" fillId="2" borderId="0" xfId="4" applyNumberFormat="1" applyFont="1" applyFill="1" applyBorder="1" applyAlignment="1">
      <alignment horizontal="right"/>
    </xf>
    <xf numFmtId="0" fontId="3" fillId="0" borderId="0" xfId="3" applyFont="1" applyFill="1" applyAlignment="1">
      <alignment horizontal="left" wrapText="1"/>
    </xf>
    <xf numFmtId="0" fontId="3" fillId="0" borderId="1" xfId="3" applyFont="1" applyFill="1" applyBorder="1" applyAlignment="1">
      <alignment horizontal="left"/>
    </xf>
    <xf numFmtId="0" fontId="3" fillId="0" borderId="1" xfId="0" applyFont="1" applyFill="1" applyBorder="1" applyAlignment="1">
      <alignment horizontal="center"/>
    </xf>
    <xf numFmtId="169" fontId="3" fillId="0" borderId="0" xfId="6" applyNumberFormat="1" applyFont="1" applyFill="1" applyBorder="1" applyAlignment="1">
      <alignment horizontal="center"/>
    </xf>
    <xf numFmtId="165" fontId="3" fillId="0" borderId="0" xfId="3" applyNumberFormat="1" applyFont="1" applyFill="1" applyAlignment="1">
      <alignment horizontal="center"/>
    </xf>
    <xf numFmtId="169" fontId="3" fillId="0" borderId="0" xfId="6" applyNumberFormat="1" applyFont="1" applyFill="1" applyBorder="1" applyAlignment="1">
      <alignment horizontal="right"/>
    </xf>
    <xf numFmtId="172" fontId="3" fillId="0" borderId="0" xfId="1" applyNumberFormat="1" applyFont="1" applyFill="1" applyBorder="1" applyAlignment="1">
      <alignment horizontal="right"/>
    </xf>
    <xf numFmtId="0" fontId="3" fillId="0" borderId="0" xfId="3" quotePrefix="1" applyFont="1" applyFill="1"/>
    <xf numFmtId="0" fontId="3" fillId="0" borderId="0" xfId="19" quotePrefix="1" applyFont="1" applyFill="1" applyAlignment="1">
      <alignment horizontal="right"/>
    </xf>
    <xf numFmtId="0" fontId="3" fillId="0" borderId="1" xfId="3" applyFont="1" applyBorder="1" applyAlignment="1">
      <alignment horizontal="center" wrapText="1"/>
    </xf>
    <xf numFmtId="0" fontId="3" fillId="0" borderId="1" xfId="3" applyFont="1" applyBorder="1" applyAlignment="1">
      <alignment horizontal="left" wrapText="1"/>
    </xf>
    <xf numFmtId="0" fontId="4" fillId="0" borderId="0" xfId="0" applyFont="1" applyFill="1"/>
    <xf numFmtId="0" fontId="3" fillId="0" borderId="0" xfId="0" applyFont="1" applyFill="1" applyAlignment="1">
      <alignment horizontal="right"/>
    </xf>
    <xf numFmtId="0" fontId="3" fillId="0" borderId="0" xfId="0" applyFont="1" applyFill="1" applyBorder="1" applyAlignment="1">
      <alignment horizontal="right"/>
    </xf>
    <xf numFmtId="0" fontId="3" fillId="0" borderId="0" xfId="8" applyFont="1" applyFill="1"/>
    <xf numFmtId="0" fontId="3" fillId="0" borderId="0" xfId="8" applyFont="1" applyFill="1" applyAlignment="1">
      <alignment horizontal="left" indent="4"/>
    </xf>
    <xf numFmtId="0" fontId="4" fillId="0" borderId="0" xfId="0" applyFont="1" applyFill="1" applyAlignment="1">
      <alignment horizontal="left"/>
    </xf>
    <xf numFmtId="0" fontId="4" fillId="0" borderId="0" xfId="0" applyFont="1" applyAlignment="1">
      <alignment horizontal="centerContinuous"/>
    </xf>
    <xf numFmtId="0" fontId="3" fillId="0" borderId="1" xfId="0" applyFont="1" applyBorder="1" applyAlignment="1">
      <alignment horizontal="center" wrapText="1"/>
    </xf>
    <xf numFmtId="175" fontId="3" fillId="0" borderId="0" xfId="0" applyNumberFormat="1" applyFont="1" applyAlignment="1">
      <alignment horizontal="center"/>
    </xf>
    <xf numFmtId="175" fontId="3" fillId="0" borderId="0" xfId="0" applyNumberFormat="1" applyFont="1" applyAlignment="1">
      <alignment horizontal="right"/>
    </xf>
    <xf numFmtId="176" fontId="3" fillId="0" borderId="0" xfId="7" applyNumberFormat="1" applyFont="1" applyFill="1" applyAlignment="1">
      <alignment horizontal="center"/>
    </xf>
    <xf numFmtId="164" fontId="3" fillId="0" borderId="1" xfId="7" applyNumberFormat="1" applyFont="1" applyFill="1" applyBorder="1" applyAlignment="1">
      <alignment horizontal="center"/>
    </xf>
    <xf numFmtId="176" fontId="3" fillId="0" borderId="1" xfId="7" applyNumberFormat="1" applyFont="1" applyFill="1" applyBorder="1" applyAlignment="1">
      <alignment horizontal="center"/>
    </xf>
    <xf numFmtId="164" fontId="3" fillId="0" borderId="3" xfId="7" applyNumberFormat="1" applyFont="1" applyFill="1" applyBorder="1" applyAlignment="1">
      <alignment horizontal="center"/>
    </xf>
    <xf numFmtId="0" fontId="4" fillId="0" borderId="0" xfId="0" applyFont="1" applyAlignment="1">
      <alignment horizontal="left"/>
    </xf>
    <xf numFmtId="172" fontId="3" fillId="0" borderId="0" xfId="1" applyNumberFormat="1" applyFont="1" applyFill="1" applyAlignment="1">
      <alignment horizontal="right"/>
    </xf>
    <xf numFmtId="0" fontId="3" fillId="0" borderId="0" xfId="0" quotePrefix="1" applyFont="1" applyFill="1" applyAlignment="1">
      <alignment horizontal="center"/>
    </xf>
    <xf numFmtId="177" fontId="3" fillId="0" borderId="2" xfId="0" applyNumberFormat="1" applyFont="1" applyFill="1" applyBorder="1"/>
    <xf numFmtId="186" fontId="3" fillId="0" borderId="0" xfId="0" applyNumberFormat="1" applyFont="1"/>
    <xf numFmtId="172" fontId="3" fillId="0" borderId="2" xfId="1" applyNumberFormat="1" applyFont="1" applyFill="1" applyBorder="1"/>
    <xf numFmtId="177" fontId="3" fillId="0" borderId="0" xfId="0" applyNumberFormat="1" applyFont="1" applyFill="1" applyBorder="1"/>
    <xf numFmtId="177" fontId="3" fillId="0" borderId="0" xfId="0" applyNumberFormat="1" applyFont="1" applyBorder="1"/>
    <xf numFmtId="178" fontId="3" fillId="0" borderId="0" xfId="0" applyNumberFormat="1" applyFont="1"/>
    <xf numFmtId="178" fontId="3" fillId="0" borderId="1" xfId="0" applyNumberFormat="1" applyFont="1" applyBorder="1"/>
    <xf numFmtId="178" fontId="3" fillId="0" borderId="2" xfId="0" applyNumberFormat="1" applyFont="1" applyFill="1" applyBorder="1"/>
    <xf numFmtId="43" fontId="3" fillId="0" borderId="1" xfId="4" applyFont="1" applyFill="1" applyBorder="1" applyAlignment="1">
      <alignment vertical="center"/>
    </xf>
    <xf numFmtId="176" fontId="3" fillId="0" borderId="1" xfId="4" applyNumberFormat="1" applyFont="1" applyFill="1" applyBorder="1" applyAlignment="1">
      <alignment vertical="center"/>
    </xf>
    <xf numFmtId="178" fontId="3" fillId="2" borderId="2" xfId="0" applyNumberFormat="1" applyFont="1" applyFill="1" applyBorder="1"/>
    <xf numFmtId="174" fontId="3" fillId="0" borderId="0" xfId="4" applyNumberFormat="1" applyFont="1" applyFill="1" applyBorder="1"/>
    <xf numFmtId="176" fontId="3" fillId="0" borderId="1" xfId="4" applyNumberFormat="1" applyFont="1" applyFill="1" applyBorder="1"/>
    <xf numFmtId="176" fontId="3" fillId="0" borderId="1" xfId="2" applyNumberFormat="1" applyFont="1" applyBorder="1"/>
    <xf numFmtId="176" fontId="3" fillId="0" borderId="2" xfId="0" applyNumberFormat="1" applyFont="1" applyBorder="1"/>
    <xf numFmtId="0" fontId="3" fillId="0" borderId="0" xfId="0" applyFont="1" applyFill="1" applyAlignment="1">
      <alignment horizontal="centerContinuous"/>
    </xf>
    <xf numFmtId="0" fontId="3" fillId="0" borderId="0" xfId="0" quotePrefix="1" applyFont="1" applyFill="1"/>
    <xf numFmtId="0" fontId="3" fillId="0" borderId="0" xfId="0" quotePrefix="1" applyFont="1" applyFill="1" applyAlignment="1">
      <alignment horizontal="center" vertical="center"/>
    </xf>
    <xf numFmtId="0" fontId="3" fillId="0" borderId="0" xfId="0" applyFont="1" applyFill="1" applyAlignment="1">
      <alignment vertical="center"/>
    </xf>
    <xf numFmtId="0" fontId="3" fillId="0" borderId="0" xfId="0" quotePrefix="1" applyFont="1" applyFill="1" applyAlignment="1">
      <alignment vertical="center"/>
    </xf>
    <xf numFmtId="0" fontId="3" fillId="0" borderId="0" xfId="0" quotePrefix="1" applyFont="1"/>
    <xf numFmtId="0" fontId="3" fillId="0" borderId="0" xfId="0" quotePrefix="1" applyFont="1" applyAlignment="1">
      <alignment horizontal="center" vertical="center"/>
    </xf>
    <xf numFmtId="0" fontId="3" fillId="0" borderId="0" xfId="0" applyFont="1" applyAlignment="1">
      <alignment vertical="center"/>
    </xf>
    <xf numFmtId="176" fontId="3" fillId="0" borderId="0" xfId="4" applyNumberFormat="1" applyFont="1" applyFill="1"/>
    <xf numFmtId="0" fontId="3" fillId="0" borderId="0" xfId="0" applyFont="1" applyBorder="1" applyAlignment="1">
      <alignment horizontal="center"/>
    </xf>
    <xf numFmtId="0" fontId="3" fillId="0" borderId="0" xfId="0" quotePrefix="1" applyFont="1" applyBorder="1" applyAlignment="1">
      <alignment horizontal="center"/>
    </xf>
    <xf numFmtId="0" fontId="3" fillId="0" borderId="0" xfId="0" applyFont="1" applyFill="1" applyBorder="1"/>
    <xf numFmtId="164" fontId="3" fillId="0" borderId="0" xfId="7" applyNumberFormat="1" applyFont="1" applyFill="1" applyBorder="1"/>
    <xf numFmtId="164" fontId="3" fillId="0" borderId="0" xfId="0" applyNumberFormat="1" applyFont="1" applyFill="1" applyBorder="1"/>
    <xf numFmtId="1" fontId="3" fillId="0" borderId="0" xfId="0" applyNumberFormat="1" applyFont="1"/>
    <xf numFmtId="0" fontId="3" fillId="0" borderId="0" xfId="0" quotePrefix="1" applyFont="1" applyAlignment="1">
      <alignment horizontal="center" vertical="top"/>
    </xf>
    <xf numFmtId="164" fontId="3" fillId="0" borderId="0" xfId="0" applyNumberFormat="1" applyFont="1"/>
    <xf numFmtId="164" fontId="3" fillId="0" borderId="1" xfId="7" applyNumberFormat="1" applyFont="1" applyBorder="1"/>
    <xf numFmtId="164" fontId="3" fillId="0" borderId="1" xfId="0" applyNumberFormat="1" applyFont="1" applyBorder="1"/>
    <xf numFmtId="164" fontId="3" fillId="0" borderId="0" xfId="7" applyNumberFormat="1" applyFont="1" applyBorder="1"/>
    <xf numFmtId="164" fontId="3" fillId="0" borderId="3" xfId="0" applyNumberFormat="1" applyFont="1" applyBorder="1"/>
    <xf numFmtId="0" fontId="3" fillId="0" borderId="0" xfId="0" quotePrefix="1" applyFont="1" applyAlignment="1">
      <alignment wrapText="1"/>
    </xf>
    <xf numFmtId="0" fontId="3" fillId="0" borderId="0" xfId="0" quotePrefix="1" applyFont="1" applyAlignment="1"/>
    <xf numFmtId="187" fontId="3" fillId="0" borderId="0" xfId="5" applyNumberFormat="1" applyFont="1" applyAlignment="1">
      <alignment horizontal="right"/>
    </xf>
    <xf numFmtId="37" fontId="4" fillId="0" borderId="0" xfId="0" applyNumberFormat="1" applyFont="1" applyFill="1"/>
    <xf numFmtId="37" fontId="3" fillId="0" borderId="0" xfId="0" applyNumberFormat="1" applyFont="1" applyFill="1"/>
    <xf numFmtId="170" fontId="3" fillId="0" borderId="1" xfId="4" applyNumberFormat="1" applyFont="1" applyFill="1" applyBorder="1" applyAlignment="1">
      <alignment horizontal="right"/>
    </xf>
    <xf numFmtId="37" fontId="3" fillId="0" borderId="0" xfId="0" applyNumberFormat="1" applyFont="1" applyFill="1" applyAlignment="1">
      <alignment horizontal="left"/>
    </xf>
    <xf numFmtId="0" fontId="3" fillId="0" borderId="0" xfId="17" quotePrefix="1" applyFont="1" applyFill="1" applyAlignment="1">
      <alignment horizontal="left"/>
    </xf>
    <xf numFmtId="0" fontId="3" fillId="0" borderId="0" xfId="0" applyFont="1" applyFill="1" applyAlignment="1">
      <alignment vertical="top"/>
    </xf>
    <xf numFmtId="0" fontId="3" fillId="0" borderId="0" xfId="0" quotePrefix="1" applyFont="1" applyFill="1" applyAlignment="1">
      <alignment vertical="top"/>
    </xf>
    <xf numFmtId="0" fontId="3" fillId="0" borderId="0" xfId="0" applyFont="1" applyFill="1" applyAlignment="1">
      <alignment horizontal="center" vertical="top"/>
    </xf>
    <xf numFmtId="0" fontId="3" fillId="0" borderId="0" xfId="0" applyFont="1" applyFill="1" applyAlignment="1">
      <alignment vertical="top" wrapText="1"/>
    </xf>
    <xf numFmtId="37" fontId="4" fillId="0" borderId="0" xfId="0" applyNumberFormat="1" applyFont="1"/>
    <xf numFmtId="37" fontId="3" fillId="0" borderId="0" xfId="0" applyNumberFormat="1" applyFont="1"/>
    <xf numFmtId="37" fontId="3" fillId="0" borderId="2" xfId="0" applyNumberFormat="1" applyFont="1" applyBorder="1" applyAlignment="1">
      <alignment horizontal="right"/>
    </xf>
    <xf numFmtId="176" fontId="3" fillId="0" borderId="2" xfId="7" applyNumberFormat="1" applyFont="1" applyFill="1" applyBorder="1" applyAlignment="1">
      <alignment horizontal="right"/>
    </xf>
    <xf numFmtId="179" fontId="3" fillId="0" borderId="0" xfId="11" applyNumberFormat="1" applyFont="1" applyAlignment="1">
      <alignment horizontal="right"/>
    </xf>
    <xf numFmtId="0" fontId="3" fillId="0" borderId="0" xfId="0" applyFont="1" applyAlignment="1">
      <alignment horizontal="right" vertical="top" wrapText="1"/>
    </xf>
    <xf numFmtId="0" fontId="3" fillId="0" borderId="0" xfId="0" applyFont="1" applyAlignment="1">
      <alignment vertical="top"/>
    </xf>
    <xf numFmtId="0" fontId="3" fillId="0" borderId="0" xfId="0" applyFont="1" applyAlignment="1">
      <alignment vertical="top" wrapText="1"/>
    </xf>
    <xf numFmtId="44" fontId="3" fillId="0" borderId="2" xfId="6" applyFont="1" applyFill="1" applyBorder="1" applyAlignment="1">
      <alignment horizontal="right"/>
    </xf>
    <xf numFmtId="44" fontId="3" fillId="0" borderId="2" xfId="6" applyFont="1" applyBorder="1" applyAlignment="1">
      <alignment horizontal="right"/>
    </xf>
    <xf numFmtId="176" fontId="3" fillId="0" borderId="0" xfId="7" applyNumberFormat="1" applyFont="1"/>
    <xf numFmtId="176" fontId="3" fillId="0" borderId="3" xfId="7" applyNumberFormat="1" applyFont="1" applyBorder="1" applyAlignment="1">
      <alignment horizontal="right"/>
    </xf>
    <xf numFmtId="164" fontId="3" fillId="0" borderId="0" xfId="7" applyNumberFormat="1" applyFont="1" applyFill="1" applyBorder="1" applyAlignment="1">
      <alignment horizontal="right"/>
    </xf>
    <xf numFmtId="44" fontId="3" fillId="0" borderId="3" xfId="6" applyFont="1" applyBorder="1" applyAlignment="1">
      <alignment horizontal="right"/>
    </xf>
    <xf numFmtId="176" fontId="3" fillId="0" borderId="0" xfId="7" applyNumberFormat="1" applyFont="1" applyFill="1" applyBorder="1" applyAlignment="1">
      <alignment horizontal="right"/>
    </xf>
    <xf numFmtId="43" fontId="3" fillId="0" borderId="0" xfId="0" applyNumberFormat="1" applyFont="1"/>
    <xf numFmtId="43" fontId="3" fillId="0" borderId="1" xfId="0" applyNumberFormat="1" applyFont="1" applyBorder="1"/>
    <xf numFmtId="176" fontId="3" fillId="0" borderId="2" xfId="7" applyNumberFormat="1" applyFont="1" applyBorder="1" applyAlignment="1">
      <alignment horizontal="right"/>
    </xf>
    <xf numFmtId="176" fontId="3" fillId="0" borderId="3" xfId="0" applyNumberFormat="1" applyFont="1" applyBorder="1"/>
    <xf numFmtId="176" fontId="3" fillId="0" borderId="0" xfId="0" applyNumberFormat="1" applyFont="1"/>
    <xf numFmtId="0" fontId="3" fillId="0" borderId="0" xfId="17" applyFont="1"/>
    <xf numFmtId="0" fontId="3" fillId="0" borderId="0" xfId="17" applyFont="1" applyAlignment="1">
      <alignment horizontal="center"/>
    </xf>
    <xf numFmtId="0" fontId="3" fillId="0" borderId="0" xfId="17" quotePrefix="1" applyFont="1" applyAlignment="1">
      <alignment horizontal="center"/>
    </xf>
    <xf numFmtId="0" fontId="3" fillId="0" borderId="0" xfId="17" applyFont="1" applyAlignment="1">
      <alignment horizontal="left" indent="1"/>
    </xf>
    <xf numFmtId="173" fontId="3" fillId="0" borderId="1" xfId="7" applyNumberFormat="1" applyFont="1" applyFill="1" applyBorder="1"/>
    <xf numFmtId="0" fontId="3" fillId="0" borderId="0" xfId="17" applyFont="1" applyAlignment="1">
      <alignment horizontal="left"/>
    </xf>
    <xf numFmtId="44" fontId="3" fillId="0" borderId="3" xfId="6" applyFont="1" applyBorder="1"/>
    <xf numFmtId="164" fontId="3" fillId="0" borderId="1" xfId="18" applyNumberFormat="1" applyFont="1" applyFill="1" applyBorder="1"/>
    <xf numFmtId="182" fontId="3" fillId="0" borderId="3" xfId="17" applyNumberFormat="1" applyFont="1" applyBorder="1"/>
    <xf numFmtId="164" fontId="3" fillId="0" borderId="0" xfId="17" applyNumberFormat="1" applyFont="1" applyAlignment="1">
      <alignment horizontal="left" indent="1"/>
    </xf>
    <xf numFmtId="164" fontId="3" fillId="0" borderId="1" xfId="17" applyNumberFormat="1" applyFont="1" applyBorder="1" applyAlignment="1">
      <alignment horizontal="left" indent="1"/>
    </xf>
    <xf numFmtId="176" fontId="3" fillId="0" borderId="3" xfId="18" applyNumberFormat="1" applyFont="1" applyFill="1" applyBorder="1"/>
    <xf numFmtId="176" fontId="3" fillId="0" borderId="0" xfId="17" applyNumberFormat="1" applyFont="1" applyAlignment="1">
      <alignment horizontal="left" indent="1"/>
    </xf>
    <xf numFmtId="176" fontId="3" fillId="0" borderId="3" xfId="17" applyNumberFormat="1" applyFont="1" applyBorder="1" applyAlignment="1">
      <alignment horizontal="left" indent="1"/>
    </xf>
    <xf numFmtId="0" fontId="4" fillId="0" borderId="0" xfId="17" applyFont="1" applyAlignment="1">
      <alignment horizontal="left"/>
    </xf>
    <xf numFmtId="0" fontId="3" fillId="0" borderId="0" xfId="17" quotePrefix="1" applyFont="1" applyAlignment="1">
      <alignment horizontal="left"/>
    </xf>
    <xf numFmtId="0" fontId="3" fillId="0" borderId="1" xfId="3" applyFont="1" applyBorder="1" applyAlignment="1">
      <alignment horizontal="left"/>
    </xf>
    <xf numFmtId="167" fontId="3" fillId="0" borderId="0" xfId="2" applyNumberFormat="1" applyFont="1" applyBorder="1"/>
    <xf numFmtId="185" fontId="3" fillId="0" borderId="3" xfId="1" applyNumberFormat="1" applyFont="1" applyFill="1" applyBorder="1" applyAlignment="1">
      <alignment horizontal="right"/>
    </xf>
    <xf numFmtId="171" fontId="3" fillId="0" borderId="0" xfId="23" applyNumberFormat="1" applyFont="1" applyFill="1" applyBorder="1" applyAlignment="1">
      <alignment horizontal="right"/>
    </xf>
    <xf numFmtId="190" fontId="3" fillId="0" borderId="0" xfId="1" applyNumberFormat="1" applyFont="1" applyFill="1" applyBorder="1" applyAlignment="1">
      <alignment horizontal="right"/>
    </xf>
    <xf numFmtId="190" fontId="3" fillId="0" borderId="2" xfId="1" applyNumberFormat="1" applyFont="1" applyFill="1" applyBorder="1" applyAlignment="1">
      <alignment horizontal="right"/>
    </xf>
    <xf numFmtId="190" fontId="3" fillId="0" borderId="4" xfId="1" applyNumberFormat="1" applyFont="1" applyFill="1" applyBorder="1" applyAlignment="1">
      <alignment horizontal="right"/>
    </xf>
    <xf numFmtId="168" fontId="3" fillId="0" borderId="0" xfId="22" applyNumberFormat="1" applyFont="1" applyFill="1" applyBorder="1" applyAlignment="1">
      <alignment horizontal="right"/>
    </xf>
    <xf numFmtId="190" fontId="3" fillId="0" borderId="1" xfId="1" applyNumberFormat="1" applyFont="1" applyFill="1" applyBorder="1" applyAlignment="1">
      <alignment horizontal="right"/>
    </xf>
    <xf numFmtId="185" fontId="3" fillId="0" borderId="2" xfId="1" applyNumberFormat="1" applyFont="1" applyFill="1" applyBorder="1" applyAlignment="1">
      <alignment horizontal="right"/>
    </xf>
    <xf numFmtId="0" fontId="3" fillId="3" borderId="0" xfId="0" applyFont="1" applyFill="1" applyAlignment="1">
      <alignment horizontal="center"/>
    </xf>
    <xf numFmtId="190" fontId="3" fillId="0" borderId="3" xfId="1" applyNumberFormat="1" applyFont="1" applyFill="1" applyBorder="1" applyAlignment="1">
      <alignment horizontal="right"/>
    </xf>
    <xf numFmtId="0" fontId="3" fillId="0" borderId="0" xfId="20" applyFont="1" applyAlignment="1">
      <alignment horizontal="center"/>
    </xf>
    <xf numFmtId="0" fontId="3" fillId="0" borderId="0" xfId="20" quotePrefix="1" applyFont="1" applyAlignment="1">
      <alignment horizontal="center"/>
    </xf>
    <xf numFmtId="164" fontId="3" fillId="0" borderId="0" xfId="3" applyNumberFormat="1" applyFont="1" applyBorder="1" applyAlignment="1">
      <alignment horizontal="center"/>
    </xf>
    <xf numFmtId="164" fontId="3" fillId="0" borderId="5" xfId="0" applyNumberFormat="1" applyFont="1" applyFill="1" applyBorder="1"/>
    <xf numFmtId="164" fontId="3" fillId="0" borderId="1" xfId="7" applyNumberFormat="1" applyFont="1" applyFill="1" applyBorder="1"/>
    <xf numFmtId="0" fontId="7" fillId="0" borderId="0" xfId="0" applyFont="1" applyFill="1" applyAlignment="1">
      <alignment horizontal="left"/>
    </xf>
    <xf numFmtId="0" fontId="3" fillId="0" borderId="0" xfId="2" applyFont="1" applyFill="1" applyAlignment="1">
      <alignment horizontal="center" wrapText="1"/>
    </xf>
    <xf numFmtId="0" fontId="3" fillId="0" borderId="1" xfId="2" applyFont="1" applyFill="1" applyBorder="1" applyAlignment="1">
      <alignment horizontal="center" wrapText="1"/>
    </xf>
    <xf numFmtId="0" fontId="3" fillId="0" borderId="1" xfId="0" applyFont="1" applyBorder="1" applyAlignment="1">
      <alignment horizontal="center"/>
    </xf>
    <xf numFmtId="0" fontId="3" fillId="0" borderId="1" xfId="2" applyFont="1" applyBorder="1" applyAlignment="1">
      <alignment horizontal="center"/>
    </xf>
    <xf numFmtId="0" fontId="3" fillId="0" borderId="0" xfId="2" applyFont="1" applyAlignment="1">
      <alignment horizontal="left" vertical="top" wrapText="1"/>
    </xf>
    <xf numFmtId="0" fontId="3" fillId="0" borderId="1" xfId="20" applyFont="1" applyBorder="1" applyAlignment="1">
      <alignment horizontal="center"/>
    </xf>
    <xf numFmtId="0" fontId="4" fillId="0" borderId="0" xfId="20" applyFont="1" applyAlignment="1">
      <alignment horizontal="center"/>
    </xf>
    <xf numFmtId="0" fontId="3" fillId="0" borderId="0" xfId="20" applyFont="1" applyAlignment="1">
      <alignment horizontal="left"/>
    </xf>
    <xf numFmtId="0" fontId="3" fillId="0" borderId="0" xfId="0" applyFont="1" applyAlignment="1">
      <alignment horizontal="center"/>
    </xf>
    <xf numFmtId="15" fontId="4" fillId="0" borderId="0" xfId="0" applyNumberFormat="1" applyFont="1" applyAlignment="1">
      <alignment horizontal="center"/>
    </xf>
    <xf numFmtId="0" fontId="4" fillId="0" borderId="0" xfId="0" applyFont="1" applyAlignment="1">
      <alignment horizontal="center"/>
    </xf>
    <xf numFmtId="0" fontId="3" fillId="0" borderId="0" xfId="0" applyFont="1" applyAlignment="1">
      <alignment horizontal="left" vertical="top" wrapText="1"/>
    </xf>
    <xf numFmtId="0" fontId="3" fillId="0" borderId="0" xfId="0" quotePrefix="1" applyFont="1" applyFill="1" applyAlignment="1">
      <alignment horizontal="left"/>
    </xf>
    <xf numFmtId="0" fontId="3" fillId="0" borderId="0" xfId="19" applyFont="1" applyFill="1"/>
    <xf numFmtId="0" fontId="3" fillId="0" borderId="0" xfId="19" applyFont="1" applyFill="1" applyAlignment="1">
      <alignment horizontal="right"/>
    </xf>
    <xf numFmtId="173" fontId="3" fillId="0" borderId="0" xfId="21" applyNumberFormat="1" applyFont="1" applyFill="1"/>
    <xf numFmtId="173" fontId="3" fillId="0" borderId="0" xfId="21" applyNumberFormat="1" applyFont="1" applyFill="1" applyBorder="1"/>
    <xf numFmtId="0" fontId="7" fillId="0" borderId="0" xfId="20" applyFont="1"/>
    <xf numFmtId="0" fontId="3" fillId="0" borderId="0" xfId="0" applyFont="1" applyAlignment="1">
      <alignment horizontal="center"/>
    </xf>
    <xf numFmtId="0" fontId="4" fillId="0" borderId="0" xfId="2" applyFont="1" applyAlignment="1">
      <alignment horizontal="center"/>
    </xf>
    <xf numFmtId="0" fontId="3" fillId="0" borderId="0" xfId="2" applyFont="1" applyFill="1" applyAlignment="1">
      <alignment horizontal="center" wrapText="1"/>
    </xf>
    <xf numFmtId="0" fontId="3" fillId="0" borderId="1" xfId="2" applyFont="1" applyFill="1" applyBorder="1" applyAlignment="1">
      <alignment horizontal="center" wrapText="1"/>
    </xf>
    <xf numFmtId="0" fontId="3" fillId="0" borderId="1" xfId="0" applyFont="1" applyBorder="1" applyAlignment="1">
      <alignment horizontal="center"/>
    </xf>
    <xf numFmtId="0" fontId="3" fillId="0" borderId="0" xfId="0" applyFont="1" applyFill="1" applyAlignment="1">
      <alignment horizontal="left" wrapText="1"/>
    </xf>
    <xf numFmtId="0" fontId="3" fillId="0" borderId="1" xfId="2" applyFont="1" applyBorder="1" applyAlignment="1">
      <alignment horizontal="center"/>
    </xf>
    <xf numFmtId="0" fontId="3" fillId="0" borderId="0" xfId="5" quotePrefix="1" applyFont="1" applyAlignment="1">
      <alignment horizontal="left" vertical="top" wrapText="1"/>
    </xf>
    <xf numFmtId="0" fontId="3" fillId="0" borderId="0" xfId="2" applyFont="1" applyAlignment="1">
      <alignment horizontal="left" vertical="top" wrapText="1"/>
    </xf>
    <xf numFmtId="0" fontId="3" fillId="0" borderId="0" xfId="20" quotePrefix="1" applyFont="1" applyAlignment="1">
      <alignment horizontal="left" vertical="top" wrapText="1"/>
    </xf>
    <xf numFmtId="0" fontId="3" fillId="0" borderId="0" xfId="20" applyFont="1" applyAlignment="1">
      <alignment horizontal="left" vertical="top" wrapText="1"/>
    </xf>
    <xf numFmtId="0" fontId="4" fillId="0" borderId="0" xfId="20" applyFont="1" applyAlignment="1">
      <alignment horizontal="center"/>
    </xf>
    <xf numFmtId="0" fontId="3" fillId="0" borderId="1" xfId="20" applyFont="1" applyBorder="1" applyAlignment="1">
      <alignment horizontal="center"/>
    </xf>
    <xf numFmtId="0" fontId="3" fillId="0" borderId="0" xfId="20" applyFont="1" applyAlignment="1">
      <alignment horizontal="left"/>
    </xf>
    <xf numFmtId="0" fontId="3" fillId="0" borderId="0" xfId="0" applyFont="1" applyAlignment="1">
      <alignment horizontal="center"/>
    </xf>
    <xf numFmtId="15" fontId="4" fillId="0" borderId="0" xfId="0" applyNumberFormat="1" applyFont="1" applyAlignment="1">
      <alignment horizontal="center"/>
    </xf>
    <xf numFmtId="0" fontId="4" fillId="0" borderId="0" xfId="0" applyFont="1" applyAlignment="1">
      <alignment horizontal="center"/>
    </xf>
    <xf numFmtId="0" fontId="3" fillId="0" borderId="0" xfId="0" applyFont="1" applyAlignment="1">
      <alignment horizontal="left" vertical="top" wrapText="1"/>
    </xf>
    <xf numFmtId="0" fontId="4" fillId="0" borderId="0" xfId="17" applyFont="1" applyAlignment="1">
      <alignment horizontal="center"/>
    </xf>
    <xf numFmtId="0" fontId="3" fillId="0" borderId="0" xfId="0" quotePrefix="1" applyFont="1" applyAlignment="1">
      <alignment horizontal="left" vertical="top" wrapText="1"/>
    </xf>
    <xf numFmtId="0" fontId="3" fillId="0" borderId="0" xfId="0" quotePrefix="1" applyFont="1" applyFill="1" applyAlignment="1">
      <alignment horizontal="left" vertical="top" wrapText="1"/>
    </xf>
  </cellXfs>
  <cellStyles count="24">
    <cellStyle name="Comma" xfId="7" builtinId="3"/>
    <cellStyle name="Comma 10" xfId="4" xr:uid="{79B42F33-AD9D-45F1-A1D5-CF9D02C96880}"/>
    <cellStyle name="Comma 10 2 2" xfId="14" xr:uid="{8E76A18F-AF91-4EBE-A4FC-FADB20C9C5B3}"/>
    <cellStyle name="Comma 2" xfId="18" xr:uid="{0C12989B-C6BA-449C-A376-9DA66F1910E5}"/>
    <cellStyle name="Comma 3" xfId="21" xr:uid="{E6CB602A-4377-46D6-8571-55754035B375}"/>
    <cellStyle name="Comma 5 36" xfId="12" xr:uid="{F2292113-4E25-476F-95AA-440BE51F08A1}"/>
    <cellStyle name="Currency" xfId="6" builtinId="4"/>
    <cellStyle name="Currency 2" xfId="23" xr:uid="{BB7245AE-1592-438E-A841-2E9EE6FAF001}"/>
    <cellStyle name="Normal" xfId="0" builtinId="0"/>
    <cellStyle name="Normal 10" xfId="5" xr:uid="{9A806827-BD73-4923-9066-BB23D0D9AEE5}"/>
    <cellStyle name="Normal 2" xfId="17" xr:uid="{13CEEB15-CC31-470B-A1E3-DEEA604DEC5E}"/>
    <cellStyle name="Normal 2 2" xfId="19" xr:uid="{9C2FB680-44A5-4D19-9A03-D37E63856814}"/>
    <cellStyle name="Normal 3" xfId="10" xr:uid="{0AC47943-724C-4CCB-8307-52779C663816}"/>
    <cellStyle name="Normal 4" xfId="20" xr:uid="{5D7BD815-B85D-401C-A4F4-4F57003F6A8D}"/>
    <cellStyle name="Normal 4 3" xfId="2" xr:uid="{F40D9BFE-D5FE-49AD-8C14-BE06707E12BB}"/>
    <cellStyle name="Normal 59" xfId="8" xr:uid="{311371DF-BCC5-4C90-AB3D-92232833AA89}"/>
    <cellStyle name="Normal 60" xfId="3" xr:uid="{DC98C82D-F7E8-41CD-B6FA-3CF744F91E73}"/>
    <cellStyle name="Normal 7 3 4" xfId="15" xr:uid="{0699F86A-33C1-4DAF-A475-1ED71E5BDB8E}"/>
    <cellStyle name="Normal_2004 model BP" xfId="9" xr:uid="{DD1F0A7B-4F08-40EA-B6BD-64527E28AA34}"/>
    <cellStyle name="Normal_C 1" xfId="11" xr:uid="{4C5A52C4-386A-4DEE-8DC0-06865D9C40F1}"/>
    <cellStyle name="Normal_H3T2S4+S6_1" xfId="16" xr:uid="{9D3482C1-9007-4879-A910-104C6395664F}"/>
    <cellStyle name="Normal_M 13" xfId="13" xr:uid="{BBED5EE2-FBA1-48FD-80EC-7F77C9270C8B}"/>
    <cellStyle name="Percent" xfId="1" builtinId="5"/>
    <cellStyle name="Percent 2" xfId="22" xr:uid="{36B15DAE-BF54-44F3-9182-A1E9A329929A}"/>
  </cellStyles>
  <dxfs count="2">
    <dxf>
      <fill>
        <patternFill>
          <bgColor rgb="FFFFFF00"/>
        </patternFill>
      </fill>
    </dxf>
    <dxf>
      <fill>
        <patternFill>
          <bgColor rgb="FFFFFF00"/>
        </patternFill>
      </fill>
    </dxf>
  </dxfs>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E69A6-37C8-47A3-AD0F-E181A5077269}">
  <sheetPr>
    <pageSetUpPr fitToPage="1"/>
  </sheetPr>
  <dimension ref="A5:AB154"/>
  <sheetViews>
    <sheetView showGridLines="0" tabSelected="1" view="pageLayout" zoomScale="80" zoomScaleNormal="70" zoomScaleSheetLayoutView="80" zoomScalePageLayoutView="80" workbookViewId="0"/>
  </sheetViews>
  <sheetFormatPr defaultRowHeight="12.75" x14ac:dyDescent="0.2"/>
  <cols>
    <col min="1" max="1" width="1.5703125" style="1" customWidth="1"/>
    <col min="2" max="2" width="6.42578125" style="254" customWidth="1"/>
    <col min="3" max="3" width="1.5703125" style="1" customWidth="1"/>
    <col min="4" max="4" width="20.42578125" style="1" customWidth="1"/>
    <col min="5" max="5" width="1.5703125" style="1" customWidth="1"/>
    <col min="6" max="7" width="14.42578125" style="1" customWidth="1"/>
    <col min="8" max="8" width="1.5703125" style="1" customWidth="1"/>
    <col min="9" max="10" width="15.42578125" style="1" customWidth="1"/>
    <col min="11" max="11" width="14.42578125" style="1" customWidth="1"/>
    <col min="12" max="12" width="1.5703125" style="1" customWidth="1"/>
    <col min="13" max="13" width="15.5703125" style="1" customWidth="1"/>
    <col min="14" max="14" width="13.140625" style="1" customWidth="1"/>
    <col min="15" max="17" width="14.42578125" style="1" customWidth="1"/>
    <col min="18" max="18" width="1.5703125" style="1" customWidth="1"/>
    <col min="19" max="19" width="2.85546875" style="1" customWidth="1"/>
    <col min="20" max="20" width="3.42578125" style="1" customWidth="1"/>
    <col min="21" max="22" width="8.85546875" style="1"/>
    <col min="23" max="28" width="14.5703125" style="1" customWidth="1"/>
    <col min="29" max="29" width="8.5703125" style="1" bestFit="1" customWidth="1"/>
    <col min="30" max="30" width="8.85546875" style="1"/>
    <col min="31" max="31" width="9.5703125" style="1" bestFit="1" customWidth="1"/>
    <col min="32" max="32" width="8.85546875" style="1" customWidth="1"/>
    <col min="33" max="234" width="8.85546875" style="1"/>
    <col min="235" max="235" width="4.5703125" style="1" customWidth="1"/>
    <col min="236" max="236" width="1" style="1" customWidth="1"/>
    <col min="237" max="237" width="18" style="1" customWidth="1"/>
    <col min="238" max="238" width="1.85546875" style="1" customWidth="1"/>
    <col min="239" max="239" width="12.5703125" style="1" customWidth="1"/>
    <col min="240" max="240" width="1.5703125" style="1" customWidth="1"/>
    <col min="241" max="241" width="9.5703125" style="1" customWidth="1"/>
    <col min="242" max="242" width="1.85546875" style="1" customWidth="1"/>
    <col min="243" max="243" width="11.85546875" style="1" customWidth="1"/>
    <col min="244" max="244" width="1.5703125" style="1" customWidth="1"/>
    <col min="245" max="245" width="10.140625" style="1" customWidth="1"/>
    <col min="246" max="246" width="2" style="1" customWidth="1"/>
    <col min="247" max="247" width="9.5703125" style="1" customWidth="1"/>
    <col min="248" max="490" width="8.85546875" style="1"/>
    <col min="491" max="491" width="4.5703125" style="1" customWidth="1"/>
    <col min="492" max="492" width="1" style="1" customWidth="1"/>
    <col min="493" max="493" width="18" style="1" customWidth="1"/>
    <col min="494" max="494" width="1.85546875" style="1" customWidth="1"/>
    <col min="495" max="495" width="12.5703125" style="1" customWidth="1"/>
    <col min="496" max="496" width="1.5703125" style="1" customWidth="1"/>
    <col min="497" max="497" width="9.5703125" style="1" customWidth="1"/>
    <col min="498" max="498" width="1.85546875" style="1" customWidth="1"/>
    <col min="499" max="499" width="11.85546875" style="1" customWidth="1"/>
    <col min="500" max="500" width="1.5703125" style="1" customWidth="1"/>
    <col min="501" max="501" width="10.140625" style="1" customWidth="1"/>
    <col min="502" max="502" width="2" style="1" customWidth="1"/>
    <col min="503" max="503" width="9.5703125" style="1" customWidth="1"/>
    <col min="504" max="746" width="8.85546875" style="1"/>
    <col min="747" max="747" width="4.5703125" style="1" customWidth="1"/>
    <col min="748" max="748" width="1" style="1" customWidth="1"/>
    <col min="749" max="749" width="18" style="1" customWidth="1"/>
    <col min="750" max="750" width="1.85546875" style="1" customWidth="1"/>
    <col min="751" max="751" width="12.5703125" style="1" customWidth="1"/>
    <col min="752" max="752" width="1.5703125" style="1" customWidth="1"/>
    <col min="753" max="753" width="9.5703125" style="1" customWidth="1"/>
    <col min="754" max="754" width="1.85546875" style="1" customWidth="1"/>
    <col min="755" max="755" width="11.85546875" style="1" customWidth="1"/>
    <col min="756" max="756" width="1.5703125" style="1" customWidth="1"/>
    <col min="757" max="757" width="10.140625" style="1" customWidth="1"/>
    <col min="758" max="758" width="2" style="1" customWidth="1"/>
    <col min="759" max="759" width="9.5703125" style="1" customWidth="1"/>
    <col min="760" max="1002" width="8.85546875" style="1"/>
    <col min="1003" max="1003" width="4.5703125" style="1" customWidth="1"/>
    <col min="1004" max="1004" width="1" style="1" customWidth="1"/>
    <col min="1005" max="1005" width="18" style="1" customWidth="1"/>
    <col min="1006" max="1006" width="1.85546875" style="1" customWidth="1"/>
    <col min="1007" max="1007" width="12.5703125" style="1" customWidth="1"/>
    <col min="1008" max="1008" width="1.5703125" style="1" customWidth="1"/>
    <col min="1009" max="1009" width="9.5703125" style="1" customWidth="1"/>
    <col min="1010" max="1010" width="1.85546875" style="1" customWidth="1"/>
    <col min="1011" max="1011" width="11.85546875" style="1" customWidth="1"/>
    <col min="1012" max="1012" width="1.5703125" style="1" customWidth="1"/>
    <col min="1013" max="1013" width="10.140625" style="1" customWidth="1"/>
    <col min="1014" max="1014" width="2" style="1" customWidth="1"/>
    <col min="1015" max="1015" width="9.5703125" style="1" customWidth="1"/>
    <col min="1016" max="1258" width="8.85546875" style="1"/>
    <col min="1259" max="1259" width="4.5703125" style="1" customWidth="1"/>
    <col min="1260" max="1260" width="1" style="1" customWidth="1"/>
    <col min="1261" max="1261" width="18" style="1" customWidth="1"/>
    <col min="1262" max="1262" width="1.85546875" style="1" customWidth="1"/>
    <col min="1263" max="1263" width="12.5703125" style="1" customWidth="1"/>
    <col min="1264" max="1264" width="1.5703125" style="1" customWidth="1"/>
    <col min="1265" max="1265" width="9.5703125" style="1" customWidth="1"/>
    <col min="1266" max="1266" width="1.85546875" style="1" customWidth="1"/>
    <col min="1267" max="1267" width="11.85546875" style="1" customWidth="1"/>
    <col min="1268" max="1268" width="1.5703125" style="1" customWidth="1"/>
    <col min="1269" max="1269" width="10.140625" style="1" customWidth="1"/>
    <col min="1270" max="1270" width="2" style="1" customWidth="1"/>
    <col min="1271" max="1271" width="9.5703125" style="1" customWidth="1"/>
    <col min="1272" max="1514" width="8.85546875" style="1"/>
    <col min="1515" max="1515" width="4.5703125" style="1" customWidth="1"/>
    <col min="1516" max="1516" width="1" style="1" customWidth="1"/>
    <col min="1517" max="1517" width="18" style="1" customWidth="1"/>
    <col min="1518" max="1518" width="1.85546875" style="1" customWidth="1"/>
    <col min="1519" max="1519" width="12.5703125" style="1" customWidth="1"/>
    <col min="1520" max="1520" width="1.5703125" style="1" customWidth="1"/>
    <col min="1521" max="1521" width="9.5703125" style="1" customWidth="1"/>
    <col min="1522" max="1522" width="1.85546875" style="1" customWidth="1"/>
    <col min="1523" max="1523" width="11.85546875" style="1" customWidth="1"/>
    <col min="1524" max="1524" width="1.5703125" style="1" customWidth="1"/>
    <col min="1525" max="1525" width="10.140625" style="1" customWidth="1"/>
    <col min="1526" max="1526" width="2" style="1" customWidth="1"/>
    <col min="1527" max="1527" width="9.5703125" style="1" customWidth="1"/>
    <col min="1528" max="1770" width="8.85546875" style="1"/>
    <col min="1771" max="1771" width="4.5703125" style="1" customWidth="1"/>
    <col min="1772" max="1772" width="1" style="1" customWidth="1"/>
    <col min="1773" max="1773" width="18" style="1" customWidth="1"/>
    <col min="1774" max="1774" width="1.85546875" style="1" customWidth="1"/>
    <col min="1775" max="1775" width="12.5703125" style="1" customWidth="1"/>
    <col min="1776" max="1776" width="1.5703125" style="1" customWidth="1"/>
    <col min="1777" max="1777" width="9.5703125" style="1" customWidth="1"/>
    <col min="1778" max="1778" width="1.85546875" style="1" customWidth="1"/>
    <col min="1779" max="1779" width="11.85546875" style="1" customWidth="1"/>
    <col min="1780" max="1780" width="1.5703125" style="1" customWidth="1"/>
    <col min="1781" max="1781" width="10.140625" style="1" customWidth="1"/>
    <col min="1782" max="1782" width="2" style="1" customWidth="1"/>
    <col min="1783" max="1783" width="9.5703125" style="1" customWidth="1"/>
    <col min="1784" max="2026" width="8.85546875" style="1"/>
    <col min="2027" max="2027" width="4.5703125" style="1" customWidth="1"/>
    <col min="2028" max="2028" width="1" style="1" customWidth="1"/>
    <col min="2029" max="2029" width="18" style="1" customWidth="1"/>
    <col min="2030" max="2030" width="1.85546875" style="1" customWidth="1"/>
    <col min="2031" max="2031" width="12.5703125" style="1" customWidth="1"/>
    <col min="2032" max="2032" width="1.5703125" style="1" customWidth="1"/>
    <col min="2033" max="2033" width="9.5703125" style="1" customWidth="1"/>
    <col min="2034" max="2034" width="1.85546875" style="1" customWidth="1"/>
    <col min="2035" max="2035" width="11.85546875" style="1" customWidth="1"/>
    <col min="2036" max="2036" width="1.5703125" style="1" customWidth="1"/>
    <col min="2037" max="2037" width="10.140625" style="1" customWidth="1"/>
    <col min="2038" max="2038" width="2" style="1" customWidth="1"/>
    <col min="2039" max="2039" width="9.5703125" style="1" customWidth="1"/>
    <col min="2040" max="2282" width="8.85546875" style="1"/>
    <col min="2283" max="2283" width="4.5703125" style="1" customWidth="1"/>
    <col min="2284" max="2284" width="1" style="1" customWidth="1"/>
    <col min="2285" max="2285" width="18" style="1" customWidth="1"/>
    <col min="2286" max="2286" width="1.85546875" style="1" customWidth="1"/>
    <col min="2287" max="2287" width="12.5703125" style="1" customWidth="1"/>
    <col min="2288" max="2288" width="1.5703125" style="1" customWidth="1"/>
    <col min="2289" max="2289" width="9.5703125" style="1" customWidth="1"/>
    <col min="2290" max="2290" width="1.85546875" style="1" customWidth="1"/>
    <col min="2291" max="2291" width="11.85546875" style="1" customWidth="1"/>
    <col min="2292" max="2292" width="1.5703125" style="1" customWidth="1"/>
    <col min="2293" max="2293" width="10.140625" style="1" customWidth="1"/>
    <col min="2294" max="2294" width="2" style="1" customWidth="1"/>
    <col min="2295" max="2295" width="9.5703125" style="1" customWidth="1"/>
    <col min="2296" max="2538" width="8.85546875" style="1"/>
    <col min="2539" max="2539" width="4.5703125" style="1" customWidth="1"/>
    <col min="2540" max="2540" width="1" style="1" customWidth="1"/>
    <col min="2541" max="2541" width="18" style="1" customWidth="1"/>
    <col min="2542" max="2542" width="1.85546875" style="1" customWidth="1"/>
    <col min="2543" max="2543" width="12.5703125" style="1" customWidth="1"/>
    <col min="2544" max="2544" width="1.5703125" style="1" customWidth="1"/>
    <col min="2545" max="2545" width="9.5703125" style="1" customWidth="1"/>
    <col min="2546" max="2546" width="1.85546875" style="1" customWidth="1"/>
    <col min="2547" max="2547" width="11.85546875" style="1" customWidth="1"/>
    <col min="2548" max="2548" width="1.5703125" style="1" customWidth="1"/>
    <col min="2549" max="2549" width="10.140625" style="1" customWidth="1"/>
    <col min="2550" max="2550" width="2" style="1" customWidth="1"/>
    <col min="2551" max="2551" width="9.5703125" style="1" customWidth="1"/>
    <col min="2552" max="2794" width="8.85546875" style="1"/>
    <col min="2795" max="2795" width="4.5703125" style="1" customWidth="1"/>
    <col min="2796" max="2796" width="1" style="1" customWidth="1"/>
    <col min="2797" max="2797" width="18" style="1" customWidth="1"/>
    <col min="2798" max="2798" width="1.85546875" style="1" customWidth="1"/>
    <col min="2799" max="2799" width="12.5703125" style="1" customWidth="1"/>
    <col min="2800" max="2800" width="1.5703125" style="1" customWidth="1"/>
    <col min="2801" max="2801" width="9.5703125" style="1" customWidth="1"/>
    <col min="2802" max="2802" width="1.85546875" style="1" customWidth="1"/>
    <col min="2803" max="2803" width="11.85546875" style="1" customWidth="1"/>
    <col min="2804" max="2804" width="1.5703125" style="1" customWidth="1"/>
    <col min="2805" max="2805" width="10.140625" style="1" customWidth="1"/>
    <col min="2806" max="2806" width="2" style="1" customWidth="1"/>
    <col min="2807" max="2807" width="9.5703125" style="1" customWidth="1"/>
    <col min="2808" max="3050" width="8.85546875" style="1"/>
    <col min="3051" max="3051" width="4.5703125" style="1" customWidth="1"/>
    <col min="3052" max="3052" width="1" style="1" customWidth="1"/>
    <col min="3053" max="3053" width="18" style="1" customWidth="1"/>
    <col min="3054" max="3054" width="1.85546875" style="1" customWidth="1"/>
    <col min="3055" max="3055" width="12.5703125" style="1" customWidth="1"/>
    <col min="3056" max="3056" width="1.5703125" style="1" customWidth="1"/>
    <col min="3057" max="3057" width="9.5703125" style="1" customWidth="1"/>
    <col min="3058" max="3058" width="1.85546875" style="1" customWidth="1"/>
    <col min="3059" max="3059" width="11.85546875" style="1" customWidth="1"/>
    <col min="3060" max="3060" width="1.5703125" style="1" customWidth="1"/>
    <col min="3061" max="3061" width="10.140625" style="1" customWidth="1"/>
    <col min="3062" max="3062" width="2" style="1" customWidth="1"/>
    <col min="3063" max="3063" width="9.5703125" style="1" customWidth="1"/>
    <col min="3064" max="3306" width="8.85546875" style="1"/>
    <col min="3307" max="3307" width="4.5703125" style="1" customWidth="1"/>
    <col min="3308" max="3308" width="1" style="1" customWidth="1"/>
    <col min="3309" max="3309" width="18" style="1" customWidth="1"/>
    <col min="3310" max="3310" width="1.85546875" style="1" customWidth="1"/>
    <col min="3311" max="3311" width="12.5703125" style="1" customWidth="1"/>
    <col min="3312" max="3312" width="1.5703125" style="1" customWidth="1"/>
    <col min="3313" max="3313" width="9.5703125" style="1" customWidth="1"/>
    <col min="3314" max="3314" width="1.85546875" style="1" customWidth="1"/>
    <col min="3315" max="3315" width="11.85546875" style="1" customWidth="1"/>
    <col min="3316" max="3316" width="1.5703125" style="1" customWidth="1"/>
    <col min="3317" max="3317" width="10.140625" style="1" customWidth="1"/>
    <col min="3318" max="3318" width="2" style="1" customWidth="1"/>
    <col min="3319" max="3319" width="9.5703125" style="1" customWidth="1"/>
    <col min="3320" max="3562" width="8.85546875" style="1"/>
    <col min="3563" max="3563" width="4.5703125" style="1" customWidth="1"/>
    <col min="3564" max="3564" width="1" style="1" customWidth="1"/>
    <col min="3565" max="3565" width="18" style="1" customWidth="1"/>
    <col min="3566" max="3566" width="1.85546875" style="1" customWidth="1"/>
    <col min="3567" max="3567" width="12.5703125" style="1" customWidth="1"/>
    <col min="3568" max="3568" width="1.5703125" style="1" customWidth="1"/>
    <col min="3569" max="3569" width="9.5703125" style="1" customWidth="1"/>
    <col min="3570" max="3570" width="1.85546875" style="1" customWidth="1"/>
    <col min="3571" max="3571" width="11.85546875" style="1" customWidth="1"/>
    <col min="3572" max="3572" width="1.5703125" style="1" customWidth="1"/>
    <col min="3573" max="3573" width="10.140625" style="1" customWidth="1"/>
    <col min="3574" max="3574" width="2" style="1" customWidth="1"/>
    <col min="3575" max="3575" width="9.5703125" style="1" customWidth="1"/>
    <col min="3576" max="3818" width="8.85546875" style="1"/>
    <col min="3819" max="3819" width="4.5703125" style="1" customWidth="1"/>
    <col min="3820" max="3820" width="1" style="1" customWidth="1"/>
    <col min="3821" max="3821" width="18" style="1" customWidth="1"/>
    <col min="3822" max="3822" width="1.85546875" style="1" customWidth="1"/>
    <col min="3823" max="3823" width="12.5703125" style="1" customWidth="1"/>
    <col min="3824" max="3824" width="1.5703125" style="1" customWidth="1"/>
    <col min="3825" max="3825" width="9.5703125" style="1" customWidth="1"/>
    <col min="3826" max="3826" width="1.85546875" style="1" customWidth="1"/>
    <col min="3827" max="3827" width="11.85546875" style="1" customWidth="1"/>
    <col min="3828" max="3828" width="1.5703125" style="1" customWidth="1"/>
    <col min="3829" max="3829" width="10.140625" style="1" customWidth="1"/>
    <col min="3830" max="3830" width="2" style="1" customWidth="1"/>
    <col min="3831" max="3831" width="9.5703125" style="1" customWidth="1"/>
    <col min="3832" max="4074" width="8.85546875" style="1"/>
    <col min="4075" max="4075" width="4.5703125" style="1" customWidth="1"/>
    <col min="4076" max="4076" width="1" style="1" customWidth="1"/>
    <col min="4077" max="4077" width="18" style="1" customWidth="1"/>
    <col min="4078" max="4078" width="1.85546875" style="1" customWidth="1"/>
    <col min="4079" max="4079" width="12.5703125" style="1" customWidth="1"/>
    <col min="4080" max="4080" width="1.5703125" style="1" customWidth="1"/>
    <col min="4081" max="4081" width="9.5703125" style="1" customWidth="1"/>
    <col min="4082" max="4082" width="1.85546875" style="1" customWidth="1"/>
    <col min="4083" max="4083" width="11.85546875" style="1" customWidth="1"/>
    <col min="4084" max="4084" width="1.5703125" style="1" customWidth="1"/>
    <col min="4085" max="4085" width="10.140625" style="1" customWidth="1"/>
    <col min="4086" max="4086" width="2" style="1" customWidth="1"/>
    <col min="4087" max="4087" width="9.5703125" style="1" customWidth="1"/>
    <col min="4088" max="4330" width="8.85546875" style="1"/>
    <col min="4331" max="4331" width="4.5703125" style="1" customWidth="1"/>
    <col min="4332" max="4332" width="1" style="1" customWidth="1"/>
    <col min="4333" max="4333" width="18" style="1" customWidth="1"/>
    <col min="4334" max="4334" width="1.85546875" style="1" customWidth="1"/>
    <col min="4335" max="4335" width="12.5703125" style="1" customWidth="1"/>
    <col min="4336" max="4336" width="1.5703125" style="1" customWidth="1"/>
    <col min="4337" max="4337" width="9.5703125" style="1" customWidth="1"/>
    <col min="4338" max="4338" width="1.85546875" style="1" customWidth="1"/>
    <col min="4339" max="4339" width="11.85546875" style="1" customWidth="1"/>
    <col min="4340" max="4340" width="1.5703125" style="1" customWidth="1"/>
    <col min="4341" max="4341" width="10.140625" style="1" customWidth="1"/>
    <col min="4342" max="4342" width="2" style="1" customWidth="1"/>
    <col min="4343" max="4343" width="9.5703125" style="1" customWidth="1"/>
    <col min="4344" max="4586" width="8.85546875" style="1"/>
    <col min="4587" max="4587" width="4.5703125" style="1" customWidth="1"/>
    <col min="4588" max="4588" width="1" style="1" customWidth="1"/>
    <col min="4589" max="4589" width="18" style="1" customWidth="1"/>
    <col min="4590" max="4590" width="1.85546875" style="1" customWidth="1"/>
    <col min="4591" max="4591" width="12.5703125" style="1" customWidth="1"/>
    <col min="4592" max="4592" width="1.5703125" style="1" customWidth="1"/>
    <col min="4593" max="4593" width="9.5703125" style="1" customWidth="1"/>
    <col min="4594" max="4594" width="1.85546875" style="1" customWidth="1"/>
    <col min="4595" max="4595" width="11.85546875" style="1" customWidth="1"/>
    <col min="4596" max="4596" width="1.5703125" style="1" customWidth="1"/>
    <col min="4597" max="4597" width="10.140625" style="1" customWidth="1"/>
    <col min="4598" max="4598" width="2" style="1" customWidth="1"/>
    <col min="4599" max="4599" width="9.5703125" style="1" customWidth="1"/>
    <col min="4600" max="4842" width="8.85546875" style="1"/>
    <col min="4843" max="4843" width="4.5703125" style="1" customWidth="1"/>
    <col min="4844" max="4844" width="1" style="1" customWidth="1"/>
    <col min="4845" max="4845" width="18" style="1" customWidth="1"/>
    <col min="4846" max="4846" width="1.85546875" style="1" customWidth="1"/>
    <col min="4847" max="4847" width="12.5703125" style="1" customWidth="1"/>
    <col min="4848" max="4848" width="1.5703125" style="1" customWidth="1"/>
    <col min="4849" max="4849" width="9.5703125" style="1" customWidth="1"/>
    <col min="4850" max="4850" width="1.85546875" style="1" customWidth="1"/>
    <col min="4851" max="4851" width="11.85546875" style="1" customWidth="1"/>
    <col min="4852" max="4852" width="1.5703125" style="1" customWidth="1"/>
    <col min="4853" max="4853" width="10.140625" style="1" customWidth="1"/>
    <col min="4854" max="4854" width="2" style="1" customWidth="1"/>
    <col min="4855" max="4855" width="9.5703125" style="1" customWidth="1"/>
    <col min="4856" max="5098" width="8.85546875" style="1"/>
    <col min="5099" max="5099" width="4.5703125" style="1" customWidth="1"/>
    <col min="5100" max="5100" width="1" style="1" customWidth="1"/>
    <col min="5101" max="5101" width="18" style="1" customWidth="1"/>
    <col min="5102" max="5102" width="1.85546875" style="1" customWidth="1"/>
    <col min="5103" max="5103" width="12.5703125" style="1" customWidth="1"/>
    <col min="5104" max="5104" width="1.5703125" style="1" customWidth="1"/>
    <col min="5105" max="5105" width="9.5703125" style="1" customWidth="1"/>
    <col min="5106" max="5106" width="1.85546875" style="1" customWidth="1"/>
    <col min="5107" max="5107" width="11.85546875" style="1" customWidth="1"/>
    <col min="5108" max="5108" width="1.5703125" style="1" customWidth="1"/>
    <col min="5109" max="5109" width="10.140625" style="1" customWidth="1"/>
    <col min="5110" max="5110" width="2" style="1" customWidth="1"/>
    <col min="5111" max="5111" width="9.5703125" style="1" customWidth="1"/>
    <col min="5112" max="5354" width="8.85546875" style="1"/>
    <col min="5355" max="5355" width="4.5703125" style="1" customWidth="1"/>
    <col min="5356" max="5356" width="1" style="1" customWidth="1"/>
    <col min="5357" max="5357" width="18" style="1" customWidth="1"/>
    <col min="5358" max="5358" width="1.85546875" style="1" customWidth="1"/>
    <col min="5359" max="5359" width="12.5703125" style="1" customWidth="1"/>
    <col min="5360" max="5360" width="1.5703125" style="1" customWidth="1"/>
    <col min="5361" max="5361" width="9.5703125" style="1" customWidth="1"/>
    <col min="5362" max="5362" width="1.85546875" style="1" customWidth="1"/>
    <col min="5363" max="5363" width="11.85546875" style="1" customWidth="1"/>
    <col min="5364" max="5364" width="1.5703125" style="1" customWidth="1"/>
    <col min="5365" max="5365" width="10.140625" style="1" customWidth="1"/>
    <col min="5366" max="5366" width="2" style="1" customWidth="1"/>
    <col min="5367" max="5367" width="9.5703125" style="1" customWidth="1"/>
    <col min="5368" max="5610" width="8.85546875" style="1"/>
    <col min="5611" max="5611" width="4.5703125" style="1" customWidth="1"/>
    <col min="5612" max="5612" width="1" style="1" customWidth="1"/>
    <col min="5613" max="5613" width="18" style="1" customWidth="1"/>
    <col min="5614" max="5614" width="1.85546875" style="1" customWidth="1"/>
    <col min="5615" max="5615" width="12.5703125" style="1" customWidth="1"/>
    <col min="5616" max="5616" width="1.5703125" style="1" customWidth="1"/>
    <col min="5617" max="5617" width="9.5703125" style="1" customWidth="1"/>
    <col min="5618" max="5618" width="1.85546875" style="1" customWidth="1"/>
    <col min="5619" max="5619" width="11.85546875" style="1" customWidth="1"/>
    <col min="5620" max="5620" width="1.5703125" style="1" customWidth="1"/>
    <col min="5621" max="5621" width="10.140625" style="1" customWidth="1"/>
    <col min="5622" max="5622" width="2" style="1" customWidth="1"/>
    <col min="5623" max="5623" width="9.5703125" style="1" customWidth="1"/>
    <col min="5624" max="5866" width="8.85546875" style="1"/>
    <col min="5867" max="5867" width="4.5703125" style="1" customWidth="1"/>
    <col min="5868" max="5868" width="1" style="1" customWidth="1"/>
    <col min="5869" max="5869" width="18" style="1" customWidth="1"/>
    <col min="5870" max="5870" width="1.85546875" style="1" customWidth="1"/>
    <col min="5871" max="5871" width="12.5703125" style="1" customWidth="1"/>
    <col min="5872" max="5872" width="1.5703125" style="1" customWidth="1"/>
    <col min="5873" max="5873" width="9.5703125" style="1" customWidth="1"/>
    <col min="5874" max="5874" width="1.85546875" style="1" customWidth="1"/>
    <col min="5875" max="5875" width="11.85546875" style="1" customWidth="1"/>
    <col min="5876" max="5876" width="1.5703125" style="1" customWidth="1"/>
    <col min="5877" max="5877" width="10.140625" style="1" customWidth="1"/>
    <col min="5878" max="5878" width="2" style="1" customWidth="1"/>
    <col min="5879" max="5879" width="9.5703125" style="1" customWidth="1"/>
    <col min="5880" max="6122" width="8.85546875" style="1"/>
    <col min="6123" max="6123" width="4.5703125" style="1" customWidth="1"/>
    <col min="6124" max="6124" width="1" style="1" customWidth="1"/>
    <col min="6125" max="6125" width="18" style="1" customWidth="1"/>
    <col min="6126" max="6126" width="1.85546875" style="1" customWidth="1"/>
    <col min="6127" max="6127" width="12.5703125" style="1" customWidth="1"/>
    <col min="6128" max="6128" width="1.5703125" style="1" customWidth="1"/>
    <col min="6129" max="6129" width="9.5703125" style="1" customWidth="1"/>
    <col min="6130" max="6130" width="1.85546875" style="1" customWidth="1"/>
    <col min="6131" max="6131" width="11.85546875" style="1" customWidth="1"/>
    <col min="6132" max="6132" width="1.5703125" style="1" customWidth="1"/>
    <col min="6133" max="6133" width="10.140625" style="1" customWidth="1"/>
    <col min="6134" max="6134" width="2" style="1" customWidth="1"/>
    <col min="6135" max="6135" width="9.5703125" style="1" customWidth="1"/>
    <col min="6136" max="6378" width="8.85546875" style="1"/>
    <col min="6379" max="6379" width="4.5703125" style="1" customWidth="1"/>
    <col min="6380" max="6380" width="1" style="1" customWidth="1"/>
    <col min="6381" max="6381" width="18" style="1" customWidth="1"/>
    <col min="6382" max="6382" width="1.85546875" style="1" customWidth="1"/>
    <col min="6383" max="6383" width="12.5703125" style="1" customWidth="1"/>
    <col min="6384" max="6384" width="1.5703125" style="1" customWidth="1"/>
    <col min="6385" max="6385" width="9.5703125" style="1" customWidth="1"/>
    <col min="6386" max="6386" width="1.85546875" style="1" customWidth="1"/>
    <col min="6387" max="6387" width="11.85546875" style="1" customWidth="1"/>
    <col min="6388" max="6388" width="1.5703125" style="1" customWidth="1"/>
    <col min="6389" max="6389" width="10.140625" style="1" customWidth="1"/>
    <col min="6390" max="6390" width="2" style="1" customWidth="1"/>
    <col min="6391" max="6391" width="9.5703125" style="1" customWidth="1"/>
    <col min="6392" max="6634" width="8.85546875" style="1"/>
    <col min="6635" max="6635" width="4.5703125" style="1" customWidth="1"/>
    <col min="6636" max="6636" width="1" style="1" customWidth="1"/>
    <col min="6637" max="6637" width="18" style="1" customWidth="1"/>
    <col min="6638" max="6638" width="1.85546875" style="1" customWidth="1"/>
    <col min="6639" max="6639" width="12.5703125" style="1" customWidth="1"/>
    <col min="6640" max="6640" width="1.5703125" style="1" customWidth="1"/>
    <col min="6641" max="6641" width="9.5703125" style="1" customWidth="1"/>
    <col min="6642" max="6642" width="1.85546875" style="1" customWidth="1"/>
    <col min="6643" max="6643" width="11.85546875" style="1" customWidth="1"/>
    <col min="6644" max="6644" width="1.5703125" style="1" customWidth="1"/>
    <col min="6645" max="6645" width="10.140625" style="1" customWidth="1"/>
    <col min="6646" max="6646" width="2" style="1" customWidth="1"/>
    <col min="6647" max="6647" width="9.5703125" style="1" customWidth="1"/>
    <col min="6648" max="6890" width="8.85546875" style="1"/>
    <col min="6891" max="6891" width="4.5703125" style="1" customWidth="1"/>
    <col min="6892" max="6892" width="1" style="1" customWidth="1"/>
    <col min="6893" max="6893" width="18" style="1" customWidth="1"/>
    <col min="6894" max="6894" width="1.85546875" style="1" customWidth="1"/>
    <col min="6895" max="6895" width="12.5703125" style="1" customWidth="1"/>
    <col min="6896" max="6896" width="1.5703125" style="1" customWidth="1"/>
    <col min="6897" max="6897" width="9.5703125" style="1" customWidth="1"/>
    <col min="6898" max="6898" width="1.85546875" style="1" customWidth="1"/>
    <col min="6899" max="6899" width="11.85546875" style="1" customWidth="1"/>
    <col min="6900" max="6900" width="1.5703125" style="1" customWidth="1"/>
    <col min="6901" max="6901" width="10.140625" style="1" customWidth="1"/>
    <col min="6902" max="6902" width="2" style="1" customWidth="1"/>
    <col min="6903" max="6903" width="9.5703125" style="1" customWidth="1"/>
    <col min="6904" max="7146" width="8.85546875" style="1"/>
    <col min="7147" max="7147" width="4.5703125" style="1" customWidth="1"/>
    <col min="7148" max="7148" width="1" style="1" customWidth="1"/>
    <col min="7149" max="7149" width="18" style="1" customWidth="1"/>
    <col min="7150" max="7150" width="1.85546875" style="1" customWidth="1"/>
    <col min="7151" max="7151" width="12.5703125" style="1" customWidth="1"/>
    <col min="7152" max="7152" width="1.5703125" style="1" customWidth="1"/>
    <col min="7153" max="7153" width="9.5703125" style="1" customWidth="1"/>
    <col min="7154" max="7154" width="1.85546875" style="1" customWidth="1"/>
    <col min="7155" max="7155" width="11.85546875" style="1" customWidth="1"/>
    <col min="7156" max="7156" width="1.5703125" style="1" customWidth="1"/>
    <col min="7157" max="7157" width="10.140625" style="1" customWidth="1"/>
    <col min="7158" max="7158" width="2" style="1" customWidth="1"/>
    <col min="7159" max="7159" width="9.5703125" style="1" customWidth="1"/>
    <col min="7160" max="7402" width="8.85546875" style="1"/>
    <col min="7403" max="7403" width="4.5703125" style="1" customWidth="1"/>
    <col min="7404" max="7404" width="1" style="1" customWidth="1"/>
    <col min="7405" max="7405" width="18" style="1" customWidth="1"/>
    <col min="7406" max="7406" width="1.85546875" style="1" customWidth="1"/>
    <col min="7407" max="7407" width="12.5703125" style="1" customWidth="1"/>
    <col min="7408" max="7408" width="1.5703125" style="1" customWidth="1"/>
    <col min="7409" max="7409" width="9.5703125" style="1" customWidth="1"/>
    <col min="7410" max="7410" width="1.85546875" style="1" customWidth="1"/>
    <col min="7411" max="7411" width="11.85546875" style="1" customWidth="1"/>
    <col min="7412" max="7412" width="1.5703125" style="1" customWidth="1"/>
    <col min="7413" max="7413" width="10.140625" style="1" customWidth="1"/>
    <col min="7414" max="7414" width="2" style="1" customWidth="1"/>
    <col min="7415" max="7415" width="9.5703125" style="1" customWidth="1"/>
    <col min="7416" max="7658" width="8.85546875" style="1"/>
    <col min="7659" max="7659" width="4.5703125" style="1" customWidth="1"/>
    <col min="7660" max="7660" width="1" style="1" customWidth="1"/>
    <col min="7661" max="7661" width="18" style="1" customWidth="1"/>
    <col min="7662" max="7662" width="1.85546875" style="1" customWidth="1"/>
    <col min="7663" max="7663" width="12.5703125" style="1" customWidth="1"/>
    <col min="7664" max="7664" width="1.5703125" style="1" customWidth="1"/>
    <col min="7665" max="7665" width="9.5703125" style="1" customWidth="1"/>
    <col min="7666" max="7666" width="1.85546875" style="1" customWidth="1"/>
    <col min="7667" max="7667" width="11.85546875" style="1" customWidth="1"/>
    <col min="7668" max="7668" width="1.5703125" style="1" customWidth="1"/>
    <col min="7669" max="7669" width="10.140625" style="1" customWidth="1"/>
    <col min="7670" max="7670" width="2" style="1" customWidth="1"/>
    <col min="7671" max="7671" width="9.5703125" style="1" customWidth="1"/>
    <col min="7672" max="7914" width="8.85546875" style="1"/>
    <col min="7915" max="7915" width="4.5703125" style="1" customWidth="1"/>
    <col min="7916" max="7916" width="1" style="1" customWidth="1"/>
    <col min="7917" max="7917" width="18" style="1" customWidth="1"/>
    <col min="7918" max="7918" width="1.85546875" style="1" customWidth="1"/>
    <col min="7919" max="7919" width="12.5703125" style="1" customWidth="1"/>
    <col min="7920" max="7920" width="1.5703125" style="1" customWidth="1"/>
    <col min="7921" max="7921" width="9.5703125" style="1" customWidth="1"/>
    <col min="7922" max="7922" width="1.85546875" style="1" customWidth="1"/>
    <col min="7923" max="7923" width="11.85546875" style="1" customWidth="1"/>
    <col min="7924" max="7924" width="1.5703125" style="1" customWidth="1"/>
    <col min="7925" max="7925" width="10.140625" style="1" customWidth="1"/>
    <col min="7926" max="7926" width="2" style="1" customWidth="1"/>
    <col min="7927" max="7927" width="9.5703125" style="1" customWidth="1"/>
    <col min="7928" max="8170" width="8.85546875" style="1"/>
    <col min="8171" max="8171" width="4.5703125" style="1" customWidth="1"/>
    <col min="8172" max="8172" width="1" style="1" customWidth="1"/>
    <col min="8173" max="8173" width="18" style="1" customWidth="1"/>
    <col min="8174" max="8174" width="1.85546875" style="1" customWidth="1"/>
    <col min="8175" max="8175" width="12.5703125" style="1" customWidth="1"/>
    <col min="8176" max="8176" width="1.5703125" style="1" customWidth="1"/>
    <col min="8177" max="8177" width="9.5703125" style="1" customWidth="1"/>
    <col min="8178" max="8178" width="1.85546875" style="1" customWidth="1"/>
    <col min="8179" max="8179" width="11.85546875" style="1" customWidth="1"/>
    <col min="8180" max="8180" width="1.5703125" style="1" customWidth="1"/>
    <col min="8181" max="8181" width="10.140625" style="1" customWidth="1"/>
    <col min="8182" max="8182" width="2" style="1" customWidth="1"/>
    <col min="8183" max="8183" width="9.5703125" style="1" customWidth="1"/>
    <col min="8184" max="8426" width="8.85546875" style="1"/>
    <col min="8427" max="8427" width="4.5703125" style="1" customWidth="1"/>
    <col min="8428" max="8428" width="1" style="1" customWidth="1"/>
    <col min="8429" max="8429" width="18" style="1" customWidth="1"/>
    <col min="8430" max="8430" width="1.85546875" style="1" customWidth="1"/>
    <col min="8431" max="8431" width="12.5703125" style="1" customWidth="1"/>
    <col min="8432" max="8432" width="1.5703125" style="1" customWidth="1"/>
    <col min="8433" max="8433" width="9.5703125" style="1" customWidth="1"/>
    <col min="8434" max="8434" width="1.85546875" style="1" customWidth="1"/>
    <col min="8435" max="8435" width="11.85546875" style="1" customWidth="1"/>
    <col min="8436" max="8436" width="1.5703125" style="1" customWidth="1"/>
    <col min="8437" max="8437" width="10.140625" style="1" customWidth="1"/>
    <col min="8438" max="8438" width="2" style="1" customWidth="1"/>
    <col min="8439" max="8439" width="9.5703125" style="1" customWidth="1"/>
    <col min="8440" max="8682" width="8.85546875" style="1"/>
    <col min="8683" max="8683" width="4.5703125" style="1" customWidth="1"/>
    <col min="8684" max="8684" width="1" style="1" customWidth="1"/>
    <col min="8685" max="8685" width="18" style="1" customWidth="1"/>
    <col min="8686" max="8686" width="1.85546875" style="1" customWidth="1"/>
    <col min="8687" max="8687" width="12.5703125" style="1" customWidth="1"/>
    <col min="8688" max="8688" width="1.5703125" style="1" customWidth="1"/>
    <col min="8689" max="8689" width="9.5703125" style="1" customWidth="1"/>
    <col min="8690" max="8690" width="1.85546875" style="1" customWidth="1"/>
    <col min="8691" max="8691" width="11.85546875" style="1" customWidth="1"/>
    <col min="8692" max="8692" width="1.5703125" style="1" customWidth="1"/>
    <col min="8693" max="8693" width="10.140625" style="1" customWidth="1"/>
    <col min="8694" max="8694" width="2" style="1" customWidth="1"/>
    <col min="8695" max="8695" width="9.5703125" style="1" customWidth="1"/>
    <col min="8696" max="8938" width="8.85546875" style="1"/>
    <col min="8939" max="8939" width="4.5703125" style="1" customWidth="1"/>
    <col min="8940" max="8940" width="1" style="1" customWidth="1"/>
    <col min="8941" max="8941" width="18" style="1" customWidth="1"/>
    <col min="8942" max="8942" width="1.85546875" style="1" customWidth="1"/>
    <col min="8943" max="8943" width="12.5703125" style="1" customWidth="1"/>
    <col min="8944" max="8944" width="1.5703125" style="1" customWidth="1"/>
    <col min="8945" max="8945" width="9.5703125" style="1" customWidth="1"/>
    <col min="8946" max="8946" width="1.85546875" style="1" customWidth="1"/>
    <col min="8947" max="8947" width="11.85546875" style="1" customWidth="1"/>
    <col min="8948" max="8948" width="1.5703125" style="1" customWidth="1"/>
    <col min="8949" max="8949" width="10.140625" style="1" customWidth="1"/>
    <col min="8950" max="8950" width="2" style="1" customWidth="1"/>
    <col min="8951" max="8951" width="9.5703125" style="1" customWidth="1"/>
    <col min="8952" max="9194" width="8.85546875" style="1"/>
    <col min="9195" max="9195" width="4.5703125" style="1" customWidth="1"/>
    <col min="9196" max="9196" width="1" style="1" customWidth="1"/>
    <col min="9197" max="9197" width="18" style="1" customWidth="1"/>
    <col min="9198" max="9198" width="1.85546875" style="1" customWidth="1"/>
    <col min="9199" max="9199" width="12.5703125" style="1" customWidth="1"/>
    <col min="9200" max="9200" width="1.5703125" style="1" customWidth="1"/>
    <col min="9201" max="9201" width="9.5703125" style="1" customWidth="1"/>
    <col min="9202" max="9202" width="1.85546875" style="1" customWidth="1"/>
    <col min="9203" max="9203" width="11.85546875" style="1" customWidth="1"/>
    <col min="9204" max="9204" width="1.5703125" style="1" customWidth="1"/>
    <col min="9205" max="9205" width="10.140625" style="1" customWidth="1"/>
    <col min="9206" max="9206" width="2" style="1" customWidth="1"/>
    <col min="9207" max="9207" width="9.5703125" style="1" customWidth="1"/>
    <col min="9208" max="9450" width="8.85546875" style="1"/>
    <col min="9451" max="9451" width="4.5703125" style="1" customWidth="1"/>
    <col min="9452" max="9452" width="1" style="1" customWidth="1"/>
    <col min="9453" max="9453" width="18" style="1" customWidth="1"/>
    <col min="9454" max="9454" width="1.85546875" style="1" customWidth="1"/>
    <col min="9455" max="9455" width="12.5703125" style="1" customWidth="1"/>
    <col min="9456" max="9456" width="1.5703125" style="1" customWidth="1"/>
    <col min="9457" max="9457" width="9.5703125" style="1" customWidth="1"/>
    <col min="9458" max="9458" width="1.85546875" style="1" customWidth="1"/>
    <col min="9459" max="9459" width="11.85546875" style="1" customWidth="1"/>
    <col min="9460" max="9460" width="1.5703125" style="1" customWidth="1"/>
    <col min="9461" max="9461" width="10.140625" style="1" customWidth="1"/>
    <col min="9462" max="9462" width="2" style="1" customWidth="1"/>
    <col min="9463" max="9463" width="9.5703125" style="1" customWidth="1"/>
    <col min="9464" max="9706" width="8.85546875" style="1"/>
    <col min="9707" max="9707" width="4.5703125" style="1" customWidth="1"/>
    <col min="9708" max="9708" width="1" style="1" customWidth="1"/>
    <col min="9709" max="9709" width="18" style="1" customWidth="1"/>
    <col min="9710" max="9710" width="1.85546875" style="1" customWidth="1"/>
    <col min="9711" max="9711" width="12.5703125" style="1" customWidth="1"/>
    <col min="9712" max="9712" width="1.5703125" style="1" customWidth="1"/>
    <col min="9713" max="9713" width="9.5703125" style="1" customWidth="1"/>
    <col min="9714" max="9714" width="1.85546875" style="1" customWidth="1"/>
    <col min="9715" max="9715" width="11.85546875" style="1" customWidth="1"/>
    <col min="9716" max="9716" width="1.5703125" style="1" customWidth="1"/>
    <col min="9717" max="9717" width="10.140625" style="1" customWidth="1"/>
    <col min="9718" max="9718" width="2" style="1" customWidth="1"/>
    <col min="9719" max="9719" width="9.5703125" style="1" customWidth="1"/>
    <col min="9720" max="9962" width="8.85546875" style="1"/>
    <col min="9963" max="9963" width="4.5703125" style="1" customWidth="1"/>
    <col min="9964" max="9964" width="1" style="1" customWidth="1"/>
    <col min="9965" max="9965" width="18" style="1" customWidth="1"/>
    <col min="9966" max="9966" width="1.85546875" style="1" customWidth="1"/>
    <col min="9967" max="9967" width="12.5703125" style="1" customWidth="1"/>
    <col min="9968" max="9968" width="1.5703125" style="1" customWidth="1"/>
    <col min="9969" max="9969" width="9.5703125" style="1" customWidth="1"/>
    <col min="9970" max="9970" width="1.85546875" style="1" customWidth="1"/>
    <col min="9971" max="9971" width="11.85546875" style="1" customWidth="1"/>
    <col min="9972" max="9972" width="1.5703125" style="1" customWidth="1"/>
    <col min="9973" max="9973" width="10.140625" style="1" customWidth="1"/>
    <col min="9974" max="9974" width="2" style="1" customWidth="1"/>
    <col min="9975" max="9975" width="9.5703125" style="1" customWidth="1"/>
    <col min="9976" max="10218" width="8.85546875" style="1"/>
    <col min="10219" max="10219" width="4.5703125" style="1" customWidth="1"/>
    <col min="10220" max="10220" width="1" style="1" customWidth="1"/>
    <col min="10221" max="10221" width="18" style="1" customWidth="1"/>
    <col min="10222" max="10222" width="1.85546875" style="1" customWidth="1"/>
    <col min="10223" max="10223" width="12.5703125" style="1" customWidth="1"/>
    <col min="10224" max="10224" width="1.5703125" style="1" customWidth="1"/>
    <col min="10225" max="10225" width="9.5703125" style="1" customWidth="1"/>
    <col min="10226" max="10226" width="1.85546875" style="1" customWidth="1"/>
    <col min="10227" max="10227" width="11.85546875" style="1" customWidth="1"/>
    <col min="10228" max="10228" width="1.5703125" style="1" customWidth="1"/>
    <col min="10229" max="10229" width="10.140625" style="1" customWidth="1"/>
    <col min="10230" max="10230" width="2" style="1" customWidth="1"/>
    <col min="10231" max="10231" width="9.5703125" style="1" customWidth="1"/>
    <col min="10232" max="10474" width="8.85546875" style="1"/>
    <col min="10475" max="10475" width="4.5703125" style="1" customWidth="1"/>
    <col min="10476" max="10476" width="1" style="1" customWidth="1"/>
    <col min="10477" max="10477" width="18" style="1" customWidth="1"/>
    <col min="10478" max="10478" width="1.85546875" style="1" customWidth="1"/>
    <col min="10479" max="10479" width="12.5703125" style="1" customWidth="1"/>
    <col min="10480" max="10480" width="1.5703125" style="1" customWidth="1"/>
    <col min="10481" max="10481" width="9.5703125" style="1" customWidth="1"/>
    <col min="10482" max="10482" width="1.85546875" style="1" customWidth="1"/>
    <col min="10483" max="10483" width="11.85546875" style="1" customWidth="1"/>
    <col min="10484" max="10484" width="1.5703125" style="1" customWidth="1"/>
    <col min="10485" max="10485" width="10.140625" style="1" customWidth="1"/>
    <col min="10486" max="10486" width="2" style="1" customWidth="1"/>
    <col min="10487" max="10487" width="9.5703125" style="1" customWidth="1"/>
    <col min="10488" max="10730" width="8.85546875" style="1"/>
    <col min="10731" max="10731" width="4.5703125" style="1" customWidth="1"/>
    <col min="10732" max="10732" width="1" style="1" customWidth="1"/>
    <col min="10733" max="10733" width="18" style="1" customWidth="1"/>
    <col min="10734" max="10734" width="1.85546875" style="1" customWidth="1"/>
    <col min="10735" max="10735" width="12.5703125" style="1" customWidth="1"/>
    <col min="10736" max="10736" width="1.5703125" style="1" customWidth="1"/>
    <col min="10737" max="10737" width="9.5703125" style="1" customWidth="1"/>
    <col min="10738" max="10738" width="1.85546875" style="1" customWidth="1"/>
    <col min="10739" max="10739" width="11.85546875" style="1" customWidth="1"/>
    <col min="10740" max="10740" width="1.5703125" style="1" customWidth="1"/>
    <col min="10741" max="10741" width="10.140625" style="1" customWidth="1"/>
    <col min="10742" max="10742" width="2" style="1" customWidth="1"/>
    <col min="10743" max="10743" width="9.5703125" style="1" customWidth="1"/>
    <col min="10744" max="10986" width="8.85546875" style="1"/>
    <col min="10987" max="10987" width="4.5703125" style="1" customWidth="1"/>
    <col min="10988" max="10988" width="1" style="1" customWidth="1"/>
    <col min="10989" max="10989" width="18" style="1" customWidth="1"/>
    <col min="10990" max="10990" width="1.85546875" style="1" customWidth="1"/>
    <col min="10991" max="10991" width="12.5703125" style="1" customWidth="1"/>
    <col min="10992" max="10992" width="1.5703125" style="1" customWidth="1"/>
    <col min="10993" max="10993" width="9.5703125" style="1" customWidth="1"/>
    <col min="10994" max="10994" width="1.85546875" style="1" customWidth="1"/>
    <col min="10995" max="10995" width="11.85546875" style="1" customWidth="1"/>
    <col min="10996" max="10996" width="1.5703125" style="1" customWidth="1"/>
    <col min="10997" max="10997" width="10.140625" style="1" customWidth="1"/>
    <col min="10998" max="10998" width="2" style="1" customWidth="1"/>
    <col min="10999" max="10999" width="9.5703125" style="1" customWidth="1"/>
    <col min="11000" max="11242" width="8.85546875" style="1"/>
    <col min="11243" max="11243" width="4.5703125" style="1" customWidth="1"/>
    <col min="11244" max="11244" width="1" style="1" customWidth="1"/>
    <col min="11245" max="11245" width="18" style="1" customWidth="1"/>
    <col min="11246" max="11246" width="1.85546875" style="1" customWidth="1"/>
    <col min="11247" max="11247" width="12.5703125" style="1" customWidth="1"/>
    <col min="11248" max="11248" width="1.5703125" style="1" customWidth="1"/>
    <col min="11249" max="11249" width="9.5703125" style="1" customWidth="1"/>
    <col min="11250" max="11250" width="1.85546875" style="1" customWidth="1"/>
    <col min="11251" max="11251" width="11.85546875" style="1" customWidth="1"/>
    <col min="11252" max="11252" width="1.5703125" style="1" customWidth="1"/>
    <col min="11253" max="11253" width="10.140625" style="1" customWidth="1"/>
    <col min="11254" max="11254" width="2" style="1" customWidth="1"/>
    <col min="11255" max="11255" width="9.5703125" style="1" customWidth="1"/>
    <col min="11256" max="11498" width="8.85546875" style="1"/>
    <col min="11499" max="11499" width="4.5703125" style="1" customWidth="1"/>
    <col min="11500" max="11500" width="1" style="1" customWidth="1"/>
    <col min="11501" max="11501" width="18" style="1" customWidth="1"/>
    <col min="11502" max="11502" width="1.85546875" style="1" customWidth="1"/>
    <col min="11503" max="11503" width="12.5703125" style="1" customWidth="1"/>
    <col min="11504" max="11504" width="1.5703125" style="1" customWidth="1"/>
    <col min="11505" max="11505" width="9.5703125" style="1" customWidth="1"/>
    <col min="11506" max="11506" width="1.85546875" style="1" customWidth="1"/>
    <col min="11507" max="11507" width="11.85546875" style="1" customWidth="1"/>
    <col min="11508" max="11508" width="1.5703125" style="1" customWidth="1"/>
    <col min="11509" max="11509" width="10.140625" style="1" customWidth="1"/>
    <col min="11510" max="11510" width="2" style="1" customWidth="1"/>
    <col min="11511" max="11511" width="9.5703125" style="1" customWidth="1"/>
    <col min="11512" max="11754" width="8.85546875" style="1"/>
    <col min="11755" max="11755" width="4.5703125" style="1" customWidth="1"/>
    <col min="11756" max="11756" width="1" style="1" customWidth="1"/>
    <col min="11757" max="11757" width="18" style="1" customWidth="1"/>
    <col min="11758" max="11758" width="1.85546875" style="1" customWidth="1"/>
    <col min="11759" max="11759" width="12.5703125" style="1" customWidth="1"/>
    <col min="11760" max="11760" width="1.5703125" style="1" customWidth="1"/>
    <col min="11761" max="11761" width="9.5703125" style="1" customWidth="1"/>
    <col min="11762" max="11762" width="1.85546875" style="1" customWidth="1"/>
    <col min="11763" max="11763" width="11.85546875" style="1" customWidth="1"/>
    <col min="11764" max="11764" width="1.5703125" style="1" customWidth="1"/>
    <col min="11765" max="11765" width="10.140625" style="1" customWidth="1"/>
    <col min="11766" max="11766" width="2" style="1" customWidth="1"/>
    <col min="11767" max="11767" width="9.5703125" style="1" customWidth="1"/>
    <col min="11768" max="12010" width="8.85546875" style="1"/>
    <col min="12011" max="12011" width="4.5703125" style="1" customWidth="1"/>
    <col min="12012" max="12012" width="1" style="1" customWidth="1"/>
    <col min="12013" max="12013" width="18" style="1" customWidth="1"/>
    <col min="12014" max="12014" width="1.85546875" style="1" customWidth="1"/>
    <col min="12015" max="12015" width="12.5703125" style="1" customWidth="1"/>
    <col min="12016" max="12016" width="1.5703125" style="1" customWidth="1"/>
    <col min="12017" max="12017" width="9.5703125" style="1" customWidth="1"/>
    <col min="12018" max="12018" width="1.85546875" style="1" customWidth="1"/>
    <col min="12019" max="12019" width="11.85546875" style="1" customWidth="1"/>
    <col min="12020" max="12020" width="1.5703125" style="1" customWidth="1"/>
    <col min="12021" max="12021" width="10.140625" style="1" customWidth="1"/>
    <col min="12022" max="12022" width="2" style="1" customWidth="1"/>
    <col min="12023" max="12023" width="9.5703125" style="1" customWidth="1"/>
    <col min="12024" max="12266" width="8.85546875" style="1"/>
    <col min="12267" max="12267" width="4.5703125" style="1" customWidth="1"/>
    <col min="12268" max="12268" width="1" style="1" customWidth="1"/>
    <col min="12269" max="12269" width="18" style="1" customWidth="1"/>
    <col min="12270" max="12270" width="1.85546875" style="1" customWidth="1"/>
    <col min="12271" max="12271" width="12.5703125" style="1" customWidth="1"/>
    <col min="12272" max="12272" width="1.5703125" style="1" customWidth="1"/>
    <col min="12273" max="12273" width="9.5703125" style="1" customWidth="1"/>
    <col min="12274" max="12274" width="1.85546875" style="1" customWidth="1"/>
    <col min="12275" max="12275" width="11.85546875" style="1" customWidth="1"/>
    <col min="12276" max="12276" width="1.5703125" style="1" customWidth="1"/>
    <col min="12277" max="12277" width="10.140625" style="1" customWidth="1"/>
    <col min="12278" max="12278" width="2" style="1" customWidth="1"/>
    <col min="12279" max="12279" width="9.5703125" style="1" customWidth="1"/>
    <col min="12280" max="12522" width="8.85546875" style="1"/>
    <col min="12523" max="12523" width="4.5703125" style="1" customWidth="1"/>
    <col min="12524" max="12524" width="1" style="1" customWidth="1"/>
    <col min="12525" max="12525" width="18" style="1" customWidth="1"/>
    <col min="12526" max="12526" width="1.85546875" style="1" customWidth="1"/>
    <col min="12527" max="12527" width="12.5703125" style="1" customWidth="1"/>
    <col min="12528" max="12528" width="1.5703125" style="1" customWidth="1"/>
    <col min="12529" max="12529" width="9.5703125" style="1" customWidth="1"/>
    <col min="12530" max="12530" width="1.85546875" style="1" customWidth="1"/>
    <col min="12531" max="12531" width="11.85546875" style="1" customWidth="1"/>
    <col min="12532" max="12532" width="1.5703125" style="1" customWidth="1"/>
    <col min="12533" max="12533" width="10.140625" style="1" customWidth="1"/>
    <col min="12534" max="12534" width="2" style="1" customWidth="1"/>
    <col min="12535" max="12535" width="9.5703125" style="1" customWidth="1"/>
    <col min="12536" max="12778" width="8.85546875" style="1"/>
    <col min="12779" max="12779" width="4.5703125" style="1" customWidth="1"/>
    <col min="12780" max="12780" width="1" style="1" customWidth="1"/>
    <col min="12781" max="12781" width="18" style="1" customWidth="1"/>
    <col min="12782" max="12782" width="1.85546875" style="1" customWidth="1"/>
    <col min="12783" max="12783" width="12.5703125" style="1" customWidth="1"/>
    <col min="12784" max="12784" width="1.5703125" style="1" customWidth="1"/>
    <col min="12785" max="12785" width="9.5703125" style="1" customWidth="1"/>
    <col min="12786" max="12786" width="1.85546875" style="1" customWidth="1"/>
    <col min="12787" max="12787" width="11.85546875" style="1" customWidth="1"/>
    <col min="12788" max="12788" width="1.5703125" style="1" customWidth="1"/>
    <col min="12789" max="12789" width="10.140625" style="1" customWidth="1"/>
    <col min="12790" max="12790" width="2" style="1" customWidth="1"/>
    <col min="12791" max="12791" width="9.5703125" style="1" customWidth="1"/>
    <col min="12792" max="13034" width="8.85546875" style="1"/>
    <col min="13035" max="13035" width="4.5703125" style="1" customWidth="1"/>
    <col min="13036" max="13036" width="1" style="1" customWidth="1"/>
    <col min="13037" max="13037" width="18" style="1" customWidth="1"/>
    <col min="13038" max="13038" width="1.85546875" style="1" customWidth="1"/>
    <col min="13039" max="13039" width="12.5703125" style="1" customWidth="1"/>
    <col min="13040" max="13040" width="1.5703125" style="1" customWidth="1"/>
    <col min="13041" max="13041" width="9.5703125" style="1" customWidth="1"/>
    <col min="13042" max="13042" width="1.85546875" style="1" customWidth="1"/>
    <col min="13043" max="13043" width="11.85546875" style="1" customWidth="1"/>
    <col min="13044" max="13044" width="1.5703125" style="1" customWidth="1"/>
    <col min="13045" max="13045" width="10.140625" style="1" customWidth="1"/>
    <col min="13046" max="13046" width="2" style="1" customWidth="1"/>
    <col min="13047" max="13047" width="9.5703125" style="1" customWidth="1"/>
    <col min="13048" max="13290" width="8.85546875" style="1"/>
    <col min="13291" max="13291" width="4.5703125" style="1" customWidth="1"/>
    <col min="13292" max="13292" width="1" style="1" customWidth="1"/>
    <col min="13293" max="13293" width="18" style="1" customWidth="1"/>
    <col min="13294" max="13294" width="1.85546875" style="1" customWidth="1"/>
    <col min="13295" max="13295" width="12.5703125" style="1" customWidth="1"/>
    <col min="13296" max="13296" width="1.5703125" style="1" customWidth="1"/>
    <col min="13297" max="13297" width="9.5703125" style="1" customWidth="1"/>
    <col min="13298" max="13298" width="1.85546875" style="1" customWidth="1"/>
    <col min="13299" max="13299" width="11.85546875" style="1" customWidth="1"/>
    <col min="13300" max="13300" width="1.5703125" style="1" customWidth="1"/>
    <col min="13301" max="13301" width="10.140625" style="1" customWidth="1"/>
    <col min="13302" max="13302" width="2" style="1" customWidth="1"/>
    <col min="13303" max="13303" width="9.5703125" style="1" customWidth="1"/>
    <col min="13304" max="13546" width="8.85546875" style="1"/>
    <col min="13547" max="13547" width="4.5703125" style="1" customWidth="1"/>
    <col min="13548" max="13548" width="1" style="1" customWidth="1"/>
    <col min="13549" max="13549" width="18" style="1" customWidth="1"/>
    <col min="13550" max="13550" width="1.85546875" style="1" customWidth="1"/>
    <col min="13551" max="13551" width="12.5703125" style="1" customWidth="1"/>
    <col min="13552" max="13552" width="1.5703125" style="1" customWidth="1"/>
    <col min="13553" max="13553" width="9.5703125" style="1" customWidth="1"/>
    <col min="13554" max="13554" width="1.85546875" style="1" customWidth="1"/>
    <col min="13555" max="13555" width="11.85546875" style="1" customWidth="1"/>
    <col min="13556" max="13556" width="1.5703125" style="1" customWidth="1"/>
    <col min="13557" max="13557" width="10.140625" style="1" customWidth="1"/>
    <col min="13558" max="13558" width="2" style="1" customWidth="1"/>
    <col min="13559" max="13559" width="9.5703125" style="1" customWidth="1"/>
    <col min="13560" max="13802" width="8.85546875" style="1"/>
    <col min="13803" max="13803" width="4.5703125" style="1" customWidth="1"/>
    <col min="13804" max="13804" width="1" style="1" customWidth="1"/>
    <col min="13805" max="13805" width="18" style="1" customWidth="1"/>
    <col min="13806" max="13806" width="1.85546875" style="1" customWidth="1"/>
    <col min="13807" max="13807" width="12.5703125" style="1" customWidth="1"/>
    <col min="13808" max="13808" width="1.5703125" style="1" customWidth="1"/>
    <col min="13809" max="13809" width="9.5703125" style="1" customWidth="1"/>
    <col min="13810" max="13810" width="1.85546875" style="1" customWidth="1"/>
    <col min="13811" max="13811" width="11.85546875" style="1" customWidth="1"/>
    <col min="13812" max="13812" width="1.5703125" style="1" customWidth="1"/>
    <col min="13813" max="13813" width="10.140625" style="1" customWidth="1"/>
    <col min="13814" max="13814" width="2" style="1" customWidth="1"/>
    <col min="13815" max="13815" width="9.5703125" style="1" customWidth="1"/>
    <col min="13816" max="14058" width="8.85546875" style="1"/>
    <col min="14059" max="14059" width="4.5703125" style="1" customWidth="1"/>
    <col min="14060" max="14060" width="1" style="1" customWidth="1"/>
    <col min="14061" max="14061" width="18" style="1" customWidth="1"/>
    <col min="14062" max="14062" width="1.85546875" style="1" customWidth="1"/>
    <col min="14063" max="14063" width="12.5703125" style="1" customWidth="1"/>
    <col min="14064" max="14064" width="1.5703125" style="1" customWidth="1"/>
    <col min="14065" max="14065" width="9.5703125" style="1" customWidth="1"/>
    <col min="14066" max="14066" width="1.85546875" style="1" customWidth="1"/>
    <col min="14067" max="14067" width="11.85546875" style="1" customWidth="1"/>
    <col min="14068" max="14068" width="1.5703125" style="1" customWidth="1"/>
    <col min="14069" max="14069" width="10.140625" style="1" customWidth="1"/>
    <col min="14070" max="14070" width="2" style="1" customWidth="1"/>
    <col min="14071" max="14071" width="9.5703125" style="1" customWidth="1"/>
    <col min="14072" max="14314" width="8.85546875" style="1"/>
    <col min="14315" max="14315" width="4.5703125" style="1" customWidth="1"/>
    <col min="14316" max="14316" width="1" style="1" customWidth="1"/>
    <col min="14317" max="14317" width="18" style="1" customWidth="1"/>
    <col min="14318" max="14318" width="1.85546875" style="1" customWidth="1"/>
    <col min="14319" max="14319" width="12.5703125" style="1" customWidth="1"/>
    <col min="14320" max="14320" width="1.5703125" style="1" customWidth="1"/>
    <col min="14321" max="14321" width="9.5703125" style="1" customWidth="1"/>
    <col min="14322" max="14322" width="1.85546875" style="1" customWidth="1"/>
    <col min="14323" max="14323" width="11.85546875" style="1" customWidth="1"/>
    <col min="14324" max="14324" width="1.5703125" style="1" customWidth="1"/>
    <col min="14325" max="14325" width="10.140625" style="1" customWidth="1"/>
    <col min="14326" max="14326" width="2" style="1" customWidth="1"/>
    <col min="14327" max="14327" width="9.5703125" style="1" customWidth="1"/>
    <col min="14328" max="14570" width="8.85546875" style="1"/>
    <col min="14571" max="14571" width="4.5703125" style="1" customWidth="1"/>
    <col min="14572" max="14572" width="1" style="1" customWidth="1"/>
    <col min="14573" max="14573" width="18" style="1" customWidth="1"/>
    <col min="14574" max="14574" width="1.85546875" style="1" customWidth="1"/>
    <col min="14575" max="14575" width="12.5703125" style="1" customWidth="1"/>
    <col min="14576" max="14576" width="1.5703125" style="1" customWidth="1"/>
    <col min="14577" max="14577" width="9.5703125" style="1" customWidth="1"/>
    <col min="14578" max="14578" width="1.85546875" style="1" customWidth="1"/>
    <col min="14579" max="14579" width="11.85546875" style="1" customWidth="1"/>
    <col min="14580" max="14580" width="1.5703125" style="1" customWidth="1"/>
    <col min="14581" max="14581" width="10.140625" style="1" customWidth="1"/>
    <col min="14582" max="14582" width="2" style="1" customWidth="1"/>
    <col min="14583" max="14583" width="9.5703125" style="1" customWidth="1"/>
    <col min="14584" max="14826" width="8.85546875" style="1"/>
    <col min="14827" max="14827" width="4.5703125" style="1" customWidth="1"/>
    <col min="14828" max="14828" width="1" style="1" customWidth="1"/>
    <col min="14829" max="14829" width="18" style="1" customWidth="1"/>
    <col min="14830" max="14830" width="1.85546875" style="1" customWidth="1"/>
    <col min="14831" max="14831" width="12.5703125" style="1" customWidth="1"/>
    <col min="14832" max="14832" width="1.5703125" style="1" customWidth="1"/>
    <col min="14833" max="14833" width="9.5703125" style="1" customWidth="1"/>
    <col min="14834" max="14834" width="1.85546875" style="1" customWidth="1"/>
    <col min="14835" max="14835" width="11.85546875" style="1" customWidth="1"/>
    <col min="14836" max="14836" width="1.5703125" style="1" customWidth="1"/>
    <col min="14837" max="14837" width="10.140625" style="1" customWidth="1"/>
    <col min="14838" max="14838" width="2" style="1" customWidth="1"/>
    <col min="14839" max="14839" width="9.5703125" style="1" customWidth="1"/>
    <col min="14840" max="15082" width="8.85546875" style="1"/>
    <col min="15083" max="15083" width="4.5703125" style="1" customWidth="1"/>
    <col min="15084" max="15084" width="1" style="1" customWidth="1"/>
    <col min="15085" max="15085" width="18" style="1" customWidth="1"/>
    <col min="15086" max="15086" width="1.85546875" style="1" customWidth="1"/>
    <col min="15087" max="15087" width="12.5703125" style="1" customWidth="1"/>
    <col min="15088" max="15088" width="1.5703125" style="1" customWidth="1"/>
    <col min="15089" max="15089" width="9.5703125" style="1" customWidth="1"/>
    <col min="15090" max="15090" width="1.85546875" style="1" customWidth="1"/>
    <col min="15091" max="15091" width="11.85546875" style="1" customWidth="1"/>
    <col min="15092" max="15092" width="1.5703125" style="1" customWidth="1"/>
    <col min="15093" max="15093" width="10.140625" style="1" customWidth="1"/>
    <col min="15094" max="15094" width="2" style="1" customWidth="1"/>
    <col min="15095" max="15095" width="9.5703125" style="1" customWidth="1"/>
    <col min="15096" max="15338" width="8.85546875" style="1"/>
    <col min="15339" max="15339" width="4.5703125" style="1" customWidth="1"/>
    <col min="15340" max="15340" width="1" style="1" customWidth="1"/>
    <col min="15341" max="15341" width="18" style="1" customWidth="1"/>
    <col min="15342" max="15342" width="1.85546875" style="1" customWidth="1"/>
    <col min="15343" max="15343" width="12.5703125" style="1" customWidth="1"/>
    <col min="15344" max="15344" width="1.5703125" style="1" customWidth="1"/>
    <col min="15345" max="15345" width="9.5703125" style="1" customWidth="1"/>
    <col min="15346" max="15346" width="1.85546875" style="1" customWidth="1"/>
    <col min="15347" max="15347" width="11.85546875" style="1" customWidth="1"/>
    <col min="15348" max="15348" width="1.5703125" style="1" customWidth="1"/>
    <col min="15349" max="15349" width="10.140625" style="1" customWidth="1"/>
    <col min="15350" max="15350" width="2" style="1" customWidth="1"/>
    <col min="15351" max="15351" width="9.5703125" style="1" customWidth="1"/>
    <col min="15352" max="15594" width="8.85546875" style="1"/>
    <col min="15595" max="15595" width="4.5703125" style="1" customWidth="1"/>
    <col min="15596" max="15596" width="1" style="1" customWidth="1"/>
    <col min="15597" max="15597" width="18" style="1" customWidth="1"/>
    <col min="15598" max="15598" width="1.85546875" style="1" customWidth="1"/>
    <col min="15599" max="15599" width="12.5703125" style="1" customWidth="1"/>
    <col min="15600" max="15600" width="1.5703125" style="1" customWidth="1"/>
    <col min="15601" max="15601" width="9.5703125" style="1" customWidth="1"/>
    <col min="15602" max="15602" width="1.85546875" style="1" customWidth="1"/>
    <col min="15603" max="15603" width="11.85546875" style="1" customWidth="1"/>
    <col min="15604" max="15604" width="1.5703125" style="1" customWidth="1"/>
    <col min="15605" max="15605" width="10.140625" style="1" customWidth="1"/>
    <col min="15606" max="15606" width="2" style="1" customWidth="1"/>
    <col min="15607" max="15607" width="9.5703125" style="1" customWidth="1"/>
    <col min="15608" max="15850" width="8.85546875" style="1"/>
    <col min="15851" max="15851" width="4.5703125" style="1" customWidth="1"/>
    <col min="15852" max="15852" width="1" style="1" customWidth="1"/>
    <col min="15853" max="15853" width="18" style="1" customWidth="1"/>
    <col min="15854" max="15854" width="1.85546875" style="1" customWidth="1"/>
    <col min="15855" max="15855" width="12.5703125" style="1" customWidth="1"/>
    <col min="15856" max="15856" width="1.5703125" style="1" customWidth="1"/>
    <col min="15857" max="15857" width="9.5703125" style="1" customWidth="1"/>
    <col min="15858" max="15858" width="1.85546875" style="1" customWidth="1"/>
    <col min="15859" max="15859" width="11.85546875" style="1" customWidth="1"/>
    <col min="15860" max="15860" width="1.5703125" style="1" customWidth="1"/>
    <col min="15861" max="15861" width="10.140625" style="1" customWidth="1"/>
    <col min="15862" max="15862" width="2" style="1" customWidth="1"/>
    <col min="15863" max="15863" width="9.5703125" style="1" customWidth="1"/>
    <col min="15864" max="16106" width="8.85546875" style="1"/>
    <col min="16107" max="16107" width="4.5703125" style="1" customWidth="1"/>
    <col min="16108" max="16108" width="1" style="1" customWidth="1"/>
    <col min="16109" max="16109" width="18" style="1" customWidth="1"/>
    <col min="16110" max="16110" width="1.85546875" style="1" customWidth="1"/>
    <col min="16111" max="16111" width="12.5703125" style="1" customWidth="1"/>
    <col min="16112" max="16112" width="1.5703125" style="1" customWidth="1"/>
    <col min="16113" max="16113" width="9.5703125" style="1" customWidth="1"/>
    <col min="16114" max="16114" width="1.85546875" style="1" customWidth="1"/>
    <col min="16115" max="16115" width="11.85546875" style="1" customWidth="1"/>
    <col min="16116" max="16116" width="1.5703125" style="1" customWidth="1"/>
    <col min="16117" max="16117" width="10.140625" style="1" customWidth="1"/>
    <col min="16118" max="16118" width="2" style="1" customWidth="1"/>
    <col min="16119" max="16119" width="9.5703125" style="1" customWidth="1"/>
    <col min="16120" max="16377" width="8.85546875" style="1"/>
    <col min="16378" max="16384" width="8.85546875" style="1" customWidth="1"/>
  </cols>
  <sheetData>
    <row r="5" spans="1:21" x14ac:dyDescent="0.2">
      <c r="B5" s="4" t="s">
        <v>295</v>
      </c>
      <c r="C5" s="4"/>
      <c r="D5" s="4"/>
      <c r="E5" s="4"/>
      <c r="F5" s="4"/>
      <c r="G5" s="4"/>
      <c r="H5" s="4"/>
      <c r="I5" s="4"/>
      <c r="J5" s="4"/>
      <c r="K5" s="4"/>
      <c r="L5" s="4"/>
      <c r="M5" s="4"/>
      <c r="N5" s="4"/>
      <c r="O5" s="4"/>
      <c r="P5" s="4"/>
      <c r="Q5" s="4"/>
      <c r="R5" s="4"/>
      <c r="S5" s="4"/>
      <c r="T5" s="5"/>
    </row>
    <row r="6" spans="1:21" x14ac:dyDescent="0.2">
      <c r="B6" s="4" t="s">
        <v>84</v>
      </c>
      <c r="C6" s="4"/>
      <c r="D6" s="4"/>
      <c r="E6" s="4"/>
      <c r="F6" s="4"/>
      <c r="G6" s="4"/>
      <c r="H6" s="4"/>
      <c r="I6" s="4"/>
      <c r="J6" s="4"/>
      <c r="K6" s="4"/>
      <c r="L6" s="4"/>
      <c r="M6" s="4"/>
      <c r="N6" s="4"/>
      <c r="O6" s="4"/>
      <c r="P6" s="4"/>
      <c r="Q6" s="4"/>
      <c r="R6" s="4"/>
      <c r="S6" s="4"/>
      <c r="T6" s="5"/>
    </row>
    <row r="7" spans="1:21" x14ac:dyDescent="0.2">
      <c r="B7" s="2"/>
      <c r="C7" s="2"/>
      <c r="D7" s="2"/>
      <c r="E7" s="2"/>
      <c r="S7" s="63"/>
    </row>
    <row r="8" spans="1:21" x14ac:dyDescent="0.2">
      <c r="B8" s="21"/>
      <c r="C8" s="21"/>
      <c r="D8" s="21"/>
      <c r="E8" s="21"/>
      <c r="T8" s="40"/>
    </row>
    <row r="9" spans="1:21" x14ac:dyDescent="0.2">
      <c r="A9" s="61"/>
      <c r="B9" s="62"/>
      <c r="C9" s="62"/>
      <c r="D9" s="62"/>
      <c r="E9" s="62"/>
      <c r="F9" s="27" t="s">
        <v>390</v>
      </c>
      <c r="G9" s="27"/>
      <c r="H9" s="21"/>
      <c r="I9" s="27" t="s">
        <v>391</v>
      </c>
      <c r="J9" s="27"/>
      <c r="K9" s="29"/>
      <c r="L9" s="21"/>
      <c r="M9" s="57" t="s">
        <v>392</v>
      </c>
      <c r="N9" s="57"/>
      <c r="O9" s="58"/>
      <c r="P9" s="57"/>
      <c r="Q9" s="58"/>
      <c r="R9" s="62"/>
      <c r="S9" s="62"/>
      <c r="T9" s="62"/>
    </row>
    <row r="10" spans="1:21" s="26" customFormat="1" ht="38.25" x14ac:dyDescent="0.2">
      <c r="B10" s="25" t="s">
        <v>0</v>
      </c>
      <c r="C10" s="25"/>
      <c r="D10" s="25"/>
      <c r="E10" s="25"/>
      <c r="F10" s="26" t="s">
        <v>10</v>
      </c>
      <c r="G10" s="26" t="s">
        <v>394</v>
      </c>
      <c r="H10" s="25"/>
      <c r="I10" s="25" t="s">
        <v>520</v>
      </c>
      <c r="J10" s="25" t="s">
        <v>892</v>
      </c>
      <c r="K10" s="25" t="s">
        <v>391</v>
      </c>
      <c r="L10" s="25"/>
      <c r="M10" s="26" t="s">
        <v>519</v>
      </c>
      <c r="N10" s="59" t="s">
        <v>334</v>
      </c>
      <c r="O10" s="26" t="s">
        <v>395</v>
      </c>
      <c r="P10" s="25" t="s">
        <v>500</v>
      </c>
      <c r="Q10" s="25" t="s">
        <v>85</v>
      </c>
      <c r="T10" s="25"/>
    </row>
    <row r="11" spans="1:21" x14ac:dyDescent="0.2">
      <c r="B11" s="8" t="s">
        <v>1</v>
      </c>
      <c r="C11" s="7"/>
      <c r="D11" s="9" t="s">
        <v>9</v>
      </c>
      <c r="E11" s="252"/>
      <c r="F11" s="8" t="s">
        <v>140</v>
      </c>
      <c r="G11" s="8" t="s">
        <v>140</v>
      </c>
      <c r="H11" s="252"/>
      <c r="I11" s="8" t="s">
        <v>140</v>
      </c>
      <c r="J11" s="8" t="s">
        <v>140</v>
      </c>
      <c r="K11" s="8" t="s">
        <v>140</v>
      </c>
      <c r="L11" s="252"/>
      <c r="M11" s="8" t="s">
        <v>140</v>
      </c>
      <c r="N11" s="8" t="s">
        <v>140</v>
      </c>
      <c r="O11" s="8" t="s">
        <v>140</v>
      </c>
      <c r="P11" s="8" t="s">
        <v>521</v>
      </c>
      <c r="Q11" s="8" t="s">
        <v>2</v>
      </c>
      <c r="T11" s="252"/>
    </row>
    <row r="12" spans="1:21" x14ac:dyDescent="0.2">
      <c r="B12" s="252"/>
      <c r="C12" s="7"/>
      <c r="D12" s="7"/>
      <c r="E12" s="252"/>
      <c r="F12" s="252" t="s">
        <v>3</v>
      </c>
      <c r="G12" s="252" t="s">
        <v>498</v>
      </c>
      <c r="H12" s="252"/>
      <c r="I12" s="252" t="s">
        <v>86</v>
      </c>
      <c r="J12" s="252" t="s">
        <v>133</v>
      </c>
      <c r="K12" s="252" t="s">
        <v>134</v>
      </c>
      <c r="L12" s="252"/>
      <c r="M12" s="252" t="s">
        <v>135</v>
      </c>
      <c r="N12" s="252" t="s">
        <v>15</v>
      </c>
      <c r="O12" s="45" t="s">
        <v>136</v>
      </c>
      <c r="P12" s="10" t="s">
        <v>137</v>
      </c>
      <c r="Q12" s="10" t="s">
        <v>138</v>
      </c>
      <c r="T12" s="252"/>
      <c r="U12" s="10"/>
    </row>
    <row r="13" spans="1:21" x14ac:dyDescent="0.2">
      <c r="B13" s="252"/>
      <c r="C13" s="7"/>
      <c r="D13" s="7"/>
      <c r="E13" s="252"/>
      <c r="F13" s="6"/>
      <c r="G13" s="6"/>
      <c r="H13" s="252"/>
      <c r="I13" s="252"/>
      <c r="J13" s="252"/>
      <c r="K13" s="252"/>
      <c r="L13" s="252"/>
      <c r="M13" s="252"/>
      <c r="N13" s="252"/>
      <c r="O13" s="252"/>
      <c r="P13" s="252"/>
      <c r="Q13" s="252"/>
      <c r="T13" s="252"/>
    </row>
    <row r="14" spans="1:21" x14ac:dyDescent="0.2">
      <c r="B14" s="252"/>
      <c r="C14" s="7"/>
      <c r="D14" s="5" t="s">
        <v>48</v>
      </c>
      <c r="E14" s="252"/>
      <c r="F14" s="6"/>
      <c r="G14" s="12"/>
      <c r="H14" s="252"/>
      <c r="I14" s="252"/>
      <c r="J14" s="252"/>
      <c r="K14" s="11"/>
      <c r="L14" s="252"/>
      <c r="M14" s="252"/>
      <c r="N14" s="252"/>
      <c r="O14" s="252"/>
      <c r="P14" s="252"/>
      <c r="Q14" s="252"/>
      <c r="T14" s="252"/>
    </row>
    <row r="15" spans="1:21" x14ac:dyDescent="0.2">
      <c r="B15" s="252">
        <v>1</v>
      </c>
      <c r="C15" s="7"/>
      <c r="D15" s="13" t="s">
        <v>49</v>
      </c>
      <c r="E15" s="252"/>
      <c r="F15" s="355">
        <v>3968036.2288163425</v>
      </c>
      <c r="G15" s="141">
        <f t="shared" ref="G15:G25" si="0">F15-I15</f>
        <v>-130488.69618461514</v>
      </c>
      <c r="H15" s="142"/>
      <c r="I15" s="141">
        <v>4098524.9250009577</v>
      </c>
      <c r="J15" s="141">
        <f>J61+J107</f>
        <v>1548.7560289683154</v>
      </c>
      <c r="K15" s="141">
        <f t="shared" ref="K15:K25" si="1">I15+J15</f>
        <v>4100073.6810299261</v>
      </c>
      <c r="L15" s="142"/>
      <c r="M15" s="141">
        <f t="shared" ref="M15:N25" si="2">M61+M107</f>
        <v>-9434.0253676172979</v>
      </c>
      <c r="N15" s="141">
        <f t="shared" si="2"/>
        <v>0</v>
      </c>
      <c r="O15" s="141">
        <f t="shared" ref="O15:O25" si="3">K15+M15+N15</f>
        <v>4090639.6556623089</v>
      </c>
      <c r="P15" s="143">
        <f t="shared" ref="P15:P25" si="4">IFERROR(O15/K15,"-")</f>
        <v>0.99769905955318161</v>
      </c>
      <c r="Q15" s="186">
        <f t="shared" ref="Q15:Q25" si="5">IFERROR(O15/F15-1,"-")</f>
        <v>3.0897758935668485E-2</v>
      </c>
    </row>
    <row r="16" spans="1:21" x14ac:dyDescent="0.2">
      <c r="B16" s="252">
        <f>MAX(B$15:B15)+1</f>
        <v>2</v>
      </c>
      <c r="C16" s="7"/>
      <c r="D16" s="13" t="s">
        <v>50</v>
      </c>
      <c r="E16" s="252"/>
      <c r="F16" s="141">
        <v>1483158.815870154</v>
      </c>
      <c r="G16" s="141">
        <f t="shared" si="0"/>
        <v>-104648.65378799266</v>
      </c>
      <c r="H16" s="142"/>
      <c r="I16" s="141">
        <v>1587807.4696581466</v>
      </c>
      <c r="J16" s="141">
        <f t="shared" ref="J16:J25" si="6">J62+J108</f>
        <v>389.41258197107436</v>
      </c>
      <c r="K16" s="141">
        <f t="shared" si="1"/>
        <v>1588196.8822401178</v>
      </c>
      <c r="L16" s="142"/>
      <c r="M16" s="141">
        <f t="shared" si="2"/>
        <v>-6338.2257539678703</v>
      </c>
      <c r="N16" s="141">
        <f t="shared" si="2"/>
        <v>0</v>
      </c>
      <c r="O16" s="141">
        <f t="shared" si="3"/>
        <v>1581858.6564861499</v>
      </c>
      <c r="P16" s="143">
        <f t="shared" si="4"/>
        <v>0.99600916874674383</v>
      </c>
      <c r="Q16" s="186">
        <f t="shared" si="5"/>
        <v>6.6547047800872061E-2</v>
      </c>
    </row>
    <row r="17" spans="2:24" x14ac:dyDescent="0.2">
      <c r="B17" s="252">
        <f>MAX(B$15:B16)+1</f>
        <v>3</v>
      </c>
      <c r="C17" s="7"/>
      <c r="D17" s="13" t="s">
        <v>51</v>
      </c>
      <c r="E17" s="252"/>
      <c r="F17" s="141">
        <v>181066.89092045283</v>
      </c>
      <c r="G17" s="141">
        <f t="shared" si="0"/>
        <v>-37218.575431947218</v>
      </c>
      <c r="H17" s="142"/>
      <c r="I17" s="141">
        <v>218285.46635240005</v>
      </c>
      <c r="J17" s="141">
        <f t="shared" si="6"/>
        <v>-221.22499800483985</v>
      </c>
      <c r="K17" s="141">
        <f t="shared" si="1"/>
        <v>218064.2413543952</v>
      </c>
      <c r="L17" s="142"/>
      <c r="M17" s="141">
        <f t="shared" si="2"/>
        <v>-1785.7119213140934</v>
      </c>
      <c r="N17" s="141">
        <f t="shared" si="2"/>
        <v>0</v>
      </c>
      <c r="O17" s="141">
        <f t="shared" si="3"/>
        <v>216278.5294330811</v>
      </c>
      <c r="P17" s="143">
        <f t="shared" si="4"/>
        <v>0.99181107406595848</v>
      </c>
      <c r="Q17" s="186">
        <f t="shared" si="5"/>
        <v>0.19446757125850045</v>
      </c>
    </row>
    <row r="18" spans="2:24" x14ac:dyDescent="0.2">
      <c r="B18" s="252">
        <f>MAX(B$15:B17)+1</f>
        <v>4</v>
      </c>
      <c r="C18" s="7"/>
      <c r="D18" s="13" t="s">
        <v>52</v>
      </c>
      <c r="E18" s="252"/>
      <c r="F18" s="141">
        <v>70766.995651221674</v>
      </c>
      <c r="G18" s="141">
        <f t="shared" si="0"/>
        <v>-10585.282262204608</v>
      </c>
      <c r="H18" s="142"/>
      <c r="I18" s="141">
        <v>81352.277913426282</v>
      </c>
      <c r="J18" s="141">
        <f t="shared" si="6"/>
        <v>-1040.4770635843659</v>
      </c>
      <c r="K18" s="141">
        <f t="shared" si="1"/>
        <v>80311.800849841922</v>
      </c>
      <c r="L18" s="142"/>
      <c r="M18" s="141">
        <f t="shared" si="2"/>
        <v>-1196.5244054776867</v>
      </c>
      <c r="N18" s="141">
        <f t="shared" si="2"/>
        <v>0</v>
      </c>
      <c r="O18" s="141">
        <f t="shared" si="3"/>
        <v>79115.276444364237</v>
      </c>
      <c r="P18" s="143">
        <f t="shared" si="4"/>
        <v>0.98510151194698259</v>
      </c>
      <c r="Q18" s="186">
        <f t="shared" si="5"/>
        <v>0.1179685631178613</v>
      </c>
    </row>
    <row r="19" spans="2:24" x14ac:dyDescent="0.2">
      <c r="B19" s="252">
        <f>MAX(B$15:B18)+1</f>
        <v>5</v>
      </c>
      <c r="C19" s="7"/>
      <c r="D19" s="13" t="s">
        <v>53</v>
      </c>
      <c r="E19" s="252"/>
      <c r="F19" s="141">
        <v>22663.583240612137</v>
      </c>
      <c r="G19" s="141">
        <f t="shared" si="0"/>
        <v>11113.925341237271</v>
      </c>
      <c r="H19" s="142"/>
      <c r="I19" s="141">
        <v>11549.657899374866</v>
      </c>
      <c r="J19" s="141">
        <f t="shared" si="6"/>
        <v>0</v>
      </c>
      <c r="K19" s="141">
        <f t="shared" si="1"/>
        <v>11549.657899374866</v>
      </c>
      <c r="L19" s="142"/>
      <c r="M19" s="141">
        <f t="shared" si="2"/>
        <v>0</v>
      </c>
      <c r="N19" s="141">
        <f t="shared" si="2"/>
        <v>-95.777694587607471</v>
      </c>
      <c r="O19" s="141">
        <f t="shared" si="3"/>
        <v>11453.88020478726</v>
      </c>
      <c r="P19" s="143">
        <f t="shared" si="4"/>
        <v>0.99170731328823247</v>
      </c>
      <c r="Q19" s="242">
        <f t="shared" si="5"/>
        <v>-0.49461300610830095</v>
      </c>
    </row>
    <row r="20" spans="2:24" x14ac:dyDescent="0.2">
      <c r="B20" s="252">
        <f>MAX(B$15:B19)+1</f>
        <v>6</v>
      </c>
      <c r="C20" s="7"/>
      <c r="D20" s="13" t="s">
        <v>54</v>
      </c>
      <c r="E20" s="252"/>
      <c r="F20" s="141">
        <v>57108.665272020393</v>
      </c>
      <c r="G20" s="141">
        <f t="shared" si="0"/>
        <v>2398.7463429938143</v>
      </c>
      <c r="H20" s="142"/>
      <c r="I20" s="141">
        <v>54709.918929026579</v>
      </c>
      <c r="J20" s="141">
        <f t="shared" si="6"/>
        <v>-562.43437962781491</v>
      </c>
      <c r="K20" s="141">
        <f t="shared" si="1"/>
        <v>54147.484549398767</v>
      </c>
      <c r="L20" s="142"/>
      <c r="M20" s="141">
        <f t="shared" si="2"/>
        <v>-646.78644561953479</v>
      </c>
      <c r="N20" s="141">
        <f t="shared" si="2"/>
        <v>-143.29400861744844</v>
      </c>
      <c r="O20" s="141">
        <f t="shared" si="3"/>
        <v>53357.404095161779</v>
      </c>
      <c r="P20" s="143">
        <f t="shared" si="4"/>
        <v>0.98540873208032043</v>
      </c>
      <c r="Q20" s="197">
        <f t="shared" si="5"/>
        <v>-6.5686374545624204E-2</v>
      </c>
    </row>
    <row r="21" spans="2:24" x14ac:dyDescent="0.2">
      <c r="B21" s="252">
        <f>MAX(B$15:B20)+1</f>
        <v>7</v>
      </c>
      <c r="C21" s="7"/>
      <c r="D21" s="13" t="s">
        <v>55</v>
      </c>
      <c r="E21" s="252"/>
      <c r="F21" s="141">
        <v>10614.088823874712</v>
      </c>
      <c r="G21" s="141">
        <f t="shared" si="0"/>
        <v>-1795.4811272106726</v>
      </c>
      <c r="H21" s="142"/>
      <c r="I21" s="141">
        <v>12409.569951085385</v>
      </c>
      <c r="J21" s="141">
        <f t="shared" si="6"/>
        <v>4.8687414389648955</v>
      </c>
      <c r="K21" s="141">
        <f t="shared" si="1"/>
        <v>12414.438692524349</v>
      </c>
      <c r="L21" s="142"/>
      <c r="M21" s="141">
        <f t="shared" si="2"/>
        <v>-0.14250807214962527</v>
      </c>
      <c r="N21" s="141">
        <f t="shared" si="2"/>
        <v>900</v>
      </c>
      <c r="O21" s="141">
        <f t="shared" si="3"/>
        <v>13314.2961844522</v>
      </c>
      <c r="P21" s="143">
        <f t="shared" si="4"/>
        <v>1.0724847505566015</v>
      </c>
      <c r="Q21" s="186">
        <f t="shared" si="5"/>
        <v>0.2543984137860047</v>
      </c>
    </row>
    <row r="22" spans="2:24" x14ac:dyDescent="0.2">
      <c r="B22" s="252">
        <f>MAX(B$15:B21)+1</f>
        <v>8</v>
      </c>
      <c r="C22" s="7"/>
      <c r="D22" s="13" t="s">
        <v>56</v>
      </c>
      <c r="E22" s="252"/>
      <c r="F22" s="141">
        <v>2826.1955347871526</v>
      </c>
      <c r="G22" s="141">
        <f t="shared" si="0"/>
        <v>-1653.6686933737583</v>
      </c>
      <c r="H22" s="142"/>
      <c r="I22" s="141">
        <v>4479.8642281609109</v>
      </c>
      <c r="J22" s="141">
        <f t="shared" si="6"/>
        <v>2.0544972389788088</v>
      </c>
      <c r="K22" s="141">
        <f t="shared" si="1"/>
        <v>4481.9187253998898</v>
      </c>
      <c r="L22" s="142"/>
      <c r="M22" s="141">
        <f t="shared" si="2"/>
        <v>-1.9153703979194905</v>
      </c>
      <c r="N22" s="141">
        <f t="shared" si="2"/>
        <v>-900</v>
      </c>
      <c r="O22" s="141">
        <f t="shared" si="3"/>
        <v>3580.0033550019707</v>
      </c>
      <c r="P22" s="143">
        <f t="shared" si="4"/>
        <v>0.79876579080147248</v>
      </c>
      <c r="Q22" s="186">
        <f t="shared" si="5"/>
        <v>0.26672175047208446</v>
      </c>
    </row>
    <row r="23" spans="2:24" x14ac:dyDescent="0.2">
      <c r="B23" s="252">
        <f>MAX(B$15:B22)+1</f>
        <v>9</v>
      </c>
      <c r="C23" s="7"/>
      <c r="D23" s="13" t="s">
        <v>57</v>
      </c>
      <c r="E23" s="252"/>
      <c r="F23" s="141">
        <v>5453.0927555404005</v>
      </c>
      <c r="G23" s="141">
        <f t="shared" si="0"/>
        <v>678.7227764111276</v>
      </c>
      <c r="H23" s="142"/>
      <c r="I23" s="141">
        <v>4774.3699791292729</v>
      </c>
      <c r="J23" s="141">
        <f t="shared" si="6"/>
        <v>0</v>
      </c>
      <c r="K23" s="141">
        <f t="shared" si="1"/>
        <v>4774.3699791292729</v>
      </c>
      <c r="L23" s="142"/>
      <c r="M23" s="141">
        <f t="shared" si="2"/>
        <v>-35.413355091827469</v>
      </c>
      <c r="N23" s="141">
        <f t="shared" si="2"/>
        <v>239.07170320505591</v>
      </c>
      <c r="O23" s="141">
        <f t="shared" si="3"/>
        <v>4978.0283272425013</v>
      </c>
      <c r="P23" s="143">
        <f t="shared" si="4"/>
        <v>1.0426565911321291</v>
      </c>
      <c r="Q23" s="197">
        <f t="shared" si="5"/>
        <v>-8.7118347256284756E-2</v>
      </c>
    </row>
    <row r="24" spans="2:24" x14ac:dyDescent="0.2">
      <c r="B24" s="252">
        <f>MAX(B$15:B23)+1</f>
        <v>10</v>
      </c>
      <c r="C24" s="7"/>
      <c r="D24" s="13" t="s">
        <v>58</v>
      </c>
      <c r="E24" s="252"/>
      <c r="F24" s="141">
        <v>44047.482031398577</v>
      </c>
      <c r="G24" s="141">
        <f t="shared" si="0"/>
        <v>131.54487982759747</v>
      </c>
      <c r="H24" s="142"/>
      <c r="I24" s="141">
        <v>43915.937151570979</v>
      </c>
      <c r="J24" s="141">
        <f t="shared" si="6"/>
        <v>26.355287817593421</v>
      </c>
      <c r="K24" s="141">
        <f t="shared" si="1"/>
        <v>43942.29243938857</v>
      </c>
      <c r="L24" s="142"/>
      <c r="M24" s="141">
        <f t="shared" si="2"/>
        <v>-177.81420176651307</v>
      </c>
      <c r="N24" s="141">
        <f t="shared" si="2"/>
        <v>0</v>
      </c>
      <c r="O24" s="141">
        <f t="shared" si="3"/>
        <v>43764.478237622054</v>
      </c>
      <c r="P24" s="143">
        <f t="shared" si="4"/>
        <v>0.99595346096219761</v>
      </c>
      <c r="Q24" s="197">
        <f t="shared" si="5"/>
        <v>-6.4249709796075916E-3</v>
      </c>
    </row>
    <row r="25" spans="2:24" x14ac:dyDescent="0.2">
      <c r="B25" s="252">
        <f>MAX(B$15:B24)+1</f>
        <v>11</v>
      </c>
      <c r="C25" s="7"/>
      <c r="D25" s="13" t="s">
        <v>59</v>
      </c>
      <c r="E25" s="252"/>
      <c r="F25" s="141">
        <v>8182.6378751572693</v>
      </c>
      <c r="G25" s="141">
        <f t="shared" si="0"/>
        <v>-2415.8648638766472</v>
      </c>
      <c r="H25" s="142"/>
      <c r="I25" s="141">
        <v>10598.502739033916</v>
      </c>
      <c r="J25" s="141">
        <f t="shared" si="6"/>
        <v>-147.31069621790647</v>
      </c>
      <c r="K25" s="141">
        <f t="shared" si="1"/>
        <v>10451.19204281601</v>
      </c>
      <c r="L25" s="142"/>
      <c r="M25" s="141">
        <f t="shared" si="2"/>
        <v>-169.40387191758867</v>
      </c>
      <c r="N25" s="141">
        <f t="shared" si="2"/>
        <v>0</v>
      </c>
      <c r="O25" s="141">
        <f t="shared" si="3"/>
        <v>10281.788170898422</v>
      </c>
      <c r="P25" s="143">
        <f t="shared" si="4"/>
        <v>0.98379095214942169</v>
      </c>
      <c r="Q25" s="186">
        <f t="shared" si="5"/>
        <v>0.25653711281960012</v>
      </c>
    </row>
    <row r="26" spans="2:24" x14ac:dyDescent="0.2">
      <c r="B26" s="252">
        <f>MAX(B$15:B25)+1</f>
        <v>12</v>
      </c>
      <c r="C26" s="7"/>
      <c r="D26" s="1" t="s">
        <v>60</v>
      </c>
      <c r="E26" s="252"/>
      <c r="F26" s="146">
        <f>SUM(F15:F25)</f>
        <v>5853924.6767915618</v>
      </c>
      <c r="G26" s="146">
        <f>SUM(G15:G25)</f>
        <v>-274483.28301075095</v>
      </c>
      <c r="H26" s="142"/>
      <c r="I26" s="146">
        <f>SUM(I15:I25)</f>
        <v>6128407.9598023118</v>
      </c>
      <c r="J26" s="146">
        <f>SUM(J15:J25)</f>
        <v>0</v>
      </c>
      <c r="K26" s="146">
        <f>SUM(K15:K25)</f>
        <v>6128407.9598023128</v>
      </c>
      <c r="L26" s="142"/>
      <c r="M26" s="146">
        <f>SUM(M15:M25)</f>
        <v>-19785.963201242477</v>
      </c>
      <c r="N26" s="146">
        <f>ROUND(SUM(N15:N25),0)</f>
        <v>0</v>
      </c>
      <c r="O26" s="146">
        <f>SUM(O15:O25)</f>
        <v>6108621.9966010712</v>
      </c>
      <c r="P26" s="155">
        <f>O26/K26</f>
        <v>0.99677143503973265</v>
      </c>
      <c r="Q26" s="187">
        <f>O26/F26-1</f>
        <v>4.3508813978984318E-2</v>
      </c>
      <c r="W26" s="15"/>
      <c r="X26" s="47"/>
    </row>
    <row r="27" spans="2:24" x14ac:dyDescent="0.2">
      <c r="B27" s="252"/>
      <c r="C27" s="7"/>
      <c r="D27" s="7"/>
      <c r="E27" s="252"/>
      <c r="F27" s="17"/>
      <c r="G27" s="17"/>
      <c r="H27" s="14"/>
      <c r="I27" s="14"/>
      <c r="J27" s="14"/>
      <c r="K27" s="17"/>
      <c r="L27" s="14"/>
      <c r="M27" s="14"/>
      <c r="N27" s="14"/>
      <c r="O27" s="14"/>
      <c r="P27" s="17"/>
      <c r="Q27" s="188"/>
      <c r="R27" s="252"/>
      <c r="S27" s="18"/>
      <c r="T27" s="252"/>
      <c r="W27" s="15"/>
    </row>
    <row r="28" spans="2:24" x14ac:dyDescent="0.2">
      <c r="B28" s="252"/>
      <c r="C28" s="7"/>
      <c r="D28" s="52" t="s">
        <v>16</v>
      </c>
      <c r="E28" s="252"/>
      <c r="F28" s="17"/>
      <c r="G28" s="17"/>
      <c r="H28" s="14"/>
      <c r="I28" s="14"/>
      <c r="J28" s="14"/>
      <c r="K28" s="17"/>
      <c r="L28" s="14"/>
      <c r="M28" s="14"/>
      <c r="N28" s="14"/>
      <c r="O28" s="14"/>
      <c r="P28" s="17"/>
      <c r="Q28" s="188"/>
      <c r="R28" s="252"/>
      <c r="S28" s="18"/>
      <c r="T28" s="252"/>
    </row>
    <row r="29" spans="2:24" x14ac:dyDescent="0.2">
      <c r="B29" s="252">
        <f>MAX(B$15:B28)+1</f>
        <v>13</v>
      </c>
      <c r="C29" s="7"/>
      <c r="D29" s="19" t="s">
        <v>100</v>
      </c>
      <c r="E29" s="252"/>
      <c r="F29" s="141">
        <v>529.11347999999998</v>
      </c>
      <c r="G29" s="141">
        <f>F29-I29</f>
        <v>258.52105716695229</v>
      </c>
      <c r="H29" s="142"/>
      <c r="I29" s="141">
        <v>270.59242283304769</v>
      </c>
      <c r="J29" s="142">
        <v>0</v>
      </c>
      <c r="K29" s="141">
        <f>I29 + J29</f>
        <v>270.59242283304769</v>
      </c>
      <c r="L29" s="142"/>
      <c r="M29" s="142">
        <v>25.345638000000008</v>
      </c>
      <c r="N29" s="142">
        <v>0</v>
      </c>
      <c r="O29" s="141">
        <v>295.9380608330477</v>
      </c>
      <c r="P29" s="143">
        <f>IFERROR(O29/K29,"-")</f>
        <v>1.0936672126094158</v>
      </c>
      <c r="Q29" s="197">
        <f>IFERROR(O29/F29-1,"-")</f>
        <v>-0.44069075534978297</v>
      </c>
      <c r="S29" s="28"/>
      <c r="T29" s="252"/>
    </row>
    <row r="30" spans="2:24" x14ac:dyDescent="0.2">
      <c r="B30" s="252">
        <f>MAX(B$15:B29)+1</f>
        <v>14</v>
      </c>
      <c r="C30" s="7"/>
      <c r="D30" s="19" t="s">
        <v>101</v>
      </c>
      <c r="E30" s="252"/>
      <c r="F30" s="141">
        <v>160442.44652169128</v>
      </c>
      <c r="G30" s="141">
        <f>F30-I30</f>
        <v>5628.4296274139488</v>
      </c>
      <c r="H30" s="142"/>
      <c r="I30" s="141">
        <v>154814.01689427733</v>
      </c>
      <c r="J30" s="142">
        <v>0</v>
      </c>
      <c r="K30" s="141">
        <f>I30 + J30</f>
        <v>154814.01689427733</v>
      </c>
      <c r="L30" s="142"/>
      <c r="M30" s="142">
        <v>13285.67184578146</v>
      </c>
      <c r="N30" s="142">
        <v>0</v>
      </c>
      <c r="O30" s="141">
        <v>168099.6887400588</v>
      </c>
      <c r="P30" s="143">
        <f>IFERROR(O30/K30,"-")</f>
        <v>1.0858169829341375</v>
      </c>
      <c r="Q30" s="186">
        <f>IFERROR(O30/F30-1,"-")</f>
        <v>4.7725788183691664E-2</v>
      </c>
      <c r="S30" s="28"/>
      <c r="T30" s="252"/>
    </row>
    <row r="31" spans="2:24" x14ac:dyDescent="0.2">
      <c r="B31" s="252">
        <f>MAX(B$15:B30)+1</f>
        <v>15</v>
      </c>
      <c r="C31" s="7"/>
      <c r="D31" s="19" t="s">
        <v>102</v>
      </c>
      <c r="E31" s="252"/>
      <c r="F31" s="141">
        <v>638.42606352170299</v>
      </c>
      <c r="G31" s="141">
        <f>F31-I31</f>
        <v>183.42423968372373</v>
      </c>
      <c r="H31" s="142"/>
      <c r="I31" s="141">
        <v>455.00182383797926</v>
      </c>
      <c r="J31" s="142">
        <v>0</v>
      </c>
      <c r="K31" s="141">
        <f>I31 + J31</f>
        <v>455.00182383797926</v>
      </c>
      <c r="L31" s="142"/>
      <c r="M31" s="142">
        <v>425.38767099139073</v>
      </c>
      <c r="N31" s="142">
        <v>0</v>
      </c>
      <c r="O31" s="141">
        <v>880.38949482937005</v>
      </c>
      <c r="P31" s="143">
        <f>IFERROR(O31/K31,"-")</f>
        <v>1.9349142106798813</v>
      </c>
      <c r="Q31" s="186">
        <f>IFERROR(O31/F31-1,"-")</f>
        <v>0.37899992674632021</v>
      </c>
      <c r="S31" s="28"/>
      <c r="T31" s="252"/>
    </row>
    <row r="32" spans="2:24" x14ac:dyDescent="0.2">
      <c r="B32" s="252">
        <f>MAX(B$15:B31)+1</f>
        <v>16</v>
      </c>
      <c r="C32" s="7"/>
      <c r="D32" s="19" t="s">
        <v>103</v>
      </c>
      <c r="E32" s="252"/>
      <c r="F32" s="141">
        <v>424.03364183333326</v>
      </c>
      <c r="G32" s="141">
        <f>F32-I32</f>
        <v>298.76845255218859</v>
      </c>
      <c r="H32" s="142"/>
      <c r="I32" s="141">
        <v>125.2651892811447</v>
      </c>
      <c r="J32" s="142">
        <v>0</v>
      </c>
      <c r="K32" s="141">
        <f>I32 + J32</f>
        <v>125.2651892811447</v>
      </c>
      <c r="L32" s="142"/>
      <c r="M32" s="142">
        <v>770.56867418024672</v>
      </c>
      <c r="N32" s="142">
        <v>0</v>
      </c>
      <c r="O32" s="141">
        <v>895.8338634613915</v>
      </c>
      <c r="P32" s="143">
        <f>IFERROR(O32/K32,"-")</f>
        <v>7.1514989008701013</v>
      </c>
      <c r="Q32" s="186">
        <f>IFERROR(O32/F32-1,"-")</f>
        <v>1.1126480898737268</v>
      </c>
      <c r="S32" s="28"/>
      <c r="T32" s="252"/>
    </row>
    <row r="33" spans="2:28" x14ac:dyDescent="0.2">
      <c r="B33" s="252">
        <f>MAX(B$15:B32)+1</f>
        <v>17</v>
      </c>
      <c r="C33" s="7"/>
      <c r="D33" s="19" t="s">
        <v>132</v>
      </c>
      <c r="E33" s="252"/>
      <c r="F33" s="141">
        <v>3560.977942268019</v>
      </c>
      <c r="G33" s="141">
        <f>F33-I33</f>
        <v>3560.977942268019</v>
      </c>
      <c r="H33" s="142"/>
      <c r="I33" s="141">
        <v>0</v>
      </c>
      <c r="J33" s="142">
        <v>0</v>
      </c>
      <c r="K33" s="141">
        <f>I33 + J33</f>
        <v>0</v>
      </c>
      <c r="L33" s="142"/>
      <c r="M33" s="142">
        <v>3560.977942268019</v>
      </c>
      <c r="N33" s="142">
        <v>0</v>
      </c>
      <c r="O33" s="141">
        <v>3560.977942268019</v>
      </c>
      <c r="P33" s="143" t="str">
        <f>IFERROR(O33/K33,"-")</f>
        <v>-</v>
      </c>
      <c r="Q33" s="186">
        <f>IFERROR(O33/F33-1,"-")</f>
        <v>0</v>
      </c>
      <c r="S33" s="28"/>
      <c r="T33" s="252"/>
    </row>
    <row r="34" spans="2:28" x14ac:dyDescent="0.2">
      <c r="B34" s="252">
        <f>MAX(B$15:B33)+1</f>
        <v>18</v>
      </c>
      <c r="C34" s="7"/>
      <c r="D34" s="7" t="s">
        <v>17</v>
      </c>
      <c r="F34" s="146">
        <f>SUM(F29:F33)</f>
        <v>165594.99764931435</v>
      </c>
      <c r="G34" s="146">
        <f>SUM(G29:G33)</f>
        <v>9930.1213190848321</v>
      </c>
      <c r="H34" s="140"/>
      <c r="I34" s="146">
        <f>SUM(I29:I33)</f>
        <v>155664.87633022951</v>
      </c>
      <c r="J34" s="146">
        <f>SUM(J29:J33)</f>
        <v>0</v>
      </c>
      <c r="K34" s="146">
        <f>SUM(K29:K33)</f>
        <v>155664.87633022951</v>
      </c>
      <c r="L34" s="140"/>
      <c r="M34" s="146">
        <f>SUM(M29:M33)</f>
        <v>18067.95177122112</v>
      </c>
      <c r="N34" s="146">
        <f ca="1">SUM(N29:N36)</f>
        <v>0</v>
      </c>
      <c r="O34" s="146">
        <f>SUM(O29:O33)</f>
        <v>173732.82810145064</v>
      </c>
      <c r="P34" s="155">
        <f>O34/K34</f>
        <v>1.1160695475894737</v>
      </c>
      <c r="Q34" s="187">
        <f>O34/F34-1</f>
        <v>4.914297272052881E-2</v>
      </c>
      <c r="R34" s="252"/>
      <c r="S34" s="28"/>
      <c r="T34" s="252"/>
    </row>
    <row r="35" spans="2:28" x14ac:dyDescent="0.2">
      <c r="B35" s="20"/>
      <c r="C35" s="7"/>
      <c r="D35" s="252"/>
      <c r="F35" s="147"/>
      <c r="G35" s="147"/>
      <c r="H35" s="140"/>
      <c r="I35" s="147"/>
      <c r="J35" s="147"/>
      <c r="K35" s="147"/>
      <c r="L35" s="140"/>
      <c r="M35" s="147"/>
      <c r="N35" s="147"/>
      <c r="O35" s="147"/>
      <c r="P35" s="147"/>
      <c r="Q35" s="189"/>
      <c r="R35" s="252"/>
      <c r="S35" s="50"/>
      <c r="T35" s="252"/>
    </row>
    <row r="36" spans="2:28" x14ac:dyDescent="0.2">
      <c r="B36" s="252">
        <f>MAX(B$15:B35)+1</f>
        <v>19</v>
      </c>
      <c r="C36" s="7"/>
      <c r="D36" s="250" t="s">
        <v>510</v>
      </c>
      <c r="F36" s="141">
        <v>1196.9395495536583</v>
      </c>
      <c r="G36" s="141">
        <f>F36-I36</f>
        <v>1196.9395495536583</v>
      </c>
      <c r="H36" s="142"/>
      <c r="I36" s="141">
        <v>0</v>
      </c>
      <c r="J36" s="142">
        <v>0</v>
      </c>
      <c r="K36" s="141">
        <f>I36 + J36</f>
        <v>0</v>
      </c>
      <c r="L36" s="142"/>
      <c r="M36" s="142">
        <v>1718.0114299177626</v>
      </c>
      <c r="N36" s="142">
        <v>0</v>
      </c>
      <c r="O36" s="141">
        <v>1718.0114299177626</v>
      </c>
      <c r="P36" s="143" t="str">
        <f>IFERROR(O36/K36,"-")</f>
        <v>-</v>
      </c>
      <c r="Q36" s="186">
        <f>IFERROR(O36/F36-1,"-")</f>
        <v>0.43533683932360101</v>
      </c>
      <c r="R36" s="252"/>
      <c r="S36" s="28"/>
      <c r="T36" s="252"/>
    </row>
    <row r="37" spans="2:28" x14ac:dyDescent="0.2">
      <c r="B37" s="252"/>
      <c r="C37" s="7"/>
      <c r="R37" s="252"/>
      <c r="S37" s="28"/>
      <c r="T37" s="252"/>
      <c r="X37" s="15"/>
      <c r="Y37" s="15"/>
      <c r="Z37" s="15"/>
      <c r="AA37" s="15"/>
      <c r="AB37" s="15"/>
    </row>
    <row r="38" spans="2:28" ht="13.5" thickBot="1" x14ac:dyDescent="0.25">
      <c r="B38" s="252">
        <f>MAX(B$15:B37)+1</f>
        <v>20</v>
      </c>
      <c r="C38" s="7"/>
      <c r="D38" s="21" t="s">
        <v>274</v>
      </c>
      <c r="F38" s="149">
        <f>ROUND(F26+F34+F36,0)</f>
        <v>6020717</v>
      </c>
      <c r="G38" s="149">
        <f>ROUND(G26+G34+G36,0)</f>
        <v>-263356</v>
      </c>
      <c r="H38" s="140"/>
      <c r="I38" s="149">
        <f>ROUND(I26+I34+I36,0)</f>
        <v>6284073</v>
      </c>
      <c r="J38" s="149">
        <f>ROUND(J26+J34+J36,0)</f>
        <v>0</v>
      </c>
      <c r="K38" s="149">
        <f>ROUND(K26+K34+K36,0)</f>
        <v>6284073</v>
      </c>
      <c r="L38" s="140"/>
      <c r="M38" s="149">
        <f>ROUND(M26+M34+M36,0)</f>
        <v>0</v>
      </c>
      <c r="N38" s="149">
        <f ca="1">ROUND(N26+N34+N36,0)</f>
        <v>0</v>
      </c>
      <c r="O38" s="149">
        <f>ROUND(O26+O34+O36,2)</f>
        <v>6284072.8399999999</v>
      </c>
      <c r="P38" s="157">
        <f>O38/K38</f>
        <v>0.99999997453880629</v>
      </c>
      <c r="Q38" s="190">
        <f>O38/F38-1</f>
        <v>4.3741607519502956E-2</v>
      </c>
      <c r="R38" s="252"/>
      <c r="S38" s="28"/>
      <c r="T38" s="252"/>
      <c r="X38" s="478"/>
      <c r="Y38" s="478"/>
      <c r="Z38" s="478"/>
      <c r="AA38" s="478"/>
      <c r="AB38" s="478"/>
    </row>
    <row r="39" spans="2:28" ht="13.5" thickTop="1" x14ac:dyDescent="0.2">
      <c r="B39" s="20"/>
      <c r="C39" s="7"/>
      <c r="D39" s="252"/>
      <c r="F39" s="7"/>
      <c r="G39" s="252"/>
      <c r="H39" s="252"/>
      <c r="I39" s="252"/>
      <c r="J39" s="252"/>
      <c r="K39" s="252"/>
      <c r="L39" s="252"/>
      <c r="M39" s="252"/>
      <c r="N39" s="252"/>
      <c r="O39" s="252"/>
      <c r="P39" s="252"/>
      <c r="Q39" s="188"/>
      <c r="R39" s="252"/>
      <c r="S39" s="17"/>
      <c r="T39" s="252"/>
      <c r="X39" s="478"/>
      <c r="Y39" s="478"/>
      <c r="Z39" s="478"/>
      <c r="AA39" s="478"/>
      <c r="AB39" s="478"/>
    </row>
    <row r="40" spans="2:28" x14ac:dyDescent="0.2">
      <c r="B40" s="23" t="s">
        <v>5</v>
      </c>
      <c r="C40" s="7"/>
      <c r="D40" s="7"/>
      <c r="E40" s="252"/>
      <c r="F40" s="22"/>
      <c r="G40" s="252"/>
      <c r="H40" s="252"/>
      <c r="I40" s="252"/>
      <c r="J40" s="252"/>
      <c r="K40" s="252"/>
      <c r="L40" s="252"/>
      <c r="M40" s="252"/>
      <c r="N40" s="252"/>
      <c r="O40" s="252"/>
      <c r="P40" s="252"/>
      <c r="Q40" s="188"/>
      <c r="R40" s="252"/>
      <c r="S40" s="252"/>
      <c r="T40" s="252"/>
      <c r="Y40" s="478"/>
      <c r="Z40" s="478"/>
      <c r="AA40" s="478"/>
      <c r="AB40" s="478"/>
    </row>
    <row r="41" spans="2:28" ht="11.45" customHeight="1" x14ac:dyDescent="0.2">
      <c r="B41" s="24" t="s">
        <v>6</v>
      </c>
      <c r="C41" s="20" t="s">
        <v>666</v>
      </c>
      <c r="D41" s="20"/>
      <c r="E41" s="7"/>
      <c r="F41" s="7"/>
      <c r="G41" s="7"/>
      <c r="H41" s="7"/>
      <c r="I41" s="7"/>
      <c r="J41" s="7"/>
      <c r="K41" s="7"/>
      <c r="L41" s="7"/>
      <c r="M41" s="7"/>
      <c r="N41" s="7"/>
      <c r="O41" s="7"/>
      <c r="P41" s="7"/>
      <c r="Q41" s="191"/>
      <c r="R41" s="7"/>
      <c r="S41" s="7"/>
      <c r="T41" s="7"/>
      <c r="X41" s="254"/>
    </row>
    <row r="42" spans="2:28" ht="11.45" customHeight="1" x14ac:dyDescent="0.2">
      <c r="B42" s="24" t="s">
        <v>7</v>
      </c>
      <c r="C42" s="1" t="s">
        <v>393</v>
      </c>
      <c r="D42" s="20"/>
      <c r="E42" s="20"/>
      <c r="F42" s="20"/>
      <c r="G42" s="20"/>
      <c r="H42" s="20"/>
      <c r="I42" s="20"/>
      <c r="J42" s="20"/>
      <c r="K42" s="20"/>
      <c r="L42" s="20"/>
      <c r="M42" s="20"/>
      <c r="N42" s="20"/>
      <c r="O42" s="20"/>
      <c r="P42" s="20"/>
      <c r="Q42" s="192"/>
      <c r="R42" s="20"/>
      <c r="S42" s="20"/>
      <c r="T42" s="20"/>
    </row>
    <row r="43" spans="2:28" ht="11.45" customHeight="1" x14ac:dyDescent="0.2">
      <c r="B43" s="24" t="s">
        <v>8</v>
      </c>
      <c r="C43" s="20" t="s">
        <v>402</v>
      </c>
      <c r="E43" s="20"/>
      <c r="F43" s="20"/>
      <c r="G43" s="20"/>
      <c r="H43" s="20"/>
      <c r="I43" s="20"/>
      <c r="J43" s="20"/>
      <c r="K43" s="20"/>
      <c r="L43" s="20"/>
      <c r="M43" s="20"/>
      <c r="N43" s="20"/>
      <c r="O43" s="20"/>
      <c r="P43" s="20"/>
      <c r="Q43" s="192"/>
      <c r="R43" s="20"/>
      <c r="S43" s="20"/>
      <c r="T43" s="20"/>
    </row>
    <row r="44" spans="2:28" ht="11.45" customHeight="1" x14ac:dyDescent="0.2">
      <c r="B44" s="24" t="s">
        <v>18</v>
      </c>
      <c r="C44" s="20" t="s">
        <v>667</v>
      </c>
      <c r="Q44" s="193"/>
    </row>
    <row r="45" spans="2:28" ht="11.45" customHeight="1" x14ac:dyDescent="0.2">
      <c r="B45" s="24" t="s">
        <v>19</v>
      </c>
      <c r="C45" s="20" t="s">
        <v>668</v>
      </c>
      <c r="Q45" s="193"/>
    </row>
    <row r="46" spans="2:28" x14ac:dyDescent="0.2">
      <c r="B46" s="24" t="s">
        <v>401</v>
      </c>
      <c r="C46" s="20" t="s">
        <v>669</v>
      </c>
      <c r="Q46" s="193"/>
    </row>
    <row r="47" spans="2:28" x14ac:dyDescent="0.2">
      <c r="Q47" s="193"/>
    </row>
    <row r="48" spans="2:28" x14ac:dyDescent="0.2">
      <c r="B48" s="252"/>
      <c r="C48" s="7"/>
      <c r="D48" s="7"/>
      <c r="E48" s="252"/>
      <c r="F48" s="6"/>
      <c r="G48" s="6"/>
      <c r="H48" s="252"/>
      <c r="I48" s="252"/>
      <c r="J48" s="252"/>
      <c r="K48" s="252"/>
      <c r="L48" s="252"/>
      <c r="M48" s="252"/>
      <c r="N48" s="252"/>
      <c r="O48" s="252"/>
      <c r="P48" s="252"/>
      <c r="Q48" s="188"/>
      <c r="R48" s="252"/>
      <c r="S48" s="252"/>
      <c r="T48" s="252"/>
    </row>
    <row r="49" spans="2:20" x14ac:dyDescent="0.2">
      <c r="B49" s="252"/>
      <c r="C49" s="7"/>
      <c r="D49" s="52"/>
      <c r="E49" s="252"/>
      <c r="F49" s="6"/>
      <c r="G49" s="6"/>
      <c r="H49" s="252"/>
      <c r="I49" s="252"/>
      <c r="J49" s="252"/>
      <c r="K49" s="252"/>
      <c r="L49" s="252"/>
      <c r="M49" s="252"/>
      <c r="N49" s="252"/>
      <c r="O49" s="252"/>
      <c r="P49" s="252"/>
      <c r="Q49" s="188"/>
      <c r="R49" s="252"/>
      <c r="S49" s="252"/>
      <c r="T49" s="252"/>
    </row>
    <row r="50" spans="2:20" x14ac:dyDescent="0.2">
      <c r="B50" s="252"/>
      <c r="C50" s="7"/>
      <c r="D50" s="52"/>
      <c r="E50" s="252"/>
      <c r="F50" s="6"/>
      <c r="G50" s="6"/>
      <c r="H50" s="252"/>
      <c r="I50" s="252"/>
      <c r="J50" s="252"/>
      <c r="K50" s="252"/>
      <c r="L50" s="252"/>
      <c r="M50" s="252"/>
      <c r="N50" s="252"/>
      <c r="O50" s="252"/>
      <c r="P50" s="252"/>
      <c r="Q50" s="188"/>
      <c r="R50" s="252"/>
      <c r="S50" s="252"/>
      <c r="T50" s="252"/>
    </row>
    <row r="51" spans="2:20" x14ac:dyDescent="0.2">
      <c r="B51" s="252"/>
      <c r="C51" s="7"/>
      <c r="D51" s="52"/>
      <c r="E51" s="252"/>
      <c r="F51" s="6"/>
      <c r="G51" s="6"/>
      <c r="H51" s="252"/>
      <c r="I51" s="252"/>
      <c r="J51" s="252"/>
      <c r="K51" s="252"/>
      <c r="L51" s="252"/>
      <c r="M51" s="252"/>
      <c r="N51" s="252"/>
      <c r="O51" s="252"/>
      <c r="P51" s="252"/>
      <c r="Q51" s="188"/>
      <c r="R51" s="252"/>
      <c r="S51" s="252"/>
      <c r="T51" s="252"/>
    </row>
    <row r="52" spans="2:20" x14ac:dyDescent="0.2">
      <c r="B52" s="4" t="s">
        <v>295</v>
      </c>
      <c r="C52" s="4"/>
      <c r="D52" s="4"/>
      <c r="E52" s="4"/>
      <c r="F52" s="4"/>
      <c r="G52" s="4"/>
      <c r="H52" s="4"/>
      <c r="I52" s="4"/>
      <c r="J52" s="4"/>
      <c r="K52" s="4"/>
      <c r="L52" s="4"/>
      <c r="M52" s="4"/>
      <c r="N52" s="4"/>
      <c r="O52" s="4"/>
      <c r="P52" s="4"/>
      <c r="Q52" s="4"/>
      <c r="R52" s="4"/>
      <c r="S52" s="4"/>
      <c r="T52" s="5"/>
    </row>
    <row r="53" spans="2:20" x14ac:dyDescent="0.2">
      <c r="B53" s="4" t="s">
        <v>523</v>
      </c>
      <c r="C53" s="4"/>
      <c r="D53" s="4"/>
      <c r="E53" s="4"/>
      <c r="F53" s="4"/>
      <c r="G53" s="4"/>
      <c r="H53" s="4"/>
      <c r="I53" s="4"/>
      <c r="J53" s="4"/>
      <c r="K53" s="4"/>
      <c r="L53" s="4"/>
      <c r="M53" s="4"/>
      <c r="N53" s="4"/>
      <c r="O53" s="4"/>
      <c r="P53" s="4"/>
      <c r="Q53" s="4"/>
      <c r="R53" s="4"/>
      <c r="S53" s="4"/>
      <c r="T53" s="5"/>
    </row>
    <row r="54" spans="2:20" x14ac:dyDescent="0.2">
      <c r="B54" s="4"/>
      <c r="C54" s="4"/>
      <c r="D54" s="4"/>
      <c r="E54" s="4"/>
      <c r="F54" s="4"/>
      <c r="G54" s="4"/>
      <c r="H54" s="4"/>
      <c r="I54" s="4"/>
      <c r="J54" s="4"/>
      <c r="K54" s="4"/>
      <c r="L54" s="4"/>
      <c r="M54" s="4"/>
      <c r="N54" s="4"/>
      <c r="O54" s="4"/>
      <c r="P54" s="4"/>
      <c r="Q54" s="4"/>
      <c r="R54" s="4"/>
      <c r="S54" s="4"/>
      <c r="T54" s="5"/>
    </row>
    <row r="55" spans="2:20" x14ac:dyDescent="0.2">
      <c r="B55" s="62"/>
      <c r="C55" s="62"/>
      <c r="D55" s="62"/>
      <c r="E55" s="62"/>
      <c r="F55" s="27" t="s">
        <v>390</v>
      </c>
      <c r="G55" s="27"/>
      <c r="H55" s="21"/>
      <c r="I55" s="27" t="s">
        <v>391</v>
      </c>
      <c r="J55" s="27"/>
      <c r="K55" s="29"/>
      <c r="L55" s="21"/>
      <c r="M55" s="57" t="s">
        <v>392</v>
      </c>
      <c r="N55" s="57"/>
      <c r="O55" s="58"/>
      <c r="P55" s="57"/>
      <c r="Q55" s="58"/>
      <c r="R55" s="4"/>
      <c r="S55" s="4"/>
      <c r="T55" s="5"/>
    </row>
    <row r="56" spans="2:20" ht="38.25" x14ac:dyDescent="0.2">
      <c r="B56" s="25" t="s">
        <v>0</v>
      </c>
      <c r="C56" s="25"/>
      <c r="D56" s="25"/>
      <c r="E56" s="25"/>
      <c r="F56" s="26" t="s">
        <v>10</v>
      </c>
      <c r="G56" s="26" t="s">
        <v>394</v>
      </c>
      <c r="H56" s="25"/>
      <c r="I56" s="25" t="s">
        <v>520</v>
      </c>
      <c r="J56" s="25" t="s">
        <v>892</v>
      </c>
      <c r="K56" s="25" t="s">
        <v>391</v>
      </c>
      <c r="L56" s="25"/>
      <c r="M56" s="26" t="s">
        <v>519</v>
      </c>
      <c r="N56" s="59" t="s">
        <v>334</v>
      </c>
      <c r="O56" s="26" t="s">
        <v>395</v>
      </c>
      <c r="P56" s="25" t="s">
        <v>500</v>
      </c>
      <c r="Q56" s="25" t="s">
        <v>85</v>
      </c>
      <c r="R56" s="4"/>
      <c r="S56" s="4"/>
      <c r="T56" s="5"/>
    </row>
    <row r="57" spans="2:20" x14ac:dyDescent="0.2">
      <c r="B57" s="8" t="s">
        <v>1</v>
      </c>
      <c r="C57" s="7"/>
      <c r="D57" s="9" t="s">
        <v>9</v>
      </c>
      <c r="E57" s="252"/>
      <c r="F57" s="8" t="s">
        <v>140</v>
      </c>
      <c r="G57" s="8" t="s">
        <v>140</v>
      </c>
      <c r="H57" s="252"/>
      <c r="I57" s="8" t="s">
        <v>140</v>
      </c>
      <c r="J57" s="8" t="s">
        <v>140</v>
      </c>
      <c r="K57" s="8" t="s">
        <v>140</v>
      </c>
      <c r="L57" s="252"/>
      <c r="M57" s="8" t="s">
        <v>140</v>
      </c>
      <c r="N57" s="8" t="s">
        <v>140</v>
      </c>
      <c r="O57" s="8" t="s">
        <v>140</v>
      </c>
      <c r="P57" s="8" t="s">
        <v>521</v>
      </c>
      <c r="Q57" s="8" t="s">
        <v>2</v>
      </c>
      <c r="R57" s="4"/>
      <c r="S57" s="4"/>
      <c r="T57" s="5"/>
    </row>
    <row r="58" spans="2:20" x14ac:dyDescent="0.2">
      <c r="B58" s="252"/>
      <c r="C58" s="7"/>
      <c r="D58" s="7"/>
      <c r="E58" s="252"/>
      <c r="F58" s="252" t="s">
        <v>3</v>
      </c>
      <c r="G58" s="252" t="s">
        <v>498</v>
      </c>
      <c r="H58" s="252"/>
      <c r="I58" s="252" t="s">
        <v>86</v>
      </c>
      <c r="J58" s="252" t="s">
        <v>133</v>
      </c>
      <c r="K58" s="252" t="s">
        <v>134</v>
      </c>
      <c r="L58" s="252"/>
      <c r="M58" s="252" t="s">
        <v>135</v>
      </c>
      <c r="N58" s="252" t="s">
        <v>15</v>
      </c>
      <c r="O58" s="45" t="s">
        <v>136</v>
      </c>
      <c r="P58" s="10" t="s">
        <v>137</v>
      </c>
      <c r="Q58" s="10" t="s">
        <v>138</v>
      </c>
      <c r="R58" s="252"/>
      <c r="S58" s="252"/>
      <c r="T58" s="252"/>
    </row>
    <row r="59" spans="2:20" x14ac:dyDescent="0.2">
      <c r="B59" s="252"/>
      <c r="C59" s="7"/>
      <c r="D59" s="7"/>
      <c r="E59" s="252"/>
      <c r="F59" s="6"/>
      <c r="G59" s="6"/>
      <c r="H59" s="252"/>
      <c r="I59" s="252"/>
      <c r="J59" s="252"/>
      <c r="K59" s="252"/>
      <c r="L59" s="252"/>
      <c r="M59" s="252"/>
      <c r="N59" s="252"/>
      <c r="O59" s="252"/>
      <c r="P59" s="252"/>
      <c r="Q59" s="188"/>
      <c r="R59" s="252"/>
      <c r="S59" s="252"/>
      <c r="T59" s="252"/>
    </row>
    <row r="60" spans="2:20" x14ac:dyDescent="0.2">
      <c r="B60" s="252"/>
      <c r="C60" s="7"/>
      <c r="D60" s="5" t="s">
        <v>48</v>
      </c>
      <c r="E60" s="252"/>
      <c r="F60" s="150"/>
      <c r="G60" s="152"/>
      <c r="H60" s="151"/>
      <c r="I60" s="151"/>
      <c r="J60" s="151"/>
      <c r="K60" s="153"/>
      <c r="L60" s="151"/>
      <c r="M60" s="151"/>
      <c r="N60" s="151"/>
      <c r="O60" s="151"/>
      <c r="P60" s="151"/>
      <c r="Q60" s="189"/>
      <c r="R60" s="252"/>
      <c r="S60" s="32"/>
      <c r="T60" s="252"/>
    </row>
    <row r="61" spans="2:20" x14ac:dyDescent="0.2">
      <c r="B61" s="252">
        <v>1</v>
      </c>
      <c r="C61" s="7"/>
      <c r="D61" s="13" t="s">
        <v>49</v>
      </c>
      <c r="E61" s="252"/>
      <c r="F61" s="355">
        <v>1894054.7257035375</v>
      </c>
      <c r="G61" s="141">
        <f t="shared" ref="G61:G71" si="7">F61-I61</f>
        <v>-170473.4159988109</v>
      </c>
      <c r="H61" s="142"/>
      <c r="I61" s="141">
        <v>2064528.1417023484</v>
      </c>
      <c r="J61" s="141">
        <v>1548.7560289683154</v>
      </c>
      <c r="K61" s="141">
        <f t="shared" ref="K61:K71" si="8">I61+J61</f>
        <v>2066076.8977313167</v>
      </c>
      <c r="L61" s="142"/>
      <c r="M61" s="141">
        <v>-9434.0253676172979</v>
      </c>
      <c r="N61" s="141">
        <v>0</v>
      </c>
      <c r="O61" s="141">
        <f t="shared" ref="O61:O71" si="9">K61+M61+N61</f>
        <v>2056642.8723636994</v>
      </c>
      <c r="P61" s="143">
        <f t="shared" ref="P61:P71" si="10">IFERROR(O61/K61,"-")</f>
        <v>0.99543384596286011</v>
      </c>
      <c r="Q61" s="186">
        <f t="shared" ref="Q61:Q71" si="11">IFERROR(O61/F61-1,"-")</f>
        <v>8.5841314115023382E-2</v>
      </c>
      <c r="S61" s="28"/>
    </row>
    <row r="62" spans="2:20" x14ac:dyDescent="0.2">
      <c r="B62" s="252">
        <f>MAX(B$61:B61)+1</f>
        <v>2</v>
      </c>
      <c r="C62" s="7"/>
      <c r="D62" s="13" t="s">
        <v>50</v>
      </c>
      <c r="E62" s="252"/>
      <c r="F62" s="141">
        <v>483937.95558994351</v>
      </c>
      <c r="G62" s="141">
        <f t="shared" si="7"/>
        <v>-104635.44869012752</v>
      </c>
      <c r="H62" s="142"/>
      <c r="I62" s="141">
        <v>588573.40428007103</v>
      </c>
      <c r="J62" s="141">
        <v>389.41258197107436</v>
      </c>
      <c r="K62" s="141">
        <f t="shared" si="8"/>
        <v>588962.81686204206</v>
      </c>
      <c r="L62" s="142"/>
      <c r="M62" s="141">
        <v>-6338.2257539678703</v>
      </c>
      <c r="N62" s="141">
        <v>0</v>
      </c>
      <c r="O62" s="141">
        <f t="shared" si="9"/>
        <v>582624.59110807418</v>
      </c>
      <c r="P62" s="143">
        <f t="shared" si="10"/>
        <v>0.9892383261345129</v>
      </c>
      <c r="Q62" s="186">
        <f t="shared" si="11"/>
        <v>0.20392414849508333</v>
      </c>
      <c r="S62" s="28"/>
    </row>
    <row r="63" spans="2:20" x14ac:dyDescent="0.2">
      <c r="B63" s="252">
        <f>MAX(B$61:B62)+1</f>
        <v>3</v>
      </c>
      <c r="C63" s="7"/>
      <c r="D63" s="13" t="s">
        <v>51</v>
      </c>
      <c r="E63" s="252"/>
      <c r="F63" s="141">
        <v>111655.37323223226</v>
      </c>
      <c r="G63" s="141">
        <f t="shared" si="7"/>
        <v>-6945.4540459175623</v>
      </c>
      <c r="H63" s="142"/>
      <c r="I63" s="141">
        <v>118600.82727814982</v>
      </c>
      <c r="J63" s="141">
        <v>-221.22499800483985</v>
      </c>
      <c r="K63" s="141">
        <f t="shared" si="8"/>
        <v>118379.60228014499</v>
      </c>
      <c r="L63" s="142"/>
      <c r="M63" s="141">
        <v>-1785.7119213140934</v>
      </c>
      <c r="N63" s="141">
        <v>0</v>
      </c>
      <c r="O63" s="141">
        <f t="shared" si="9"/>
        <v>116593.89035883089</v>
      </c>
      <c r="P63" s="143">
        <f t="shared" si="10"/>
        <v>0.9849153748879117</v>
      </c>
      <c r="Q63" s="186">
        <f t="shared" si="11"/>
        <v>4.4229999718213175E-2</v>
      </c>
      <c r="S63" s="28"/>
    </row>
    <row r="64" spans="2:20" x14ac:dyDescent="0.2">
      <c r="B64" s="252">
        <f>MAX(B$61:B63)+1</f>
        <v>4</v>
      </c>
      <c r="C64" s="7"/>
      <c r="D64" s="13" t="s">
        <v>52</v>
      </c>
      <c r="E64" s="252"/>
      <c r="F64" s="141">
        <v>67068.799725931836</v>
      </c>
      <c r="G64" s="141">
        <f t="shared" si="7"/>
        <v>-3406.7299633425428</v>
      </c>
      <c r="H64" s="142"/>
      <c r="I64" s="141">
        <v>70475.529689274379</v>
      </c>
      <c r="J64" s="141">
        <v>-1040.4770635843659</v>
      </c>
      <c r="K64" s="141">
        <f t="shared" si="8"/>
        <v>69435.052625690019</v>
      </c>
      <c r="L64" s="142"/>
      <c r="M64" s="141">
        <v>-1196.5244054776867</v>
      </c>
      <c r="N64" s="141">
        <v>0</v>
      </c>
      <c r="O64" s="141">
        <f t="shared" si="9"/>
        <v>68238.528220212334</v>
      </c>
      <c r="P64" s="143">
        <f t="shared" si="10"/>
        <v>0.98276771802956786</v>
      </c>
      <c r="Q64" s="186">
        <f t="shared" si="11"/>
        <v>1.7440725032510596E-2</v>
      </c>
      <c r="S64" s="28"/>
    </row>
    <row r="65" spans="2:24" x14ac:dyDescent="0.2">
      <c r="B65" s="252">
        <f>MAX(B$61:B64)+1</f>
        <v>5</v>
      </c>
      <c r="C65" s="7"/>
      <c r="D65" s="13" t="s">
        <v>53</v>
      </c>
      <c r="E65" s="252"/>
      <c r="F65" s="141">
        <v>22618.127436565337</v>
      </c>
      <c r="G65" s="141">
        <f t="shared" si="7"/>
        <v>12367.989865681804</v>
      </c>
      <c r="H65" s="142"/>
      <c r="I65" s="141">
        <v>10250.137570883533</v>
      </c>
      <c r="J65" s="141">
        <v>0</v>
      </c>
      <c r="K65" s="141">
        <f t="shared" si="8"/>
        <v>10250.137570883533</v>
      </c>
      <c r="L65" s="142"/>
      <c r="M65" s="141">
        <v>0</v>
      </c>
      <c r="N65" s="141">
        <v>-95.777694587607471</v>
      </c>
      <c r="O65" s="141">
        <f t="shared" si="9"/>
        <v>10154.359876295926</v>
      </c>
      <c r="P65" s="143">
        <f t="shared" si="10"/>
        <v>0.99065596008587509</v>
      </c>
      <c r="Q65" s="197">
        <f t="shared" si="11"/>
        <v>-0.55105214148364923</v>
      </c>
      <c r="S65" s="28"/>
    </row>
    <row r="66" spans="2:24" x14ac:dyDescent="0.2">
      <c r="B66" s="252">
        <f>MAX(B$61:B65)+1</f>
        <v>6</v>
      </c>
      <c r="C66" s="7"/>
      <c r="D66" s="13" t="s">
        <v>54</v>
      </c>
      <c r="E66" s="252"/>
      <c r="F66" s="141">
        <v>56291.270711776517</v>
      </c>
      <c r="G66" s="141">
        <f t="shared" si="7"/>
        <v>6890.1320122628167</v>
      </c>
      <c r="H66" s="142"/>
      <c r="I66" s="141">
        <v>49401.1386995137</v>
      </c>
      <c r="J66" s="141">
        <v>-562.43437962781491</v>
      </c>
      <c r="K66" s="141">
        <f t="shared" si="8"/>
        <v>48838.704319885888</v>
      </c>
      <c r="L66" s="142"/>
      <c r="M66" s="141">
        <v>-646.78644561953479</v>
      </c>
      <c r="N66" s="141">
        <v>-143.29400861744844</v>
      </c>
      <c r="O66" s="141">
        <f t="shared" si="9"/>
        <v>48048.6238656489</v>
      </c>
      <c r="P66" s="143">
        <f t="shared" si="10"/>
        <v>0.98382265735261765</v>
      </c>
      <c r="Q66" s="197">
        <f t="shared" si="11"/>
        <v>-0.14642850910813066</v>
      </c>
      <c r="S66" s="28"/>
    </row>
    <row r="67" spans="2:24" x14ac:dyDescent="0.2">
      <c r="B67" s="252">
        <f>MAX(B$61:B66)+1</f>
        <v>7</v>
      </c>
      <c r="C67" s="7"/>
      <c r="D67" s="13" t="s">
        <v>55</v>
      </c>
      <c r="E67" s="252"/>
      <c r="F67" s="141">
        <v>9377.4834392846224</v>
      </c>
      <c r="G67" s="141">
        <f t="shared" si="7"/>
        <v>5406.1841426847477</v>
      </c>
      <c r="H67" s="142"/>
      <c r="I67" s="141">
        <v>3971.2992965998747</v>
      </c>
      <c r="J67" s="141">
        <v>4.8687414389648955</v>
      </c>
      <c r="K67" s="141">
        <f t="shared" si="8"/>
        <v>3976.1680380388398</v>
      </c>
      <c r="L67" s="142"/>
      <c r="M67" s="141">
        <v>-0.14250807214962527</v>
      </c>
      <c r="N67" s="141">
        <v>900</v>
      </c>
      <c r="O67" s="141">
        <f t="shared" si="9"/>
        <v>4876.0255299666896</v>
      </c>
      <c r="P67" s="143">
        <f t="shared" si="10"/>
        <v>1.2263127421475088</v>
      </c>
      <c r="Q67" s="197">
        <f t="shared" si="11"/>
        <v>-0.48002835072576089</v>
      </c>
      <c r="S67" s="28"/>
    </row>
    <row r="68" spans="2:24" x14ac:dyDescent="0.2">
      <c r="B68" s="252">
        <f>MAX(B$61:B67)+1</f>
        <v>8</v>
      </c>
      <c r="C68" s="7"/>
      <c r="D68" s="13" t="s">
        <v>56</v>
      </c>
      <c r="E68" s="252"/>
      <c r="F68" s="141">
        <v>1485.2840980933183</v>
      </c>
      <c r="G68" s="141">
        <f t="shared" si="7"/>
        <v>-981.11974713264044</v>
      </c>
      <c r="H68" s="142"/>
      <c r="I68" s="141">
        <v>2466.4038452259588</v>
      </c>
      <c r="J68" s="141">
        <v>2.0544972389788088</v>
      </c>
      <c r="K68" s="141">
        <f t="shared" si="8"/>
        <v>2468.4583424649377</v>
      </c>
      <c r="L68" s="142"/>
      <c r="M68" s="141">
        <v>-1.9153703979194905</v>
      </c>
      <c r="N68" s="141">
        <v>-900</v>
      </c>
      <c r="O68" s="141">
        <f t="shared" si="9"/>
        <v>1566.5429720670181</v>
      </c>
      <c r="P68" s="143">
        <f t="shared" si="10"/>
        <v>0.6346240263073305</v>
      </c>
      <c r="Q68" s="186">
        <f t="shared" si="11"/>
        <v>5.4709313913757773E-2</v>
      </c>
      <c r="S68" s="28"/>
    </row>
    <row r="69" spans="2:24" x14ac:dyDescent="0.2">
      <c r="B69" s="252">
        <f>MAX(B$61:B68)+1</f>
        <v>9</v>
      </c>
      <c r="C69" s="7"/>
      <c r="D69" s="13" t="s">
        <v>57</v>
      </c>
      <c r="E69" s="252"/>
      <c r="F69" s="141">
        <v>2663.1841488304003</v>
      </c>
      <c r="G69" s="141">
        <f t="shared" si="7"/>
        <v>844.37532666335142</v>
      </c>
      <c r="H69" s="142"/>
      <c r="I69" s="141">
        <v>1818.8088221670489</v>
      </c>
      <c r="J69" s="141">
        <v>0</v>
      </c>
      <c r="K69" s="141">
        <f t="shared" si="8"/>
        <v>1818.8088221670489</v>
      </c>
      <c r="L69" s="142"/>
      <c r="M69" s="141">
        <v>-35.413355091827469</v>
      </c>
      <c r="N69" s="141">
        <v>239.07170320505591</v>
      </c>
      <c r="O69" s="141">
        <f t="shared" si="9"/>
        <v>2022.4671702802773</v>
      </c>
      <c r="P69" s="143">
        <f t="shared" si="10"/>
        <v>1.1119734771632437</v>
      </c>
      <c r="Q69" s="197">
        <f t="shared" si="11"/>
        <v>-0.24058305499884747</v>
      </c>
      <c r="S69" s="28"/>
    </row>
    <row r="70" spans="2:24" x14ac:dyDescent="0.2">
      <c r="B70" s="252">
        <f>MAX(B$61:B69)+1</f>
        <v>10</v>
      </c>
      <c r="C70" s="7"/>
      <c r="D70" s="13" t="s">
        <v>58</v>
      </c>
      <c r="E70" s="252"/>
      <c r="F70" s="141">
        <v>6961.4421481544077</v>
      </c>
      <c r="G70" s="141">
        <f t="shared" si="7"/>
        <v>516.1357486603838</v>
      </c>
      <c r="H70" s="142"/>
      <c r="I70" s="141">
        <v>6445.3063994940239</v>
      </c>
      <c r="J70" s="141">
        <v>26.355287817593421</v>
      </c>
      <c r="K70" s="141">
        <f t="shared" si="8"/>
        <v>6471.6616873116172</v>
      </c>
      <c r="L70" s="142"/>
      <c r="M70" s="141">
        <v>-177.81420176651307</v>
      </c>
      <c r="N70" s="141">
        <v>0</v>
      </c>
      <c r="O70" s="141">
        <f t="shared" si="9"/>
        <v>6293.8474855451041</v>
      </c>
      <c r="P70" s="143">
        <f t="shared" si="10"/>
        <v>0.97252418152278619</v>
      </c>
      <c r="Q70" s="197">
        <f t="shared" si="11"/>
        <v>-9.5898902612628012E-2</v>
      </c>
      <c r="S70" s="28"/>
    </row>
    <row r="71" spans="2:24" x14ac:dyDescent="0.2">
      <c r="B71" s="252">
        <f>MAX(B$61:B70)+1</f>
        <v>11</v>
      </c>
      <c r="C71" s="7"/>
      <c r="D71" s="13" t="s">
        <v>59</v>
      </c>
      <c r="E71" s="252"/>
      <c r="F71" s="141">
        <v>7803.7987485929998</v>
      </c>
      <c r="G71" s="141">
        <f t="shared" si="7"/>
        <v>-1493.3614402676094</v>
      </c>
      <c r="H71" s="142"/>
      <c r="I71" s="141">
        <v>9297.1601888606092</v>
      </c>
      <c r="J71" s="141">
        <v>-147.31069621790647</v>
      </c>
      <c r="K71" s="141">
        <f t="shared" si="8"/>
        <v>9149.8494926427029</v>
      </c>
      <c r="L71" s="142"/>
      <c r="M71" s="141">
        <v>-169.40387191758867</v>
      </c>
      <c r="N71" s="141">
        <v>0</v>
      </c>
      <c r="O71" s="141">
        <f t="shared" si="9"/>
        <v>8980.4456207251151</v>
      </c>
      <c r="P71" s="143">
        <f t="shared" si="10"/>
        <v>0.98148561109624766</v>
      </c>
      <c r="Q71" s="186">
        <f t="shared" si="11"/>
        <v>0.15077873097948102</v>
      </c>
      <c r="S71" s="28"/>
    </row>
    <row r="72" spans="2:24" x14ac:dyDescent="0.2">
      <c r="B72" s="252">
        <f>MAX(B$61:B71)+1</f>
        <v>12</v>
      </c>
      <c r="C72" s="7"/>
      <c r="D72" s="1" t="s">
        <v>60</v>
      </c>
      <c r="E72" s="252"/>
      <c r="F72" s="146">
        <f>SUM(F61:F71)</f>
        <v>2663917.4449829431</v>
      </c>
      <c r="G72" s="146">
        <f>SUM(G61:G71)</f>
        <v>-261910.71278964568</v>
      </c>
      <c r="H72" s="142"/>
      <c r="I72" s="146">
        <f>SUM(I61:I71)</f>
        <v>2925828.1577725885</v>
      </c>
      <c r="J72" s="146">
        <f>SUM(J61:J71)</f>
        <v>0</v>
      </c>
      <c r="K72" s="146">
        <f>SUM(K61:K71)</f>
        <v>2925828.157772589</v>
      </c>
      <c r="L72" s="142"/>
      <c r="M72" s="146">
        <f>SUM(M61:M71)</f>
        <v>-19785.963201242477</v>
      </c>
      <c r="N72" s="146">
        <f>ROUND(SUM(N61:N71),0)</f>
        <v>0</v>
      </c>
      <c r="O72" s="146">
        <f>SUM(O61:O71)</f>
        <v>2906042.194571346</v>
      </c>
      <c r="P72" s="155">
        <f>O72/K72</f>
        <v>0.99323748281365032</v>
      </c>
      <c r="Q72" s="187">
        <f>O72/F72-1</f>
        <v>9.0890485380620722E-2</v>
      </c>
      <c r="S72" s="28"/>
      <c r="W72" s="15"/>
      <c r="X72" s="85"/>
    </row>
    <row r="73" spans="2:24" x14ac:dyDescent="0.2">
      <c r="B73" s="252"/>
      <c r="C73" s="7"/>
      <c r="D73" s="7"/>
      <c r="E73" s="252"/>
      <c r="F73" s="17"/>
      <c r="G73" s="17"/>
      <c r="H73" s="14"/>
      <c r="I73" s="17"/>
      <c r="J73" s="14"/>
      <c r="K73" s="17"/>
      <c r="L73" s="14"/>
      <c r="M73" s="14"/>
      <c r="N73" s="14"/>
      <c r="O73" s="14"/>
      <c r="P73" s="17"/>
      <c r="Q73" s="188"/>
      <c r="R73" s="252"/>
      <c r="S73" s="37"/>
      <c r="T73" s="252"/>
    </row>
    <row r="74" spans="2:24" x14ac:dyDescent="0.2">
      <c r="B74" s="252"/>
      <c r="C74" s="7"/>
      <c r="D74" s="52" t="s">
        <v>16</v>
      </c>
      <c r="E74" s="252"/>
      <c r="F74" s="147"/>
      <c r="G74" s="147"/>
      <c r="H74" s="140"/>
      <c r="I74" s="147"/>
      <c r="J74" s="140"/>
      <c r="K74" s="141"/>
      <c r="L74" s="140"/>
      <c r="M74" s="140"/>
      <c r="N74" s="140"/>
      <c r="O74" s="147"/>
      <c r="P74" s="147"/>
      <c r="Q74" s="189"/>
      <c r="R74" s="252"/>
      <c r="S74" s="18"/>
      <c r="T74" s="252"/>
    </row>
    <row r="75" spans="2:24" x14ac:dyDescent="0.2">
      <c r="B75" s="252">
        <f>MAX(B$15:B74)+1</f>
        <v>21</v>
      </c>
      <c r="C75" s="7"/>
      <c r="D75" s="19" t="s">
        <v>100</v>
      </c>
      <c r="E75" s="252"/>
      <c r="F75" s="141">
        <v>529.11347999999998</v>
      </c>
      <c r="G75" s="141">
        <f>F75-I75</f>
        <v>269.54385635566376</v>
      </c>
      <c r="H75" s="142"/>
      <c r="I75" s="141">
        <v>259.56962364433622</v>
      </c>
      <c r="J75" s="142">
        <v>0</v>
      </c>
      <c r="K75" s="141">
        <f>I75 + J75</f>
        <v>259.56962364433622</v>
      </c>
      <c r="L75" s="142"/>
      <c r="M75" s="142">
        <v>25.345638000000008</v>
      </c>
      <c r="N75" s="142">
        <v>0</v>
      </c>
      <c r="O75" s="141">
        <v>284.91526164433623</v>
      </c>
      <c r="P75" s="143">
        <f>IFERROR(O75/K75,"-")</f>
        <v>1.0976448539861843</v>
      </c>
      <c r="Q75" s="197">
        <f t="shared" ref="Q75:Q80" si="12">O75/F75-1</f>
        <v>-0.46152333589320715</v>
      </c>
      <c r="S75" s="16"/>
      <c r="T75" s="252"/>
    </row>
    <row r="76" spans="2:24" x14ac:dyDescent="0.2">
      <c r="B76" s="252">
        <f>MAX(B$15:B75)+1</f>
        <v>22</v>
      </c>
      <c r="C76" s="7"/>
      <c r="D76" s="19" t="s">
        <v>101</v>
      </c>
      <c r="E76" s="252"/>
      <c r="F76" s="141">
        <v>138190.12448499587</v>
      </c>
      <c r="G76" s="141">
        <f>F76-I76</f>
        <v>14488.277345833718</v>
      </c>
      <c r="H76" s="142"/>
      <c r="I76" s="141">
        <v>123701.84713916216</v>
      </c>
      <c r="J76" s="142">
        <v>0</v>
      </c>
      <c r="K76" s="141">
        <f>I76 + J76</f>
        <v>123701.84713916216</v>
      </c>
      <c r="L76" s="142"/>
      <c r="M76" s="142">
        <v>13285.337755199842</v>
      </c>
      <c r="N76" s="142">
        <v>0</v>
      </c>
      <c r="O76" s="141">
        <v>136987.184894362</v>
      </c>
      <c r="P76" s="143">
        <f>IFERROR(O76/K76,"-")</f>
        <v>1.1073980547780673</v>
      </c>
      <c r="Q76" s="197">
        <f t="shared" si="12"/>
        <v>-8.7049606121780698E-3</v>
      </c>
      <c r="S76" s="16"/>
      <c r="T76" s="252"/>
    </row>
    <row r="77" spans="2:24" x14ac:dyDescent="0.2">
      <c r="B77" s="252">
        <f>MAX(B$15:B76)+1</f>
        <v>23</v>
      </c>
      <c r="C77" s="7"/>
      <c r="D77" s="19" t="s">
        <v>102</v>
      </c>
      <c r="E77" s="252"/>
      <c r="F77" s="141">
        <v>428.13686206896551</v>
      </c>
      <c r="G77" s="141">
        <f>F77-I77</f>
        <v>423.14914313944814</v>
      </c>
      <c r="H77" s="142"/>
      <c r="I77" s="141">
        <v>4.9877189295173583</v>
      </c>
      <c r="J77" s="142">
        <v>0</v>
      </c>
      <c r="K77" s="141">
        <f>I77 + J77</f>
        <v>4.9877189295173583</v>
      </c>
      <c r="L77" s="142"/>
      <c r="M77" s="142">
        <v>425.38767137008074</v>
      </c>
      <c r="N77" s="142">
        <v>0</v>
      </c>
      <c r="O77" s="141">
        <v>430.37539029959811</v>
      </c>
      <c r="P77" s="143">
        <f>IFERROR(O77/K77,"-")</f>
        <v>86.287017448524068</v>
      </c>
      <c r="Q77" s="197">
        <f t="shared" si="12"/>
        <v>5.2285342117353029E-3</v>
      </c>
      <c r="S77" s="16"/>
      <c r="T77" s="252"/>
    </row>
    <row r="78" spans="2:24" x14ac:dyDescent="0.2">
      <c r="B78" s="252">
        <f>MAX(B$15:B77)+1</f>
        <v>24</v>
      </c>
      <c r="C78" s="7"/>
      <c r="D78" s="19" t="s">
        <v>103</v>
      </c>
      <c r="E78" s="252"/>
      <c r="F78" s="141">
        <v>380.91363233333328</v>
      </c>
      <c r="G78" s="141">
        <f>F78-I78</f>
        <v>378.71909391838204</v>
      </c>
      <c r="H78" s="142"/>
      <c r="I78" s="141">
        <v>2.1945384149512162</v>
      </c>
      <c r="J78" s="142">
        <v>0</v>
      </c>
      <c r="K78" s="141">
        <f>I78 + J78</f>
        <v>2.1945384149512162</v>
      </c>
      <c r="L78" s="142"/>
      <c r="M78" s="142">
        <v>770.56867428381156</v>
      </c>
      <c r="N78" s="142">
        <v>0</v>
      </c>
      <c r="O78" s="141">
        <v>772.7632126987628</v>
      </c>
      <c r="P78" s="143">
        <f>IFERROR(O78/K78,"-")</f>
        <v>352.13018256321618</v>
      </c>
      <c r="Q78" s="197">
        <f t="shared" si="12"/>
        <v>1.0287097838035009</v>
      </c>
      <c r="S78" s="16"/>
      <c r="T78" s="252"/>
    </row>
    <row r="79" spans="2:24" x14ac:dyDescent="0.2">
      <c r="B79" s="252">
        <f>MAX(B$15:B78)+1</f>
        <v>25</v>
      </c>
      <c r="C79" s="7"/>
      <c r="D79" s="19" t="s">
        <v>132</v>
      </c>
      <c r="E79" s="252"/>
      <c r="F79" s="141">
        <v>3560.977942268019</v>
      </c>
      <c r="G79" s="141">
        <f>F79-I79</f>
        <v>3560.977942268019</v>
      </c>
      <c r="H79" s="142"/>
      <c r="I79" s="141">
        <v>0</v>
      </c>
      <c r="J79" s="142">
        <v>0</v>
      </c>
      <c r="K79" s="141">
        <f>I79 + J79</f>
        <v>0</v>
      </c>
      <c r="L79" s="142"/>
      <c r="M79" s="142">
        <v>3560.977942268019</v>
      </c>
      <c r="N79" s="142">
        <v>0</v>
      </c>
      <c r="O79" s="141">
        <v>3560.977942268019</v>
      </c>
      <c r="P79" s="143" t="str">
        <f>IFERROR(O79/K79,"-")</f>
        <v>-</v>
      </c>
      <c r="Q79" s="186">
        <f t="shared" si="12"/>
        <v>0</v>
      </c>
      <c r="S79" s="16"/>
      <c r="T79" s="252"/>
    </row>
    <row r="80" spans="2:24" x14ac:dyDescent="0.2">
      <c r="B80" s="252">
        <f>MAX(B$15:B79)+1</f>
        <v>26</v>
      </c>
      <c r="C80" s="7"/>
      <c r="D80" s="7" t="s">
        <v>17</v>
      </c>
      <c r="F80" s="146">
        <f>SUM(F75:F79)</f>
        <v>143089.26640166619</v>
      </c>
      <c r="G80" s="146">
        <f>SUM(G75:G79)</f>
        <v>19120.667381515232</v>
      </c>
      <c r="H80" s="140"/>
      <c r="I80" s="146">
        <f>SUM(I75:I79)</f>
        <v>123968.59902015096</v>
      </c>
      <c r="J80" s="146">
        <f>SUM(J75:J79)</f>
        <v>0</v>
      </c>
      <c r="K80" s="146">
        <f>SUM(K75:K79)</f>
        <v>123968.59902015096</v>
      </c>
      <c r="L80" s="140"/>
      <c r="M80" s="146">
        <f>SUM(M75:M79)</f>
        <v>18067.617681121756</v>
      </c>
      <c r="N80" s="146">
        <f>SUM(N75:N79)</f>
        <v>0</v>
      </c>
      <c r="O80" s="146">
        <f>SUM(O75:O79)</f>
        <v>142036.21670127273</v>
      </c>
      <c r="P80" s="155">
        <f>O80/K80</f>
        <v>1.1457435013699309</v>
      </c>
      <c r="Q80" s="477">
        <f t="shared" si="12"/>
        <v>-7.3593898890881304E-3</v>
      </c>
      <c r="R80" s="252"/>
      <c r="S80" s="28"/>
      <c r="T80" s="252"/>
    </row>
    <row r="81" spans="2:20" x14ac:dyDescent="0.2">
      <c r="B81" s="20"/>
      <c r="C81" s="7"/>
      <c r="D81" s="252"/>
      <c r="F81" s="147"/>
      <c r="G81" s="147"/>
      <c r="H81" s="140"/>
      <c r="I81" s="147"/>
      <c r="J81" s="147"/>
      <c r="K81" s="147"/>
      <c r="L81" s="140"/>
      <c r="M81" s="147"/>
      <c r="N81" s="147"/>
      <c r="O81" s="141"/>
      <c r="P81" s="147"/>
      <c r="Q81" s="189"/>
      <c r="R81" s="252"/>
      <c r="S81" s="36"/>
      <c r="T81" s="252"/>
    </row>
    <row r="82" spans="2:20" x14ac:dyDescent="0.2">
      <c r="B82" s="252">
        <f>MAX(B$15:B81)+1</f>
        <v>27</v>
      </c>
      <c r="C82" s="7"/>
      <c r="D82" s="250" t="s">
        <v>510</v>
      </c>
      <c r="E82" s="252"/>
      <c r="F82" s="141">
        <v>1196.9395495536583</v>
      </c>
      <c r="G82" s="141">
        <f>F82-I82</f>
        <v>1196.9395495536583</v>
      </c>
      <c r="H82" s="142"/>
      <c r="I82" s="141">
        <v>0</v>
      </c>
      <c r="J82" s="142">
        <v>0</v>
      </c>
      <c r="K82" s="141">
        <f>I82 + J82</f>
        <v>0</v>
      </c>
      <c r="L82" s="142"/>
      <c r="M82" s="142">
        <v>1718.0114299177626</v>
      </c>
      <c r="N82" s="142">
        <v>0</v>
      </c>
      <c r="O82" s="141">
        <v>1718.0114299177626</v>
      </c>
      <c r="P82" s="143" t="str">
        <f>IFERROR(O82/K82,"-")</f>
        <v>-</v>
      </c>
      <c r="Q82" s="186">
        <f>O82/F82-1</f>
        <v>0.43533683932360101</v>
      </c>
      <c r="R82" s="252"/>
      <c r="S82" s="36"/>
      <c r="T82" s="252"/>
    </row>
    <row r="83" spans="2:20" x14ac:dyDescent="0.2">
      <c r="B83" s="20"/>
      <c r="C83" s="7"/>
      <c r="D83" s="252"/>
      <c r="F83" s="147"/>
      <c r="G83" s="147"/>
      <c r="H83" s="140"/>
      <c r="I83" s="147"/>
      <c r="J83" s="147"/>
      <c r="K83" s="147"/>
      <c r="L83" s="140"/>
      <c r="M83" s="147"/>
      <c r="N83" s="147"/>
      <c r="O83" s="141"/>
      <c r="P83" s="147"/>
      <c r="Q83" s="189"/>
      <c r="R83" s="252"/>
      <c r="S83" s="36"/>
      <c r="T83" s="252"/>
    </row>
    <row r="84" spans="2:20" ht="13.5" thickBot="1" x14ac:dyDescent="0.25">
      <c r="B84" s="252">
        <f>MAX(B$15:B83)+1</f>
        <v>28</v>
      </c>
      <c r="C84" s="7"/>
      <c r="D84" s="21" t="s">
        <v>47</v>
      </c>
      <c r="F84" s="149">
        <f>ROUND(F72+F80+F82,0)</f>
        <v>2808204</v>
      </c>
      <c r="G84" s="149">
        <f>ROUND(G72+G80+G82,0)</f>
        <v>-241593</v>
      </c>
      <c r="H84" s="140"/>
      <c r="I84" s="149">
        <f>ROUND(I72+I80+I82,0)</f>
        <v>3049797</v>
      </c>
      <c r="J84" s="149">
        <f>ROUND(J72+J80+J82,0)</f>
        <v>0</v>
      </c>
      <c r="K84" s="149">
        <f>ROUND(K72+K80+K82,0)</f>
        <v>3049797</v>
      </c>
      <c r="L84" s="140"/>
      <c r="M84" s="149">
        <f>ROUND(M72+M80+M82,0)</f>
        <v>0</v>
      </c>
      <c r="N84" s="149">
        <f>ROUND(N72+N80+N82,0)</f>
        <v>0</v>
      </c>
      <c r="O84" s="149">
        <f>ROUND(O72+O80+O82,0)</f>
        <v>3049796</v>
      </c>
      <c r="P84" s="157">
        <f>O84/K84</f>
        <v>0.99999967210932394</v>
      </c>
      <c r="Q84" s="190">
        <f>O84/F84-1</f>
        <v>8.6030786937131287E-2</v>
      </c>
      <c r="R84" s="252"/>
      <c r="S84" s="28"/>
      <c r="T84" s="252"/>
    </row>
    <row r="85" spans="2:20" ht="13.5" thickTop="1" x14ac:dyDescent="0.2">
      <c r="B85" s="252"/>
      <c r="C85" s="7"/>
      <c r="D85" s="7"/>
      <c r="E85" s="252"/>
      <c r="F85" s="22"/>
      <c r="G85" s="252"/>
      <c r="H85" s="252"/>
      <c r="I85" s="252"/>
      <c r="J85" s="252"/>
      <c r="K85" s="252"/>
      <c r="L85" s="252"/>
      <c r="M85" s="252"/>
      <c r="N85" s="252"/>
      <c r="O85" s="252"/>
      <c r="P85" s="252"/>
      <c r="Q85" s="188"/>
      <c r="R85" s="252"/>
      <c r="S85" s="252"/>
      <c r="T85" s="252"/>
    </row>
    <row r="86" spans="2:20" ht="11.25" customHeight="1" x14ac:dyDescent="0.2">
      <c r="B86" s="23" t="s">
        <v>5</v>
      </c>
      <c r="C86" s="7"/>
      <c r="D86" s="7"/>
      <c r="E86" s="7"/>
      <c r="F86" s="7"/>
      <c r="G86" s="7"/>
      <c r="H86" s="7"/>
      <c r="I86" s="7"/>
      <c r="J86" s="7"/>
      <c r="K86" s="7"/>
      <c r="L86" s="7"/>
      <c r="M86" s="7"/>
      <c r="N86" s="7"/>
      <c r="O86" s="7"/>
      <c r="P86" s="7"/>
      <c r="Q86" s="191"/>
      <c r="R86" s="7"/>
      <c r="S86" s="7"/>
      <c r="T86" s="7"/>
    </row>
    <row r="87" spans="2:20" ht="11.45" customHeight="1" x14ac:dyDescent="0.2">
      <c r="B87" s="24" t="s">
        <v>6</v>
      </c>
      <c r="C87" s="20" t="s">
        <v>666</v>
      </c>
      <c r="D87" s="20"/>
      <c r="E87" s="20"/>
      <c r="F87" s="20"/>
      <c r="G87" s="20"/>
      <c r="H87" s="20"/>
      <c r="I87" s="20"/>
      <c r="J87" s="20"/>
      <c r="K87" s="20"/>
      <c r="L87" s="20"/>
      <c r="M87" s="20"/>
      <c r="N87" s="20"/>
      <c r="O87" s="20"/>
      <c r="P87" s="20"/>
      <c r="Q87" s="192"/>
      <c r="R87" s="20"/>
      <c r="S87" s="20"/>
      <c r="T87" s="20"/>
    </row>
    <row r="88" spans="2:20" ht="11.45" customHeight="1" x14ac:dyDescent="0.2">
      <c r="B88" s="24" t="s">
        <v>7</v>
      </c>
      <c r="C88" s="1" t="s">
        <v>393</v>
      </c>
      <c r="D88" s="20"/>
      <c r="E88" s="20"/>
      <c r="F88" s="20"/>
      <c r="G88" s="20"/>
      <c r="H88" s="20"/>
      <c r="I88" s="20"/>
      <c r="J88" s="20"/>
      <c r="K88" s="20"/>
      <c r="L88" s="20"/>
      <c r="M88" s="20"/>
      <c r="N88" s="20"/>
      <c r="O88" s="20"/>
      <c r="P88" s="20"/>
      <c r="Q88" s="192"/>
      <c r="R88" s="20"/>
      <c r="S88" s="20"/>
      <c r="T88" s="20"/>
    </row>
    <row r="89" spans="2:20" ht="11.45" customHeight="1" x14ac:dyDescent="0.2">
      <c r="B89" s="24" t="s">
        <v>8</v>
      </c>
      <c r="C89" s="20" t="s">
        <v>403</v>
      </c>
      <c r="Q89" s="193"/>
    </row>
    <row r="90" spans="2:20" ht="11.45" customHeight="1" x14ac:dyDescent="0.2">
      <c r="B90" s="24" t="s">
        <v>18</v>
      </c>
      <c r="C90" s="20" t="s">
        <v>667</v>
      </c>
      <c r="Q90" s="193"/>
    </row>
    <row r="91" spans="2:20" x14ac:dyDescent="0.2">
      <c r="B91" s="24" t="s">
        <v>19</v>
      </c>
      <c r="C91" s="20" t="s">
        <v>668</v>
      </c>
      <c r="Q91" s="193"/>
    </row>
    <row r="92" spans="2:20" x14ac:dyDescent="0.2">
      <c r="B92" s="24" t="s">
        <v>401</v>
      </c>
      <c r="C92" s="20" t="s">
        <v>669</v>
      </c>
      <c r="Q92" s="193"/>
    </row>
    <row r="93" spans="2:20" x14ac:dyDescent="0.2">
      <c r="B93" s="252"/>
      <c r="C93" s="7"/>
      <c r="D93" s="7"/>
      <c r="E93" s="252"/>
      <c r="F93" s="6"/>
      <c r="G93" s="6"/>
      <c r="H93" s="252"/>
      <c r="I93" s="252"/>
      <c r="J93" s="252"/>
      <c r="K93" s="252"/>
      <c r="L93" s="252"/>
      <c r="M93" s="252"/>
      <c r="N93" s="252"/>
      <c r="O93" s="252"/>
      <c r="P93" s="252"/>
      <c r="Q93" s="188"/>
      <c r="R93" s="252"/>
      <c r="S93" s="252"/>
      <c r="T93" s="252"/>
    </row>
    <row r="94" spans="2:20" x14ac:dyDescent="0.2">
      <c r="B94" s="252"/>
      <c r="C94" s="7"/>
      <c r="D94" s="7"/>
      <c r="E94" s="252"/>
      <c r="F94" s="6"/>
      <c r="G94" s="6"/>
      <c r="H94" s="252"/>
      <c r="I94" s="252"/>
      <c r="J94" s="252"/>
      <c r="K94" s="252"/>
      <c r="L94" s="252"/>
      <c r="M94" s="252"/>
      <c r="N94" s="252"/>
      <c r="O94" s="252"/>
      <c r="P94" s="252"/>
      <c r="Q94" s="188"/>
      <c r="R94" s="252"/>
      <c r="S94" s="252"/>
      <c r="T94" s="252"/>
    </row>
    <row r="95" spans="2:20" x14ac:dyDescent="0.2">
      <c r="B95" s="252"/>
      <c r="C95" s="7"/>
      <c r="D95" s="7"/>
      <c r="E95" s="252"/>
      <c r="F95" s="6"/>
      <c r="G95" s="6"/>
      <c r="H95" s="252"/>
      <c r="I95" s="252"/>
      <c r="J95" s="252"/>
      <c r="K95" s="252"/>
      <c r="L95" s="252"/>
      <c r="M95" s="252"/>
      <c r="N95" s="252"/>
      <c r="O95" s="252"/>
      <c r="P95" s="252"/>
      <c r="Q95" s="188"/>
      <c r="R95" s="252"/>
      <c r="S95" s="252"/>
      <c r="T95" s="252"/>
    </row>
    <row r="96" spans="2:20" x14ac:dyDescent="0.2">
      <c r="B96" s="252"/>
      <c r="C96" s="7"/>
      <c r="D96" s="7"/>
      <c r="E96" s="252"/>
      <c r="F96" s="6"/>
      <c r="G96" s="6"/>
      <c r="H96" s="252"/>
      <c r="I96" s="252"/>
      <c r="J96" s="252"/>
      <c r="K96" s="252"/>
      <c r="L96" s="252"/>
      <c r="M96" s="252"/>
      <c r="N96" s="252"/>
      <c r="O96" s="252"/>
      <c r="P96" s="252"/>
      <c r="Q96" s="188"/>
      <c r="R96" s="252"/>
      <c r="S96" s="252"/>
      <c r="T96" s="252"/>
    </row>
    <row r="97" spans="2:20" x14ac:dyDescent="0.2">
      <c r="B97" s="252"/>
      <c r="C97" s="7"/>
      <c r="D97" s="7"/>
      <c r="E97" s="252"/>
      <c r="F97" s="6"/>
      <c r="G97" s="6"/>
      <c r="H97" s="252"/>
      <c r="I97" s="252"/>
      <c r="J97" s="252"/>
      <c r="K97" s="252"/>
      <c r="L97" s="252"/>
      <c r="M97" s="252"/>
      <c r="N97" s="252"/>
      <c r="O97" s="252"/>
      <c r="P97" s="252"/>
      <c r="Q97" s="188"/>
      <c r="R97" s="252"/>
      <c r="S97" s="252"/>
      <c r="T97" s="252"/>
    </row>
    <row r="98" spans="2:20" x14ac:dyDescent="0.2">
      <c r="B98" s="4" t="s">
        <v>295</v>
      </c>
      <c r="C98" s="2"/>
      <c r="D98" s="2"/>
      <c r="E98" s="2"/>
      <c r="F98" s="276"/>
      <c r="G98" s="276"/>
      <c r="H98" s="2"/>
      <c r="I98" s="2"/>
      <c r="J98" s="2"/>
      <c r="K98" s="2"/>
      <c r="L98" s="2"/>
      <c r="M98" s="2"/>
      <c r="N98" s="2"/>
      <c r="O98" s="2"/>
      <c r="P98" s="2"/>
      <c r="Q98" s="277"/>
      <c r="R98" s="2"/>
      <c r="S98" s="2"/>
      <c r="T98" s="2"/>
    </row>
    <row r="99" spans="2:20" x14ac:dyDescent="0.2">
      <c r="B99" s="4" t="s">
        <v>87</v>
      </c>
      <c r="C99" s="2"/>
      <c r="D99" s="2"/>
      <c r="E99" s="2"/>
      <c r="F99" s="276"/>
      <c r="G99" s="276"/>
      <c r="H99" s="2"/>
      <c r="I99" s="2"/>
      <c r="J99" s="2"/>
      <c r="K99" s="2"/>
      <c r="L99" s="2"/>
      <c r="M99" s="2"/>
      <c r="N99" s="2"/>
      <c r="O99" s="2"/>
      <c r="P99" s="2"/>
      <c r="Q99" s="277"/>
      <c r="R99" s="2"/>
      <c r="S99" s="2"/>
      <c r="T99" s="2"/>
    </row>
    <row r="100" spans="2:20" x14ac:dyDescent="0.2">
      <c r="B100" s="252"/>
      <c r="C100" s="7"/>
      <c r="D100" s="7"/>
      <c r="E100" s="252"/>
      <c r="F100" s="6"/>
      <c r="G100" s="6"/>
      <c r="H100" s="252"/>
      <c r="I100" s="252"/>
      <c r="J100" s="252"/>
      <c r="K100" s="252"/>
      <c r="L100" s="252"/>
      <c r="M100" s="252"/>
      <c r="N100" s="252"/>
      <c r="O100" s="252"/>
      <c r="P100" s="252"/>
      <c r="Q100" s="188"/>
      <c r="R100" s="252"/>
      <c r="S100" s="252"/>
      <c r="T100" s="252"/>
    </row>
    <row r="101" spans="2:20" x14ac:dyDescent="0.2">
      <c r="B101" s="62"/>
      <c r="C101" s="62"/>
      <c r="D101" s="62"/>
      <c r="E101" s="62"/>
      <c r="F101" s="27" t="s">
        <v>390</v>
      </c>
      <c r="G101" s="27"/>
      <c r="H101" s="21"/>
      <c r="I101" s="27" t="s">
        <v>391</v>
      </c>
      <c r="J101" s="27"/>
      <c r="K101" s="29"/>
      <c r="L101" s="21"/>
      <c r="M101" s="57" t="s">
        <v>392</v>
      </c>
      <c r="N101" s="57"/>
      <c r="O101" s="58"/>
      <c r="P101" s="57"/>
      <c r="Q101" s="58"/>
      <c r="R101" s="252"/>
      <c r="S101" s="252"/>
      <c r="T101" s="252"/>
    </row>
    <row r="102" spans="2:20" ht="38.25" x14ac:dyDescent="0.2">
      <c r="B102" s="25" t="s">
        <v>0</v>
      </c>
      <c r="C102" s="25"/>
      <c r="D102" s="25"/>
      <c r="E102" s="25"/>
      <c r="F102" s="26" t="s">
        <v>10</v>
      </c>
      <c r="G102" s="26" t="s">
        <v>394</v>
      </c>
      <c r="H102" s="25"/>
      <c r="I102" s="25" t="s">
        <v>520</v>
      </c>
      <c r="J102" s="25" t="s">
        <v>892</v>
      </c>
      <c r="K102" s="25" t="s">
        <v>391</v>
      </c>
      <c r="L102" s="25"/>
      <c r="M102" s="26" t="s">
        <v>519</v>
      </c>
      <c r="N102" s="59" t="s">
        <v>334</v>
      </c>
      <c r="O102" s="26" t="s">
        <v>395</v>
      </c>
      <c r="P102" s="25" t="s">
        <v>500</v>
      </c>
      <c r="Q102" s="25" t="s">
        <v>85</v>
      </c>
      <c r="R102" s="252"/>
      <c r="S102" s="252"/>
      <c r="T102" s="252"/>
    </row>
    <row r="103" spans="2:20" x14ac:dyDescent="0.2">
      <c r="B103" s="8" t="s">
        <v>1</v>
      </c>
      <c r="C103" s="7"/>
      <c r="D103" s="9" t="s">
        <v>9</v>
      </c>
      <c r="E103" s="252"/>
      <c r="F103" s="8" t="s">
        <v>140</v>
      </c>
      <c r="G103" s="8" t="s">
        <v>140</v>
      </c>
      <c r="H103" s="252"/>
      <c r="I103" s="8" t="s">
        <v>140</v>
      </c>
      <c r="J103" s="8" t="s">
        <v>140</v>
      </c>
      <c r="K103" s="8" t="s">
        <v>140</v>
      </c>
      <c r="L103" s="252"/>
      <c r="M103" s="8" t="s">
        <v>140</v>
      </c>
      <c r="N103" s="8" t="s">
        <v>140</v>
      </c>
      <c r="O103" s="8" t="s">
        <v>140</v>
      </c>
      <c r="P103" s="8" t="s">
        <v>521</v>
      </c>
      <c r="Q103" s="8" t="s">
        <v>2</v>
      </c>
      <c r="R103" s="252"/>
      <c r="S103" s="252"/>
      <c r="T103" s="252"/>
    </row>
    <row r="104" spans="2:20" x14ac:dyDescent="0.2">
      <c r="B104" s="252"/>
      <c r="C104" s="7"/>
      <c r="D104" s="7"/>
      <c r="E104" s="252"/>
      <c r="F104" s="252" t="s">
        <v>3</v>
      </c>
      <c r="G104" s="252" t="s">
        <v>498</v>
      </c>
      <c r="H104" s="252"/>
      <c r="I104" s="252" t="s">
        <v>86</v>
      </c>
      <c r="J104" s="252" t="s">
        <v>133</v>
      </c>
      <c r="K104" s="252" t="s">
        <v>134</v>
      </c>
      <c r="L104" s="252"/>
      <c r="M104" s="252" t="s">
        <v>135</v>
      </c>
      <c r="N104" s="252" t="s">
        <v>15</v>
      </c>
      <c r="O104" s="45" t="s">
        <v>136</v>
      </c>
      <c r="P104" s="10" t="s">
        <v>137</v>
      </c>
      <c r="Q104" s="10" t="s">
        <v>138</v>
      </c>
      <c r="R104" s="252"/>
      <c r="S104" s="252"/>
      <c r="T104" s="252"/>
    </row>
    <row r="105" spans="2:20" x14ac:dyDescent="0.2">
      <c r="B105" s="252"/>
      <c r="C105" s="7"/>
      <c r="D105" s="7"/>
      <c r="E105" s="252"/>
      <c r="F105" s="150"/>
      <c r="G105" s="150"/>
      <c r="H105" s="151"/>
      <c r="I105" s="151"/>
      <c r="J105" s="151"/>
      <c r="K105" s="151"/>
      <c r="L105" s="151"/>
      <c r="M105" s="151"/>
      <c r="N105" s="151"/>
      <c r="O105" s="151"/>
      <c r="P105" s="151"/>
      <c r="Q105" s="189"/>
      <c r="R105" s="252"/>
      <c r="S105" s="252"/>
      <c r="T105" s="252"/>
    </row>
    <row r="106" spans="2:20" x14ac:dyDescent="0.2">
      <c r="B106" s="252"/>
      <c r="C106" s="7"/>
      <c r="D106" s="5" t="s">
        <v>48</v>
      </c>
      <c r="E106" s="252"/>
      <c r="F106" s="150"/>
      <c r="G106" s="152"/>
      <c r="H106" s="151"/>
      <c r="I106" s="151"/>
      <c r="J106" s="151"/>
      <c r="K106" s="153"/>
      <c r="L106" s="151"/>
      <c r="M106" s="151"/>
      <c r="N106" s="151"/>
      <c r="O106" s="151"/>
      <c r="P106" s="151"/>
      <c r="Q106" s="189"/>
      <c r="R106" s="252"/>
      <c r="S106" s="252"/>
      <c r="T106" s="252"/>
    </row>
    <row r="107" spans="2:20" x14ac:dyDescent="0.2">
      <c r="B107" s="252">
        <v>1</v>
      </c>
      <c r="C107" s="7"/>
      <c r="D107" s="13" t="s">
        <v>49</v>
      </c>
      <c r="E107" s="252"/>
      <c r="F107" s="355">
        <v>2073981.5031128048</v>
      </c>
      <c r="G107" s="141">
        <f t="shared" ref="G107:G117" si="13">F107-I107</f>
        <v>39984.71981419553</v>
      </c>
      <c r="H107" s="142"/>
      <c r="I107" s="141">
        <v>2033996.7832986093</v>
      </c>
      <c r="J107" s="141">
        <v>0</v>
      </c>
      <c r="K107" s="141">
        <f t="shared" ref="K107:K117" si="14">I107+J107</f>
        <v>2033996.7832986093</v>
      </c>
      <c r="L107" s="142"/>
      <c r="M107" s="141">
        <v>0</v>
      </c>
      <c r="N107" s="141">
        <v>0</v>
      </c>
      <c r="O107" s="141">
        <f t="shared" ref="O107:O117" si="15">K107+M107+N107</f>
        <v>2033996.7832986093</v>
      </c>
      <c r="P107" s="143">
        <f t="shared" ref="P107:P117" si="16">IFERROR(O107/K107,"-")</f>
        <v>1</v>
      </c>
      <c r="Q107" s="197">
        <f t="shared" ref="Q107:Q117" si="17">IFERROR(O107/F107-1,"-")</f>
        <v>-1.9279207531110121E-2</v>
      </c>
      <c r="S107" s="16"/>
    </row>
    <row r="108" spans="2:20" x14ac:dyDescent="0.2">
      <c r="B108" s="252">
        <f>MAX(B$107:B107)+1</f>
        <v>2</v>
      </c>
      <c r="C108" s="7"/>
      <c r="D108" s="13" t="s">
        <v>50</v>
      </c>
      <c r="E108" s="252"/>
      <c r="F108" s="141">
        <v>999220.86028021039</v>
      </c>
      <c r="G108" s="141">
        <f t="shared" si="13"/>
        <v>-13.205097865080461</v>
      </c>
      <c r="H108" s="142"/>
      <c r="I108" s="141">
        <v>999234.06537807547</v>
      </c>
      <c r="J108" s="141">
        <v>0</v>
      </c>
      <c r="K108" s="141">
        <f t="shared" si="14"/>
        <v>999234.06537807547</v>
      </c>
      <c r="L108" s="142"/>
      <c r="M108" s="141">
        <v>0</v>
      </c>
      <c r="N108" s="141">
        <v>0</v>
      </c>
      <c r="O108" s="141">
        <f t="shared" si="15"/>
        <v>999234.06537807547</v>
      </c>
      <c r="P108" s="143">
        <f t="shared" si="16"/>
        <v>1</v>
      </c>
      <c r="Q108" s="197">
        <f t="shared" si="17"/>
        <v>1.3215394503829359E-5</v>
      </c>
      <c r="S108" s="16"/>
    </row>
    <row r="109" spans="2:20" x14ac:dyDescent="0.2">
      <c r="B109" s="252">
        <f>MAX(B$107:B108)+1</f>
        <v>3</v>
      </c>
      <c r="C109" s="7"/>
      <c r="D109" s="13" t="s">
        <v>51</v>
      </c>
      <c r="E109" s="252"/>
      <c r="F109" s="141">
        <v>69411.517688220571</v>
      </c>
      <c r="G109" s="141">
        <f t="shared" si="13"/>
        <v>-30273.121386029656</v>
      </c>
      <c r="H109" s="142"/>
      <c r="I109" s="141">
        <v>99684.639074250226</v>
      </c>
      <c r="J109" s="141">
        <v>0</v>
      </c>
      <c r="K109" s="141">
        <f t="shared" si="14"/>
        <v>99684.639074250226</v>
      </c>
      <c r="L109" s="142"/>
      <c r="M109" s="141">
        <v>0</v>
      </c>
      <c r="N109" s="141">
        <v>0</v>
      </c>
      <c r="O109" s="141">
        <f t="shared" si="15"/>
        <v>99684.639074250226</v>
      </c>
      <c r="P109" s="143">
        <f t="shared" si="16"/>
        <v>1</v>
      </c>
      <c r="Q109" s="197">
        <f t="shared" si="17"/>
        <v>0.43613974156290691</v>
      </c>
      <c r="S109" s="16"/>
    </row>
    <row r="110" spans="2:20" x14ac:dyDescent="0.2">
      <c r="B110" s="252">
        <f>MAX(B$107:B109)+1</f>
        <v>4</v>
      </c>
      <c r="C110" s="7"/>
      <c r="D110" s="13" t="s">
        <v>52</v>
      </c>
      <c r="E110" s="252"/>
      <c r="F110" s="141">
        <v>3698.1959252898441</v>
      </c>
      <c r="G110" s="141">
        <f t="shared" si="13"/>
        <v>-7178.5522988620623</v>
      </c>
      <c r="H110" s="142"/>
      <c r="I110" s="141">
        <v>10876.748224151906</v>
      </c>
      <c r="J110" s="141">
        <v>0</v>
      </c>
      <c r="K110" s="141">
        <f t="shared" si="14"/>
        <v>10876.748224151906</v>
      </c>
      <c r="L110" s="142"/>
      <c r="M110" s="141">
        <v>0</v>
      </c>
      <c r="N110" s="141">
        <v>0</v>
      </c>
      <c r="O110" s="141">
        <f t="shared" si="15"/>
        <v>10876.748224151906</v>
      </c>
      <c r="P110" s="143">
        <f t="shared" si="16"/>
        <v>1</v>
      </c>
      <c r="Q110" s="197">
        <f t="shared" si="17"/>
        <v>1.9410957244779961</v>
      </c>
      <c r="S110" s="16"/>
    </row>
    <row r="111" spans="2:20" x14ac:dyDescent="0.2">
      <c r="B111" s="252">
        <f>MAX(B$107:B110)+1</f>
        <v>5</v>
      </c>
      <c r="C111" s="7"/>
      <c r="D111" s="13" t="s">
        <v>53</v>
      </c>
      <c r="E111" s="252"/>
      <c r="F111" s="141">
        <v>45.455804046799692</v>
      </c>
      <c r="G111" s="141">
        <f t="shared" si="13"/>
        <v>-1254.0645244445336</v>
      </c>
      <c r="H111" s="142"/>
      <c r="I111" s="141">
        <v>1299.5203284913332</v>
      </c>
      <c r="J111" s="141">
        <v>0</v>
      </c>
      <c r="K111" s="141">
        <f t="shared" si="14"/>
        <v>1299.5203284913332</v>
      </c>
      <c r="L111" s="142"/>
      <c r="M111" s="141">
        <v>0</v>
      </c>
      <c r="N111" s="141">
        <v>0</v>
      </c>
      <c r="O111" s="141">
        <f t="shared" si="15"/>
        <v>1299.5203284913332</v>
      </c>
      <c r="P111" s="143">
        <f t="shared" si="16"/>
        <v>1</v>
      </c>
      <c r="Q111" s="197">
        <f t="shared" si="17"/>
        <v>27.58865563467743</v>
      </c>
      <c r="S111" s="16"/>
    </row>
    <row r="112" spans="2:20" x14ac:dyDescent="0.2">
      <c r="B112" s="252">
        <f>MAX(B$107:B111)+1</f>
        <v>6</v>
      </c>
      <c r="C112" s="7"/>
      <c r="D112" s="13" t="s">
        <v>54</v>
      </c>
      <c r="E112" s="252"/>
      <c r="F112" s="141">
        <v>817.39456024387596</v>
      </c>
      <c r="G112" s="141">
        <f t="shared" si="13"/>
        <v>-4491.3856692689988</v>
      </c>
      <c r="H112" s="142"/>
      <c r="I112" s="141">
        <v>5308.7802295128749</v>
      </c>
      <c r="J112" s="141">
        <v>0</v>
      </c>
      <c r="K112" s="141">
        <f t="shared" si="14"/>
        <v>5308.7802295128749</v>
      </c>
      <c r="L112" s="142"/>
      <c r="M112" s="141">
        <v>0</v>
      </c>
      <c r="N112" s="141">
        <v>0</v>
      </c>
      <c r="O112" s="141">
        <f t="shared" si="15"/>
        <v>5308.7802295128749</v>
      </c>
      <c r="P112" s="143">
        <f t="shared" si="16"/>
        <v>1</v>
      </c>
      <c r="Q112" s="197">
        <f t="shared" si="17"/>
        <v>5.4947584529177185</v>
      </c>
      <c r="S112" s="16"/>
    </row>
    <row r="113" spans="2:24" x14ac:dyDescent="0.2">
      <c r="B113" s="252">
        <f>MAX(B$107:B112)+1</f>
        <v>7</v>
      </c>
      <c r="C113" s="7"/>
      <c r="D113" s="13" t="s">
        <v>55</v>
      </c>
      <c r="E113" s="252"/>
      <c r="F113" s="141">
        <v>1236.6053845900892</v>
      </c>
      <c r="G113" s="141">
        <f t="shared" si="13"/>
        <v>-7201.6652698954204</v>
      </c>
      <c r="H113" s="142"/>
      <c r="I113" s="141">
        <v>8438.27065448551</v>
      </c>
      <c r="J113" s="141">
        <v>0</v>
      </c>
      <c r="K113" s="141">
        <f t="shared" si="14"/>
        <v>8438.27065448551</v>
      </c>
      <c r="L113" s="142"/>
      <c r="M113" s="141">
        <v>0</v>
      </c>
      <c r="N113" s="141">
        <v>0</v>
      </c>
      <c r="O113" s="141">
        <f t="shared" si="15"/>
        <v>8438.27065448551</v>
      </c>
      <c r="P113" s="143">
        <f t="shared" si="16"/>
        <v>1</v>
      </c>
      <c r="Q113" s="197">
        <f t="shared" si="17"/>
        <v>5.8237375961957607</v>
      </c>
      <c r="S113" s="16"/>
    </row>
    <row r="114" spans="2:24" x14ac:dyDescent="0.2">
      <c r="B114" s="252">
        <f>MAX(B$107:B113)+1</f>
        <v>8</v>
      </c>
      <c r="C114" s="7"/>
      <c r="D114" s="13" t="s">
        <v>56</v>
      </c>
      <c r="E114" s="252"/>
      <c r="F114" s="141">
        <v>1340.911436693834</v>
      </c>
      <c r="G114" s="141">
        <f t="shared" si="13"/>
        <v>-672.5489462411183</v>
      </c>
      <c r="H114" s="142"/>
      <c r="I114" s="141">
        <v>2013.4603829349523</v>
      </c>
      <c r="J114" s="141">
        <v>0</v>
      </c>
      <c r="K114" s="141">
        <f t="shared" si="14"/>
        <v>2013.4603829349523</v>
      </c>
      <c r="L114" s="142"/>
      <c r="M114" s="141">
        <v>0</v>
      </c>
      <c r="N114" s="141">
        <v>0</v>
      </c>
      <c r="O114" s="141">
        <f t="shared" si="15"/>
        <v>2013.4603829349523</v>
      </c>
      <c r="P114" s="143">
        <f t="shared" si="16"/>
        <v>1</v>
      </c>
      <c r="Q114" s="197">
        <f t="shared" si="17"/>
        <v>0.50156104858003325</v>
      </c>
      <c r="S114" s="16"/>
    </row>
    <row r="115" spans="2:24" x14ac:dyDescent="0.2">
      <c r="B115" s="252">
        <f>MAX(B$107:B114)+1</f>
        <v>9</v>
      </c>
      <c r="C115" s="7"/>
      <c r="D115" s="13" t="s">
        <v>57</v>
      </c>
      <c r="E115" s="252"/>
      <c r="F115" s="141">
        <v>2789.9086067100002</v>
      </c>
      <c r="G115" s="141">
        <f t="shared" si="13"/>
        <v>-165.65255025222359</v>
      </c>
      <c r="H115" s="142"/>
      <c r="I115" s="141">
        <v>2955.5611569622238</v>
      </c>
      <c r="J115" s="141">
        <v>0</v>
      </c>
      <c r="K115" s="141">
        <f t="shared" si="14"/>
        <v>2955.5611569622238</v>
      </c>
      <c r="L115" s="142"/>
      <c r="M115" s="141">
        <v>0</v>
      </c>
      <c r="N115" s="141">
        <v>0</v>
      </c>
      <c r="O115" s="141">
        <f t="shared" si="15"/>
        <v>2955.5611569622238</v>
      </c>
      <c r="P115" s="143">
        <f t="shared" si="16"/>
        <v>1</v>
      </c>
      <c r="Q115" s="197">
        <f t="shared" si="17"/>
        <v>5.9375618919491835E-2</v>
      </c>
      <c r="S115" s="16"/>
    </row>
    <row r="116" spans="2:24" x14ac:dyDescent="0.2">
      <c r="B116" s="252">
        <f>MAX(B$107:B115)+1</f>
        <v>10</v>
      </c>
      <c r="C116" s="7"/>
      <c r="D116" s="13" t="s">
        <v>58</v>
      </c>
      <c r="E116" s="252"/>
      <c r="F116" s="141">
        <v>37086.039883244172</v>
      </c>
      <c r="G116" s="141">
        <f t="shared" si="13"/>
        <v>-384.5908688327836</v>
      </c>
      <c r="H116" s="142"/>
      <c r="I116" s="141">
        <v>37470.630752076955</v>
      </c>
      <c r="J116" s="141">
        <v>0</v>
      </c>
      <c r="K116" s="141">
        <f t="shared" si="14"/>
        <v>37470.630752076955</v>
      </c>
      <c r="L116" s="142"/>
      <c r="M116" s="141">
        <v>0</v>
      </c>
      <c r="N116" s="141">
        <v>0</v>
      </c>
      <c r="O116" s="141">
        <f t="shared" si="15"/>
        <v>37470.630752076955</v>
      </c>
      <c r="P116" s="143">
        <f t="shared" si="16"/>
        <v>1</v>
      </c>
      <c r="Q116" s="186">
        <f t="shared" si="17"/>
        <v>1.03702328435058E-2</v>
      </c>
      <c r="S116" s="16"/>
    </row>
    <row r="117" spans="2:24" x14ac:dyDescent="0.2">
      <c r="B117" s="252">
        <f>MAX(B$107:B116)+1</f>
        <v>11</v>
      </c>
      <c r="C117" s="7"/>
      <c r="D117" s="13" t="s">
        <v>59</v>
      </c>
      <c r="E117" s="252"/>
      <c r="F117" s="141">
        <v>378.83912656426986</v>
      </c>
      <c r="G117" s="141">
        <f t="shared" si="13"/>
        <v>-922.50342360903687</v>
      </c>
      <c r="H117" s="142"/>
      <c r="I117" s="141">
        <v>1301.3425501733068</v>
      </c>
      <c r="J117" s="141">
        <v>0</v>
      </c>
      <c r="K117" s="141">
        <f t="shared" si="14"/>
        <v>1301.3425501733068</v>
      </c>
      <c r="L117" s="142"/>
      <c r="M117" s="141">
        <v>0</v>
      </c>
      <c r="N117" s="141">
        <v>0</v>
      </c>
      <c r="O117" s="141">
        <f t="shared" si="15"/>
        <v>1301.3425501733068</v>
      </c>
      <c r="P117" s="143">
        <f t="shared" si="16"/>
        <v>1</v>
      </c>
      <c r="Q117" s="186">
        <f t="shared" si="17"/>
        <v>2.4350795863545387</v>
      </c>
      <c r="S117" s="16"/>
    </row>
    <row r="118" spans="2:24" x14ac:dyDescent="0.2">
      <c r="B118" s="252">
        <f>MAX(B$107:B117)+1</f>
        <v>12</v>
      </c>
      <c r="C118" s="7"/>
      <c r="D118" s="1" t="s">
        <v>60</v>
      </c>
      <c r="E118" s="252"/>
      <c r="F118" s="146">
        <f>SUM(F107:F117)</f>
        <v>3190007.2318086182</v>
      </c>
      <c r="G118" s="146">
        <f>SUM(G107:G117)</f>
        <v>-12572.570221105383</v>
      </c>
      <c r="H118" s="142"/>
      <c r="I118" s="146">
        <f>SUM(I107:I117)</f>
        <v>3202579.8020297242</v>
      </c>
      <c r="J118" s="146">
        <f>SUM(J107:J117)</f>
        <v>0</v>
      </c>
      <c r="K118" s="146">
        <f>SUM(K107:K117)</f>
        <v>3202579.8020297242</v>
      </c>
      <c r="L118" s="142"/>
      <c r="M118" s="146">
        <f>SUM(M107:M117)</f>
        <v>0</v>
      </c>
      <c r="N118" s="146">
        <f>SUM(N107:N117)</f>
        <v>0</v>
      </c>
      <c r="O118" s="146">
        <f>SUM(O107:O117)</f>
        <v>3202579.8020297242</v>
      </c>
      <c r="P118" s="155">
        <f>O118/K118</f>
        <v>1</v>
      </c>
      <c r="Q118" s="187">
        <f>O118/F118-1</f>
        <v>3.941235648540431E-3</v>
      </c>
      <c r="S118" s="28"/>
      <c r="W118" s="15"/>
      <c r="X118" s="85"/>
    </row>
    <row r="119" spans="2:24" x14ac:dyDescent="0.2">
      <c r="B119" s="252"/>
      <c r="C119" s="7"/>
      <c r="D119" s="7"/>
      <c r="E119" s="252"/>
      <c r="F119" s="17"/>
      <c r="G119" s="17"/>
      <c r="H119" s="14"/>
      <c r="I119" s="17"/>
      <c r="J119" s="14"/>
      <c r="K119" s="17"/>
      <c r="L119" s="14"/>
      <c r="M119" s="14"/>
      <c r="N119" s="14"/>
      <c r="O119" s="14"/>
      <c r="P119" s="17"/>
      <c r="Q119" s="188"/>
      <c r="R119" s="252"/>
      <c r="S119" s="37"/>
      <c r="T119" s="252"/>
    </row>
    <row r="120" spans="2:24" x14ac:dyDescent="0.2">
      <c r="B120" s="252"/>
      <c r="C120" s="7"/>
      <c r="D120" s="52" t="s">
        <v>16</v>
      </c>
      <c r="E120" s="252"/>
      <c r="F120" s="17"/>
      <c r="G120" s="17"/>
      <c r="H120" s="14"/>
      <c r="I120" s="17"/>
      <c r="J120" s="14"/>
      <c r="K120" s="17"/>
      <c r="L120" s="14"/>
      <c r="M120" s="14"/>
      <c r="N120" s="14"/>
      <c r="O120" s="14"/>
      <c r="P120" s="17"/>
      <c r="Q120" s="188"/>
      <c r="R120" s="252"/>
      <c r="S120" s="37"/>
      <c r="T120" s="252"/>
    </row>
    <row r="121" spans="2:24" x14ac:dyDescent="0.2">
      <c r="B121" s="252">
        <f>MAX(B$107:B120)+1</f>
        <v>13</v>
      </c>
      <c r="C121" s="7"/>
      <c r="D121" s="19" t="s">
        <v>100</v>
      </c>
      <c r="E121" s="252"/>
      <c r="F121" s="141">
        <v>0</v>
      </c>
      <c r="G121" s="141">
        <f>F121-I121</f>
        <v>-11.022799188711456</v>
      </c>
      <c r="H121" s="142"/>
      <c r="I121" s="141">
        <v>11.022799188711456</v>
      </c>
      <c r="J121" s="142">
        <v>0</v>
      </c>
      <c r="K121" s="141">
        <f>I121 + J121</f>
        <v>11.022799188711456</v>
      </c>
      <c r="L121" s="142"/>
      <c r="M121" s="142">
        <f>O121-K121</f>
        <v>0</v>
      </c>
      <c r="N121" s="142">
        <v>0</v>
      </c>
      <c r="O121" s="141">
        <v>11.022799188711456</v>
      </c>
      <c r="P121" s="143">
        <f>IFERROR(O121/K121,"-")</f>
        <v>1</v>
      </c>
      <c r="Q121" s="197" t="str">
        <f>IFERROR(O121/F121-1,"-")</f>
        <v>-</v>
      </c>
      <c r="S121" s="16"/>
      <c r="T121" s="252"/>
    </row>
    <row r="122" spans="2:24" x14ac:dyDescent="0.2">
      <c r="B122" s="252">
        <f>MAX(B$107:B121)+1</f>
        <v>14</v>
      </c>
      <c r="C122" s="7"/>
      <c r="D122" s="19" t="s">
        <v>101</v>
      </c>
      <c r="E122" s="252"/>
      <c r="F122" s="141">
        <v>22252.322036695405</v>
      </c>
      <c r="G122" s="141">
        <f>F122-I122</f>
        <v>-8860.1818090013985</v>
      </c>
      <c r="H122" s="142"/>
      <c r="I122" s="141">
        <v>31112.503845696803</v>
      </c>
      <c r="J122" s="142">
        <v>0</v>
      </c>
      <c r="K122" s="141">
        <f>I122 + J122</f>
        <v>31112.503845696803</v>
      </c>
      <c r="L122" s="142"/>
      <c r="M122" s="142">
        <f>O122-K122</f>
        <v>0</v>
      </c>
      <c r="N122" s="142">
        <v>0</v>
      </c>
      <c r="O122" s="141">
        <v>31112.503845696803</v>
      </c>
      <c r="P122" s="143">
        <f>IFERROR(O122/K122,"-")</f>
        <v>1</v>
      </c>
      <c r="Q122" s="197">
        <f>IFERROR(O122/F122-1,"-")</f>
        <v>0.3981688650016133</v>
      </c>
      <c r="S122" s="16"/>
      <c r="T122" s="252"/>
    </row>
    <row r="123" spans="2:24" x14ac:dyDescent="0.2">
      <c r="B123" s="252">
        <f>MAX(B$107:B122)+1</f>
        <v>15</v>
      </c>
      <c r="C123" s="7"/>
      <c r="D123" s="19" t="s">
        <v>102</v>
      </c>
      <c r="E123" s="252"/>
      <c r="F123" s="141">
        <v>210.2892014527375</v>
      </c>
      <c r="G123" s="141">
        <f>F123-I123</f>
        <v>-239.72490307703438</v>
      </c>
      <c r="H123" s="142"/>
      <c r="I123" s="141">
        <v>450.01410452977188</v>
      </c>
      <c r="J123" s="142">
        <v>0</v>
      </c>
      <c r="K123" s="141">
        <f>I123 + J123</f>
        <v>450.01410452977188</v>
      </c>
      <c r="L123" s="142"/>
      <c r="M123" s="142">
        <f>O123-K123</f>
        <v>0</v>
      </c>
      <c r="N123" s="142">
        <v>0</v>
      </c>
      <c r="O123" s="141">
        <v>450.01410452977188</v>
      </c>
      <c r="P123" s="143">
        <f>IFERROR(O123/K123,"-")</f>
        <v>1</v>
      </c>
      <c r="Q123" s="197">
        <f>IFERROR(O123/F123-1,"-")</f>
        <v>1.1399772381127833</v>
      </c>
      <c r="S123" s="16"/>
      <c r="T123" s="252"/>
    </row>
    <row r="124" spans="2:24" x14ac:dyDescent="0.2">
      <c r="B124" s="252">
        <f>MAX(B$107:B123)+1</f>
        <v>16</v>
      </c>
      <c r="C124" s="7"/>
      <c r="D124" s="19" t="s">
        <v>103</v>
      </c>
      <c r="E124" s="252"/>
      <c r="F124" s="141">
        <v>43.120009500000002</v>
      </c>
      <c r="G124" s="141">
        <f>F124-I124</f>
        <v>-79.950641262628665</v>
      </c>
      <c r="H124" s="142"/>
      <c r="I124" s="141">
        <v>123.07065076262867</v>
      </c>
      <c r="J124" s="142">
        <v>0</v>
      </c>
      <c r="K124" s="141">
        <f>I124 + J124</f>
        <v>123.07065076262867</v>
      </c>
      <c r="L124" s="142"/>
      <c r="M124" s="142">
        <f>O124-K124</f>
        <v>0</v>
      </c>
      <c r="N124" s="142">
        <v>0</v>
      </c>
      <c r="O124" s="141">
        <v>123.07065076262867</v>
      </c>
      <c r="P124" s="143">
        <f>IFERROR(O124/K124,"-")</f>
        <v>1</v>
      </c>
      <c r="Q124" s="186">
        <f>IFERROR(O124/F124-1,"-")</f>
        <v>1.8541424779284585</v>
      </c>
      <c r="S124" s="16"/>
      <c r="T124" s="252"/>
    </row>
    <row r="125" spans="2:24" x14ac:dyDescent="0.2">
      <c r="B125" s="252">
        <f>MAX(B$107:B124)+1</f>
        <v>17</v>
      </c>
      <c r="C125" s="7"/>
      <c r="D125" s="19" t="s">
        <v>132</v>
      </c>
      <c r="E125" s="252"/>
      <c r="F125" s="141">
        <v>0</v>
      </c>
      <c r="G125" s="141">
        <f>F125-I125</f>
        <v>0</v>
      </c>
      <c r="H125" s="142"/>
      <c r="I125" s="141">
        <v>0</v>
      </c>
      <c r="J125" s="142">
        <v>0</v>
      </c>
      <c r="K125" s="141">
        <f>I125 + J125</f>
        <v>0</v>
      </c>
      <c r="L125" s="142"/>
      <c r="M125" s="142">
        <v>0</v>
      </c>
      <c r="N125" s="142">
        <v>0</v>
      </c>
      <c r="O125" s="141">
        <v>0</v>
      </c>
      <c r="P125" s="143" t="str">
        <f>IFERROR(O125/K125,"-")</f>
        <v>-</v>
      </c>
      <c r="Q125" s="186" t="str">
        <f>IFERROR(O125/F125-1,"-")</f>
        <v>-</v>
      </c>
      <c r="S125" s="16"/>
      <c r="T125" s="252"/>
    </row>
    <row r="126" spans="2:24" x14ac:dyDescent="0.2">
      <c r="B126" s="252">
        <f>MAX(B$107:B125)+1</f>
        <v>18</v>
      </c>
      <c r="C126" s="7"/>
      <c r="D126" s="7" t="s">
        <v>17</v>
      </c>
      <c r="F126" s="146">
        <f>SUM(F121:F125)</f>
        <v>22505.731247648142</v>
      </c>
      <c r="G126" s="146">
        <f>SUM(G121:G125)</f>
        <v>-9190.8801525297731</v>
      </c>
      <c r="H126" s="140"/>
      <c r="I126" s="146">
        <f>SUM(I121:I125)</f>
        <v>31696.611400177913</v>
      </c>
      <c r="J126" s="146">
        <f>SUM(J121:J125)</f>
        <v>0</v>
      </c>
      <c r="K126" s="146">
        <f>SUM(K121:K125)</f>
        <v>31696.611400177913</v>
      </c>
      <c r="L126" s="140"/>
      <c r="M126" s="146">
        <f>SUM(M121:M125)</f>
        <v>0</v>
      </c>
      <c r="N126" s="146">
        <f>SUM(N121:N125)</f>
        <v>0</v>
      </c>
      <c r="O126" s="146">
        <f>SUM(O121:O125)</f>
        <v>31696.611400177913</v>
      </c>
      <c r="P126" s="155">
        <f>O126/K126</f>
        <v>1</v>
      </c>
      <c r="Q126" s="187">
        <f>O126/F126-1</f>
        <v>0.40837953903365043</v>
      </c>
      <c r="R126" s="252"/>
      <c r="S126" s="28"/>
      <c r="T126" s="252"/>
    </row>
    <row r="127" spans="2:24" x14ac:dyDescent="0.2">
      <c r="B127" s="252"/>
      <c r="C127" s="7"/>
      <c r="D127" s="7"/>
      <c r="F127" s="159"/>
      <c r="G127" s="159"/>
      <c r="H127" s="140"/>
      <c r="I127" s="159"/>
      <c r="J127" s="140"/>
      <c r="K127" s="159"/>
      <c r="L127" s="140"/>
      <c r="M127" s="159"/>
      <c r="N127" s="159"/>
      <c r="O127" s="159"/>
      <c r="P127" s="166"/>
      <c r="Q127" s="186"/>
      <c r="R127" s="252"/>
      <c r="S127" s="28"/>
      <c r="T127" s="252"/>
    </row>
    <row r="128" spans="2:24" x14ac:dyDescent="0.2">
      <c r="B128" s="252">
        <f>MAX(B$107:B127)+1</f>
        <v>19</v>
      </c>
      <c r="C128" s="7"/>
      <c r="D128" s="250" t="s">
        <v>510</v>
      </c>
      <c r="E128" s="252"/>
      <c r="F128" s="141">
        <v>0</v>
      </c>
      <c r="G128" s="141">
        <f>ROUND(F128-I128,0)</f>
        <v>0</v>
      </c>
      <c r="H128" s="142"/>
      <c r="I128" s="141">
        <v>0</v>
      </c>
      <c r="J128" s="142">
        <v>0</v>
      </c>
      <c r="K128" s="141">
        <f>I128 + J128</f>
        <v>0</v>
      </c>
      <c r="L128" s="142"/>
      <c r="M128" s="142">
        <v>0</v>
      </c>
      <c r="N128" s="142">
        <v>0</v>
      </c>
      <c r="O128" s="141">
        <v>0</v>
      </c>
      <c r="P128" s="143" t="str">
        <f>IFERROR(O128/K128,"-")</f>
        <v>-</v>
      </c>
      <c r="Q128" s="186" t="str">
        <f>IFERROR(O128/F128-1,"-")</f>
        <v>-</v>
      </c>
      <c r="R128" s="252"/>
      <c r="S128" s="28"/>
      <c r="T128" s="252"/>
    </row>
    <row r="129" spans="2:20" x14ac:dyDescent="0.2">
      <c r="B129" s="20"/>
      <c r="C129" s="7"/>
      <c r="D129" s="252"/>
      <c r="F129" s="147"/>
      <c r="G129" s="147"/>
      <c r="H129" s="140"/>
      <c r="I129" s="147"/>
      <c r="J129" s="147"/>
      <c r="K129" s="147"/>
      <c r="L129" s="140"/>
      <c r="M129" s="147"/>
      <c r="N129" s="147"/>
      <c r="O129" s="141"/>
      <c r="P129" s="147"/>
      <c r="Q129" s="189"/>
      <c r="R129" s="252"/>
      <c r="S129" s="36"/>
      <c r="T129" s="252"/>
    </row>
    <row r="130" spans="2:20" ht="13.5" thickBot="1" x14ac:dyDescent="0.25">
      <c r="B130" s="252">
        <f>MAX(B$107:B129)+1</f>
        <v>20</v>
      </c>
      <c r="C130" s="7"/>
      <c r="D130" s="21" t="s">
        <v>274</v>
      </c>
      <c r="F130" s="149">
        <f>ROUND(F118+F126+F128,0)</f>
        <v>3212513</v>
      </c>
      <c r="G130" s="149">
        <f>ROUND(G118+G126+G128,0)</f>
        <v>-21763</v>
      </c>
      <c r="H130" s="140"/>
      <c r="I130" s="149">
        <f>ROUND(I118+I126+I128,0)</f>
        <v>3234276</v>
      </c>
      <c r="J130" s="149">
        <f>ROUND(J118+J126+J128,0)</f>
        <v>0</v>
      </c>
      <c r="K130" s="149">
        <f>ROUND(K118+K126+K128,0)</f>
        <v>3234276</v>
      </c>
      <c r="L130" s="140"/>
      <c r="M130" s="149">
        <f>ROUND(M118+M126+M128,0)</f>
        <v>0</v>
      </c>
      <c r="N130" s="149">
        <f>ROUND(N118+N126+N128,0)</f>
        <v>0</v>
      </c>
      <c r="O130" s="149">
        <f>ROUND(O118+O126+O128,0)</f>
        <v>3234276</v>
      </c>
      <c r="P130" s="157">
        <f>O130/K130</f>
        <v>1</v>
      </c>
      <c r="Q130" s="190">
        <f>O130/F130-1</f>
        <v>6.7744472940653999E-3</v>
      </c>
      <c r="R130" s="252"/>
      <c r="S130" s="28"/>
      <c r="T130" s="252"/>
    </row>
    <row r="131" spans="2:20" ht="13.5" thickTop="1" x14ac:dyDescent="0.2">
      <c r="B131" s="20"/>
      <c r="C131" s="7"/>
      <c r="D131" s="252"/>
      <c r="F131" s="7"/>
      <c r="G131" s="252"/>
      <c r="H131" s="252"/>
      <c r="I131" s="252"/>
      <c r="J131" s="252"/>
      <c r="K131" s="33"/>
      <c r="L131" s="252"/>
      <c r="M131" s="252"/>
      <c r="N131" s="252"/>
      <c r="O131" s="252"/>
      <c r="P131" s="252"/>
      <c r="Q131" s="252"/>
      <c r="R131" s="252"/>
      <c r="S131" s="36"/>
      <c r="T131" s="252"/>
    </row>
    <row r="132" spans="2:20" ht="11.45" customHeight="1" x14ac:dyDescent="0.2">
      <c r="B132" s="23" t="s">
        <v>5</v>
      </c>
      <c r="C132" s="7"/>
      <c r="D132" s="7"/>
      <c r="E132" s="7"/>
      <c r="F132" s="7"/>
      <c r="G132" s="7"/>
      <c r="H132" s="7"/>
      <c r="I132" s="7"/>
      <c r="J132" s="7"/>
      <c r="K132" s="7"/>
      <c r="L132" s="7"/>
      <c r="M132" s="7"/>
      <c r="N132" s="7"/>
      <c r="O132" s="7"/>
      <c r="P132" s="7"/>
      <c r="Q132" s="7"/>
      <c r="R132" s="7"/>
      <c r="S132" s="7"/>
      <c r="T132" s="7"/>
    </row>
    <row r="133" spans="2:20" ht="11.45" customHeight="1" x14ac:dyDescent="0.2">
      <c r="B133" s="24" t="s">
        <v>6</v>
      </c>
      <c r="C133" s="20" t="s">
        <v>666</v>
      </c>
      <c r="D133" s="20"/>
      <c r="E133" s="20"/>
      <c r="F133" s="20"/>
      <c r="G133" s="20"/>
      <c r="H133" s="20"/>
      <c r="I133" s="20"/>
      <c r="J133" s="20"/>
      <c r="K133" s="20"/>
      <c r="L133" s="20"/>
      <c r="M133" s="20"/>
      <c r="N133" s="20"/>
      <c r="O133" s="20"/>
      <c r="P133" s="20"/>
      <c r="Q133" s="20"/>
      <c r="R133" s="20"/>
      <c r="S133" s="20"/>
      <c r="T133" s="20"/>
    </row>
    <row r="134" spans="2:20" ht="11.45" customHeight="1" x14ac:dyDescent="0.2">
      <c r="B134" s="24" t="s">
        <v>7</v>
      </c>
      <c r="C134" s="1" t="s">
        <v>393</v>
      </c>
      <c r="D134" s="20"/>
      <c r="E134" s="20"/>
      <c r="F134" s="20"/>
      <c r="G134" s="20"/>
      <c r="H134" s="20"/>
      <c r="I134" s="20"/>
      <c r="J134" s="20"/>
      <c r="K134" s="20"/>
      <c r="L134" s="20"/>
      <c r="M134" s="20"/>
      <c r="N134" s="20"/>
      <c r="O134" s="20"/>
      <c r="P134" s="20"/>
      <c r="Q134" s="20"/>
      <c r="R134" s="20"/>
      <c r="S134" s="20"/>
      <c r="T134" s="20"/>
    </row>
    <row r="135" spans="2:20" ht="11.45" customHeight="1" x14ac:dyDescent="0.2">
      <c r="B135" s="24" t="s">
        <v>8</v>
      </c>
      <c r="C135" s="20" t="s">
        <v>687</v>
      </c>
    </row>
    <row r="136" spans="2:20" ht="11.45" customHeight="1" x14ac:dyDescent="0.2">
      <c r="B136" s="24" t="s">
        <v>18</v>
      </c>
      <c r="C136" s="20" t="s">
        <v>667</v>
      </c>
    </row>
    <row r="137" spans="2:20" x14ac:dyDescent="0.2">
      <c r="B137" s="24" t="s">
        <v>19</v>
      </c>
      <c r="C137" s="20" t="s">
        <v>686</v>
      </c>
    </row>
    <row r="138" spans="2:20" x14ac:dyDescent="0.2">
      <c r="B138" s="24" t="s">
        <v>401</v>
      </c>
      <c r="C138" s="20" t="s">
        <v>669</v>
      </c>
    </row>
    <row r="139" spans="2:20" x14ac:dyDescent="0.2">
      <c r="C139" s="20"/>
    </row>
    <row r="140" spans="2:20" x14ac:dyDescent="0.2">
      <c r="C140" s="20"/>
    </row>
    <row r="141" spans="2:20" x14ac:dyDescent="0.2">
      <c r="C141" s="20"/>
    </row>
    <row r="142" spans="2:20" x14ac:dyDescent="0.2">
      <c r="F142" s="47"/>
      <c r="G142" s="247"/>
      <c r="I142" s="47"/>
      <c r="J142" s="47"/>
      <c r="K142" s="47"/>
      <c r="O142" s="47"/>
      <c r="P142" s="47"/>
      <c r="Q142" s="47"/>
    </row>
    <row r="143" spans="2:20" x14ac:dyDescent="0.2">
      <c r="F143" s="47"/>
      <c r="G143" s="247"/>
      <c r="I143" s="47"/>
      <c r="J143" s="47"/>
      <c r="K143" s="47"/>
      <c r="O143" s="47"/>
    </row>
    <row r="144" spans="2:20" x14ac:dyDescent="0.2">
      <c r="F144" s="254"/>
      <c r="G144" s="254"/>
      <c r="H144" s="254"/>
      <c r="I144" s="254"/>
      <c r="J144" s="254"/>
      <c r="K144" s="254"/>
      <c r="L144" s="254"/>
      <c r="M144" s="254"/>
      <c r="N144" s="254"/>
      <c r="O144" s="254"/>
    </row>
    <row r="148" spans="2:16" x14ac:dyDescent="0.2">
      <c r="B148" s="243"/>
      <c r="C148" s="60"/>
      <c r="D148" s="60"/>
      <c r="E148" s="35"/>
      <c r="F148" s="159"/>
      <c r="G148" s="159"/>
      <c r="H148" s="159"/>
      <c r="I148" s="159"/>
      <c r="J148" s="159"/>
      <c r="K148" s="159"/>
      <c r="L148" s="159"/>
      <c r="M148" s="159"/>
      <c r="N148" s="159"/>
      <c r="O148" s="159"/>
      <c r="P148" s="35"/>
    </row>
    <row r="149" spans="2:16" x14ac:dyDescent="0.2">
      <c r="B149" s="244"/>
      <c r="C149" s="245"/>
      <c r="D149" s="245"/>
      <c r="E149" s="35"/>
      <c r="F149" s="469"/>
      <c r="G149" s="469"/>
      <c r="H149" s="469"/>
      <c r="I149" s="469"/>
      <c r="J149" s="469"/>
      <c r="K149" s="469"/>
      <c r="L149" s="469"/>
      <c r="M149" s="469"/>
      <c r="N149" s="469"/>
      <c r="O149" s="469"/>
      <c r="P149" s="35"/>
    </row>
    <row r="150" spans="2:16" x14ac:dyDescent="0.2">
      <c r="B150" s="244"/>
      <c r="C150" s="245"/>
      <c r="D150" s="245"/>
    </row>
    <row r="151" spans="2:16" x14ac:dyDescent="0.2">
      <c r="B151" s="244"/>
      <c r="C151" s="245"/>
      <c r="D151" s="56"/>
    </row>
    <row r="152" spans="2:16" x14ac:dyDescent="0.2">
      <c r="B152" s="244"/>
      <c r="C152" s="245"/>
      <c r="D152" s="56"/>
    </row>
    <row r="153" spans="2:16" x14ac:dyDescent="0.2">
      <c r="B153" s="244"/>
      <c r="C153" s="245"/>
      <c r="D153" s="56"/>
    </row>
    <row r="154" spans="2:16" x14ac:dyDescent="0.2">
      <c r="B154" s="246"/>
      <c r="C154" s="56"/>
      <c r="D154" s="56"/>
    </row>
  </sheetData>
  <phoneticPr fontId="10" type="noConversion"/>
  <pageMargins left="0.70866141732283505" right="0.70866141732283505" top="0.74803149606299202" bottom="0.74803149606299202" header="0.31496062992126" footer="0.31496062992126"/>
  <pageSetup scale="68" fitToHeight="0" orientation="landscape" blackAndWhite="1" r:id="rId1"/>
  <headerFooter>
    <oddHeader>&amp;R&amp;"Arial,Regular"&amp;10Filed: 2022-11-30
EB-2022-0200
Exhibit 8
Tab 2
Schedule 9
Attachment 1
Page &amp;P of &amp;N</oddHeader>
  </headerFooter>
  <rowBreaks count="2" manualBreakCount="2">
    <brk id="46" min="1" max="23" man="1"/>
    <brk id="92" min="1" max="2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407C8-44F6-4944-A271-1A0AA9F28B5E}">
  <sheetPr>
    <pageSetUpPr fitToPage="1"/>
  </sheetPr>
  <dimension ref="A1:X801"/>
  <sheetViews>
    <sheetView view="pageLayout" zoomScale="80" zoomScaleNormal="90" zoomScaleSheetLayoutView="90" zoomScalePageLayoutView="80" workbookViewId="0"/>
  </sheetViews>
  <sheetFormatPr defaultColWidth="9.140625" defaultRowHeight="12.75" x14ac:dyDescent="0.2"/>
  <cols>
    <col min="1" max="1" width="4.7109375" style="480" customWidth="1"/>
    <col min="2" max="2" width="1.7109375" style="304" customWidth="1"/>
    <col min="3" max="3" width="35.7109375" style="304" customWidth="1"/>
    <col min="4" max="4" width="1.7109375" style="304" customWidth="1"/>
    <col min="5" max="5" width="14.5703125" style="304" customWidth="1"/>
    <col min="6" max="6" width="14.7109375" style="304" customWidth="1"/>
    <col min="7" max="7" width="1.7109375" style="304" customWidth="1"/>
    <col min="8" max="8" width="10.85546875" style="304" bestFit="1" customWidth="1"/>
    <col min="9" max="9" width="10.140625" style="304" bestFit="1" customWidth="1"/>
    <col min="10" max="10" width="12" style="304" bestFit="1" customWidth="1"/>
    <col min="11" max="11" width="1.7109375" style="304" customWidth="1"/>
    <col min="12" max="13" width="15.7109375" style="304" customWidth="1"/>
    <col min="14" max="14" width="5.5703125" style="304" customWidth="1"/>
    <col min="15" max="15" width="2.5703125" style="304" customWidth="1"/>
    <col min="16" max="16" width="15.140625" style="501" bestFit="1" customWidth="1"/>
    <col min="17" max="17" width="15" style="304" bestFit="1" customWidth="1"/>
    <col min="18" max="18" width="9.42578125" style="304" customWidth="1"/>
    <col min="19" max="19" width="6" style="304" bestFit="1" customWidth="1"/>
    <col min="20" max="20" width="12.42578125" style="304" bestFit="1" customWidth="1"/>
    <col min="21" max="16384" width="9.140625" style="304"/>
  </cols>
  <sheetData>
    <row r="1" spans="1:24" ht="12.75" customHeight="1" x14ac:dyDescent="0.2">
      <c r="L1" s="422"/>
      <c r="M1" s="422"/>
      <c r="N1" s="422"/>
    </row>
    <row r="2" spans="1:24" x14ac:dyDescent="0.2">
      <c r="C2" s="305"/>
      <c r="D2" s="305"/>
      <c r="E2" s="305"/>
      <c r="F2" s="305"/>
      <c r="G2" s="305"/>
      <c r="H2" s="305"/>
      <c r="I2" s="305"/>
      <c r="J2" s="305"/>
      <c r="L2" s="422"/>
      <c r="M2" s="422"/>
      <c r="N2" s="422"/>
    </row>
    <row r="3" spans="1:24" x14ac:dyDescent="0.2">
      <c r="C3" s="305"/>
      <c r="D3" s="305"/>
      <c r="E3" s="305"/>
      <c r="F3" s="305"/>
      <c r="G3" s="305"/>
      <c r="H3" s="305"/>
      <c r="I3" s="305"/>
      <c r="J3" s="305"/>
      <c r="L3" s="422" t="s">
        <v>139</v>
      </c>
      <c r="M3" s="422"/>
      <c r="N3" s="422"/>
    </row>
    <row r="4" spans="1:24" x14ac:dyDescent="0.2">
      <c r="A4" s="515" t="s">
        <v>881</v>
      </c>
      <c r="B4" s="515"/>
      <c r="C4" s="515"/>
      <c r="D4" s="515"/>
      <c r="E4" s="515"/>
      <c r="F4" s="515"/>
      <c r="G4" s="515"/>
      <c r="H4" s="515"/>
      <c r="I4" s="515"/>
      <c r="J4" s="515"/>
      <c r="K4" s="515"/>
      <c r="L4" s="515"/>
      <c r="M4" s="515"/>
      <c r="P4" s="304"/>
    </row>
    <row r="5" spans="1:24" x14ac:dyDescent="0.2">
      <c r="A5" s="515" t="s">
        <v>810</v>
      </c>
      <c r="B5" s="515"/>
      <c r="C5" s="515"/>
      <c r="D5" s="515"/>
      <c r="E5" s="515"/>
      <c r="F5" s="515"/>
      <c r="G5" s="515"/>
      <c r="H5" s="515"/>
      <c r="I5" s="515"/>
      <c r="J5" s="515"/>
      <c r="K5" s="515"/>
      <c r="L5" s="515"/>
      <c r="M5" s="515"/>
      <c r="P5" s="304"/>
    </row>
    <row r="6" spans="1:24" x14ac:dyDescent="0.2">
      <c r="A6" s="306"/>
      <c r="B6" s="306"/>
      <c r="E6" s="307"/>
      <c r="F6" s="307"/>
      <c r="G6" s="307"/>
      <c r="H6" s="307"/>
      <c r="I6" s="307"/>
      <c r="J6" s="307"/>
      <c r="K6" s="307"/>
      <c r="L6" s="307"/>
      <c r="M6" s="308"/>
      <c r="N6" s="480"/>
    </row>
    <row r="7" spans="1:24" x14ac:dyDescent="0.2">
      <c r="E7" s="516" t="s">
        <v>812</v>
      </c>
      <c r="F7" s="516"/>
      <c r="H7" s="516" t="s">
        <v>607</v>
      </c>
      <c r="I7" s="516"/>
      <c r="J7" s="516"/>
      <c r="L7" s="516" t="s">
        <v>608</v>
      </c>
      <c r="M7" s="516"/>
      <c r="N7" s="480"/>
      <c r="O7" s="480"/>
    </row>
    <row r="8" spans="1:24" x14ac:dyDescent="0.2">
      <c r="E8" s="480" t="s">
        <v>47</v>
      </c>
      <c r="F8" s="480"/>
      <c r="H8" s="480" t="s">
        <v>47</v>
      </c>
      <c r="I8" s="480"/>
      <c r="J8" s="480" t="s">
        <v>609</v>
      </c>
      <c r="L8" s="480" t="s">
        <v>610</v>
      </c>
      <c r="M8" s="480" t="s">
        <v>611</v>
      </c>
      <c r="N8" s="480"/>
      <c r="O8" s="480"/>
    </row>
    <row r="9" spans="1:24" x14ac:dyDescent="0.2">
      <c r="A9" s="480" t="s">
        <v>0</v>
      </c>
      <c r="E9" s="480" t="s">
        <v>612</v>
      </c>
      <c r="F9" s="480" t="s">
        <v>264</v>
      </c>
      <c r="H9" s="480" t="s">
        <v>612</v>
      </c>
      <c r="I9" s="480" t="s">
        <v>264</v>
      </c>
      <c r="J9" s="480" t="s">
        <v>613</v>
      </c>
      <c r="L9" s="480" t="s">
        <v>614</v>
      </c>
      <c r="M9" s="480" t="s">
        <v>614</v>
      </c>
      <c r="N9" s="480"/>
      <c r="O9" s="480"/>
    </row>
    <row r="10" spans="1:24" ht="14.25" x14ac:dyDescent="0.2">
      <c r="A10" s="491" t="s">
        <v>1</v>
      </c>
      <c r="C10" s="309" t="s">
        <v>9</v>
      </c>
      <c r="E10" s="491" t="s">
        <v>288</v>
      </c>
      <c r="F10" s="491" t="s">
        <v>12</v>
      </c>
      <c r="H10" s="491" t="s">
        <v>288</v>
      </c>
      <c r="I10" s="491" t="s">
        <v>12</v>
      </c>
      <c r="J10" s="491" t="s">
        <v>288</v>
      </c>
      <c r="L10" s="491" t="s">
        <v>2</v>
      </c>
      <c r="M10" s="491" t="s">
        <v>2</v>
      </c>
      <c r="N10" s="480"/>
      <c r="O10" s="480"/>
      <c r="Q10" s="305"/>
    </row>
    <row r="11" spans="1:24" x14ac:dyDescent="0.2">
      <c r="E11" s="480" t="s">
        <v>3</v>
      </c>
      <c r="F11" s="480" t="s">
        <v>4</v>
      </c>
      <c r="G11" s="480"/>
      <c r="H11" s="480" t="s">
        <v>86</v>
      </c>
      <c r="I11" s="480" t="s">
        <v>133</v>
      </c>
      <c r="J11" s="480" t="s">
        <v>615</v>
      </c>
      <c r="K11" s="480"/>
      <c r="L11" s="480" t="s">
        <v>616</v>
      </c>
      <c r="M11" s="480" t="s">
        <v>15</v>
      </c>
      <c r="N11" s="480"/>
      <c r="O11" s="480"/>
    </row>
    <row r="12" spans="1:24" x14ac:dyDescent="0.2">
      <c r="E12" s="480"/>
      <c r="F12" s="480"/>
      <c r="G12" s="480"/>
      <c r="H12" s="480"/>
      <c r="I12" s="480"/>
      <c r="J12" s="480"/>
      <c r="K12" s="480"/>
      <c r="L12" s="480"/>
      <c r="M12" s="480"/>
      <c r="N12" s="480"/>
      <c r="O12" s="480"/>
    </row>
    <row r="13" spans="1:24" ht="14.25" x14ac:dyDescent="0.2">
      <c r="C13" s="305" t="s">
        <v>728</v>
      </c>
      <c r="E13" s="304" t="s">
        <v>699</v>
      </c>
      <c r="G13" s="480"/>
      <c r="H13" s="480"/>
      <c r="I13" s="480"/>
      <c r="J13" s="480"/>
      <c r="K13" s="480"/>
      <c r="L13" s="480"/>
      <c r="M13" s="480"/>
      <c r="N13" s="480"/>
      <c r="P13" s="502"/>
    </row>
    <row r="14" spans="1:24" x14ac:dyDescent="0.2">
      <c r="A14" s="480">
        <f>1</f>
        <v>1</v>
      </c>
      <c r="C14" s="304" t="s">
        <v>617</v>
      </c>
      <c r="E14" s="310">
        <v>523.4028498113031</v>
      </c>
      <c r="F14" s="312">
        <v>21.808452075470964</v>
      </c>
      <c r="G14" s="312"/>
      <c r="H14" s="310">
        <v>549.82390320000002</v>
      </c>
      <c r="I14" s="312">
        <v>22.9093293</v>
      </c>
      <c r="J14" s="313">
        <f>H14-E14</f>
        <v>26.421053388696919</v>
      </c>
      <c r="K14" s="312"/>
      <c r="L14" s="314">
        <f>J14/E14</f>
        <v>5.0479383897550849E-2</v>
      </c>
      <c r="M14" s="314">
        <f>L14</f>
        <v>5.0479383897550849E-2</v>
      </c>
      <c r="N14" s="314"/>
      <c r="P14" s="502"/>
      <c r="Q14" s="502"/>
      <c r="R14" s="502"/>
      <c r="S14" s="502"/>
      <c r="T14" s="502"/>
      <c r="U14" s="502"/>
      <c r="V14" s="502"/>
      <c r="W14" s="502"/>
      <c r="X14" s="502"/>
    </row>
    <row r="15" spans="1:24" x14ac:dyDescent="0.2">
      <c r="A15" s="480">
        <f>A14+1</f>
        <v>2</v>
      </c>
      <c r="C15" s="304" t="s">
        <v>618</v>
      </c>
      <c r="E15" s="310">
        <v>234.95999999999995</v>
      </c>
      <c r="F15" s="312">
        <v>9.7899999999999991</v>
      </c>
      <c r="G15" s="312"/>
      <c r="H15" s="310">
        <v>234.95999999999995</v>
      </c>
      <c r="I15" s="312">
        <v>9.7899999999999991</v>
      </c>
      <c r="J15" s="313">
        <f>H15-E15</f>
        <v>0</v>
      </c>
      <c r="K15" s="312"/>
      <c r="L15" s="315">
        <f>IFERROR(J15/E15,"100.0%")</f>
        <v>0</v>
      </c>
      <c r="M15" s="315">
        <v>0</v>
      </c>
      <c r="N15" s="314"/>
      <c r="P15" s="502"/>
      <c r="Q15" s="502"/>
      <c r="R15" s="502"/>
      <c r="S15" s="502"/>
      <c r="T15" s="502"/>
      <c r="U15" s="502"/>
      <c r="V15" s="502"/>
      <c r="W15" s="502"/>
    </row>
    <row r="16" spans="1:24" x14ac:dyDescent="0.2">
      <c r="A16" s="480">
        <f>A15+1</f>
        <v>3</v>
      </c>
      <c r="C16" s="304" t="s">
        <v>619</v>
      </c>
      <c r="E16" s="310">
        <v>94.241865288417301</v>
      </c>
      <c r="F16" s="312">
        <v>3.9267443870173877</v>
      </c>
      <c r="G16" s="312"/>
      <c r="H16" s="310">
        <v>45.141599999999997</v>
      </c>
      <c r="I16" s="312">
        <v>1.8809</v>
      </c>
      <c r="J16" s="313">
        <f>H16-E16</f>
        <v>-49.100265288417305</v>
      </c>
      <c r="K16" s="312"/>
      <c r="L16" s="472">
        <f>IFERROR(J16/E16,"100.0%")</f>
        <v>-0.52100268960245122</v>
      </c>
      <c r="M16" s="472">
        <f>L16</f>
        <v>-0.52100268960245122</v>
      </c>
      <c r="N16" s="314"/>
      <c r="P16" s="502"/>
      <c r="Q16" s="502"/>
      <c r="R16" s="502"/>
      <c r="S16" s="502"/>
      <c r="T16" s="502"/>
      <c r="U16" s="502"/>
      <c r="V16" s="502"/>
      <c r="W16" s="502"/>
    </row>
    <row r="17" spans="1:23" x14ac:dyDescent="0.2">
      <c r="A17" s="480">
        <f>A16+1</f>
        <v>4</v>
      </c>
      <c r="C17" s="304" t="s">
        <v>44</v>
      </c>
      <c r="E17" s="310">
        <v>441.05992846934868</v>
      </c>
      <c r="F17" s="312">
        <v>18.377497019556195</v>
      </c>
      <c r="H17" s="310">
        <v>501.68160000000006</v>
      </c>
      <c r="I17" s="312">
        <v>20.903400000000001</v>
      </c>
      <c r="J17" s="313">
        <f>H17-E17</f>
        <v>60.621671530651383</v>
      </c>
      <c r="L17" s="314">
        <f>J17/E17</f>
        <v>0.13744543001453888</v>
      </c>
      <c r="M17" s="314">
        <f>L17</f>
        <v>0.13744543001453888</v>
      </c>
      <c r="N17" s="314"/>
      <c r="P17" s="502"/>
      <c r="Q17" s="502"/>
      <c r="R17" s="502"/>
      <c r="S17" s="502"/>
      <c r="T17" s="502"/>
      <c r="U17" s="502"/>
      <c r="V17" s="502"/>
      <c r="W17" s="502"/>
    </row>
    <row r="18" spans="1:23" x14ac:dyDescent="0.2">
      <c r="A18" s="480">
        <f>A17+1</f>
        <v>5</v>
      </c>
      <c r="C18" s="304" t="s">
        <v>620</v>
      </c>
      <c r="E18" s="316">
        <f>SUM(E14:E17)</f>
        <v>1293.6646435690691</v>
      </c>
      <c r="F18" s="317">
        <v>53.902693482044548</v>
      </c>
      <c r="H18" s="316">
        <f>SUM(H14:H17)</f>
        <v>1331.6071032</v>
      </c>
      <c r="I18" s="317">
        <v>55.483629300000004</v>
      </c>
      <c r="J18" s="318">
        <f>SUM(J14:J17)</f>
        <v>37.942459630930998</v>
      </c>
      <c r="L18" s="319">
        <f>J18/E18</f>
        <v>2.9329440067444527E-2</v>
      </c>
      <c r="M18" s="319">
        <f>(J14+J17+J16)/(E14+E17+E16)</f>
        <v>3.5838569200018495E-2</v>
      </c>
      <c r="N18" s="320"/>
      <c r="P18" s="502"/>
      <c r="Q18" s="502"/>
      <c r="R18" s="502"/>
      <c r="S18" s="502"/>
      <c r="T18" s="502"/>
      <c r="U18" s="502"/>
      <c r="V18" s="502"/>
      <c r="W18" s="502"/>
    </row>
    <row r="19" spans="1:23" x14ac:dyDescent="0.2">
      <c r="E19" s="310"/>
      <c r="F19" s="312"/>
      <c r="G19" s="480"/>
      <c r="H19" s="310"/>
      <c r="I19" s="312"/>
      <c r="J19" s="313"/>
      <c r="L19" s="320"/>
      <c r="M19" s="320"/>
      <c r="N19" s="320"/>
      <c r="P19" s="502"/>
      <c r="Q19" s="502"/>
      <c r="R19" s="502"/>
      <c r="S19" s="502"/>
      <c r="T19" s="502"/>
      <c r="U19" s="502"/>
      <c r="V19" s="502"/>
      <c r="W19" s="502"/>
    </row>
    <row r="20" spans="1:23" x14ac:dyDescent="0.2">
      <c r="A20" s="480">
        <f>A18+1</f>
        <v>6</v>
      </c>
      <c r="C20" s="304" t="s">
        <v>621</v>
      </c>
      <c r="E20" s="316">
        <v>1354.2863150997205</v>
      </c>
      <c r="F20" s="317">
        <v>56.428596462488358</v>
      </c>
      <c r="G20" s="320"/>
      <c r="H20" s="316">
        <v>1376.2951032000001</v>
      </c>
      <c r="I20" s="317">
        <v>57.345629299999999</v>
      </c>
      <c r="J20" s="318">
        <v>22.008788100279631</v>
      </c>
      <c r="L20" s="319">
        <v>1.6251207632308574E-2</v>
      </c>
      <c r="M20" s="319">
        <v>1.966253075924412E-2</v>
      </c>
      <c r="N20" s="320"/>
      <c r="P20" s="502"/>
      <c r="Q20" s="502"/>
      <c r="R20" s="502"/>
      <c r="S20" s="502"/>
      <c r="T20" s="502"/>
      <c r="U20" s="502"/>
      <c r="V20" s="502"/>
      <c r="W20" s="502"/>
    </row>
    <row r="21" spans="1:23" x14ac:dyDescent="0.2">
      <c r="A21" s="480">
        <f>A20+1</f>
        <v>7</v>
      </c>
      <c r="C21" s="304" t="s">
        <v>622</v>
      </c>
      <c r="E21" s="320"/>
      <c r="F21" s="320"/>
      <c r="G21" s="320"/>
      <c r="H21" s="320"/>
      <c r="I21" s="320"/>
      <c r="J21" s="313"/>
      <c r="L21" s="319">
        <v>2.5813589475288664E-2</v>
      </c>
      <c r="M21" s="319">
        <v>3.5633411186439527E-2</v>
      </c>
      <c r="N21" s="321"/>
      <c r="P21" s="502"/>
      <c r="Q21" s="502"/>
      <c r="R21" s="502"/>
      <c r="S21" s="502"/>
      <c r="T21" s="502"/>
      <c r="U21" s="502"/>
      <c r="V21" s="502"/>
      <c r="W21" s="502"/>
    </row>
    <row r="22" spans="1:23" x14ac:dyDescent="0.2">
      <c r="A22" s="480">
        <f>A21+1</f>
        <v>8</v>
      </c>
      <c r="C22" s="304" t="s">
        <v>623</v>
      </c>
      <c r="E22" s="316">
        <v>1283.3177328762138</v>
      </c>
      <c r="F22" s="317">
        <v>53.471572203175576</v>
      </c>
      <c r="G22" s="320"/>
      <c r="H22" s="316">
        <v>1331.6071032</v>
      </c>
      <c r="I22" s="317">
        <v>55.483629300000004</v>
      </c>
      <c r="J22" s="318">
        <v>48.289370323786301</v>
      </c>
      <c r="L22" s="319">
        <v>3.7628538191830783E-2</v>
      </c>
      <c r="M22" s="319">
        <v>4.6061920286792159E-2</v>
      </c>
      <c r="N22" s="321"/>
      <c r="P22" s="502"/>
      <c r="Q22" s="502"/>
      <c r="R22" s="502"/>
      <c r="S22" s="502"/>
      <c r="T22" s="502"/>
      <c r="U22" s="502"/>
      <c r="V22" s="502"/>
      <c r="W22" s="502"/>
    </row>
    <row r="23" spans="1:23" x14ac:dyDescent="0.2">
      <c r="A23" s="480">
        <f>A22+1</f>
        <v>9</v>
      </c>
      <c r="C23" s="304" t="s">
        <v>624</v>
      </c>
      <c r="E23" s="320"/>
      <c r="F23" s="320"/>
      <c r="G23" s="320"/>
      <c r="H23" s="320"/>
      <c r="I23" s="320"/>
      <c r="J23" s="313"/>
      <c r="L23" s="322">
        <v>6.1779859313942184E-2</v>
      </c>
      <c r="M23" s="322">
        <v>8.8332684417230037E-2</v>
      </c>
      <c r="N23" s="321"/>
      <c r="P23" s="502"/>
      <c r="Q23" s="502"/>
      <c r="R23" s="502"/>
      <c r="S23" s="502"/>
      <c r="T23" s="502"/>
      <c r="U23" s="502"/>
      <c r="V23" s="502"/>
      <c r="W23" s="502"/>
    </row>
    <row r="24" spans="1:23" x14ac:dyDescent="0.2">
      <c r="E24" s="480"/>
      <c r="F24" s="480"/>
      <c r="G24" s="480"/>
      <c r="H24" s="480"/>
      <c r="I24" s="480"/>
      <c r="J24" s="323"/>
      <c r="K24" s="480"/>
      <c r="L24" s="480"/>
      <c r="M24" s="310"/>
      <c r="N24" s="480"/>
      <c r="P24" s="502"/>
      <c r="Q24" s="502"/>
      <c r="R24" s="502"/>
      <c r="S24" s="502"/>
      <c r="T24" s="502"/>
      <c r="U24" s="502"/>
      <c r="V24" s="502"/>
      <c r="W24" s="502"/>
    </row>
    <row r="25" spans="1:23" ht="14.25" x14ac:dyDescent="0.2">
      <c r="C25" s="305" t="s">
        <v>729</v>
      </c>
      <c r="E25" s="304" t="s">
        <v>700</v>
      </c>
      <c r="J25" s="313"/>
      <c r="P25" s="502"/>
      <c r="Q25" s="502"/>
      <c r="R25" s="502"/>
      <c r="S25" s="502"/>
      <c r="T25" s="502"/>
      <c r="U25" s="502"/>
      <c r="V25" s="502"/>
      <c r="W25" s="502"/>
    </row>
    <row r="26" spans="1:23" x14ac:dyDescent="0.2">
      <c r="A26" s="480">
        <f>A23+1</f>
        <v>10</v>
      </c>
      <c r="C26" s="304" t="s">
        <v>617</v>
      </c>
      <c r="E26" s="310">
        <v>799.29773884635165</v>
      </c>
      <c r="F26" s="312">
        <v>15.833948867796192</v>
      </c>
      <c r="G26" s="312"/>
      <c r="H26" s="310">
        <v>780.84414306399992</v>
      </c>
      <c r="I26" s="312">
        <v>15.468386352297939</v>
      </c>
      <c r="J26" s="313">
        <f>H26-E26</f>
        <v>-18.453595782351726</v>
      </c>
      <c r="K26" s="312"/>
      <c r="L26" s="472">
        <f>J26/E26</f>
        <v>-2.3087261336415522E-2</v>
      </c>
      <c r="M26" s="472">
        <f>L26</f>
        <v>-2.3087261336415522E-2</v>
      </c>
      <c r="N26" s="315"/>
      <c r="O26" s="315"/>
      <c r="P26" s="502"/>
      <c r="Q26" s="502"/>
      <c r="R26" s="502"/>
      <c r="S26" s="502"/>
      <c r="T26" s="502"/>
      <c r="U26" s="502"/>
      <c r="V26" s="502"/>
      <c r="W26" s="502"/>
    </row>
    <row r="27" spans="1:23" x14ac:dyDescent="0.2">
      <c r="A27" s="480">
        <f>A26+1</f>
        <v>11</v>
      </c>
      <c r="C27" s="304" t="s">
        <v>618</v>
      </c>
      <c r="E27" s="310">
        <v>494.19919999999996</v>
      </c>
      <c r="F27" s="312">
        <v>9.7899999999999991</v>
      </c>
      <c r="G27" s="312"/>
      <c r="H27" s="310">
        <v>494.19919999999996</v>
      </c>
      <c r="I27" s="312">
        <v>9.7899999999999991</v>
      </c>
      <c r="J27" s="313">
        <f>H27-E27</f>
        <v>0</v>
      </c>
      <c r="K27" s="312"/>
      <c r="L27" s="315">
        <f>IFERROR(J27/E27,"100.0%")</f>
        <v>0</v>
      </c>
      <c r="M27" s="315">
        <v>0</v>
      </c>
      <c r="N27" s="315"/>
      <c r="O27" s="315"/>
      <c r="P27" s="502"/>
      <c r="Q27" s="502"/>
      <c r="R27" s="502"/>
      <c r="S27" s="502"/>
      <c r="T27" s="502"/>
      <c r="U27" s="502"/>
      <c r="V27" s="502"/>
      <c r="W27" s="502"/>
    </row>
    <row r="28" spans="1:23" x14ac:dyDescent="0.2">
      <c r="A28" s="480">
        <f>A27+1</f>
        <v>12</v>
      </c>
      <c r="C28" s="304" t="s">
        <v>619</v>
      </c>
      <c r="E28" s="310">
        <v>198.22205665663773</v>
      </c>
      <c r="F28" s="312">
        <v>3.9267443870173877</v>
      </c>
      <c r="G28" s="312"/>
      <c r="H28" s="310">
        <v>94.947832000000005</v>
      </c>
      <c r="I28" s="312">
        <v>1.8809</v>
      </c>
      <c r="J28" s="313">
        <f>H28-E28</f>
        <v>-103.27422465663773</v>
      </c>
      <c r="K28" s="312"/>
      <c r="L28" s="472">
        <f>IFERROR(J28/E28,"100.0%")</f>
        <v>-0.52100268960245122</v>
      </c>
      <c r="M28" s="472">
        <f>L28</f>
        <v>-0.52100268960245122</v>
      </c>
      <c r="N28" s="315"/>
      <c r="O28" s="315"/>
      <c r="P28" s="502"/>
      <c r="Q28" s="502"/>
      <c r="R28" s="502"/>
      <c r="S28" s="502"/>
      <c r="T28" s="502"/>
      <c r="U28" s="502"/>
      <c r="V28" s="502"/>
      <c r="W28" s="502"/>
    </row>
    <row r="29" spans="1:23" x14ac:dyDescent="0.2">
      <c r="A29" s="480">
        <f>A28+1</f>
        <v>13</v>
      </c>
      <c r="C29" s="304" t="s">
        <v>44</v>
      </c>
      <c r="E29" s="310">
        <v>927.69604954719671</v>
      </c>
      <c r="F29" s="312">
        <v>18.377497019556195</v>
      </c>
      <c r="H29" s="310">
        <v>1055.203632</v>
      </c>
      <c r="I29" s="312">
        <v>20.903400000000001</v>
      </c>
      <c r="J29" s="313">
        <f>H29-E29</f>
        <v>127.50758245280326</v>
      </c>
      <c r="L29" s="314">
        <f>J29/E29</f>
        <v>0.13744543001453871</v>
      </c>
      <c r="M29" s="314">
        <f>L29</f>
        <v>0.13744543001453871</v>
      </c>
      <c r="N29" s="314"/>
      <c r="P29" s="502"/>
      <c r="Q29" s="502"/>
      <c r="R29" s="502"/>
      <c r="S29" s="502"/>
      <c r="T29" s="502"/>
      <c r="U29" s="502"/>
      <c r="V29" s="502"/>
      <c r="W29" s="502"/>
    </row>
    <row r="30" spans="1:23" x14ac:dyDescent="0.2">
      <c r="A30" s="480">
        <f>A29+1</f>
        <v>14</v>
      </c>
      <c r="C30" s="304" t="s">
        <v>620</v>
      </c>
      <c r="E30" s="316">
        <f>SUM(E26:E29)</f>
        <v>2419.4150450501861</v>
      </c>
      <c r="F30" s="317">
        <v>47.928190274369769</v>
      </c>
      <c r="H30" s="316">
        <f>SUM(H26:H29)</f>
        <v>2425.1948070640001</v>
      </c>
      <c r="I30" s="317">
        <v>48.042686352297942</v>
      </c>
      <c r="J30" s="318">
        <f>SUM(J26:J29)</f>
        <v>5.7797620138138086</v>
      </c>
      <c r="L30" s="319">
        <f>J30/E30</f>
        <v>2.3889088503597027E-3</v>
      </c>
      <c r="M30" s="319">
        <f>(J26+J29+J28)/(E26+E29+E28)</f>
        <v>3.0021371518803093E-3</v>
      </c>
      <c r="N30" s="320"/>
      <c r="P30" s="502"/>
      <c r="Q30" s="502"/>
      <c r="R30" s="502"/>
      <c r="S30" s="502"/>
      <c r="T30" s="502"/>
      <c r="U30" s="502"/>
      <c r="V30" s="502"/>
      <c r="W30" s="502"/>
    </row>
    <row r="31" spans="1:23" ht="9.75" customHeight="1" x14ac:dyDescent="0.2">
      <c r="E31" s="310"/>
      <c r="F31" s="312"/>
      <c r="G31" s="480"/>
      <c r="H31" s="310"/>
      <c r="I31" s="312"/>
      <c r="J31" s="313"/>
      <c r="L31" s="320"/>
      <c r="M31" s="320"/>
      <c r="N31" s="320"/>
      <c r="P31" s="502"/>
      <c r="Q31" s="502"/>
      <c r="R31" s="502"/>
      <c r="S31" s="502"/>
      <c r="T31" s="502"/>
      <c r="U31" s="502"/>
      <c r="V31" s="502"/>
      <c r="W31" s="502"/>
    </row>
    <row r="32" spans="1:23" x14ac:dyDescent="0.2">
      <c r="A32" s="480">
        <f>A30+1</f>
        <v>15</v>
      </c>
      <c r="C32" s="304" t="s">
        <v>621</v>
      </c>
      <c r="E32" s="316">
        <v>2546.9226275029896</v>
      </c>
      <c r="F32" s="317">
        <v>50.454093254813579</v>
      </c>
      <c r="G32" s="320"/>
      <c r="H32" s="316">
        <v>2519.1885670639995</v>
      </c>
      <c r="I32" s="317">
        <v>49.904686352297929</v>
      </c>
      <c r="J32" s="318">
        <v>-27.734060438989445</v>
      </c>
      <c r="L32" s="473">
        <v>-1.0889243410656725E-2</v>
      </c>
      <c r="M32" s="473">
        <v>-1.3510860775202534E-2</v>
      </c>
      <c r="N32" s="320"/>
      <c r="P32" s="502"/>
      <c r="Q32" s="502"/>
      <c r="R32" s="502"/>
      <c r="S32" s="502"/>
      <c r="T32" s="502"/>
      <c r="U32" s="502"/>
      <c r="V32" s="502"/>
      <c r="W32" s="502"/>
    </row>
    <row r="33" spans="1:23" x14ac:dyDescent="0.2">
      <c r="A33" s="480">
        <f>A32+1</f>
        <v>16</v>
      </c>
      <c r="C33" s="304" t="s">
        <v>622</v>
      </c>
      <c r="E33" s="320"/>
      <c r="F33" s="320"/>
      <c r="G33" s="320"/>
      <c r="H33" s="320"/>
      <c r="I33" s="320"/>
      <c r="J33" s="313"/>
      <c r="L33" s="473">
        <v>-1.8592013993652911E-2</v>
      </c>
      <c r="M33" s="473">
        <v>-2.7803017608291996E-2</v>
      </c>
      <c r="N33" s="321"/>
      <c r="P33" s="502"/>
      <c r="Q33" s="502"/>
      <c r="R33" s="502"/>
      <c r="S33" s="502"/>
      <c r="T33" s="502"/>
      <c r="U33" s="502"/>
      <c r="V33" s="502"/>
      <c r="W33" s="502"/>
    </row>
    <row r="34" spans="1:23" x14ac:dyDescent="0.2">
      <c r="A34" s="480">
        <f>A33+1</f>
        <v>17</v>
      </c>
      <c r="C34" s="304" t="s">
        <v>623</v>
      </c>
      <c r="E34" s="316">
        <v>2397.6520428928802</v>
      </c>
      <c r="F34" s="317">
        <v>47.497068995500797</v>
      </c>
      <c r="G34" s="320"/>
      <c r="H34" s="316">
        <v>2425.1948070640001</v>
      </c>
      <c r="I34" s="317">
        <v>48.042686352297942</v>
      </c>
      <c r="J34" s="318">
        <v>27.542764171119615</v>
      </c>
      <c r="L34" s="474">
        <v>1.1487390029242097E-2</v>
      </c>
      <c r="M34" s="474">
        <v>1.4469895733933676E-2</v>
      </c>
      <c r="N34" s="321"/>
      <c r="P34" s="502"/>
      <c r="Q34" s="502"/>
      <c r="R34" s="502"/>
      <c r="S34" s="502"/>
      <c r="T34" s="502"/>
      <c r="U34" s="502"/>
      <c r="V34" s="502"/>
      <c r="W34" s="502"/>
    </row>
    <row r="35" spans="1:23" x14ac:dyDescent="0.2">
      <c r="A35" s="480">
        <f>A34+1</f>
        <v>18</v>
      </c>
      <c r="C35" s="304" t="s">
        <v>624</v>
      </c>
      <c r="E35" s="320"/>
      <c r="F35" s="320"/>
      <c r="G35" s="320"/>
      <c r="H35" s="320"/>
      <c r="I35" s="320"/>
      <c r="J35" s="313"/>
      <c r="L35" s="322">
        <v>2.0516813866091551E-2</v>
      </c>
      <c r="M35" s="322">
        <v>3.247013238259034E-2</v>
      </c>
      <c r="N35" s="321"/>
      <c r="P35" s="502"/>
      <c r="Q35" s="502"/>
      <c r="R35" s="502"/>
      <c r="S35" s="502"/>
      <c r="T35" s="502"/>
      <c r="U35" s="502"/>
      <c r="V35" s="502"/>
      <c r="W35" s="502"/>
    </row>
    <row r="36" spans="1:23" x14ac:dyDescent="0.2">
      <c r="E36" s="480"/>
      <c r="F36" s="480"/>
      <c r="G36" s="480"/>
      <c r="H36" s="480"/>
      <c r="I36" s="480"/>
      <c r="J36" s="323"/>
      <c r="K36" s="480"/>
      <c r="L36" s="480"/>
      <c r="M36" s="480"/>
      <c r="N36" s="480"/>
      <c r="P36" s="502"/>
      <c r="Q36" s="502"/>
      <c r="R36" s="502"/>
      <c r="S36" s="502"/>
      <c r="T36" s="502"/>
      <c r="U36" s="502"/>
      <c r="V36" s="502"/>
      <c r="W36" s="502"/>
    </row>
    <row r="37" spans="1:23" ht="14.25" x14ac:dyDescent="0.2">
      <c r="C37" s="305" t="s">
        <v>730</v>
      </c>
      <c r="E37" s="304" t="s">
        <v>700</v>
      </c>
      <c r="G37" s="480"/>
      <c r="H37" s="480"/>
      <c r="I37" s="480"/>
      <c r="J37" s="323"/>
      <c r="K37" s="480"/>
      <c r="L37" s="480"/>
      <c r="M37" s="480"/>
      <c r="N37" s="480"/>
      <c r="P37" s="502"/>
      <c r="Q37" s="502"/>
      <c r="R37" s="502"/>
      <c r="S37" s="502"/>
      <c r="T37" s="502"/>
      <c r="U37" s="502"/>
      <c r="V37" s="502"/>
      <c r="W37" s="502"/>
    </row>
    <row r="38" spans="1:23" x14ac:dyDescent="0.2">
      <c r="A38" s="480">
        <f>A35+1</f>
        <v>19</v>
      </c>
      <c r="C38" s="304" t="s">
        <v>617</v>
      </c>
      <c r="E38" s="310">
        <v>1473.4404328194944</v>
      </c>
      <c r="F38" s="312">
        <v>29.188598114490777</v>
      </c>
      <c r="G38" s="312"/>
      <c r="H38" s="310">
        <v>780.84414306399992</v>
      </c>
      <c r="I38" s="312">
        <v>15.468386352297939</v>
      </c>
      <c r="J38" s="313">
        <f>H38-E38</f>
        <v>-692.59628975549447</v>
      </c>
      <c r="K38" s="312"/>
      <c r="L38" s="472">
        <f>J38/E38</f>
        <v>-0.47005381033977761</v>
      </c>
      <c r="M38" s="472">
        <f>L38</f>
        <v>-0.47005381033977761</v>
      </c>
      <c r="N38" s="314"/>
      <c r="P38" s="502"/>
      <c r="Q38" s="502"/>
      <c r="R38" s="502"/>
      <c r="S38" s="502"/>
      <c r="T38" s="502"/>
      <c r="U38" s="502"/>
      <c r="V38" s="502"/>
      <c r="W38" s="502"/>
    </row>
    <row r="39" spans="1:23" x14ac:dyDescent="0.2">
      <c r="A39" s="480">
        <f>A38+1</f>
        <v>20</v>
      </c>
      <c r="C39" s="304" t="s">
        <v>618</v>
      </c>
      <c r="E39" s="310">
        <v>494.19919999999996</v>
      </c>
      <c r="F39" s="312">
        <v>9.7899999999999991</v>
      </c>
      <c r="G39" s="312"/>
      <c r="H39" s="310">
        <v>494.19919999999996</v>
      </c>
      <c r="I39" s="312">
        <v>9.7899999999999991</v>
      </c>
      <c r="J39" s="313">
        <f>H39-E39</f>
        <v>0</v>
      </c>
      <c r="K39" s="312"/>
      <c r="L39" s="315">
        <f>IFERROR(J39/E39,"100.0%")</f>
        <v>0</v>
      </c>
      <c r="M39" s="315">
        <v>0</v>
      </c>
      <c r="N39" s="314"/>
      <c r="P39" s="502"/>
      <c r="Q39" s="502"/>
      <c r="R39" s="502"/>
      <c r="S39" s="502"/>
      <c r="T39" s="502"/>
      <c r="U39" s="502"/>
      <c r="V39" s="502"/>
      <c r="W39" s="502"/>
    </row>
    <row r="40" spans="1:23" x14ac:dyDescent="0.2">
      <c r="A40" s="480">
        <f>A39+1</f>
        <v>21</v>
      </c>
      <c r="C40" s="304" t="s">
        <v>619</v>
      </c>
      <c r="E40" s="310">
        <v>198.22205653463902</v>
      </c>
      <c r="F40" s="312">
        <v>3.9267443846006147</v>
      </c>
      <c r="G40" s="312"/>
      <c r="H40" s="310">
        <v>94.947832000000005</v>
      </c>
      <c r="I40" s="312">
        <v>1.88</v>
      </c>
      <c r="J40" s="313">
        <f>H40-E40</f>
        <v>-103.27422453463902</v>
      </c>
      <c r="K40" s="312"/>
      <c r="L40" s="472">
        <f>IFERROR(J40/E40,"100.0%")</f>
        <v>-0.52100268930764515</v>
      </c>
      <c r="M40" s="472">
        <f>L40</f>
        <v>-0.52100268930764515</v>
      </c>
      <c r="N40" s="314"/>
      <c r="P40" s="502"/>
      <c r="Q40" s="502"/>
      <c r="R40" s="502"/>
      <c r="S40" s="502"/>
      <c r="T40" s="502"/>
      <c r="U40" s="502"/>
      <c r="V40" s="502"/>
      <c r="W40" s="502"/>
    </row>
    <row r="41" spans="1:23" x14ac:dyDescent="0.2">
      <c r="A41" s="480">
        <f>A40+1</f>
        <v>22</v>
      </c>
      <c r="C41" s="304" t="s">
        <v>44</v>
      </c>
      <c r="E41" s="310">
        <v>928.87233049839688</v>
      </c>
      <c r="F41" s="312">
        <v>18.400798940142568</v>
      </c>
      <c r="H41" s="310">
        <v>1055.203632</v>
      </c>
      <c r="I41" s="312">
        <v>20.903400000000001</v>
      </c>
      <c r="J41" s="313">
        <f>H41-E41</f>
        <v>126.33130150160309</v>
      </c>
      <c r="L41" s="314">
        <f>J41/E41</f>
        <v>0.13600502173836809</v>
      </c>
      <c r="M41" s="314">
        <f>L41</f>
        <v>0.13600502173836809</v>
      </c>
      <c r="N41" s="314"/>
      <c r="P41" s="502"/>
      <c r="Q41" s="502"/>
      <c r="R41" s="502"/>
      <c r="S41" s="502"/>
      <c r="T41" s="502"/>
      <c r="U41" s="502"/>
      <c r="V41" s="502"/>
      <c r="W41" s="502"/>
    </row>
    <row r="42" spans="1:23" x14ac:dyDescent="0.2">
      <c r="A42" s="480">
        <f>A41+1</f>
        <v>23</v>
      </c>
      <c r="C42" s="304" t="s">
        <v>620</v>
      </c>
      <c r="E42" s="316">
        <f>SUM(E38:E41)</f>
        <v>3094.7340198525303</v>
      </c>
      <c r="F42" s="317">
        <v>61.306141439233961</v>
      </c>
      <c r="H42" s="316">
        <f>SUM(H38:H41)</f>
        <v>2425.1948070640001</v>
      </c>
      <c r="I42" s="317">
        <v>48.042686352297942</v>
      </c>
      <c r="J42" s="318">
        <f>SUM(J38:J41)</f>
        <v>-669.53921278853045</v>
      </c>
      <c r="L42" s="473">
        <f>J42/E42</f>
        <v>-0.21634790211161189</v>
      </c>
      <c r="M42" s="473">
        <f>(J38+J41+J40)/(E38+E41+E40)</f>
        <v>-0.25746212189787115</v>
      </c>
      <c r="N42" s="320"/>
      <c r="P42" s="502"/>
      <c r="Q42" s="502"/>
      <c r="R42" s="502"/>
      <c r="S42" s="502"/>
      <c r="T42" s="502"/>
      <c r="U42" s="502"/>
      <c r="V42" s="502"/>
      <c r="W42" s="502"/>
    </row>
    <row r="43" spans="1:23" x14ac:dyDescent="0.2">
      <c r="E43" s="310"/>
      <c r="F43" s="312"/>
      <c r="G43" s="480"/>
      <c r="H43" s="310"/>
      <c r="I43" s="312"/>
      <c r="J43" s="313"/>
      <c r="L43" s="320"/>
      <c r="M43" s="320"/>
      <c r="N43" s="320"/>
      <c r="P43" s="502"/>
      <c r="Q43" s="502"/>
      <c r="R43" s="502"/>
      <c r="S43" s="502"/>
      <c r="T43" s="502"/>
      <c r="U43" s="502"/>
      <c r="V43" s="502"/>
      <c r="W43" s="502"/>
    </row>
    <row r="44" spans="1:23" x14ac:dyDescent="0.2">
      <c r="A44" s="480">
        <f>A42+1</f>
        <v>24</v>
      </c>
      <c r="C44" s="304" t="s">
        <v>621</v>
      </c>
      <c r="E44" s="316">
        <v>3221.0653213541336</v>
      </c>
      <c r="F44" s="317">
        <v>63.808742499091395</v>
      </c>
      <c r="G44" s="320"/>
      <c r="H44" s="316">
        <v>2519.1885670639995</v>
      </c>
      <c r="I44" s="317">
        <v>49.904686352297929</v>
      </c>
      <c r="J44" s="318">
        <v>-701.87675429013348</v>
      </c>
      <c r="L44" s="473">
        <v>-0.21790205545880237</v>
      </c>
      <c r="M44" s="473">
        <v>-0.25739318435684283</v>
      </c>
      <c r="N44" s="320"/>
      <c r="P44" s="502"/>
      <c r="Q44" s="502"/>
      <c r="R44" s="502"/>
      <c r="S44" s="502"/>
      <c r="T44" s="502"/>
      <c r="U44" s="502"/>
      <c r="V44" s="502"/>
      <c r="W44" s="502"/>
    </row>
    <row r="45" spans="1:23" x14ac:dyDescent="0.2">
      <c r="A45" s="480">
        <f>A44+1</f>
        <v>25</v>
      </c>
      <c r="C45" s="304" t="s">
        <v>622</v>
      </c>
      <c r="E45" s="320"/>
      <c r="F45" s="320"/>
      <c r="G45" s="320"/>
      <c r="H45" s="320"/>
      <c r="I45" s="320"/>
      <c r="J45" s="313"/>
      <c r="L45" s="473">
        <v>-0.32406351603155015</v>
      </c>
      <c r="M45" s="473">
        <v>-0.41986750241749571</v>
      </c>
      <c r="N45" s="321"/>
      <c r="P45" s="502"/>
      <c r="Q45" s="502"/>
      <c r="R45" s="502"/>
      <c r="S45" s="502"/>
      <c r="T45" s="502"/>
      <c r="U45" s="502"/>
      <c r="V45" s="502"/>
      <c r="W45" s="502"/>
    </row>
    <row r="46" spans="1:23" x14ac:dyDescent="0.2">
      <c r="A46" s="480">
        <f>A45+1</f>
        <v>26</v>
      </c>
      <c r="C46" s="304" t="s">
        <v>623</v>
      </c>
      <c r="E46" s="316">
        <v>3071.7947509365586</v>
      </c>
      <c r="F46" s="317">
        <v>60.851718520930241</v>
      </c>
      <c r="G46" s="320"/>
      <c r="H46" s="316">
        <v>2425.1948070640001</v>
      </c>
      <c r="I46" s="317">
        <v>48.042686352297942</v>
      </c>
      <c r="J46" s="318">
        <v>-646.59994387255892</v>
      </c>
      <c r="L46" s="473">
        <v>-0.21049581638728215</v>
      </c>
      <c r="M46" s="473">
        <v>-0.25085391834945536</v>
      </c>
      <c r="N46" s="321"/>
      <c r="P46" s="502"/>
      <c r="Q46" s="502"/>
      <c r="R46" s="502"/>
      <c r="S46" s="502"/>
      <c r="T46" s="502"/>
      <c r="U46" s="502"/>
      <c r="V46" s="502"/>
      <c r="W46" s="502"/>
    </row>
    <row r="47" spans="1:23" x14ac:dyDescent="0.2">
      <c r="A47" s="480">
        <f>A46+1</f>
        <v>27</v>
      </c>
      <c r="C47" s="304" t="s">
        <v>624</v>
      </c>
      <c r="E47" s="320"/>
      <c r="F47" s="320"/>
      <c r="G47" s="320"/>
      <c r="H47" s="320"/>
      <c r="I47" s="320"/>
      <c r="J47" s="313"/>
      <c r="L47" s="474">
        <v>-0.3206400830593466</v>
      </c>
      <c r="M47" s="474">
        <v>-0.42472633743630905</v>
      </c>
      <c r="N47" s="321"/>
      <c r="P47" s="502"/>
      <c r="Q47" s="502"/>
      <c r="R47" s="502"/>
      <c r="S47" s="502"/>
      <c r="T47" s="502"/>
      <c r="U47" s="502"/>
      <c r="V47" s="502"/>
      <c r="W47" s="502"/>
    </row>
    <row r="48" spans="1:23" x14ac:dyDescent="0.2">
      <c r="E48" s="480"/>
      <c r="F48" s="480"/>
      <c r="G48" s="480"/>
      <c r="H48" s="480"/>
      <c r="I48" s="480"/>
      <c r="J48" s="323"/>
      <c r="K48" s="480"/>
      <c r="L48" s="472"/>
      <c r="M48" s="472"/>
      <c r="N48" s="480"/>
      <c r="P48" s="502"/>
      <c r="Q48" s="502"/>
      <c r="R48" s="502"/>
      <c r="S48" s="502"/>
      <c r="T48" s="502"/>
      <c r="U48" s="502"/>
      <c r="V48" s="502"/>
      <c r="W48" s="502"/>
    </row>
    <row r="49" spans="1:23" ht="14.25" x14ac:dyDescent="0.2">
      <c r="C49" s="305" t="s">
        <v>731</v>
      </c>
      <c r="E49" s="304" t="s">
        <v>868</v>
      </c>
      <c r="G49" s="480"/>
      <c r="H49" s="480"/>
      <c r="I49" s="480"/>
      <c r="J49" s="323"/>
      <c r="K49" s="480"/>
      <c r="L49" s="480"/>
      <c r="M49" s="480"/>
      <c r="N49" s="480"/>
      <c r="P49" s="502"/>
      <c r="Q49" s="502"/>
      <c r="R49" s="502"/>
      <c r="S49" s="502"/>
      <c r="T49" s="502"/>
      <c r="U49" s="502"/>
      <c r="V49" s="502"/>
      <c r="W49" s="502"/>
    </row>
    <row r="50" spans="1:23" x14ac:dyDescent="0.2">
      <c r="A50" s="480">
        <f>A47+1</f>
        <v>28</v>
      </c>
      <c r="C50" s="304" t="s">
        <v>617</v>
      </c>
      <c r="E50" s="310">
        <v>2906.7763366492927</v>
      </c>
      <c r="F50" s="312">
        <v>12.85842845549541</v>
      </c>
      <c r="G50" s="312"/>
      <c r="H50" s="310">
        <v>2283.9666956438359</v>
      </c>
      <c r="I50" s="312">
        <v>10.103365016561249</v>
      </c>
      <c r="J50" s="313">
        <f>H50-E50</f>
        <v>-622.8096410054568</v>
      </c>
      <c r="K50" s="312"/>
      <c r="L50" s="472">
        <f>J50/E50</f>
        <v>-0.21426128772032857</v>
      </c>
      <c r="M50" s="472">
        <f>L50</f>
        <v>-0.21426128772032857</v>
      </c>
      <c r="N50" s="314"/>
      <c r="P50" s="502"/>
      <c r="Q50" s="502"/>
      <c r="R50" s="502"/>
      <c r="S50" s="502"/>
      <c r="T50" s="502"/>
      <c r="U50" s="502"/>
      <c r="V50" s="502"/>
      <c r="W50" s="502"/>
    </row>
    <row r="51" spans="1:23" x14ac:dyDescent="0.2">
      <c r="A51" s="480">
        <f>A50+1</f>
        <v>29</v>
      </c>
      <c r="C51" s="304" t="s">
        <v>618</v>
      </c>
      <c r="E51" s="310">
        <v>2213.1273999999999</v>
      </c>
      <c r="F51" s="312">
        <v>9.7899999999999991</v>
      </c>
      <c r="G51" s="312"/>
      <c r="H51" s="310">
        <v>2213.1273999999999</v>
      </c>
      <c r="I51" s="312">
        <v>9.7899999999999991</v>
      </c>
      <c r="J51" s="313">
        <f>H51-E51</f>
        <v>0</v>
      </c>
      <c r="K51" s="312"/>
      <c r="L51" s="475">
        <f>IFERROR(J51/E51,"100.0%")</f>
        <v>0</v>
      </c>
      <c r="M51" s="475">
        <v>0</v>
      </c>
      <c r="N51" s="314"/>
      <c r="P51" s="502"/>
      <c r="Q51" s="502"/>
      <c r="R51" s="502"/>
      <c r="S51" s="502"/>
      <c r="T51" s="502"/>
      <c r="U51" s="502"/>
      <c r="V51" s="502"/>
      <c r="W51" s="502"/>
    </row>
    <row r="52" spans="1:23" x14ac:dyDescent="0.2">
      <c r="A52" s="480">
        <f>A51+1</f>
        <v>30</v>
      </c>
      <c r="C52" s="304" t="s">
        <v>619</v>
      </c>
      <c r="E52" s="310">
        <v>887.6798355828148</v>
      </c>
      <c r="F52" s="312">
        <v>3.9267443846006138</v>
      </c>
      <c r="G52" s="312"/>
      <c r="H52" s="310">
        <v>409.59811400000001</v>
      </c>
      <c r="I52" s="312">
        <v>1.81</v>
      </c>
      <c r="J52" s="313">
        <f>H52-E52</f>
        <v>-478.08172158281479</v>
      </c>
      <c r="K52" s="312"/>
      <c r="L52" s="472">
        <f>IFERROR(J52/E52,"100.0%")</f>
        <v>-0.53857449771732802</v>
      </c>
      <c r="M52" s="472">
        <f>L52</f>
        <v>-0.53857449771732802</v>
      </c>
      <c r="N52" s="314"/>
      <c r="P52" s="502"/>
      <c r="Q52" s="502"/>
      <c r="R52" s="502"/>
      <c r="S52" s="502"/>
      <c r="T52" s="502"/>
      <c r="U52" s="502"/>
      <c r="V52" s="502"/>
      <c r="W52" s="502"/>
    </row>
    <row r="53" spans="1:23" x14ac:dyDescent="0.2">
      <c r="A53" s="480">
        <f>A52+1</f>
        <v>31</v>
      </c>
      <c r="C53" s="304" t="s">
        <v>44</v>
      </c>
      <c r="E53" s="310">
        <v>4159.6846084086292</v>
      </c>
      <c r="F53" s="312">
        <v>18.400798940142568</v>
      </c>
      <c r="H53" s="310">
        <v>4725.4226040000003</v>
      </c>
      <c r="I53" s="312">
        <v>20.903400000000001</v>
      </c>
      <c r="J53" s="313">
        <f>H53-E53</f>
        <v>565.73799559137115</v>
      </c>
      <c r="L53" s="314">
        <f>J53/E53</f>
        <v>0.13600502173836818</v>
      </c>
      <c r="M53" s="314">
        <f>L53</f>
        <v>0.13600502173836818</v>
      </c>
      <c r="N53" s="314"/>
      <c r="P53" s="502"/>
      <c r="Q53" s="502"/>
      <c r="R53" s="502"/>
      <c r="S53" s="502"/>
      <c r="T53" s="502"/>
      <c r="U53" s="502"/>
      <c r="V53" s="502"/>
      <c r="W53" s="502"/>
    </row>
    <row r="54" spans="1:23" x14ac:dyDescent="0.2">
      <c r="A54" s="480">
        <f>A53+1</f>
        <v>32</v>
      </c>
      <c r="C54" s="304" t="s">
        <v>620</v>
      </c>
      <c r="E54" s="316">
        <f>SUM(E50:E53)</f>
        <v>10167.268180640736</v>
      </c>
      <c r="F54" s="317">
        <v>44.975971780238595</v>
      </c>
      <c r="H54" s="316">
        <f>SUM(H50:H53)</f>
        <v>9632.1148136438351</v>
      </c>
      <c r="I54" s="317">
        <v>42.60866501656124</v>
      </c>
      <c r="J54" s="318">
        <f>SUM(J50:J53)</f>
        <v>-535.15336699690033</v>
      </c>
      <c r="L54" s="473">
        <f>J54/E54</f>
        <v>-5.2634921936639149E-2</v>
      </c>
      <c r="M54" s="473">
        <f>(J50+J53+J52)/(E50+E53+E52)</f>
        <v>-6.7279846026787549E-2</v>
      </c>
      <c r="N54" s="320"/>
      <c r="P54" s="502"/>
      <c r="Q54" s="502"/>
      <c r="R54" s="502"/>
      <c r="S54" s="502"/>
      <c r="T54" s="502"/>
      <c r="U54" s="502"/>
      <c r="V54" s="502"/>
      <c r="W54" s="502"/>
    </row>
    <row r="55" spans="1:23" x14ac:dyDescent="0.2">
      <c r="E55" s="310"/>
      <c r="F55" s="312"/>
      <c r="G55" s="480"/>
      <c r="H55" s="310"/>
      <c r="I55" s="312"/>
      <c r="J55" s="313"/>
      <c r="L55" s="320"/>
      <c r="M55" s="320"/>
      <c r="N55" s="320"/>
      <c r="P55" s="502"/>
      <c r="Q55" s="502"/>
      <c r="R55" s="502"/>
      <c r="S55" s="502"/>
      <c r="T55" s="502"/>
      <c r="U55" s="502"/>
      <c r="V55" s="502"/>
      <c r="W55" s="502"/>
    </row>
    <row r="56" spans="1:23" x14ac:dyDescent="0.2">
      <c r="A56" s="480">
        <f>A54+1</f>
        <v>33</v>
      </c>
      <c r="C56" s="304" t="s">
        <v>621</v>
      </c>
      <c r="E56" s="316">
        <v>10733.006176232107</v>
      </c>
      <c r="F56" s="317">
        <v>47.478572840096021</v>
      </c>
      <c r="G56" s="320"/>
      <c r="H56" s="316">
        <v>10053.038533643836</v>
      </c>
      <c r="I56" s="317">
        <v>199.14894084080498</v>
      </c>
      <c r="J56" s="318">
        <v>-679.96764258827147</v>
      </c>
      <c r="L56" s="473">
        <v>-6.33529536295281E-2</v>
      </c>
      <c r="M56" s="473">
        <v>-7.9809544296002913E-2</v>
      </c>
      <c r="N56" s="320"/>
      <c r="P56" s="502"/>
      <c r="Q56" s="502"/>
      <c r="R56" s="502"/>
      <c r="S56" s="502"/>
      <c r="T56" s="502"/>
      <c r="U56" s="502"/>
      <c r="V56" s="502"/>
      <c r="W56" s="502"/>
    </row>
    <row r="57" spans="1:23" x14ac:dyDescent="0.2">
      <c r="A57" s="480">
        <f>A56+1</f>
        <v>34</v>
      </c>
      <c r="C57" s="304" t="s">
        <v>622</v>
      </c>
      <c r="E57" s="320"/>
      <c r="F57" s="320"/>
      <c r="G57" s="320"/>
      <c r="H57" s="320"/>
      <c r="I57" s="320"/>
      <c r="J57" s="313"/>
      <c r="L57" s="473">
        <v>-0.11318488280898449</v>
      </c>
      <c r="M57" s="473">
        <v>-0.17920028898061488</v>
      </c>
      <c r="N57" s="321"/>
      <c r="P57" s="502"/>
      <c r="Q57" s="502"/>
      <c r="R57" s="502"/>
      <c r="S57" s="502"/>
      <c r="T57" s="502"/>
      <c r="U57" s="502"/>
      <c r="V57" s="502"/>
      <c r="W57" s="502"/>
    </row>
    <row r="58" spans="1:23" x14ac:dyDescent="0.2">
      <c r="A58" s="480">
        <f>A57+1</f>
        <v>35</v>
      </c>
      <c r="C58" s="304" t="s">
        <v>623</v>
      </c>
      <c r="E58" s="316">
        <v>10064.541335728998</v>
      </c>
      <c r="F58" s="317">
        <v>44.521548861934882</v>
      </c>
      <c r="G58" s="320"/>
      <c r="H58" s="316">
        <v>9632.1148136438351</v>
      </c>
      <c r="I58" s="317">
        <v>190.81051532574952</v>
      </c>
      <c r="J58" s="318">
        <v>-432.42652208516364</v>
      </c>
      <c r="L58" s="473">
        <v>-4.2965348112790278E-2</v>
      </c>
      <c r="M58" s="473">
        <v>-5.5076260865236509E-2</v>
      </c>
      <c r="N58" s="321"/>
      <c r="P58" s="502"/>
      <c r="Q58" s="502"/>
      <c r="R58" s="502"/>
      <c r="S58" s="502"/>
      <c r="T58" s="502"/>
      <c r="U58" s="502"/>
      <c r="V58" s="502"/>
      <c r="W58" s="502"/>
    </row>
    <row r="59" spans="1:23" x14ac:dyDescent="0.2">
      <c r="A59" s="480">
        <f>A58+1</f>
        <v>36</v>
      </c>
      <c r="C59" s="304" t="s">
        <v>624</v>
      </c>
      <c r="E59" s="320"/>
      <c r="F59" s="320"/>
      <c r="G59" s="320"/>
      <c r="H59" s="320"/>
      <c r="I59" s="320"/>
      <c r="J59" s="313"/>
      <c r="L59" s="474">
        <v>-8.0992115705418741E-2</v>
      </c>
      <c r="M59" s="474">
        <v>-0.13833260434730207</v>
      </c>
      <c r="N59" s="321"/>
      <c r="P59" s="502"/>
      <c r="Q59" s="502"/>
      <c r="R59" s="502"/>
      <c r="S59" s="502"/>
      <c r="T59" s="502"/>
      <c r="U59" s="502"/>
      <c r="V59" s="502"/>
      <c r="W59" s="502"/>
    </row>
    <row r="60" spans="1:23" x14ac:dyDescent="0.2">
      <c r="E60" s="480"/>
      <c r="F60" s="480"/>
      <c r="G60" s="480"/>
      <c r="H60" s="480"/>
      <c r="I60" s="480"/>
      <c r="J60" s="323"/>
      <c r="K60" s="480"/>
      <c r="L60" s="480"/>
      <c r="M60" s="310"/>
      <c r="N60" s="480"/>
      <c r="P60" s="502"/>
      <c r="Q60" s="502"/>
      <c r="R60" s="502"/>
      <c r="S60" s="502"/>
      <c r="T60" s="502"/>
      <c r="U60" s="502"/>
      <c r="V60" s="502"/>
      <c r="W60" s="502"/>
    </row>
    <row r="61" spans="1:23" ht="14.25" x14ac:dyDescent="0.2">
      <c r="C61" s="305" t="s">
        <v>732</v>
      </c>
      <c r="E61" s="304" t="s">
        <v>701</v>
      </c>
      <c r="J61" s="313"/>
      <c r="P61" s="502"/>
      <c r="Q61" s="502"/>
      <c r="R61" s="502"/>
      <c r="S61" s="502"/>
      <c r="T61" s="502"/>
      <c r="U61" s="502"/>
      <c r="V61" s="502"/>
      <c r="W61" s="502"/>
    </row>
    <row r="62" spans="1:23" x14ac:dyDescent="0.2">
      <c r="A62" s="480">
        <f>A59+1</f>
        <v>37</v>
      </c>
      <c r="C62" s="304" t="s">
        <v>617</v>
      </c>
      <c r="E62" s="310">
        <v>22068.760649455457</v>
      </c>
      <c r="F62" s="312">
        <v>6.5075785404322479</v>
      </c>
      <c r="G62" s="312"/>
      <c r="H62" s="310">
        <v>29496.263548328774</v>
      </c>
      <c r="I62" s="312">
        <v>8.6977812093301488</v>
      </c>
      <c r="J62" s="313">
        <f>H62-E62</f>
        <v>7427.5028988733175</v>
      </c>
      <c r="K62" s="312"/>
      <c r="L62" s="314">
        <f>J62/E62</f>
        <v>0.33656184943292633</v>
      </c>
      <c r="M62" s="314">
        <f>L62</f>
        <v>0.33656184943292633</v>
      </c>
      <c r="N62" s="315"/>
      <c r="O62" s="315"/>
      <c r="P62" s="502"/>
      <c r="Q62" s="502"/>
      <c r="R62" s="502"/>
      <c r="S62" s="502"/>
      <c r="T62" s="502"/>
      <c r="U62" s="502"/>
      <c r="V62" s="502"/>
      <c r="W62" s="502"/>
    </row>
    <row r="63" spans="1:23" x14ac:dyDescent="0.2">
      <c r="A63" s="480">
        <f>A62+1</f>
        <v>38</v>
      </c>
      <c r="C63" s="304" t="s">
        <v>618</v>
      </c>
      <c r="E63" s="310">
        <v>33200.239599999994</v>
      </c>
      <c r="F63" s="312">
        <v>9.7899999999999991</v>
      </c>
      <c r="G63" s="312"/>
      <c r="H63" s="310">
        <v>33200.239599999994</v>
      </c>
      <c r="I63" s="312">
        <v>9.7899999999999991</v>
      </c>
      <c r="J63" s="313">
        <f>H63-E63</f>
        <v>0</v>
      </c>
      <c r="K63" s="312"/>
      <c r="L63" s="315">
        <f>IFERROR(J63/E63,"100.0%")</f>
        <v>0</v>
      </c>
      <c r="M63" s="315">
        <v>0</v>
      </c>
      <c r="N63" s="315"/>
      <c r="O63" s="315"/>
      <c r="P63" s="502"/>
      <c r="Q63" s="502"/>
      <c r="R63" s="502"/>
      <c r="S63" s="502"/>
      <c r="T63" s="502"/>
      <c r="U63" s="502"/>
      <c r="V63" s="502"/>
      <c r="W63" s="502"/>
    </row>
    <row r="64" spans="1:23" x14ac:dyDescent="0.2">
      <c r="A64" s="480">
        <f>A63+1</f>
        <v>39</v>
      </c>
      <c r="C64" s="304" t="s">
        <v>619</v>
      </c>
      <c r="E64" s="310">
        <v>13316.532626832986</v>
      </c>
      <c r="F64" s="312">
        <v>3.9267443846006138</v>
      </c>
      <c r="G64" s="312"/>
      <c r="H64" s="310">
        <v>6144.5877560000008</v>
      </c>
      <c r="I64" s="312">
        <v>1.8119000000000003</v>
      </c>
      <c r="J64" s="313">
        <f>H64-E64</f>
        <v>-7171.9448708329855</v>
      </c>
      <c r="K64" s="312"/>
      <c r="L64" s="472">
        <f>IFERROR(J64/E64,"100.0%")</f>
        <v>-0.53857449771732802</v>
      </c>
      <c r="M64" s="472">
        <f>L64</f>
        <v>-0.53857449771732802</v>
      </c>
      <c r="N64" s="315"/>
      <c r="O64" s="315"/>
      <c r="P64" s="502"/>
      <c r="Q64" s="502"/>
      <c r="R64" s="502"/>
      <c r="S64" s="502"/>
      <c r="T64" s="502"/>
      <c r="U64" s="502"/>
      <c r="V64" s="502"/>
      <c r="W64" s="502"/>
    </row>
    <row r="65" spans="1:23" x14ac:dyDescent="0.2">
      <c r="A65" s="480">
        <f>A64+1</f>
        <v>40</v>
      </c>
      <c r="C65" s="304" t="s">
        <v>44</v>
      </c>
      <c r="E65" s="310">
        <v>62401.525397769081</v>
      </c>
      <c r="F65" s="312">
        <v>18.400798940142568</v>
      </c>
      <c r="H65" s="310">
        <v>70888.446215999997</v>
      </c>
      <c r="I65" s="312">
        <v>20.903400000000001</v>
      </c>
      <c r="J65" s="313">
        <f>H65-E65</f>
        <v>8486.9208182309158</v>
      </c>
      <c r="L65" s="314">
        <f>J65/E65</f>
        <v>0.13600502173836815</v>
      </c>
      <c r="M65" s="314">
        <f>L65</f>
        <v>0.13600502173836815</v>
      </c>
      <c r="N65" s="314"/>
      <c r="P65" s="502"/>
      <c r="Q65" s="502"/>
      <c r="R65" s="502"/>
      <c r="S65" s="502"/>
      <c r="T65" s="502"/>
      <c r="U65" s="502"/>
      <c r="V65" s="502"/>
      <c r="W65" s="502"/>
    </row>
    <row r="66" spans="1:23" x14ac:dyDescent="0.2">
      <c r="A66" s="480">
        <f>A65+1</f>
        <v>41</v>
      </c>
      <c r="C66" s="304" t="s">
        <v>620</v>
      </c>
      <c r="E66" s="316">
        <f>SUM(E62:E65)</f>
        <v>130987.05827405752</v>
      </c>
      <c r="F66" s="317">
        <v>38.62512186517543</v>
      </c>
      <c r="H66" s="316">
        <f>SUM(H62:H65)</f>
        <v>139729.53712032875</v>
      </c>
      <c r="I66" s="317">
        <v>41.203081209330144</v>
      </c>
      <c r="J66" s="318">
        <f>SUM(J62:J65)</f>
        <v>8742.4788462712477</v>
      </c>
      <c r="L66" s="319">
        <f>J66/E66</f>
        <v>6.6743073410961001E-2</v>
      </c>
      <c r="M66" s="319">
        <f>(J62+J65+J64)/(E62+E65+E64)</f>
        <v>8.9403448898482216E-2</v>
      </c>
      <c r="N66" s="320"/>
      <c r="P66" s="502"/>
      <c r="Q66" s="502"/>
      <c r="R66" s="502"/>
      <c r="S66" s="502"/>
      <c r="T66" s="502"/>
      <c r="U66" s="502"/>
      <c r="V66" s="502"/>
      <c r="W66" s="502"/>
    </row>
    <row r="67" spans="1:23" x14ac:dyDescent="0.2">
      <c r="E67" s="310"/>
      <c r="F67" s="312"/>
      <c r="G67" s="480"/>
      <c r="H67" s="310"/>
      <c r="I67" s="312"/>
      <c r="J67" s="313"/>
      <c r="L67" s="320"/>
      <c r="M67" s="320"/>
      <c r="N67" s="320"/>
      <c r="P67" s="502"/>
      <c r="Q67" s="502"/>
      <c r="R67" s="502"/>
      <c r="S67" s="502"/>
      <c r="T67" s="502"/>
      <c r="U67" s="502"/>
      <c r="V67" s="502"/>
      <c r="W67" s="502"/>
    </row>
    <row r="68" spans="1:23" x14ac:dyDescent="0.2">
      <c r="A68" s="480">
        <f>A66+1</f>
        <v>42</v>
      </c>
      <c r="C68" s="304" t="s">
        <v>621</v>
      </c>
      <c r="E68" s="316">
        <v>139473.97909228841</v>
      </c>
      <c r="F68" s="317">
        <v>41.127722925032856</v>
      </c>
      <c r="G68" s="320"/>
      <c r="H68" s="316">
        <v>146044.02600032877</v>
      </c>
      <c r="I68" s="317">
        <v>43.065081209330145</v>
      </c>
      <c r="J68" s="318">
        <v>6570.0469080403327</v>
      </c>
      <c r="L68" s="473">
        <v>4.7105897105674491E-2</v>
      </c>
      <c r="M68" s="473">
        <v>6.1821922701017558E-2</v>
      </c>
      <c r="N68" s="320"/>
      <c r="P68" s="502"/>
      <c r="Q68" s="502"/>
      <c r="R68" s="502"/>
      <c r="S68" s="502"/>
      <c r="T68" s="502"/>
      <c r="U68" s="502"/>
      <c r="V68" s="502"/>
      <c r="W68" s="502"/>
    </row>
    <row r="69" spans="1:23" x14ac:dyDescent="0.2">
      <c r="A69" s="480">
        <f>A68+1</f>
        <v>43</v>
      </c>
      <c r="C69" s="304" t="s">
        <v>622</v>
      </c>
      <c r="E69" s="320"/>
      <c r="F69" s="320"/>
      <c r="G69" s="320"/>
      <c r="H69" s="320"/>
      <c r="I69" s="320"/>
      <c r="J69" s="313"/>
      <c r="L69" s="473">
        <v>9.579348052731608E-2</v>
      </c>
      <c r="M69" s="473">
        <v>0.18567168164303155</v>
      </c>
      <c r="N69" s="321"/>
      <c r="P69" s="502"/>
      <c r="Q69" s="502"/>
      <c r="R69" s="502"/>
      <c r="S69" s="502"/>
      <c r="T69" s="502"/>
      <c r="U69" s="502"/>
      <c r="V69" s="502"/>
      <c r="W69" s="502"/>
    </row>
    <row r="70" spans="1:23" x14ac:dyDescent="0.2">
      <c r="A70" s="480">
        <f>A69+1</f>
        <v>44</v>
      </c>
      <c r="C70" s="304" t="s">
        <v>623</v>
      </c>
      <c r="E70" s="316">
        <v>129446.00109658923</v>
      </c>
      <c r="F70" s="317">
        <v>38.17069894687171</v>
      </c>
      <c r="G70" s="320"/>
      <c r="H70" s="316">
        <v>139729.53712032875</v>
      </c>
      <c r="I70" s="317">
        <v>41.203081209330144</v>
      </c>
      <c r="J70" s="318">
        <v>10283.536023739525</v>
      </c>
      <c r="L70" s="473">
        <v>7.944267058559977E-2</v>
      </c>
      <c r="M70" s="473">
        <v>0.10684663785536105</v>
      </c>
      <c r="N70" s="321"/>
      <c r="P70" s="502"/>
      <c r="Q70" s="502"/>
      <c r="R70" s="502"/>
      <c r="S70" s="502"/>
      <c r="T70" s="502"/>
      <c r="U70" s="502"/>
      <c r="V70" s="502"/>
      <c r="W70" s="502"/>
    </row>
    <row r="71" spans="1:23" x14ac:dyDescent="0.2">
      <c r="A71" s="480">
        <f>A70+1</f>
        <v>45</v>
      </c>
      <c r="C71" s="304" t="s">
        <v>624</v>
      </c>
      <c r="E71" s="320"/>
      <c r="F71" s="320"/>
      <c r="G71" s="320"/>
      <c r="H71" s="320"/>
      <c r="I71" s="320"/>
      <c r="J71" s="313"/>
      <c r="L71" s="474">
        <v>0.17561416361577503</v>
      </c>
      <c r="M71" s="474">
        <v>0.40554514190275737</v>
      </c>
      <c r="N71" s="321"/>
      <c r="P71" s="502"/>
      <c r="Q71" s="502"/>
      <c r="R71" s="502"/>
      <c r="S71" s="502"/>
      <c r="T71" s="502"/>
      <c r="U71" s="502"/>
      <c r="V71" s="502"/>
      <c r="W71" s="502"/>
    </row>
    <row r="72" spans="1:23" x14ac:dyDescent="0.2">
      <c r="E72" s="480"/>
      <c r="F72" s="480"/>
      <c r="G72" s="480"/>
      <c r="H72" s="480"/>
      <c r="I72" s="480"/>
      <c r="J72" s="323"/>
      <c r="K72" s="480"/>
      <c r="L72" s="480"/>
      <c r="M72" s="480"/>
      <c r="N72" s="480"/>
      <c r="P72" s="502"/>
      <c r="Q72" s="502"/>
      <c r="R72" s="502"/>
      <c r="S72" s="502"/>
      <c r="T72" s="502"/>
      <c r="U72" s="502"/>
      <c r="V72" s="502"/>
      <c r="W72" s="502"/>
    </row>
    <row r="73" spans="1:23" ht="14.25" x14ac:dyDescent="0.2">
      <c r="C73" s="305" t="s">
        <v>733</v>
      </c>
      <c r="E73" s="304" t="s">
        <v>702</v>
      </c>
      <c r="G73" s="480"/>
      <c r="H73" s="480"/>
      <c r="I73" s="480"/>
      <c r="J73" s="323"/>
      <c r="K73" s="480"/>
      <c r="L73" s="480"/>
      <c r="M73" s="480"/>
      <c r="N73" s="480"/>
      <c r="P73" s="502"/>
      <c r="Q73" s="502"/>
      <c r="R73" s="502"/>
      <c r="S73" s="502"/>
      <c r="T73" s="502"/>
      <c r="U73" s="502"/>
      <c r="V73" s="502"/>
      <c r="W73" s="502"/>
    </row>
    <row r="74" spans="1:23" x14ac:dyDescent="0.2">
      <c r="A74" s="480">
        <f>A71+1</f>
        <v>46</v>
      </c>
      <c r="C74" s="304" t="s">
        <v>617</v>
      </c>
      <c r="E74" s="310">
        <v>20571.514708088391</v>
      </c>
      <c r="F74" s="312">
        <v>6.0649299822188256</v>
      </c>
      <c r="G74" s="312"/>
      <c r="H74" s="310">
        <v>29243.604931999998</v>
      </c>
      <c r="I74" s="312">
        <v>8.6216508048633784</v>
      </c>
      <c r="J74" s="313">
        <f>H74-E74</f>
        <v>8672.0902239116076</v>
      </c>
      <c r="K74" s="312"/>
      <c r="L74" s="314">
        <f>J74/E74</f>
        <v>0.42155817629228248</v>
      </c>
      <c r="M74" s="314">
        <f>L74</f>
        <v>0.42155817629228248</v>
      </c>
      <c r="N74" s="314"/>
      <c r="P74" s="502"/>
      <c r="Q74" s="502"/>
      <c r="R74" s="502"/>
      <c r="S74" s="502"/>
      <c r="T74" s="502"/>
      <c r="U74" s="502"/>
      <c r="V74" s="502"/>
      <c r="W74" s="502"/>
    </row>
    <row r="75" spans="1:23" x14ac:dyDescent="0.2">
      <c r="A75" s="480">
        <f>A74+1</f>
        <v>47</v>
      </c>
      <c r="C75" s="304" t="s">
        <v>618</v>
      </c>
      <c r="E75" s="310">
        <v>33206.505199999992</v>
      </c>
      <c r="F75" s="312">
        <v>9.7899999999999991</v>
      </c>
      <c r="G75" s="312"/>
      <c r="H75" s="310">
        <v>33206.505199999992</v>
      </c>
      <c r="I75" s="312">
        <v>9.7899999999999991</v>
      </c>
      <c r="J75" s="313">
        <f>H75-E75</f>
        <v>0</v>
      </c>
      <c r="K75" s="312"/>
      <c r="L75" s="315">
        <f>IFERROR(J75/E75,"100.0%")</f>
        <v>0</v>
      </c>
      <c r="M75" s="315">
        <v>0</v>
      </c>
      <c r="N75" s="314"/>
      <c r="P75" s="502"/>
      <c r="Q75" s="502"/>
      <c r="R75" s="502"/>
      <c r="S75" s="502"/>
      <c r="T75" s="502"/>
      <c r="U75" s="502"/>
      <c r="V75" s="502"/>
      <c r="W75" s="502"/>
    </row>
    <row r="76" spans="1:23" x14ac:dyDescent="0.2">
      <c r="A76" s="480">
        <f>A75+1</f>
        <v>48</v>
      </c>
      <c r="C76" s="304" t="s">
        <v>619</v>
      </c>
      <c r="E76" s="310">
        <v>13319.051122395083</v>
      </c>
      <c r="F76" s="312">
        <v>3.9267459704927896</v>
      </c>
      <c r="G76" s="312"/>
      <c r="H76" s="310">
        <v>4506.11258</v>
      </c>
      <c r="I76" s="312">
        <v>1.3285</v>
      </c>
      <c r="J76" s="313">
        <f>H76-E76</f>
        <v>-8812.9385423950844</v>
      </c>
      <c r="K76" s="312"/>
      <c r="L76" s="472">
        <f>IFERROR(J76/E76,"100.0%")</f>
        <v>-0.66167915877856531</v>
      </c>
      <c r="M76" s="472">
        <f>L76</f>
        <v>-0.66167915877856531</v>
      </c>
      <c r="N76" s="314"/>
      <c r="P76" s="502"/>
      <c r="Q76" s="502"/>
      <c r="R76" s="502"/>
      <c r="S76" s="502"/>
      <c r="T76" s="502"/>
      <c r="U76" s="502"/>
      <c r="V76" s="502"/>
      <c r="W76" s="502"/>
    </row>
    <row r="77" spans="1:23" x14ac:dyDescent="0.2">
      <c r="A77" s="480">
        <f>A76+1</f>
        <v>49</v>
      </c>
      <c r="C77" s="304" t="s">
        <v>44</v>
      </c>
      <c r="E77" s="310">
        <v>62413.343611453587</v>
      </c>
      <c r="F77" s="312">
        <v>18.400811234906183</v>
      </c>
      <c r="H77" s="310">
        <v>70901.82439200001</v>
      </c>
      <c r="I77" s="312">
        <v>20.903400000000001</v>
      </c>
      <c r="J77" s="313">
        <f>H77-E77</f>
        <v>8488.4807805464225</v>
      </c>
      <c r="L77" s="314">
        <f>J77/E77</f>
        <v>0.1360042627004634</v>
      </c>
      <c r="M77" s="314">
        <f>L77</f>
        <v>0.1360042627004634</v>
      </c>
      <c r="N77" s="314"/>
      <c r="P77" s="502"/>
      <c r="Q77" s="502"/>
      <c r="R77" s="502"/>
      <c r="S77" s="502"/>
      <c r="T77" s="502"/>
      <c r="U77" s="502"/>
      <c r="V77" s="502"/>
      <c r="W77" s="502"/>
    </row>
    <row r="78" spans="1:23" x14ac:dyDescent="0.2">
      <c r="A78" s="480">
        <f>A77+1</f>
        <v>50</v>
      </c>
      <c r="C78" s="304" t="s">
        <v>620</v>
      </c>
      <c r="E78" s="316">
        <f>SUM(E74:E77)</f>
        <v>129510.41464193705</v>
      </c>
      <c r="F78" s="317">
        <v>38.182487187617795</v>
      </c>
      <c r="H78" s="316">
        <f>SUM(H74:H77)</f>
        <v>137858.047104</v>
      </c>
      <c r="I78" s="317">
        <v>40.643550804863374</v>
      </c>
      <c r="J78" s="318">
        <f>SUM(J74:J77)</f>
        <v>8347.6324620629457</v>
      </c>
      <c r="L78" s="319">
        <f>J78/E78</f>
        <v>6.4455298712014789E-2</v>
      </c>
      <c r="M78" s="319">
        <f>(J74+J77+J76)/(E74+E77+E76)</f>
        <v>8.6680099597574972E-2</v>
      </c>
      <c r="N78" s="320"/>
      <c r="P78" s="502"/>
      <c r="Q78" s="502"/>
      <c r="R78" s="502"/>
      <c r="S78" s="502"/>
      <c r="T78" s="502"/>
      <c r="U78" s="502"/>
      <c r="V78" s="502"/>
      <c r="W78" s="502"/>
    </row>
    <row r="79" spans="1:23" x14ac:dyDescent="0.2">
      <c r="E79" s="310"/>
      <c r="F79" s="312"/>
      <c r="G79" s="480"/>
      <c r="H79" s="310"/>
      <c r="I79" s="312"/>
      <c r="J79" s="313"/>
      <c r="L79" s="320"/>
      <c r="M79" s="320"/>
      <c r="N79" s="320"/>
      <c r="P79" s="502"/>
      <c r="Q79" s="502"/>
      <c r="R79" s="502"/>
      <c r="S79" s="502"/>
      <c r="T79" s="502"/>
      <c r="U79" s="502"/>
      <c r="V79" s="502"/>
      <c r="W79" s="502"/>
    </row>
    <row r="80" spans="1:23" x14ac:dyDescent="0.2">
      <c r="A80" s="480">
        <f>A78+1</f>
        <v>51</v>
      </c>
      <c r="C80" s="304" t="s">
        <v>621</v>
      </c>
      <c r="E80" s="316">
        <v>137998.89542248347</v>
      </c>
      <c r="F80" s="317">
        <v>40.685075952711614</v>
      </c>
      <c r="G80" s="320"/>
      <c r="H80" s="316">
        <v>144173.38847599999</v>
      </c>
      <c r="I80" s="317">
        <v>42.505450804863379</v>
      </c>
      <c r="J80" s="318">
        <v>6174.493053516524</v>
      </c>
      <c r="L80" s="473">
        <v>4.4743061418088315E-2</v>
      </c>
      <c r="M80" s="473">
        <v>5.8921196857973472E-2</v>
      </c>
      <c r="N80" s="320"/>
      <c r="P80" s="502"/>
      <c r="Q80" s="502"/>
      <c r="R80" s="502"/>
      <c r="S80" s="502"/>
      <c r="T80" s="502"/>
      <c r="U80" s="502"/>
      <c r="V80" s="502"/>
      <c r="W80" s="502"/>
    </row>
    <row r="81" spans="1:23" x14ac:dyDescent="0.2">
      <c r="A81" s="480">
        <f>A80+1</f>
        <v>52</v>
      </c>
      <c r="C81" s="304" t="s">
        <v>622</v>
      </c>
      <c r="E81" s="320"/>
      <c r="F81" s="320"/>
      <c r="G81" s="320"/>
      <c r="H81" s="320"/>
      <c r="I81" s="320"/>
      <c r="J81" s="313"/>
      <c r="L81" s="473">
        <v>9.2023287435472931E-2</v>
      </c>
      <c r="M81" s="473">
        <v>0.18218914031711936</v>
      </c>
      <c r="N81" s="321"/>
      <c r="P81" s="502"/>
      <c r="Q81" s="502"/>
      <c r="R81" s="502"/>
      <c r="S81" s="502"/>
      <c r="T81" s="502"/>
      <c r="U81" s="502"/>
      <c r="V81" s="502"/>
      <c r="W81" s="502"/>
    </row>
    <row r="82" spans="1:23" x14ac:dyDescent="0.2">
      <c r="A82" s="480">
        <f>A81+1</f>
        <v>53</v>
      </c>
      <c r="C82" s="304" t="s">
        <v>623</v>
      </c>
      <c r="E82" s="316">
        <v>127969.01810601827</v>
      </c>
      <c r="F82" s="317">
        <v>37.728049962268202</v>
      </c>
      <c r="G82" s="320"/>
      <c r="H82" s="316">
        <v>137858.047104</v>
      </c>
      <c r="I82" s="317">
        <v>40.643550804863374</v>
      </c>
      <c r="J82" s="318">
        <v>9889.0289979817335</v>
      </c>
      <c r="L82" s="473">
        <v>7.7276743577019455E-2</v>
      </c>
      <c r="M82" s="473">
        <v>0.1043559177012252</v>
      </c>
      <c r="N82" s="321"/>
      <c r="P82" s="502"/>
      <c r="Q82" s="502"/>
      <c r="R82" s="502"/>
      <c r="S82" s="502"/>
      <c r="T82" s="502"/>
      <c r="U82" s="502"/>
      <c r="V82" s="502"/>
      <c r="W82" s="502"/>
    </row>
    <row r="83" spans="1:23" x14ac:dyDescent="0.2">
      <c r="A83" s="480">
        <f>A82+1</f>
        <v>54</v>
      </c>
      <c r="C83" s="304" t="s">
        <v>624</v>
      </c>
      <c r="E83" s="320"/>
      <c r="F83" s="320"/>
      <c r="G83" s="320"/>
      <c r="H83" s="320"/>
      <c r="I83" s="320"/>
      <c r="J83" s="313"/>
      <c r="L83" s="474">
        <v>0.17328745912299076</v>
      </c>
      <c r="M83" s="474">
        <v>0.41444860202470202</v>
      </c>
      <c r="N83" s="321"/>
      <c r="P83" s="502"/>
      <c r="Q83" s="502"/>
      <c r="R83" s="502"/>
      <c r="S83" s="502"/>
      <c r="T83" s="502"/>
      <c r="U83" s="502"/>
      <c r="V83" s="502"/>
      <c r="W83" s="502"/>
    </row>
    <row r="84" spans="1:23" ht="12.75" customHeight="1" x14ac:dyDescent="0.2">
      <c r="L84" s="422"/>
      <c r="M84" s="422"/>
      <c r="N84" s="422"/>
    </row>
    <row r="85" spans="1:23" x14ac:dyDescent="0.2">
      <c r="C85" s="305"/>
      <c r="D85" s="305"/>
      <c r="E85" s="305"/>
      <c r="F85" s="305"/>
      <c r="G85" s="305"/>
      <c r="H85" s="305"/>
      <c r="I85" s="305"/>
      <c r="J85" s="305"/>
      <c r="L85" s="422"/>
      <c r="M85" s="422"/>
      <c r="N85" s="422"/>
    </row>
    <row r="86" spans="1:23" x14ac:dyDescent="0.2">
      <c r="C86" s="305"/>
      <c r="D86" s="305"/>
      <c r="E86" s="305"/>
      <c r="F86" s="305"/>
      <c r="G86" s="305"/>
      <c r="H86" s="305"/>
      <c r="I86" s="305"/>
      <c r="J86" s="305"/>
      <c r="L86" s="422" t="s">
        <v>139</v>
      </c>
      <c r="M86" s="422"/>
      <c r="N86" s="422"/>
    </row>
    <row r="87" spans="1:23" x14ac:dyDescent="0.2">
      <c r="A87" s="515" t="s">
        <v>881</v>
      </c>
      <c r="B87" s="515"/>
      <c r="C87" s="515"/>
      <c r="D87" s="515"/>
      <c r="E87" s="515"/>
      <c r="F87" s="515"/>
      <c r="G87" s="515"/>
      <c r="H87" s="515"/>
      <c r="I87" s="515"/>
      <c r="J87" s="515"/>
      <c r="K87" s="515"/>
      <c r="L87" s="515"/>
      <c r="M87" s="515"/>
      <c r="P87" s="304"/>
    </row>
    <row r="88" spans="1:23" x14ac:dyDescent="0.2">
      <c r="A88" s="515" t="s">
        <v>813</v>
      </c>
      <c r="B88" s="515"/>
      <c r="C88" s="515"/>
      <c r="D88" s="515"/>
      <c r="E88" s="515"/>
      <c r="F88" s="515"/>
      <c r="G88" s="515"/>
      <c r="H88" s="515"/>
      <c r="I88" s="515"/>
      <c r="J88" s="515"/>
      <c r="K88" s="515"/>
      <c r="L88" s="515"/>
      <c r="M88" s="515"/>
      <c r="P88" s="304"/>
    </row>
    <row r="89" spans="1:23" x14ac:dyDescent="0.2">
      <c r="A89" s="306"/>
      <c r="B89" s="306"/>
      <c r="E89" s="307"/>
      <c r="F89" s="307"/>
      <c r="G89" s="307"/>
      <c r="H89" s="307"/>
      <c r="I89" s="307"/>
      <c r="J89" s="307"/>
      <c r="K89" s="307"/>
      <c r="L89" s="307"/>
      <c r="M89" s="308"/>
      <c r="N89" s="480"/>
    </row>
    <row r="90" spans="1:23" x14ac:dyDescent="0.2">
      <c r="E90" s="516" t="s">
        <v>812</v>
      </c>
      <c r="F90" s="516"/>
      <c r="H90" s="516" t="s">
        <v>607</v>
      </c>
      <c r="I90" s="516"/>
      <c r="J90" s="516"/>
      <c r="L90" s="516" t="s">
        <v>608</v>
      </c>
      <c r="M90" s="516"/>
      <c r="N90" s="480"/>
      <c r="O90" s="480"/>
    </row>
    <row r="91" spans="1:23" x14ac:dyDescent="0.2">
      <c r="E91" s="480" t="s">
        <v>47</v>
      </c>
      <c r="F91" s="480"/>
      <c r="H91" s="480" t="s">
        <v>47</v>
      </c>
      <c r="I91" s="480"/>
      <c r="J91" s="480" t="s">
        <v>609</v>
      </c>
      <c r="L91" s="480" t="s">
        <v>610</v>
      </c>
      <c r="M91" s="480" t="s">
        <v>611</v>
      </c>
      <c r="N91" s="480"/>
      <c r="O91" s="480"/>
    </row>
    <row r="92" spans="1:23" x14ac:dyDescent="0.2">
      <c r="A92" s="480" t="s">
        <v>0</v>
      </c>
      <c r="E92" s="480" t="s">
        <v>612</v>
      </c>
      <c r="F92" s="480" t="s">
        <v>264</v>
      </c>
      <c r="H92" s="480" t="s">
        <v>612</v>
      </c>
      <c r="I92" s="480" t="s">
        <v>264</v>
      </c>
      <c r="J92" s="480" t="s">
        <v>613</v>
      </c>
      <c r="L92" s="480" t="s">
        <v>614</v>
      </c>
      <c r="M92" s="480" t="s">
        <v>614</v>
      </c>
      <c r="N92" s="480"/>
      <c r="O92" s="480"/>
    </row>
    <row r="93" spans="1:23" ht="14.25" x14ac:dyDescent="0.2">
      <c r="A93" s="491" t="s">
        <v>1</v>
      </c>
      <c r="C93" s="309" t="s">
        <v>9</v>
      </c>
      <c r="E93" s="491" t="s">
        <v>288</v>
      </c>
      <c r="F93" s="491" t="s">
        <v>12</v>
      </c>
      <c r="H93" s="491" t="s">
        <v>288</v>
      </c>
      <c r="I93" s="491" t="s">
        <v>12</v>
      </c>
      <c r="J93" s="491" t="s">
        <v>288</v>
      </c>
      <c r="L93" s="491" t="s">
        <v>2</v>
      </c>
      <c r="M93" s="491" t="s">
        <v>2</v>
      </c>
      <c r="N93" s="480"/>
      <c r="O93" s="480"/>
      <c r="Q93" s="305"/>
    </row>
    <row r="94" spans="1:23" x14ac:dyDescent="0.2">
      <c r="E94" s="480" t="s">
        <v>3</v>
      </c>
      <c r="F94" s="480" t="s">
        <v>4</v>
      </c>
      <c r="G94" s="480"/>
      <c r="H94" s="480" t="s">
        <v>86</v>
      </c>
      <c r="I94" s="480" t="s">
        <v>133</v>
      </c>
      <c r="J94" s="480" t="s">
        <v>615</v>
      </c>
      <c r="K94" s="480"/>
      <c r="L94" s="480" t="s">
        <v>616</v>
      </c>
      <c r="M94" s="480" t="s">
        <v>15</v>
      </c>
      <c r="N94" s="480"/>
      <c r="O94" s="480"/>
    </row>
    <row r="95" spans="1:23" x14ac:dyDescent="0.2">
      <c r="E95" s="480"/>
      <c r="F95" s="480"/>
      <c r="G95" s="480"/>
      <c r="H95" s="480"/>
      <c r="I95" s="480"/>
      <c r="J95" s="480"/>
      <c r="K95" s="480"/>
      <c r="L95" s="480"/>
      <c r="M95" s="480"/>
      <c r="N95" s="480"/>
      <c r="O95" s="480"/>
    </row>
    <row r="96" spans="1:23" ht="14.45" customHeight="1" x14ac:dyDescent="0.2">
      <c r="C96" s="305" t="s">
        <v>734</v>
      </c>
      <c r="E96" s="304" t="s">
        <v>703</v>
      </c>
      <c r="G96" s="480"/>
      <c r="H96" s="480"/>
      <c r="I96" s="480"/>
      <c r="J96" s="323"/>
      <c r="K96" s="480"/>
      <c r="L96" s="480"/>
      <c r="M96" s="480"/>
      <c r="N96" s="480"/>
      <c r="P96" s="502"/>
      <c r="Q96" s="502"/>
      <c r="R96" s="502"/>
      <c r="S96" s="502"/>
      <c r="T96" s="502"/>
      <c r="U96" s="502"/>
      <c r="V96" s="502"/>
      <c r="W96" s="502"/>
    </row>
    <row r="97" spans="1:23" x14ac:dyDescent="0.2">
      <c r="A97" s="480">
        <f>A83+1</f>
        <v>55</v>
      </c>
      <c r="C97" s="304" t="s">
        <v>617</v>
      </c>
      <c r="E97" s="310">
        <v>81273.991813933811</v>
      </c>
      <c r="F97" s="312">
        <v>13.578094317584133</v>
      </c>
      <c r="G97" s="312"/>
      <c r="H97" s="310">
        <v>118890.65695600001</v>
      </c>
      <c r="I97" s="312">
        <v>19.862547877848261</v>
      </c>
      <c r="J97" s="313">
        <f>H97-E97</f>
        <v>37616.665142066195</v>
      </c>
      <c r="K97" s="312"/>
      <c r="L97" s="314">
        <f>J97/E97</f>
        <v>0.46283767171402923</v>
      </c>
      <c r="M97" s="314">
        <f>L97</f>
        <v>0.46283767171402923</v>
      </c>
      <c r="N97" s="314"/>
      <c r="P97" s="502"/>
      <c r="Q97" s="502"/>
      <c r="R97" s="502"/>
      <c r="S97" s="502"/>
      <c r="T97" s="502"/>
      <c r="U97" s="502"/>
      <c r="V97" s="502"/>
      <c r="W97" s="502"/>
    </row>
    <row r="98" spans="1:23" x14ac:dyDescent="0.2">
      <c r="A98" s="480">
        <f>A97+1</f>
        <v>56</v>
      </c>
      <c r="C98" s="304" t="s">
        <v>618</v>
      </c>
      <c r="E98" s="310">
        <v>58599.709299999995</v>
      </c>
      <c r="F98" s="312">
        <v>9.7899999999999991</v>
      </c>
      <c r="G98" s="312"/>
      <c r="H98" s="310">
        <v>58599.709299999995</v>
      </c>
      <c r="I98" s="312">
        <v>9.7899999999999991</v>
      </c>
      <c r="J98" s="313">
        <f>H98-E98</f>
        <v>0</v>
      </c>
      <c r="K98" s="312"/>
      <c r="L98" s="315">
        <f>IFERROR(J98/E98,"100.0%")</f>
        <v>0</v>
      </c>
      <c r="M98" s="315">
        <v>0</v>
      </c>
      <c r="N98" s="314"/>
      <c r="P98" s="502"/>
      <c r="Q98" s="502"/>
      <c r="R98" s="502"/>
      <c r="S98" s="502"/>
      <c r="T98" s="502"/>
      <c r="U98" s="502"/>
      <c r="V98" s="502"/>
      <c r="W98" s="502"/>
    </row>
    <row r="99" spans="1:23" x14ac:dyDescent="0.2">
      <c r="A99" s="480">
        <f>A98+1</f>
        <v>57</v>
      </c>
      <c r="C99" s="304" t="s">
        <v>619</v>
      </c>
      <c r="E99" s="310">
        <v>23504.205553199576</v>
      </c>
      <c r="F99" s="312">
        <v>3.9267459704927896</v>
      </c>
      <c r="G99" s="312"/>
      <c r="H99" s="310">
        <v>7951.9625950000009</v>
      </c>
      <c r="I99" s="312">
        <v>1.3285000000000002</v>
      </c>
      <c r="J99" s="313">
        <f>H99-E99</f>
        <v>-15552.242958199575</v>
      </c>
      <c r="K99" s="312"/>
      <c r="L99" s="472">
        <f>J99/E99</f>
        <v>-0.6616791587785652</v>
      </c>
      <c r="M99" s="472">
        <f>L99</f>
        <v>-0.6616791587785652</v>
      </c>
      <c r="N99" s="314"/>
      <c r="P99" s="502"/>
      <c r="Q99" s="502"/>
      <c r="R99" s="502"/>
      <c r="S99" s="502"/>
      <c r="T99" s="502"/>
      <c r="U99" s="502"/>
      <c r="V99" s="502"/>
      <c r="W99" s="502"/>
    </row>
    <row r="100" spans="1:23" x14ac:dyDescent="0.2">
      <c r="A100" s="480">
        <f>A99+1</f>
        <v>58</v>
      </c>
      <c r="C100" s="304" t="s">
        <v>44</v>
      </c>
      <c r="E100" s="310">
        <v>110141.18378444089</v>
      </c>
      <c r="F100" s="312">
        <v>18.400811234906183</v>
      </c>
      <c r="H100" s="310">
        <v>125120.85427800001</v>
      </c>
      <c r="I100" s="312">
        <v>20.903400000000001</v>
      </c>
      <c r="J100" s="313">
        <f>H100-E100</f>
        <v>14979.670493559126</v>
      </c>
      <c r="L100" s="314">
        <f>J100/E100</f>
        <v>0.13600426270046348</v>
      </c>
      <c r="M100" s="314">
        <f>L100</f>
        <v>0.13600426270046348</v>
      </c>
      <c r="N100" s="314"/>
      <c r="P100" s="502"/>
      <c r="Q100" s="502"/>
      <c r="R100" s="502"/>
      <c r="S100" s="502"/>
      <c r="T100" s="502"/>
      <c r="U100" s="502"/>
      <c r="V100" s="502"/>
      <c r="W100" s="502"/>
    </row>
    <row r="101" spans="1:23" x14ac:dyDescent="0.2">
      <c r="A101" s="480">
        <f>A100+1</f>
        <v>59</v>
      </c>
      <c r="C101" s="304" t="s">
        <v>620</v>
      </c>
      <c r="E101" s="316">
        <f>SUM(E97:E100)</f>
        <v>273519.0904515743</v>
      </c>
      <c r="F101" s="317">
        <v>45.695651522983113</v>
      </c>
      <c r="H101" s="316">
        <f>SUM(H97:H100)</f>
        <v>310563.18312900001</v>
      </c>
      <c r="I101" s="317">
        <v>51.88444787784826</v>
      </c>
      <c r="J101" s="318">
        <f>SUM(J97:J100)</f>
        <v>37044.092677425746</v>
      </c>
      <c r="L101" s="319">
        <f>J101/E101</f>
        <v>0.13543512672649913</v>
      </c>
      <c r="M101" s="319">
        <f>(J97+J100+J99)/(E97+E100+E99)</f>
        <v>0.17236273657097492</v>
      </c>
      <c r="N101" s="320"/>
      <c r="P101" s="502"/>
      <c r="Q101" s="502"/>
      <c r="R101" s="502"/>
      <c r="S101" s="502"/>
      <c r="T101" s="502"/>
      <c r="U101" s="502"/>
      <c r="V101" s="502"/>
      <c r="W101" s="502"/>
    </row>
    <row r="102" spans="1:23" x14ac:dyDescent="0.2">
      <c r="E102" s="310"/>
      <c r="F102" s="312"/>
      <c r="G102" s="480"/>
      <c r="H102" s="310"/>
      <c r="I102" s="312"/>
      <c r="J102" s="313"/>
      <c r="L102" s="320"/>
      <c r="M102" s="320"/>
      <c r="N102" s="320"/>
      <c r="P102" s="502"/>
      <c r="Q102" s="502"/>
      <c r="R102" s="502"/>
      <c r="S102" s="502"/>
      <c r="T102" s="502"/>
      <c r="U102" s="502"/>
      <c r="V102" s="502"/>
      <c r="W102" s="502"/>
    </row>
    <row r="103" spans="1:23" x14ac:dyDescent="0.2">
      <c r="A103" s="480">
        <f>A101+1</f>
        <v>60</v>
      </c>
      <c r="C103" s="304" t="s">
        <v>621</v>
      </c>
      <c r="E103" s="316">
        <v>288498.7609451334</v>
      </c>
      <c r="F103" s="317">
        <v>48.198240288076924</v>
      </c>
      <c r="G103" s="320"/>
      <c r="H103" s="316">
        <v>321707.90210200002</v>
      </c>
      <c r="I103" s="317">
        <v>53.746347877848265</v>
      </c>
      <c r="J103" s="318">
        <v>33209.141156866623</v>
      </c>
      <c r="L103" s="319">
        <v>0.11511016909768401</v>
      </c>
      <c r="M103" s="319">
        <v>0.14445097062917617</v>
      </c>
      <c r="N103" s="320"/>
      <c r="P103" s="502"/>
      <c r="Q103" s="502"/>
      <c r="R103" s="502"/>
      <c r="S103" s="502"/>
      <c r="T103" s="502"/>
      <c r="U103" s="502"/>
      <c r="V103" s="502"/>
      <c r="W103" s="502"/>
    </row>
    <row r="104" spans="1:23" x14ac:dyDescent="0.2">
      <c r="A104" s="480">
        <f>A103+1</f>
        <v>61</v>
      </c>
      <c r="C104" s="304" t="s">
        <v>622</v>
      </c>
      <c r="E104" s="320"/>
      <c r="F104" s="320"/>
      <c r="G104" s="320"/>
      <c r="H104" s="320"/>
      <c r="I104" s="320"/>
      <c r="J104" s="313"/>
      <c r="L104" s="319">
        <v>0.20326580156597931</v>
      </c>
      <c r="M104" s="319">
        <v>0.31694705569809317</v>
      </c>
      <c r="N104" s="321"/>
      <c r="P104" s="502"/>
      <c r="Q104" s="502"/>
      <c r="R104" s="502"/>
      <c r="S104" s="502"/>
      <c r="T104" s="502"/>
      <c r="U104" s="502"/>
      <c r="V104" s="502"/>
      <c r="W104" s="502"/>
    </row>
    <row r="105" spans="1:23" x14ac:dyDescent="0.2">
      <c r="A105" s="480">
        <f>A104+1</f>
        <v>62</v>
      </c>
      <c r="C105" s="304" t="s">
        <v>623</v>
      </c>
      <c r="E105" s="316">
        <v>270798.97918491601</v>
      </c>
      <c r="F105" s="317">
        <v>45.241214297633512</v>
      </c>
      <c r="G105" s="320"/>
      <c r="H105" s="316">
        <v>310563.18312900001</v>
      </c>
      <c r="I105" s="317">
        <v>51.88444787784826</v>
      </c>
      <c r="J105" s="318">
        <v>39764.203944084053</v>
      </c>
      <c r="L105" s="319">
        <v>0.14684030221890507</v>
      </c>
      <c r="M105" s="319">
        <v>0.18739086126757054</v>
      </c>
      <c r="N105" s="321"/>
      <c r="P105" s="502"/>
      <c r="Q105" s="502"/>
      <c r="R105" s="502"/>
      <c r="S105" s="502"/>
      <c r="T105" s="502"/>
      <c r="U105" s="502"/>
      <c r="V105" s="502"/>
      <c r="W105" s="502"/>
    </row>
    <row r="106" spans="1:23" x14ac:dyDescent="0.2">
      <c r="A106" s="480">
        <f>A105+1</f>
        <v>63</v>
      </c>
      <c r="C106" s="304" t="s">
        <v>624</v>
      </c>
      <c r="E106" s="320"/>
      <c r="F106" s="320"/>
      <c r="G106" s="320"/>
      <c r="H106" s="320"/>
      <c r="I106" s="320"/>
      <c r="J106" s="313"/>
      <c r="L106" s="322">
        <v>0.27295933393906746</v>
      </c>
      <c r="M106" s="322">
        <v>0.45664822524545218</v>
      </c>
      <c r="N106" s="321"/>
      <c r="P106" s="502"/>
      <c r="Q106" s="502"/>
      <c r="R106" s="502"/>
      <c r="S106" s="502"/>
      <c r="T106" s="502"/>
      <c r="U106" s="502"/>
      <c r="V106" s="502"/>
      <c r="W106" s="502"/>
    </row>
    <row r="107" spans="1:23" x14ac:dyDescent="0.2">
      <c r="E107" s="480"/>
      <c r="F107" s="480"/>
      <c r="G107" s="480"/>
      <c r="H107" s="480"/>
      <c r="I107" s="480"/>
      <c r="J107" s="323"/>
      <c r="K107" s="480"/>
      <c r="L107" s="480"/>
      <c r="M107" s="480"/>
      <c r="N107" s="480"/>
      <c r="P107" s="502"/>
      <c r="Q107" s="502"/>
      <c r="R107" s="502"/>
      <c r="S107" s="502"/>
      <c r="T107" s="502"/>
      <c r="U107" s="502"/>
      <c r="V107" s="502"/>
      <c r="W107" s="502"/>
    </row>
    <row r="108" spans="1:23" ht="14.25" x14ac:dyDescent="0.2">
      <c r="C108" s="305" t="s">
        <v>735</v>
      </c>
      <c r="E108" s="304" t="s">
        <v>704</v>
      </c>
      <c r="J108" s="313"/>
      <c r="P108" s="502"/>
      <c r="Q108" s="502"/>
      <c r="R108" s="502"/>
      <c r="S108" s="502"/>
      <c r="T108" s="502"/>
      <c r="U108" s="502"/>
      <c r="V108" s="502"/>
      <c r="W108" s="502"/>
    </row>
    <row r="109" spans="1:23" x14ac:dyDescent="0.2">
      <c r="A109" s="480">
        <f>A106+1</f>
        <v>64</v>
      </c>
      <c r="C109" s="304" t="s">
        <v>617</v>
      </c>
      <c r="E109" s="310">
        <v>165180.95692481115</v>
      </c>
      <c r="F109" s="312">
        <v>11.012063794987411</v>
      </c>
      <c r="G109" s="312"/>
      <c r="H109" s="310">
        <v>209087.04</v>
      </c>
      <c r="I109" s="312">
        <v>13.939136</v>
      </c>
      <c r="J109" s="313">
        <f>H109-E109</f>
        <v>43906.083075188857</v>
      </c>
      <c r="K109" s="312"/>
      <c r="L109" s="314">
        <f>J109/E109</f>
        <v>0.26580596148970431</v>
      </c>
      <c r="M109" s="314">
        <f>L109</f>
        <v>0.26580596148970431</v>
      </c>
      <c r="N109" s="315"/>
      <c r="O109" s="315"/>
      <c r="P109" s="502"/>
      <c r="Q109" s="502"/>
      <c r="R109" s="502"/>
      <c r="S109" s="502"/>
      <c r="T109" s="502"/>
      <c r="U109" s="502"/>
      <c r="V109" s="502"/>
      <c r="W109" s="502"/>
    </row>
    <row r="110" spans="1:23" x14ac:dyDescent="0.2">
      <c r="A110" s="480">
        <f>A109+1</f>
        <v>65</v>
      </c>
      <c r="C110" s="304" t="s">
        <v>618</v>
      </c>
      <c r="E110" s="310">
        <v>146849.99999999997</v>
      </c>
      <c r="F110" s="312">
        <v>9.7899999999999991</v>
      </c>
      <c r="G110" s="312"/>
      <c r="H110" s="310">
        <v>146849.99999999997</v>
      </c>
      <c r="I110" s="312">
        <v>9.7899999999999991</v>
      </c>
      <c r="J110" s="313">
        <f>H110-E110</f>
        <v>0</v>
      </c>
      <c r="K110" s="312"/>
      <c r="L110" s="315">
        <f>IFERROR(J110/E110,"100.0%")</f>
        <v>0</v>
      </c>
      <c r="M110" s="315">
        <v>0</v>
      </c>
      <c r="N110" s="315"/>
      <c r="O110" s="315"/>
      <c r="P110" s="502"/>
      <c r="Q110" s="502"/>
      <c r="R110" s="502"/>
      <c r="S110" s="502"/>
      <c r="T110" s="502"/>
      <c r="U110" s="502"/>
      <c r="V110" s="502"/>
      <c r="W110" s="502"/>
    </row>
    <row r="111" spans="1:23" x14ac:dyDescent="0.2">
      <c r="A111" s="480">
        <f>A110+1</f>
        <v>66</v>
      </c>
      <c r="C111" s="304" t="s">
        <v>619</v>
      </c>
      <c r="E111" s="310">
        <v>58901.189557391845</v>
      </c>
      <c r="F111" s="312">
        <v>3.9267459704927896</v>
      </c>
      <c r="G111" s="312"/>
      <c r="H111" s="310">
        <v>19927.5</v>
      </c>
      <c r="I111" s="312">
        <v>1.3285</v>
      </c>
      <c r="J111" s="313">
        <f>H111-E111</f>
        <v>-38973.689557391845</v>
      </c>
      <c r="K111" s="312"/>
      <c r="L111" s="472">
        <f>IFERROR(J111/E111,"100.0%")</f>
        <v>-0.6616791587785652</v>
      </c>
      <c r="M111" s="472">
        <f>L111</f>
        <v>-0.6616791587785652</v>
      </c>
      <c r="N111" s="315"/>
      <c r="O111" s="315"/>
      <c r="P111" s="502"/>
      <c r="Q111" s="502"/>
      <c r="R111" s="502"/>
      <c r="S111" s="502"/>
      <c r="T111" s="502"/>
      <c r="U111" s="502"/>
      <c r="V111" s="502"/>
      <c r="W111" s="502"/>
    </row>
    <row r="112" spans="1:23" x14ac:dyDescent="0.2">
      <c r="A112" s="480">
        <f>A111+1</f>
        <v>67</v>
      </c>
      <c r="C112" s="304" t="s">
        <v>44</v>
      </c>
      <c r="E112" s="310">
        <v>276012.1685235927</v>
      </c>
      <c r="F112" s="312">
        <v>18.400811234906183</v>
      </c>
      <c r="H112" s="310">
        <v>313551.00000000006</v>
      </c>
      <c r="I112" s="312">
        <v>20.903400000000001</v>
      </c>
      <c r="J112" s="313">
        <f>H112-E112</f>
        <v>37538.831476407358</v>
      </c>
      <c r="L112" s="314">
        <f>J112/E112</f>
        <v>0.1360042627004637</v>
      </c>
      <c r="M112" s="314">
        <f>L112</f>
        <v>0.1360042627004637</v>
      </c>
      <c r="N112" s="314"/>
      <c r="P112" s="502"/>
      <c r="Q112" s="502"/>
      <c r="R112" s="502"/>
      <c r="S112" s="502"/>
      <c r="T112" s="502"/>
      <c r="U112" s="502"/>
      <c r="V112" s="502"/>
      <c r="W112" s="502"/>
    </row>
    <row r="113" spans="1:23" x14ac:dyDescent="0.2">
      <c r="A113" s="480">
        <f>A112+1</f>
        <v>68</v>
      </c>
      <c r="C113" s="304" t="s">
        <v>620</v>
      </c>
      <c r="E113" s="316">
        <f>SUM(E109:E112)</f>
        <v>646944.31500579568</v>
      </c>
      <c r="F113" s="317">
        <v>43.129621000386379</v>
      </c>
      <c r="H113" s="316">
        <f>SUM(H109:H112)</f>
        <v>689415.54</v>
      </c>
      <c r="I113" s="317">
        <v>45.961036000000007</v>
      </c>
      <c r="J113" s="318">
        <f>SUM(J109:J112)</f>
        <v>42471.224994204371</v>
      </c>
      <c r="L113" s="319">
        <f>J113/E113</f>
        <v>6.5648965465944148E-2</v>
      </c>
      <c r="M113" s="319">
        <f>(J109+J112+J111)/(E109+E112+E111)</f>
        <v>8.4926430314874027E-2</v>
      </c>
      <c r="N113" s="320"/>
      <c r="P113" s="502"/>
      <c r="Q113" s="502"/>
      <c r="R113" s="502"/>
      <c r="S113" s="502"/>
      <c r="T113" s="502"/>
      <c r="U113" s="502"/>
      <c r="V113" s="502"/>
      <c r="W113" s="502"/>
    </row>
    <row r="114" spans="1:23" x14ac:dyDescent="0.2">
      <c r="E114" s="310"/>
      <c r="F114" s="312"/>
      <c r="G114" s="480"/>
      <c r="H114" s="310"/>
      <c r="I114" s="312"/>
      <c r="J114" s="313"/>
      <c r="L114" s="320"/>
      <c r="M114" s="320"/>
      <c r="N114" s="320"/>
      <c r="P114" s="502"/>
      <c r="Q114" s="502"/>
      <c r="R114" s="502"/>
      <c r="S114" s="502"/>
      <c r="T114" s="502"/>
      <c r="U114" s="502"/>
      <c r="V114" s="502"/>
      <c r="W114" s="502"/>
    </row>
    <row r="115" spans="1:23" x14ac:dyDescent="0.2">
      <c r="A115" s="480">
        <f>A113+1</f>
        <v>69</v>
      </c>
      <c r="C115" s="304" t="s">
        <v>621</v>
      </c>
      <c r="E115" s="316">
        <v>684483.14648220304</v>
      </c>
      <c r="F115" s="317">
        <v>45.632209765480205</v>
      </c>
      <c r="G115" s="320"/>
      <c r="H115" s="316">
        <v>717344.04</v>
      </c>
      <c r="I115" s="317">
        <v>47.822936000000006</v>
      </c>
      <c r="J115" s="318">
        <v>32860.893517797012</v>
      </c>
      <c r="L115" s="319">
        <v>4.8008331084089612E-2</v>
      </c>
      <c r="M115" s="319">
        <v>6.1121405428236159E-2</v>
      </c>
      <c r="N115" s="320"/>
      <c r="P115" s="502"/>
      <c r="Q115" s="502"/>
      <c r="R115" s="502"/>
      <c r="S115" s="502"/>
      <c r="T115" s="502"/>
      <c r="U115" s="502"/>
      <c r="V115" s="502"/>
      <c r="W115" s="502"/>
    </row>
    <row r="116" spans="1:23" x14ac:dyDescent="0.2">
      <c r="A116" s="480">
        <f>A115+1</f>
        <v>70</v>
      </c>
      <c r="C116" s="304" t="s">
        <v>622</v>
      </c>
      <c r="E116" s="320"/>
      <c r="F116" s="320"/>
      <c r="G116" s="320"/>
      <c r="H116" s="320"/>
      <c r="I116" s="320"/>
      <c r="J116" s="313"/>
      <c r="L116" s="319">
        <v>8.859003952458365E-2</v>
      </c>
      <c r="M116" s="319">
        <v>0.14664663844786441</v>
      </c>
      <c r="N116" s="321"/>
      <c r="P116" s="502"/>
      <c r="Q116" s="502"/>
      <c r="R116" s="502"/>
      <c r="S116" s="502"/>
      <c r="T116" s="502"/>
      <c r="U116" s="502"/>
      <c r="V116" s="502"/>
      <c r="W116" s="502"/>
    </row>
    <row r="117" spans="1:23" x14ac:dyDescent="0.2">
      <c r="A117" s="480">
        <f>A116+1</f>
        <v>71</v>
      </c>
      <c r="C117" s="304" t="s">
        <v>623</v>
      </c>
      <c r="E117" s="316">
        <v>640127.75662555173</v>
      </c>
      <c r="F117" s="317">
        <v>42.675183775036786</v>
      </c>
      <c r="G117" s="320"/>
      <c r="H117" s="316">
        <v>689415.54</v>
      </c>
      <c r="I117" s="317">
        <v>45.961036000000007</v>
      </c>
      <c r="J117" s="318">
        <v>49287.783374448234</v>
      </c>
      <c r="L117" s="319">
        <v>7.6996791444054732E-2</v>
      </c>
      <c r="M117" s="319">
        <v>9.9918925417637861E-2</v>
      </c>
      <c r="N117" s="321"/>
      <c r="P117" s="502"/>
      <c r="Q117" s="502"/>
      <c r="R117" s="502"/>
      <c r="S117" s="502"/>
      <c r="T117" s="502"/>
      <c r="U117" s="502"/>
      <c r="V117" s="502"/>
      <c r="W117" s="502"/>
    </row>
    <row r="118" spans="1:23" x14ac:dyDescent="0.2">
      <c r="A118" s="480">
        <f>A117+1</f>
        <v>72</v>
      </c>
      <c r="C118" s="304" t="s">
        <v>624</v>
      </c>
      <c r="E118" s="320"/>
      <c r="F118" s="320"/>
      <c r="G118" s="320"/>
      <c r="H118" s="320"/>
      <c r="I118" s="320"/>
      <c r="J118" s="313"/>
      <c r="L118" s="322">
        <v>0.15092250864307807</v>
      </c>
      <c r="M118" s="322">
        <v>0.27423731613393493</v>
      </c>
      <c r="N118" s="321"/>
      <c r="P118" s="502"/>
      <c r="Q118" s="502"/>
      <c r="R118" s="502"/>
      <c r="S118" s="502"/>
      <c r="T118" s="502"/>
      <c r="U118" s="502"/>
      <c r="V118" s="502"/>
      <c r="W118" s="502"/>
    </row>
    <row r="119" spans="1:23" x14ac:dyDescent="0.2">
      <c r="E119" s="480"/>
      <c r="F119" s="480"/>
      <c r="G119" s="480"/>
      <c r="H119" s="480"/>
      <c r="I119" s="480"/>
      <c r="J119" s="323"/>
      <c r="K119" s="480"/>
      <c r="L119" s="480"/>
      <c r="M119" s="480"/>
      <c r="N119" s="480"/>
      <c r="P119" s="502"/>
      <c r="Q119" s="502"/>
      <c r="R119" s="502"/>
      <c r="S119" s="502"/>
      <c r="T119" s="502"/>
      <c r="U119" s="502"/>
      <c r="V119" s="502"/>
      <c r="W119" s="502"/>
    </row>
    <row r="120" spans="1:23" ht="14.25" x14ac:dyDescent="0.2">
      <c r="C120" s="305" t="s">
        <v>736</v>
      </c>
      <c r="E120" s="304" t="s">
        <v>705</v>
      </c>
      <c r="G120" s="480"/>
      <c r="H120" s="480"/>
      <c r="I120" s="480"/>
      <c r="J120" s="323"/>
      <c r="K120" s="480"/>
      <c r="L120" s="480"/>
      <c r="M120" s="480"/>
      <c r="N120" s="480"/>
      <c r="P120" s="502"/>
      <c r="Q120" s="502"/>
      <c r="R120" s="502"/>
      <c r="S120" s="502"/>
      <c r="T120" s="502"/>
      <c r="U120" s="502"/>
      <c r="V120" s="502"/>
      <c r="W120" s="502"/>
    </row>
    <row r="121" spans="1:23" x14ac:dyDescent="0.2">
      <c r="A121" s="480">
        <f>A106+1</f>
        <v>64</v>
      </c>
      <c r="C121" s="304" t="s">
        <v>617</v>
      </c>
      <c r="E121" s="310">
        <v>25475.136952215598</v>
      </c>
      <c r="F121" s="312">
        <v>4.2560138450795231</v>
      </c>
      <c r="G121" s="312"/>
      <c r="H121" s="310">
        <v>32302.553935999997</v>
      </c>
      <c r="I121" s="312">
        <v>5.3966389676695039</v>
      </c>
      <c r="J121" s="313">
        <f>H121-E121</f>
        <v>6827.4169837843983</v>
      </c>
      <c r="K121" s="312"/>
      <c r="L121" s="314">
        <f>J121/E121</f>
        <v>0.26800315133107111</v>
      </c>
      <c r="M121" s="314">
        <f>L121</f>
        <v>0.26800315133107111</v>
      </c>
      <c r="N121" s="314"/>
      <c r="P121" s="502"/>
      <c r="Q121" s="502"/>
      <c r="R121" s="502"/>
      <c r="S121" s="502"/>
      <c r="T121" s="502"/>
      <c r="U121" s="502"/>
      <c r="V121" s="502"/>
      <c r="W121" s="502"/>
    </row>
    <row r="122" spans="1:23" x14ac:dyDescent="0.2">
      <c r="A122" s="480">
        <f>A121+1</f>
        <v>65</v>
      </c>
      <c r="C122" s="304" t="s">
        <v>618</v>
      </c>
      <c r="E122" s="310">
        <v>58599.807199999996</v>
      </c>
      <c r="F122" s="312">
        <v>9.7899999999999991</v>
      </c>
      <c r="G122" s="312"/>
      <c r="H122" s="310">
        <v>58599.807199999996</v>
      </c>
      <c r="I122" s="312">
        <v>9.7899999999999991</v>
      </c>
      <c r="J122" s="313">
        <f>H122-E122</f>
        <v>0</v>
      </c>
      <c r="K122" s="312"/>
      <c r="L122" s="315">
        <f>IFERROR(J122/E122,"100.0%")</f>
        <v>0</v>
      </c>
      <c r="M122" s="315">
        <v>0</v>
      </c>
      <c r="N122" s="314"/>
      <c r="P122" s="502"/>
      <c r="Q122" s="502"/>
      <c r="R122" s="502"/>
      <c r="S122" s="502"/>
      <c r="T122" s="502"/>
      <c r="U122" s="502"/>
      <c r="V122" s="502"/>
      <c r="W122" s="502"/>
    </row>
    <row r="123" spans="1:23" x14ac:dyDescent="0.2">
      <c r="A123" s="480">
        <f>A122+1</f>
        <v>66</v>
      </c>
      <c r="C123" s="304" t="s">
        <v>619</v>
      </c>
      <c r="E123" s="310">
        <v>23504.235340945856</v>
      </c>
      <c r="F123" s="312">
        <v>3.9267443867607117</v>
      </c>
      <c r="G123" s="312"/>
      <c r="H123" s="310">
        <v>7951.97588</v>
      </c>
      <c r="I123" s="312">
        <v>1.3285</v>
      </c>
      <c r="J123" s="313">
        <f>H123-E123</f>
        <v>-15552.259460945856</v>
      </c>
      <c r="K123" s="312"/>
      <c r="L123" s="472">
        <f>J123/E123</f>
        <v>-0.66167902232721609</v>
      </c>
      <c r="M123" s="472">
        <f>L123</f>
        <v>-0.66167902232721609</v>
      </c>
      <c r="N123" s="314"/>
      <c r="P123" s="502"/>
      <c r="Q123" s="502"/>
      <c r="R123" s="502"/>
      <c r="S123" s="502"/>
      <c r="T123" s="502"/>
      <c r="U123" s="502"/>
      <c r="V123" s="502"/>
      <c r="W123" s="502"/>
    </row>
    <row r="124" spans="1:23" x14ac:dyDescent="0.2">
      <c r="A124" s="480">
        <f>A123+1</f>
        <v>67</v>
      </c>
      <c r="C124" s="304" t="s">
        <v>44</v>
      </c>
      <c r="E124" s="310">
        <v>109773.96803496112</v>
      </c>
      <c r="F124" s="312">
        <v>18.339431448884859</v>
      </c>
      <c r="H124" s="310">
        <v>125121.063312</v>
      </c>
      <c r="I124" s="312">
        <v>20.903400000000001</v>
      </c>
      <c r="J124" s="313">
        <f>H124-E124</f>
        <v>15347.095277038883</v>
      </c>
      <c r="L124" s="314">
        <f>J124/E124</f>
        <v>0.13980632705334198</v>
      </c>
      <c r="M124" s="314">
        <f>L124</f>
        <v>0.13980632705334198</v>
      </c>
      <c r="N124" s="314"/>
      <c r="P124" s="502"/>
      <c r="Q124" s="502"/>
      <c r="R124" s="502"/>
      <c r="S124" s="502"/>
      <c r="T124" s="502"/>
      <c r="U124" s="502"/>
      <c r="V124" s="502"/>
      <c r="W124" s="502"/>
    </row>
    <row r="125" spans="1:23" x14ac:dyDescent="0.2">
      <c r="A125" s="480">
        <f>A124+1</f>
        <v>68</v>
      </c>
      <c r="C125" s="304" t="s">
        <v>620</v>
      </c>
      <c r="E125" s="316">
        <f>SUM(E121:E124)</f>
        <v>217353.14752812259</v>
      </c>
      <c r="F125" s="317">
        <v>36.312189680725091</v>
      </c>
      <c r="H125" s="316">
        <f>SUM(H121:H124)</f>
        <v>223975.40032799999</v>
      </c>
      <c r="I125" s="317">
        <v>37.418538967669498</v>
      </c>
      <c r="J125" s="318">
        <f>SUM(J121:J124)</f>
        <v>6622.2527998774258</v>
      </c>
      <c r="L125" s="319">
        <f>J125/E125</f>
        <v>3.046771061376323E-2</v>
      </c>
      <c r="M125" s="319">
        <f>(J121+J124+J123)/(E121+E124+E123)</f>
        <v>4.1714100542326146E-2</v>
      </c>
      <c r="N125" s="320"/>
      <c r="P125" s="502"/>
      <c r="Q125" s="502"/>
      <c r="R125" s="502"/>
      <c r="S125" s="502"/>
      <c r="T125" s="502"/>
      <c r="U125" s="502"/>
      <c r="V125" s="502"/>
      <c r="W125" s="502"/>
    </row>
    <row r="126" spans="1:23" x14ac:dyDescent="0.2">
      <c r="E126" s="310"/>
      <c r="F126" s="312"/>
      <c r="G126" s="480"/>
      <c r="H126" s="310"/>
      <c r="I126" s="312"/>
      <c r="J126" s="313"/>
      <c r="L126" s="320"/>
      <c r="M126" s="320"/>
      <c r="N126" s="320"/>
      <c r="P126" s="502"/>
      <c r="Q126" s="502"/>
      <c r="R126" s="502"/>
      <c r="S126" s="502"/>
      <c r="T126" s="502"/>
      <c r="U126" s="502"/>
      <c r="V126" s="502"/>
      <c r="W126" s="502"/>
    </row>
    <row r="127" spans="1:23" x14ac:dyDescent="0.2">
      <c r="A127" s="480">
        <f>A125+1</f>
        <v>69</v>
      </c>
      <c r="C127" s="304" t="s">
        <v>621</v>
      </c>
      <c r="E127" s="316">
        <v>232700.24280516146</v>
      </c>
      <c r="F127" s="317">
        <v>38.876158231840236</v>
      </c>
      <c r="G127" s="320"/>
      <c r="H127" s="316">
        <v>235120.13792000001</v>
      </c>
      <c r="I127" s="317">
        <v>39.280438967669504</v>
      </c>
      <c r="J127" s="318">
        <v>2419.8951148385422</v>
      </c>
      <c r="L127" s="319">
        <v>1.0399194627676887E-2</v>
      </c>
      <c r="M127" s="319">
        <v>1.3899420219295541E-2</v>
      </c>
      <c r="N127" s="320"/>
      <c r="P127" s="502"/>
      <c r="Q127" s="502"/>
      <c r="R127" s="502"/>
      <c r="S127" s="502"/>
      <c r="T127" s="502"/>
      <c r="U127" s="502"/>
      <c r="V127" s="502"/>
      <c r="W127" s="502"/>
    </row>
    <row r="128" spans="1:23" x14ac:dyDescent="0.2">
      <c r="A128" s="480">
        <f>A127+1</f>
        <v>70</v>
      </c>
      <c r="C128" s="304" t="s">
        <v>622</v>
      </c>
      <c r="E128" s="320"/>
      <c r="F128" s="320"/>
      <c r="G128" s="320"/>
      <c r="H128" s="320"/>
      <c r="I128" s="320"/>
      <c r="J128" s="313"/>
      <c r="L128" s="319">
        <v>2.2494084136348791E-2</v>
      </c>
      <c r="M128" s="319">
        <v>4.9406413384689506E-2</v>
      </c>
      <c r="N128" s="321"/>
      <c r="P128" s="502"/>
      <c r="Q128" s="502"/>
      <c r="R128" s="502"/>
      <c r="S128" s="502"/>
      <c r="T128" s="502"/>
      <c r="U128" s="502"/>
      <c r="V128" s="502"/>
      <c r="W128" s="502"/>
    </row>
    <row r="129" spans="1:23" x14ac:dyDescent="0.2">
      <c r="A129" s="480">
        <f>A128+1</f>
        <v>71</v>
      </c>
      <c r="C129" s="304" t="s">
        <v>623</v>
      </c>
      <c r="E129" s="316">
        <v>215000.44345162375</v>
      </c>
      <c r="F129" s="317">
        <v>35.91913424232898</v>
      </c>
      <c r="G129" s="320"/>
      <c r="H129" s="316">
        <v>223975.40032799999</v>
      </c>
      <c r="I129" s="317">
        <v>37.418538967669498</v>
      </c>
      <c r="J129" s="318">
        <v>8974.9568763762436</v>
      </c>
      <c r="L129" s="319">
        <v>4.1743899371982723E-2</v>
      </c>
      <c r="M129" s="319">
        <v>5.738440131366835E-2</v>
      </c>
      <c r="N129" s="321"/>
      <c r="P129" s="502"/>
      <c r="Q129" s="502"/>
      <c r="R129" s="502"/>
      <c r="S129" s="502"/>
      <c r="T129" s="502"/>
      <c r="U129" s="502"/>
      <c r="V129" s="502"/>
      <c r="W129" s="502"/>
    </row>
    <row r="130" spans="1:23" x14ac:dyDescent="0.2">
      <c r="A130" s="480">
        <f>A129+1</f>
        <v>72</v>
      </c>
      <c r="C130" s="304" t="s">
        <v>624</v>
      </c>
      <c r="E130" s="320"/>
      <c r="F130" s="320"/>
      <c r="G130" s="320"/>
      <c r="H130" s="320"/>
      <c r="I130" s="320"/>
      <c r="J130" s="313"/>
      <c r="L130" s="322">
        <v>9.9855571571967158E-2</v>
      </c>
      <c r="M130" s="322">
        <v>0.28692709116265191</v>
      </c>
      <c r="N130" s="321"/>
      <c r="P130" s="502"/>
      <c r="Q130" s="502"/>
      <c r="R130" s="502"/>
      <c r="S130" s="502"/>
      <c r="T130" s="502"/>
      <c r="U130" s="502"/>
      <c r="V130" s="502"/>
      <c r="W130" s="502"/>
    </row>
    <row r="131" spans="1:23" x14ac:dyDescent="0.2">
      <c r="E131" s="480"/>
      <c r="F131" s="480"/>
      <c r="G131" s="480"/>
      <c r="H131" s="480"/>
      <c r="I131" s="480"/>
      <c r="J131" s="323"/>
      <c r="K131" s="480"/>
      <c r="L131" s="480"/>
      <c r="M131" s="310"/>
      <c r="N131" s="480"/>
      <c r="P131" s="502"/>
      <c r="Q131" s="502"/>
      <c r="R131" s="502"/>
      <c r="S131" s="502"/>
      <c r="T131" s="502"/>
      <c r="U131" s="502"/>
      <c r="V131" s="502"/>
      <c r="W131" s="502"/>
    </row>
    <row r="132" spans="1:23" ht="14.25" x14ac:dyDescent="0.2">
      <c r="C132" s="305" t="s">
        <v>737</v>
      </c>
      <c r="E132" s="304" t="s">
        <v>706</v>
      </c>
      <c r="J132" s="313"/>
      <c r="P132" s="502"/>
      <c r="Q132" s="502"/>
      <c r="R132" s="502"/>
      <c r="S132" s="502"/>
      <c r="T132" s="502"/>
      <c r="U132" s="502"/>
      <c r="V132" s="502"/>
      <c r="W132" s="502"/>
    </row>
    <row r="133" spans="1:23" x14ac:dyDescent="0.2">
      <c r="A133" s="480">
        <f>A130+1</f>
        <v>73</v>
      </c>
      <c r="C133" s="304" t="s">
        <v>617</v>
      </c>
      <c r="E133" s="310">
        <v>247553.19860274871</v>
      </c>
      <c r="F133" s="312">
        <v>2.4814577070318795</v>
      </c>
      <c r="G133" s="312"/>
      <c r="H133" s="310">
        <v>269026.63897600002</v>
      </c>
      <c r="I133" s="312">
        <v>2.6967061239840739</v>
      </c>
      <c r="J133" s="313">
        <f>H133-E133</f>
        <v>21473.440373251302</v>
      </c>
      <c r="K133" s="312"/>
      <c r="L133" s="314">
        <f>J133/E133</f>
        <v>8.6742730429066134E-2</v>
      </c>
      <c r="M133" s="314">
        <f>L133</f>
        <v>8.6742730429066134E-2</v>
      </c>
      <c r="N133" s="315"/>
      <c r="O133" s="315"/>
      <c r="P133" s="502"/>
      <c r="Q133" s="502"/>
      <c r="R133" s="502"/>
      <c r="S133" s="502"/>
      <c r="T133" s="502"/>
      <c r="U133" s="502"/>
      <c r="V133" s="502"/>
      <c r="W133" s="502"/>
    </row>
    <row r="134" spans="1:23" x14ac:dyDescent="0.2">
      <c r="A134" s="480">
        <f>A133+1</f>
        <v>74</v>
      </c>
      <c r="C134" s="304" t="s">
        <v>618</v>
      </c>
      <c r="E134" s="310">
        <v>976662.14799999993</v>
      </c>
      <c r="F134" s="312">
        <v>9.7899999999999991</v>
      </c>
      <c r="G134" s="312"/>
      <c r="H134" s="310">
        <v>976662.14799999993</v>
      </c>
      <c r="I134" s="312">
        <v>9.7899999999999991</v>
      </c>
      <c r="J134" s="313">
        <f>H134-E134</f>
        <v>0</v>
      </c>
      <c r="K134" s="312"/>
      <c r="L134" s="315">
        <f>IFERROR(J134/E134,"100.0%")</f>
        <v>0</v>
      </c>
      <c r="M134" s="315">
        <v>0</v>
      </c>
      <c r="N134" s="315"/>
      <c r="O134" s="315"/>
      <c r="P134" s="502"/>
      <c r="Q134" s="502"/>
      <c r="R134" s="502"/>
      <c r="S134" s="502"/>
      <c r="T134" s="502"/>
      <c r="U134" s="502"/>
      <c r="V134" s="502"/>
      <c r="W134" s="502"/>
    </row>
    <row r="135" spans="1:23" x14ac:dyDescent="0.2">
      <c r="A135" s="480">
        <f>A134+1</f>
        <v>75</v>
      </c>
      <c r="C135" s="304" t="s">
        <v>619</v>
      </c>
      <c r="E135" s="310">
        <v>391736.73211651266</v>
      </c>
      <c r="F135" s="312">
        <v>3.9267443867607108</v>
      </c>
      <c r="G135" s="312"/>
      <c r="H135" s="310">
        <v>132532.7542</v>
      </c>
      <c r="I135" s="312">
        <v>1.3285</v>
      </c>
      <c r="J135" s="313">
        <f>H135-E135</f>
        <v>-259203.97791651267</v>
      </c>
      <c r="K135" s="312"/>
      <c r="L135" s="472">
        <f>J135/E135</f>
        <v>-0.66167902232721609</v>
      </c>
      <c r="M135" s="472">
        <f>L135</f>
        <v>-0.66167902232721609</v>
      </c>
      <c r="N135" s="315"/>
      <c r="O135" s="315"/>
      <c r="P135" s="502"/>
      <c r="Q135" s="502"/>
      <c r="R135" s="502"/>
      <c r="S135" s="502"/>
      <c r="T135" s="502"/>
      <c r="U135" s="502"/>
      <c r="V135" s="502"/>
      <c r="W135" s="502"/>
    </row>
    <row r="136" spans="1:23" x14ac:dyDescent="0.2">
      <c r="A136" s="480">
        <f>A135+1</f>
        <v>76</v>
      </c>
      <c r="C136" s="304" t="s">
        <v>44</v>
      </c>
      <c r="E136" s="310">
        <v>1829563.6886584919</v>
      </c>
      <c r="F136" s="312">
        <v>18.339431448884859</v>
      </c>
      <c r="H136" s="310">
        <v>2085348.2680800001</v>
      </c>
      <c r="I136" s="312">
        <v>20.903400000000001</v>
      </c>
      <c r="J136" s="313">
        <f>H136-E136</f>
        <v>255784.57942150813</v>
      </c>
      <c r="L136" s="314">
        <f>J136/E136</f>
        <v>0.13980632705334212</v>
      </c>
      <c r="M136" s="314">
        <f>L136</f>
        <v>0.13980632705334212</v>
      </c>
      <c r="N136" s="314"/>
      <c r="P136" s="502"/>
      <c r="Q136" s="502"/>
      <c r="R136" s="502"/>
      <c r="S136" s="502"/>
      <c r="T136" s="502"/>
      <c r="U136" s="502"/>
      <c r="V136" s="502"/>
      <c r="W136" s="502"/>
    </row>
    <row r="137" spans="1:23" x14ac:dyDescent="0.2">
      <c r="A137" s="480">
        <f>A136+1</f>
        <v>77</v>
      </c>
      <c r="C137" s="304" t="s">
        <v>620</v>
      </c>
      <c r="E137" s="316">
        <f>SUM(E133:E136)</f>
        <v>3445515.7673777533</v>
      </c>
      <c r="F137" s="317">
        <v>34.537633542677447</v>
      </c>
      <c r="H137" s="316">
        <f>SUM(H133:H136)</f>
        <v>3463569.809256</v>
      </c>
      <c r="I137" s="317">
        <v>34.718606123984074</v>
      </c>
      <c r="J137" s="318">
        <f>SUM(J133:J136)</f>
        <v>18054.04187824676</v>
      </c>
      <c r="L137" s="319">
        <f>J137/E137</f>
        <v>5.2398662775492051E-3</v>
      </c>
      <c r="M137" s="319">
        <f>(J133+J136+J135)/(E133+E136+E135)</f>
        <v>7.3127226890013462E-3</v>
      </c>
      <c r="N137" s="320"/>
      <c r="P137" s="502"/>
      <c r="Q137" s="502"/>
      <c r="R137" s="502"/>
      <c r="S137" s="502"/>
      <c r="T137" s="502"/>
      <c r="U137" s="502"/>
      <c r="V137" s="502"/>
      <c r="W137" s="502"/>
    </row>
    <row r="138" spans="1:23" x14ac:dyDescent="0.2">
      <c r="E138" s="310"/>
      <c r="F138" s="312"/>
      <c r="G138" s="480"/>
      <c r="H138" s="310"/>
      <c r="I138" s="312"/>
      <c r="J138" s="313"/>
      <c r="L138" s="320"/>
      <c r="M138" s="320"/>
      <c r="N138" s="320"/>
      <c r="P138" s="502"/>
      <c r="Q138" s="502"/>
      <c r="R138" s="502"/>
      <c r="S138" s="502"/>
      <c r="T138" s="502"/>
      <c r="U138" s="502"/>
      <c r="V138" s="502"/>
      <c r="W138" s="502"/>
    </row>
    <row r="139" spans="1:23" x14ac:dyDescent="0.2">
      <c r="A139" s="480">
        <f>A137+1</f>
        <v>78</v>
      </c>
      <c r="C139" s="304" t="s">
        <v>621</v>
      </c>
      <c r="E139" s="316">
        <v>3701300.3467992614</v>
      </c>
      <c r="F139" s="317">
        <v>37.101602093792593</v>
      </c>
      <c r="G139" s="320"/>
      <c r="H139" s="316">
        <v>3649315.1875359998</v>
      </c>
      <c r="I139" s="317">
        <v>36.580506123984073</v>
      </c>
      <c r="J139" s="318">
        <v>-51985.15926326139</v>
      </c>
      <c r="L139" s="473">
        <v>-1.4045106960373022E-2</v>
      </c>
      <c r="M139" s="473">
        <v>-1.9079655891990014E-2</v>
      </c>
      <c r="N139" s="320"/>
      <c r="P139" s="502"/>
      <c r="Q139" s="502"/>
      <c r="R139" s="502"/>
      <c r="S139" s="502"/>
      <c r="T139" s="502"/>
      <c r="U139" s="502"/>
      <c r="V139" s="502"/>
      <c r="W139" s="502"/>
    </row>
    <row r="140" spans="1:23" x14ac:dyDescent="0.2">
      <c r="A140" s="480">
        <f>A139+1</f>
        <v>79</v>
      </c>
      <c r="C140" s="304" t="s">
        <v>622</v>
      </c>
      <c r="E140" s="320"/>
      <c r="F140" s="320"/>
      <c r="G140" s="320"/>
      <c r="H140" s="320"/>
      <c r="I140" s="320"/>
      <c r="J140" s="313"/>
      <c r="L140" s="473">
        <v>-3.2169988174688163E-2</v>
      </c>
      <c r="M140" s="473">
        <v>-8.131703123303255E-2</v>
      </c>
      <c r="N140" s="321"/>
      <c r="P140" s="502"/>
      <c r="Q140" s="502"/>
      <c r="R140" s="502"/>
      <c r="S140" s="502"/>
      <c r="T140" s="502"/>
      <c r="U140" s="502"/>
      <c r="V140" s="502"/>
      <c r="W140" s="502"/>
    </row>
    <row r="141" spans="1:23" x14ac:dyDescent="0.2">
      <c r="A141" s="480">
        <f>A140+1</f>
        <v>80</v>
      </c>
      <c r="C141" s="304" t="s">
        <v>623</v>
      </c>
      <c r="E141" s="316">
        <v>3406304.0851768316</v>
      </c>
      <c r="F141" s="317">
        <v>34.144578104281344</v>
      </c>
      <c r="G141" s="320"/>
      <c r="H141" s="316">
        <v>3463569.809256</v>
      </c>
      <c r="I141" s="317">
        <v>34.718606123984074</v>
      </c>
      <c r="J141" s="318">
        <v>57265.724079168373</v>
      </c>
      <c r="L141" s="473">
        <v>1.6811688753323836E-2</v>
      </c>
      <c r="M141" s="473">
        <v>2.3569614601610538E-2</v>
      </c>
      <c r="N141" s="321"/>
      <c r="P141" s="502"/>
      <c r="Q141" s="502"/>
      <c r="R141" s="502"/>
      <c r="S141" s="502"/>
      <c r="T141" s="502"/>
      <c r="U141" s="502"/>
      <c r="V141" s="502"/>
      <c r="W141" s="502"/>
    </row>
    <row r="142" spans="1:23" x14ac:dyDescent="0.2">
      <c r="A142" s="480">
        <f>A141+1</f>
        <v>81</v>
      </c>
      <c r="C142" s="304" t="s">
        <v>624</v>
      </c>
      <c r="E142" s="320"/>
      <c r="F142" s="320"/>
      <c r="G142" s="320"/>
      <c r="H142" s="320"/>
      <c r="I142" s="320"/>
      <c r="J142" s="313"/>
      <c r="L142" s="474">
        <v>4.3351733145038686E-2</v>
      </c>
      <c r="M142" s="474">
        <v>0.16632813559828352</v>
      </c>
      <c r="N142" s="321"/>
      <c r="P142" s="502"/>
      <c r="Q142" s="502"/>
      <c r="R142" s="502"/>
      <c r="S142" s="502"/>
      <c r="T142" s="502"/>
      <c r="U142" s="502"/>
      <c r="V142" s="502"/>
      <c r="W142" s="502"/>
    </row>
    <row r="143" spans="1:23" x14ac:dyDescent="0.2">
      <c r="E143" s="480"/>
      <c r="F143" s="480"/>
      <c r="G143" s="480"/>
      <c r="H143" s="480"/>
      <c r="I143" s="480"/>
      <c r="J143" s="323"/>
      <c r="K143" s="480"/>
      <c r="L143" s="480"/>
      <c r="M143" s="480"/>
      <c r="N143" s="480"/>
      <c r="P143" s="502"/>
      <c r="Q143" s="502"/>
      <c r="R143" s="502"/>
      <c r="S143" s="502"/>
      <c r="T143" s="502"/>
      <c r="U143" s="502"/>
      <c r="V143" s="502"/>
      <c r="W143" s="502"/>
    </row>
    <row r="144" spans="1:23" ht="14.25" x14ac:dyDescent="0.2">
      <c r="C144" s="305" t="s">
        <v>738</v>
      </c>
      <c r="E144" s="304" t="s">
        <v>707</v>
      </c>
      <c r="G144" s="480"/>
      <c r="H144" s="480"/>
      <c r="I144" s="480"/>
      <c r="J144" s="323"/>
      <c r="K144" s="480"/>
      <c r="L144" s="480"/>
      <c r="M144" s="480"/>
      <c r="N144" s="480"/>
      <c r="P144" s="502"/>
      <c r="Q144" s="502"/>
      <c r="R144" s="502"/>
      <c r="S144" s="502"/>
      <c r="T144" s="502"/>
      <c r="U144" s="502"/>
      <c r="V144" s="502"/>
      <c r="W144" s="502"/>
    </row>
    <row r="145" spans="1:23" x14ac:dyDescent="0.2">
      <c r="A145" s="480">
        <f>A142+1</f>
        <v>82</v>
      </c>
      <c r="C145" s="304" t="s">
        <v>617</v>
      </c>
      <c r="E145" s="310">
        <v>299590.53038095526</v>
      </c>
      <c r="F145" s="312">
        <v>3.0030763498253004</v>
      </c>
      <c r="G145" s="312"/>
      <c r="H145" s="310">
        <v>356792.05849999998</v>
      </c>
      <c r="I145" s="312">
        <v>3.5764608157820059</v>
      </c>
      <c r="J145" s="313">
        <f>H145-E145</f>
        <v>57201.528119044728</v>
      </c>
      <c r="K145" s="312"/>
      <c r="L145" s="314">
        <f>J145/E145</f>
        <v>0.19093236373762562</v>
      </c>
      <c r="M145" s="314">
        <f>L145</f>
        <v>0.19093236373762562</v>
      </c>
      <c r="N145" s="314"/>
      <c r="P145" s="502"/>
      <c r="Q145" s="502"/>
      <c r="R145" s="502"/>
      <c r="S145" s="502"/>
      <c r="T145" s="502"/>
      <c r="U145" s="502"/>
      <c r="V145" s="502"/>
      <c r="W145" s="502"/>
    </row>
    <row r="146" spans="1:23" x14ac:dyDescent="0.2">
      <c r="A146" s="480">
        <f>A145+1</f>
        <v>83</v>
      </c>
      <c r="C146" s="304" t="s">
        <v>618</v>
      </c>
      <c r="E146" s="310">
        <v>976662.24589999986</v>
      </c>
      <c r="F146" s="312">
        <v>9.7899999999999991</v>
      </c>
      <c r="G146" s="312"/>
      <c r="H146" s="310">
        <v>976662.24589999986</v>
      </c>
      <c r="I146" s="312">
        <v>9.7899999999999991</v>
      </c>
      <c r="J146" s="313">
        <f>H146-E146</f>
        <v>0</v>
      </c>
      <c r="K146" s="312"/>
      <c r="L146" s="315">
        <f>IFERROR(J146/E146,"100.0%")</f>
        <v>0</v>
      </c>
      <c r="M146" s="315">
        <v>0</v>
      </c>
      <c r="N146" s="314"/>
      <c r="P146" s="502"/>
      <c r="Q146" s="502"/>
      <c r="R146" s="502"/>
      <c r="S146" s="502"/>
      <c r="T146" s="502"/>
      <c r="U146" s="502"/>
      <c r="V146" s="502"/>
      <c r="W146" s="502"/>
    </row>
    <row r="147" spans="1:23" x14ac:dyDescent="0.2">
      <c r="A147" s="480">
        <f>A146+1</f>
        <v>84</v>
      </c>
      <c r="C147" s="304" t="s">
        <v>619</v>
      </c>
      <c r="E147" s="310">
        <v>391736.77138395654</v>
      </c>
      <c r="F147" s="312">
        <v>3.9267443867607108</v>
      </c>
      <c r="G147" s="312"/>
      <c r="H147" s="310">
        <v>132532.76748500002</v>
      </c>
      <c r="I147" s="312">
        <v>1.3285000000000002</v>
      </c>
      <c r="J147" s="313">
        <f>H147-E147</f>
        <v>-259204.00389895652</v>
      </c>
      <c r="K147" s="312"/>
      <c r="L147" s="472">
        <f>J147/E147</f>
        <v>-0.66167902232721609</v>
      </c>
      <c r="M147" s="472">
        <f>L147</f>
        <v>-0.66167902232721609</v>
      </c>
      <c r="N147" s="314"/>
      <c r="P147" s="502"/>
      <c r="Q147" s="502"/>
      <c r="R147" s="502"/>
      <c r="S147" s="502"/>
      <c r="T147" s="502"/>
      <c r="U147" s="502"/>
      <c r="V147" s="502"/>
      <c r="W147" s="502"/>
    </row>
    <row r="148" spans="1:23" x14ac:dyDescent="0.2">
      <c r="A148" s="480">
        <f>A147+1</f>
        <v>85</v>
      </c>
      <c r="C148" s="304" t="s">
        <v>44</v>
      </c>
      <c r="E148" s="310">
        <v>1829563.8720528064</v>
      </c>
      <c r="F148" s="312">
        <v>18.339431448884859</v>
      </c>
      <c r="H148" s="310">
        <v>2085348.4771140001</v>
      </c>
      <c r="I148" s="312">
        <v>20.903400000000001</v>
      </c>
      <c r="J148" s="313">
        <f>H148-E148</f>
        <v>255784.6050611937</v>
      </c>
      <c r="L148" s="314">
        <f>J148/E148</f>
        <v>0.13980632705334214</v>
      </c>
      <c r="M148" s="314">
        <f>L148</f>
        <v>0.13980632705334214</v>
      </c>
      <c r="N148" s="314"/>
      <c r="P148" s="502"/>
      <c r="Q148" s="502"/>
      <c r="R148" s="502"/>
      <c r="S148" s="502"/>
      <c r="T148" s="502"/>
      <c r="U148" s="502"/>
      <c r="V148" s="502"/>
      <c r="W148" s="502"/>
    </row>
    <row r="149" spans="1:23" x14ac:dyDescent="0.2">
      <c r="A149" s="480">
        <f>A148+1</f>
        <v>86</v>
      </c>
      <c r="C149" s="304" t="s">
        <v>620</v>
      </c>
      <c r="E149" s="316">
        <f>SUM(E145:E148)</f>
        <v>3497553.4197177179</v>
      </c>
      <c r="F149" s="317">
        <v>35.059252185470861</v>
      </c>
      <c r="H149" s="316">
        <f>SUM(H145:H148)</f>
        <v>3551335.5489989999</v>
      </c>
      <c r="I149" s="317">
        <v>35.598360815782002</v>
      </c>
      <c r="J149" s="318">
        <f>SUM(J145:J148)</f>
        <v>53782.129281281901</v>
      </c>
      <c r="L149" s="319">
        <f>J149/E149</f>
        <v>1.5377071577543646E-2</v>
      </c>
      <c r="M149" s="319">
        <f>(J145+J148+J147)/(E145+E148+E147)</f>
        <v>2.1334570028198607E-2</v>
      </c>
      <c r="N149" s="320"/>
      <c r="P149" s="502"/>
      <c r="Q149" s="502"/>
      <c r="R149" s="502"/>
      <c r="S149" s="502"/>
      <c r="T149" s="502"/>
      <c r="U149" s="502"/>
      <c r="V149" s="502"/>
      <c r="W149" s="502"/>
    </row>
    <row r="150" spans="1:23" x14ac:dyDescent="0.2">
      <c r="E150" s="310"/>
      <c r="F150" s="312"/>
      <c r="G150" s="480"/>
      <c r="H150" s="310"/>
      <c r="I150" s="312"/>
      <c r="J150" s="313"/>
      <c r="L150" s="320"/>
      <c r="M150" s="320"/>
      <c r="N150" s="320"/>
      <c r="P150" s="502"/>
      <c r="Q150" s="502"/>
      <c r="R150" s="502"/>
      <c r="S150" s="502"/>
      <c r="T150" s="502"/>
      <c r="U150" s="502"/>
      <c r="V150" s="502"/>
      <c r="W150" s="502"/>
    </row>
    <row r="151" spans="1:23" x14ac:dyDescent="0.2">
      <c r="A151" s="480">
        <f>A149+1</f>
        <v>87</v>
      </c>
      <c r="C151" s="304" t="s">
        <v>621</v>
      </c>
      <c r="E151" s="316">
        <v>3753338.0247789118</v>
      </c>
      <c r="F151" s="317">
        <v>37.623220736586013</v>
      </c>
      <c r="G151" s="320"/>
      <c r="H151" s="316">
        <v>3737080.9458980002</v>
      </c>
      <c r="I151" s="317">
        <v>37.460260815782007</v>
      </c>
      <c r="J151" s="318">
        <v>-16257.078880911809</v>
      </c>
      <c r="L151" s="473">
        <v>-4.3313655134670217E-3</v>
      </c>
      <c r="M151" s="473">
        <v>-5.854871139285709E-3</v>
      </c>
      <c r="N151" s="320"/>
      <c r="P151" s="502"/>
      <c r="Q151" s="502"/>
      <c r="R151" s="502"/>
      <c r="S151" s="502"/>
      <c r="T151" s="502"/>
      <c r="U151" s="502"/>
      <c r="V151" s="502"/>
      <c r="W151" s="502"/>
    </row>
    <row r="152" spans="1:23" x14ac:dyDescent="0.2">
      <c r="A152" s="480">
        <f>A151+1</f>
        <v>88</v>
      </c>
      <c r="C152" s="304" t="s">
        <v>622</v>
      </c>
      <c r="E152" s="320"/>
      <c r="F152" s="320"/>
      <c r="G152" s="320"/>
      <c r="H152" s="320"/>
      <c r="I152" s="320"/>
      <c r="J152" s="313"/>
      <c r="L152" s="473">
        <v>-9.746511243832896E-3</v>
      </c>
      <c r="M152" s="473">
        <v>-2.3515748386341156E-2</v>
      </c>
      <c r="N152" s="321"/>
      <c r="P152" s="502"/>
      <c r="Q152" s="502"/>
      <c r="R152" s="502"/>
      <c r="S152" s="502"/>
      <c r="T152" s="502"/>
      <c r="U152" s="502"/>
      <c r="V152" s="502"/>
      <c r="W152" s="502"/>
    </row>
    <row r="153" spans="1:23" x14ac:dyDescent="0.2">
      <c r="A153" s="480">
        <f>A152+1</f>
        <v>89</v>
      </c>
      <c r="C153" s="304" t="s">
        <v>623</v>
      </c>
      <c r="E153" s="316">
        <v>3458341.7335862424</v>
      </c>
      <c r="F153" s="317">
        <v>34.666196747074764</v>
      </c>
      <c r="G153" s="320"/>
      <c r="H153" s="316">
        <v>3551335.5489989999</v>
      </c>
      <c r="I153" s="317">
        <v>35.598360815782002</v>
      </c>
      <c r="J153" s="318">
        <v>92993.815412757845</v>
      </c>
      <c r="L153" s="473">
        <v>2.6889712635866328E-2</v>
      </c>
      <c r="M153" s="473">
        <v>3.7472129609879341E-2</v>
      </c>
      <c r="N153" s="321"/>
      <c r="P153" s="502"/>
      <c r="Q153" s="502"/>
      <c r="R153" s="502"/>
      <c r="S153" s="502"/>
      <c r="T153" s="502"/>
      <c r="U153" s="502"/>
      <c r="V153" s="502"/>
      <c r="W153" s="502"/>
    </row>
    <row r="154" spans="1:23" x14ac:dyDescent="0.2">
      <c r="A154" s="480">
        <f>A153+1</f>
        <v>90</v>
      </c>
      <c r="C154" s="304" t="s">
        <v>624</v>
      </c>
      <c r="E154" s="320"/>
      <c r="F154" s="320"/>
      <c r="G154" s="320"/>
      <c r="H154" s="320"/>
      <c r="I154" s="320"/>
      <c r="J154" s="313"/>
      <c r="L154" s="474">
        <v>6.7730715336283165E-2</v>
      </c>
      <c r="M154" s="474">
        <v>0.23463673780784605</v>
      </c>
      <c r="N154" s="321"/>
      <c r="P154" s="502"/>
      <c r="Q154" s="502"/>
      <c r="R154" s="502"/>
      <c r="S154" s="502"/>
      <c r="T154" s="502"/>
      <c r="U154" s="502"/>
      <c r="V154" s="502"/>
      <c r="W154" s="502"/>
    </row>
    <row r="155" spans="1:23" x14ac:dyDescent="0.2">
      <c r="E155" s="480"/>
      <c r="F155" s="480"/>
      <c r="G155" s="480"/>
      <c r="H155" s="480"/>
      <c r="I155" s="480"/>
      <c r="J155" s="480"/>
      <c r="K155" s="480"/>
      <c r="L155" s="480"/>
      <c r="M155" s="480"/>
      <c r="N155" s="480"/>
      <c r="P155" s="502"/>
      <c r="Q155" s="502"/>
      <c r="R155" s="502"/>
      <c r="S155" s="502"/>
      <c r="T155" s="502"/>
      <c r="U155" s="502"/>
      <c r="V155" s="502"/>
      <c r="W155" s="502"/>
    </row>
    <row r="156" spans="1:23" ht="14.25" x14ac:dyDescent="0.2">
      <c r="C156" s="305" t="s">
        <v>739</v>
      </c>
      <c r="E156" s="517" t="s">
        <v>708</v>
      </c>
      <c r="F156" s="517"/>
      <c r="G156" s="480"/>
      <c r="H156" s="480"/>
      <c r="I156" s="480"/>
      <c r="J156" s="480"/>
      <c r="K156" s="480"/>
      <c r="L156" s="480"/>
      <c r="M156" s="480"/>
      <c r="N156" s="480"/>
      <c r="P156" s="502"/>
      <c r="Q156" s="502"/>
      <c r="R156" s="502"/>
      <c r="S156" s="502"/>
      <c r="T156" s="502"/>
      <c r="U156" s="502"/>
      <c r="V156" s="502"/>
      <c r="W156" s="502"/>
    </row>
    <row r="157" spans="1:23" x14ac:dyDescent="0.2">
      <c r="A157" s="480">
        <f>A154+1</f>
        <v>91</v>
      </c>
      <c r="C157" s="304" t="s">
        <v>617</v>
      </c>
      <c r="E157" s="310">
        <v>92519.801099430799</v>
      </c>
      <c r="F157" s="312">
        <v>2.0690494428164627</v>
      </c>
      <c r="G157" s="312"/>
      <c r="H157" s="310">
        <v>133766.44901200003</v>
      </c>
      <c r="I157" s="312">
        <v>2.9914612170250132</v>
      </c>
      <c r="J157" s="313">
        <f>H157-E157</f>
        <v>41246.647912569228</v>
      </c>
      <c r="K157" s="312"/>
      <c r="L157" s="314">
        <f>J157/E157</f>
        <v>0.44581427351147845</v>
      </c>
      <c r="M157" s="314">
        <f>L157</f>
        <v>0.44581427351147845</v>
      </c>
      <c r="N157" s="314"/>
      <c r="P157" s="502"/>
      <c r="Q157" s="502"/>
      <c r="R157" s="502"/>
      <c r="S157" s="502"/>
      <c r="T157" s="502"/>
      <c r="U157" s="502"/>
      <c r="V157" s="502"/>
      <c r="W157" s="502"/>
    </row>
    <row r="158" spans="1:23" x14ac:dyDescent="0.2">
      <c r="A158" s="480">
        <f>A157+1</f>
        <v>92</v>
      </c>
      <c r="C158" s="304" t="s">
        <v>618</v>
      </c>
      <c r="E158" s="310">
        <v>437770.52110000001</v>
      </c>
      <c r="F158" s="312">
        <v>9.7899999999999991</v>
      </c>
      <c r="G158" s="312"/>
      <c r="H158" s="310">
        <v>437770.52110000001</v>
      </c>
      <c r="I158" s="312">
        <v>9.7899999999999991</v>
      </c>
      <c r="J158" s="313">
        <f>H158-E158</f>
        <v>0</v>
      </c>
      <c r="K158" s="312"/>
      <c r="L158" s="315">
        <f>IFERROR(J158/E158,"100.0%")</f>
        <v>0</v>
      </c>
      <c r="M158" s="315">
        <v>0</v>
      </c>
      <c r="N158" s="314"/>
      <c r="P158" s="502"/>
      <c r="Q158" s="502"/>
      <c r="R158" s="502"/>
      <c r="S158" s="502"/>
      <c r="T158" s="502"/>
      <c r="U158" s="502"/>
      <c r="V158" s="502"/>
      <c r="W158" s="502"/>
    </row>
    <row r="159" spans="1:23" x14ac:dyDescent="0.2">
      <c r="A159" s="480">
        <f>A158+1</f>
        <v>93</v>
      </c>
      <c r="C159" s="304" t="s">
        <v>619</v>
      </c>
      <c r="E159" s="310">
        <v>175588.69975570761</v>
      </c>
      <c r="F159" s="312">
        <v>3.9267453785809003</v>
      </c>
      <c r="G159" s="312"/>
      <c r="H159" s="310">
        <v>59405.325564999999</v>
      </c>
      <c r="I159" s="312">
        <v>1.3285</v>
      </c>
      <c r="J159" s="313">
        <f>H159-E159</f>
        <v>-116183.3741907076</v>
      </c>
      <c r="K159" s="312"/>
      <c r="L159" s="472">
        <f>J159/E159</f>
        <v>-0.66167910778057348</v>
      </c>
      <c r="M159" s="472">
        <f>L159</f>
        <v>-0.66167910778057348</v>
      </c>
      <c r="N159" s="314"/>
      <c r="P159" s="502"/>
      <c r="Q159" s="502"/>
      <c r="R159" s="502"/>
      <c r="S159" s="502"/>
      <c r="T159" s="502"/>
      <c r="U159" s="502"/>
      <c r="V159" s="502"/>
      <c r="W159" s="502"/>
    </row>
    <row r="160" spans="1:23" x14ac:dyDescent="0.2">
      <c r="A160" s="480">
        <f>A159+1</f>
        <v>94</v>
      </c>
      <c r="C160" s="304" t="s">
        <v>44</v>
      </c>
      <c r="E160" s="310">
        <v>820067.6672171657</v>
      </c>
      <c r="F160" s="312">
        <v>18.339431448884859</v>
      </c>
      <c r="H160" s="310">
        <v>934718.31570600008</v>
      </c>
      <c r="I160" s="312">
        <v>20.903400000000001</v>
      </c>
      <c r="J160" s="313">
        <f>H160-E160</f>
        <v>114650.64848883438</v>
      </c>
      <c r="L160" s="314">
        <f>J160/E160</f>
        <v>0.13980632705334212</v>
      </c>
      <c r="M160" s="314">
        <f>L160</f>
        <v>0.13980632705334212</v>
      </c>
      <c r="N160" s="314"/>
      <c r="P160" s="502"/>
      <c r="Q160" s="502"/>
      <c r="R160" s="502"/>
      <c r="S160" s="502"/>
      <c r="T160" s="502"/>
      <c r="U160" s="502"/>
      <c r="V160" s="502"/>
      <c r="W160" s="502"/>
    </row>
    <row r="161" spans="1:23" x14ac:dyDescent="0.2">
      <c r="A161" s="480">
        <f>A160+1</f>
        <v>95</v>
      </c>
      <c r="C161" s="304" t="s">
        <v>620</v>
      </c>
      <c r="E161" s="316">
        <f>SUM(E157:E160)</f>
        <v>1525946.6891723042</v>
      </c>
      <c r="F161" s="317">
        <v>34.125226270282219</v>
      </c>
      <c r="H161" s="316">
        <f>SUM(H157:H160)</f>
        <v>1565660.6113829999</v>
      </c>
      <c r="I161" s="317">
        <v>35.013361217025015</v>
      </c>
      <c r="J161" s="318">
        <f>SUM(J157:J160)</f>
        <v>39713.922210696008</v>
      </c>
      <c r="L161" s="319">
        <f>J161/E161</f>
        <v>2.6025759938073208E-2</v>
      </c>
      <c r="M161" s="319">
        <f>(J157+J160+J159)/(E157+E160+E159)</f>
        <v>3.6495857358325466E-2</v>
      </c>
      <c r="N161" s="320"/>
      <c r="P161" s="502"/>
      <c r="Q161" s="502"/>
      <c r="R161" s="502"/>
      <c r="S161" s="502"/>
      <c r="T161" s="502"/>
      <c r="U161" s="502"/>
      <c r="V161" s="502"/>
      <c r="W161" s="502"/>
    </row>
    <row r="162" spans="1:23" x14ac:dyDescent="0.2">
      <c r="E162" s="310"/>
      <c r="F162" s="312"/>
      <c r="G162" s="480"/>
      <c r="H162" s="310"/>
      <c r="I162" s="312"/>
      <c r="J162" s="313"/>
      <c r="L162" s="320"/>
      <c r="M162" s="320"/>
      <c r="N162" s="320"/>
      <c r="P162" s="502"/>
      <c r="Q162" s="502"/>
      <c r="R162" s="502"/>
      <c r="S162" s="502"/>
      <c r="T162" s="502"/>
      <c r="U162" s="502"/>
      <c r="V162" s="502"/>
      <c r="W162" s="502"/>
    </row>
    <row r="163" spans="1:23" x14ac:dyDescent="0.2">
      <c r="A163" s="480">
        <f>A161+1</f>
        <v>96</v>
      </c>
      <c r="C163" s="304" t="s">
        <v>621</v>
      </c>
      <c r="E163" s="316">
        <v>1640597.3376611385</v>
      </c>
      <c r="F163" s="317">
        <v>36.689194821397365</v>
      </c>
      <c r="G163" s="320"/>
      <c r="H163" s="316">
        <v>1648917.4993540002</v>
      </c>
      <c r="I163" s="317">
        <v>36.87526121702502</v>
      </c>
      <c r="J163" s="318">
        <v>8320.1616928616131</v>
      </c>
      <c r="L163" s="319">
        <v>5.0714221593965081E-3</v>
      </c>
      <c r="M163" s="319">
        <v>6.9171734270514641E-3</v>
      </c>
      <c r="N163" s="320"/>
      <c r="P163" s="502"/>
      <c r="Q163" s="502"/>
      <c r="R163" s="502"/>
      <c r="S163" s="502"/>
      <c r="T163" s="502"/>
      <c r="U163" s="502"/>
      <c r="V163" s="502"/>
      <c r="W163" s="502"/>
    </row>
    <row r="164" spans="1:23" x14ac:dyDescent="0.2">
      <c r="A164" s="480">
        <f>A163+1</f>
        <v>97</v>
      </c>
      <c r="C164" s="304" t="s">
        <v>622</v>
      </c>
      <c r="E164" s="320"/>
      <c r="F164" s="320"/>
      <c r="G164" s="320"/>
      <c r="H164" s="320"/>
      <c r="I164" s="320"/>
      <c r="J164" s="313"/>
      <c r="L164" s="319">
        <v>1.1786951352962002E-2</v>
      </c>
      <c r="M164" s="319">
        <v>3.103281569336392E-2</v>
      </c>
      <c r="N164" s="321"/>
      <c r="P164" s="502"/>
      <c r="Q164" s="502"/>
      <c r="R164" s="502"/>
      <c r="S164" s="502"/>
      <c r="T164" s="502"/>
      <c r="U164" s="502"/>
      <c r="V164" s="502"/>
      <c r="W164" s="502"/>
    </row>
    <row r="165" spans="1:23" x14ac:dyDescent="0.2">
      <c r="A165" s="480">
        <f>A164+1</f>
        <v>98</v>
      </c>
      <c r="C165" s="304" t="s">
        <v>623</v>
      </c>
      <c r="E165" s="316">
        <v>1508370.7450121504</v>
      </c>
      <c r="F165" s="317">
        <v>33.73216989705832</v>
      </c>
      <c r="G165" s="320"/>
      <c r="H165" s="316">
        <v>1565660.6113829999</v>
      </c>
      <c r="I165" s="317">
        <v>35.013361217025015</v>
      </c>
      <c r="J165" s="318">
        <v>57289.86637084969</v>
      </c>
      <c r="L165" s="319">
        <v>3.7981289785879668E-2</v>
      </c>
      <c r="M165" s="319">
        <v>5.3511913309249121E-2</v>
      </c>
      <c r="N165" s="321"/>
      <c r="P165" s="502"/>
      <c r="Q165" s="502"/>
      <c r="R165" s="502"/>
      <c r="S165" s="502"/>
      <c r="T165" s="502"/>
      <c r="U165" s="502"/>
      <c r="V165" s="502"/>
      <c r="W165" s="502"/>
    </row>
    <row r="166" spans="1:23" x14ac:dyDescent="0.2">
      <c r="A166" s="480">
        <f>A165+1</f>
        <v>99</v>
      </c>
      <c r="C166" s="304" t="s">
        <v>624</v>
      </c>
      <c r="E166" s="320"/>
      <c r="F166" s="320"/>
      <c r="G166" s="320"/>
      <c r="H166" s="320"/>
      <c r="I166" s="320"/>
      <c r="J166" s="313"/>
      <c r="L166" s="322">
        <v>9.9868602387239061E-2</v>
      </c>
      <c r="M166" s="322">
        <v>0.42161511511844235</v>
      </c>
      <c r="N166" s="321"/>
      <c r="P166" s="502"/>
      <c r="Q166" s="502"/>
      <c r="R166" s="502"/>
      <c r="S166" s="502"/>
      <c r="T166" s="502"/>
      <c r="U166" s="502"/>
      <c r="V166" s="502"/>
      <c r="W166" s="502"/>
    </row>
    <row r="167" spans="1:23" x14ac:dyDescent="0.2">
      <c r="E167" s="480"/>
      <c r="F167" s="480"/>
      <c r="G167" s="480"/>
      <c r="H167" s="480"/>
      <c r="I167" s="480"/>
      <c r="J167" s="323"/>
      <c r="K167" s="480"/>
      <c r="L167" s="480"/>
      <c r="M167" s="480"/>
      <c r="N167" s="480"/>
      <c r="P167" s="502"/>
      <c r="Q167" s="502"/>
      <c r="R167" s="502"/>
      <c r="S167" s="502"/>
      <c r="T167" s="502"/>
      <c r="U167" s="502"/>
      <c r="V167" s="502"/>
      <c r="W167" s="502"/>
    </row>
    <row r="168" spans="1:23" ht="12.75" customHeight="1" x14ac:dyDescent="0.2">
      <c r="L168" s="422"/>
      <c r="M168" s="422"/>
      <c r="N168" s="422"/>
    </row>
    <row r="169" spans="1:23" x14ac:dyDescent="0.2">
      <c r="C169" s="305"/>
      <c r="D169" s="305"/>
      <c r="E169" s="305"/>
      <c r="F169" s="305"/>
      <c r="G169" s="305"/>
      <c r="H169" s="305"/>
      <c r="I169" s="305"/>
      <c r="J169" s="305"/>
      <c r="L169" s="422" t="s">
        <v>139</v>
      </c>
      <c r="M169" s="422"/>
      <c r="N169" s="422"/>
    </row>
    <row r="170" spans="1:23" x14ac:dyDescent="0.2">
      <c r="A170" s="515" t="s">
        <v>881</v>
      </c>
      <c r="B170" s="515"/>
      <c r="C170" s="515"/>
      <c r="D170" s="515"/>
      <c r="E170" s="515"/>
      <c r="F170" s="515"/>
      <c r="G170" s="515"/>
      <c r="H170" s="515"/>
      <c r="I170" s="515"/>
      <c r="J170" s="515"/>
      <c r="K170" s="515"/>
      <c r="L170" s="515"/>
      <c r="M170" s="515"/>
      <c r="P170" s="304"/>
    </row>
    <row r="171" spans="1:23" x14ac:dyDescent="0.2">
      <c r="A171" s="515" t="s">
        <v>813</v>
      </c>
      <c r="B171" s="515"/>
      <c r="C171" s="515"/>
      <c r="D171" s="515"/>
      <c r="E171" s="515"/>
      <c r="F171" s="515"/>
      <c r="G171" s="515"/>
      <c r="H171" s="515"/>
      <c r="I171" s="515"/>
      <c r="J171" s="515"/>
      <c r="K171" s="515"/>
      <c r="L171" s="515"/>
      <c r="M171" s="515"/>
      <c r="P171" s="304"/>
    </row>
    <row r="172" spans="1:23" x14ac:dyDescent="0.2">
      <c r="A172" s="306"/>
      <c r="B172" s="306"/>
      <c r="E172" s="307"/>
      <c r="F172" s="307"/>
      <c r="G172" s="307"/>
      <c r="H172" s="307"/>
      <c r="I172" s="307"/>
      <c r="J172" s="307"/>
      <c r="K172" s="307"/>
      <c r="L172" s="307"/>
      <c r="M172" s="308"/>
      <c r="N172" s="480"/>
    </row>
    <row r="173" spans="1:23" x14ac:dyDescent="0.2">
      <c r="E173" s="516" t="s">
        <v>812</v>
      </c>
      <c r="F173" s="516"/>
      <c r="H173" s="516" t="s">
        <v>607</v>
      </c>
      <c r="I173" s="516"/>
      <c r="J173" s="516"/>
      <c r="L173" s="516" t="s">
        <v>608</v>
      </c>
      <c r="M173" s="516"/>
      <c r="N173" s="480"/>
      <c r="O173" s="480"/>
    </row>
    <row r="174" spans="1:23" x14ac:dyDescent="0.2">
      <c r="E174" s="480" t="s">
        <v>47</v>
      </c>
      <c r="F174" s="480"/>
      <c r="H174" s="480" t="s">
        <v>47</v>
      </c>
      <c r="I174" s="480"/>
      <c r="J174" s="480" t="s">
        <v>609</v>
      </c>
      <c r="L174" s="480" t="s">
        <v>610</v>
      </c>
      <c r="M174" s="480" t="s">
        <v>611</v>
      </c>
      <c r="N174" s="480"/>
      <c r="O174" s="480"/>
    </row>
    <row r="175" spans="1:23" x14ac:dyDescent="0.2">
      <c r="A175" s="480" t="s">
        <v>0</v>
      </c>
      <c r="E175" s="480" t="s">
        <v>612</v>
      </c>
      <c r="F175" s="480" t="s">
        <v>264</v>
      </c>
      <c r="H175" s="480" t="s">
        <v>612</v>
      </c>
      <c r="I175" s="480" t="s">
        <v>264</v>
      </c>
      <c r="J175" s="480" t="s">
        <v>613</v>
      </c>
      <c r="L175" s="480" t="s">
        <v>614</v>
      </c>
      <c r="M175" s="480" t="s">
        <v>614</v>
      </c>
      <c r="N175" s="480"/>
      <c r="O175" s="480"/>
    </row>
    <row r="176" spans="1:23" ht="14.25" x14ac:dyDescent="0.2">
      <c r="A176" s="491" t="s">
        <v>1</v>
      </c>
      <c r="C176" s="309" t="s">
        <v>9</v>
      </c>
      <c r="E176" s="491" t="s">
        <v>288</v>
      </c>
      <c r="F176" s="491" t="s">
        <v>12</v>
      </c>
      <c r="H176" s="491" t="s">
        <v>288</v>
      </c>
      <c r="I176" s="491" t="s">
        <v>12</v>
      </c>
      <c r="J176" s="491" t="s">
        <v>288</v>
      </c>
      <c r="L176" s="491" t="s">
        <v>2</v>
      </c>
      <c r="M176" s="491" t="s">
        <v>2</v>
      </c>
      <c r="N176" s="480"/>
      <c r="O176" s="480"/>
      <c r="Q176" s="305"/>
    </row>
    <row r="177" spans="1:23" x14ac:dyDescent="0.2">
      <c r="E177" s="480" t="s">
        <v>3</v>
      </c>
      <c r="F177" s="480" t="s">
        <v>4</v>
      </c>
      <c r="G177" s="480"/>
      <c r="H177" s="480" t="s">
        <v>86</v>
      </c>
      <c r="I177" s="480" t="s">
        <v>133</v>
      </c>
      <c r="J177" s="480" t="s">
        <v>615</v>
      </c>
      <c r="K177" s="480"/>
      <c r="L177" s="480" t="s">
        <v>616</v>
      </c>
      <c r="M177" s="480" t="s">
        <v>15</v>
      </c>
      <c r="N177" s="480"/>
      <c r="O177" s="480"/>
    </row>
    <row r="178" spans="1:23" x14ac:dyDescent="0.2">
      <c r="E178" s="480"/>
      <c r="F178" s="480"/>
      <c r="G178" s="480"/>
      <c r="H178" s="480"/>
      <c r="I178" s="480"/>
      <c r="J178" s="480"/>
      <c r="K178" s="480"/>
      <c r="L178" s="480"/>
      <c r="M178" s="480"/>
      <c r="N178" s="480"/>
      <c r="O178" s="480"/>
    </row>
    <row r="179" spans="1:23" ht="14.25" x14ac:dyDescent="0.2">
      <c r="C179" s="305" t="s">
        <v>740</v>
      </c>
      <c r="E179" s="304" t="s">
        <v>709</v>
      </c>
      <c r="G179" s="480"/>
      <c r="H179" s="480"/>
      <c r="I179" s="480"/>
      <c r="J179" s="480"/>
      <c r="K179" s="480"/>
      <c r="L179" s="480"/>
      <c r="M179" s="480"/>
      <c r="N179" s="480"/>
      <c r="P179" s="502"/>
      <c r="Q179" s="502"/>
      <c r="R179" s="502"/>
      <c r="S179" s="502"/>
      <c r="T179" s="502"/>
      <c r="U179" s="502"/>
      <c r="V179" s="502"/>
      <c r="W179" s="502"/>
    </row>
    <row r="180" spans="1:23" x14ac:dyDescent="0.2">
      <c r="A180" s="480">
        <f>A166+1</f>
        <v>100</v>
      </c>
      <c r="C180" s="304" t="s">
        <v>617</v>
      </c>
      <c r="E180" s="310">
        <v>1266100.1967695309</v>
      </c>
      <c r="F180" s="312">
        <v>1.8130438565367601</v>
      </c>
      <c r="G180" s="312"/>
      <c r="H180" s="310">
        <v>1482728.321096</v>
      </c>
      <c r="I180" s="312">
        <v>2.1232533415090464</v>
      </c>
      <c r="J180" s="313">
        <f>H180-E180</f>
        <v>216628.12432646914</v>
      </c>
      <c r="K180" s="312"/>
      <c r="L180" s="314">
        <f>J180/E180</f>
        <v>0.17109872100106949</v>
      </c>
      <c r="M180" s="314">
        <f>L180</f>
        <v>0.17109872100106949</v>
      </c>
      <c r="N180" s="314"/>
      <c r="P180" s="502"/>
      <c r="Q180" s="502"/>
      <c r="R180" s="502"/>
      <c r="S180" s="502"/>
      <c r="T180" s="502"/>
      <c r="U180" s="502"/>
      <c r="V180" s="502"/>
      <c r="W180" s="502"/>
    </row>
    <row r="181" spans="1:23" x14ac:dyDescent="0.2">
      <c r="A181" s="480">
        <f>A180+1</f>
        <v>101</v>
      </c>
      <c r="C181" s="304" t="s">
        <v>618</v>
      </c>
      <c r="E181" s="310">
        <v>6836636.0149999997</v>
      </c>
      <c r="F181" s="312">
        <v>9.7899999999999991</v>
      </c>
      <c r="G181" s="312"/>
      <c r="H181" s="310">
        <v>6836636.0149999997</v>
      </c>
      <c r="I181" s="312">
        <v>9.7899999999999991</v>
      </c>
      <c r="J181" s="313">
        <f>H181-E181</f>
        <v>0</v>
      </c>
      <c r="K181" s="312"/>
      <c r="L181" s="315">
        <f>IFERROR(J181/E181,"100.0%")</f>
        <v>0</v>
      </c>
      <c r="M181" s="315">
        <v>0</v>
      </c>
      <c r="N181" s="314"/>
      <c r="P181" s="502"/>
      <c r="Q181" s="502"/>
      <c r="R181" s="502"/>
      <c r="S181" s="502"/>
      <c r="T181" s="502"/>
      <c r="U181" s="502"/>
      <c r="V181" s="502"/>
      <c r="W181" s="502"/>
    </row>
    <row r="182" spans="1:23" x14ac:dyDescent="0.2">
      <c r="A182" s="480">
        <f>A181+1</f>
        <v>102</v>
      </c>
      <c r="C182" s="304" t="s">
        <v>619</v>
      </c>
      <c r="E182" s="310">
        <v>2742158.2101063319</v>
      </c>
      <c r="F182" s="312">
        <v>3.9267453785808994</v>
      </c>
      <c r="G182" s="312"/>
      <c r="H182" s="310">
        <v>927729.41224999994</v>
      </c>
      <c r="I182" s="312">
        <v>1.3285</v>
      </c>
      <c r="J182" s="313">
        <f>H182-E182</f>
        <v>-1814428.7978563318</v>
      </c>
      <c r="K182" s="312"/>
      <c r="L182" s="472">
        <f>J182/E182</f>
        <v>-0.66167910778057337</v>
      </c>
      <c r="M182" s="472">
        <f>L182</f>
        <v>-0.66167910778057337</v>
      </c>
      <c r="N182" s="314"/>
      <c r="P182" s="502"/>
      <c r="Q182" s="502"/>
      <c r="R182" s="502"/>
      <c r="S182" s="502"/>
      <c r="T182" s="502"/>
      <c r="U182" s="502"/>
      <c r="V182" s="502"/>
      <c r="W182" s="502"/>
    </row>
    <row r="183" spans="1:23" x14ac:dyDescent="0.2">
      <c r="A183" s="480">
        <f>A182+1</f>
        <v>103</v>
      </c>
      <c r="C183" s="304" t="s">
        <v>44</v>
      </c>
      <c r="E183" s="310">
        <v>12806947.654552588</v>
      </c>
      <c r="F183" s="312">
        <v>18.339431448884856</v>
      </c>
      <c r="H183" s="310">
        <v>14597439.9669</v>
      </c>
      <c r="I183" s="312">
        <v>20.903400000000001</v>
      </c>
      <c r="J183" s="313">
        <f>H183-E183</f>
        <v>1790492.3123474121</v>
      </c>
      <c r="L183" s="314">
        <f>J183/E183</f>
        <v>0.13980632705334214</v>
      </c>
      <c r="M183" s="314">
        <f>L183</f>
        <v>0.13980632705334214</v>
      </c>
      <c r="N183" s="314"/>
      <c r="P183" s="502"/>
      <c r="Q183" s="502"/>
      <c r="R183" s="502"/>
      <c r="S183" s="502"/>
      <c r="T183" s="502"/>
      <c r="U183" s="502"/>
      <c r="V183" s="502"/>
      <c r="W183" s="502"/>
    </row>
    <row r="184" spans="1:23" x14ac:dyDescent="0.2">
      <c r="A184" s="480">
        <f>A183+1</f>
        <v>104</v>
      </c>
      <c r="C184" s="304" t="s">
        <v>620</v>
      </c>
      <c r="E184" s="316">
        <f>SUM(E180:E183)</f>
        <v>23651842.076428451</v>
      </c>
      <c r="F184" s="317">
        <v>33.869220684002514</v>
      </c>
      <c r="H184" s="316">
        <f>SUM(H180:H183)</f>
        <v>23844533.715245999</v>
      </c>
      <c r="I184" s="317">
        <v>34.145153341509044</v>
      </c>
      <c r="J184" s="318">
        <f>SUM(J180:J183)</f>
        <v>192691.63881754945</v>
      </c>
      <c r="L184" s="319">
        <f>J184/E184</f>
        <v>8.1470034424754988E-3</v>
      </c>
      <c r="M184" s="319">
        <f>(J180+J183+J182)/(E180+E183+E182)</f>
        <v>1.1459368271409712E-2</v>
      </c>
      <c r="N184" s="320"/>
      <c r="P184" s="502"/>
      <c r="Q184" s="502"/>
      <c r="R184" s="502"/>
      <c r="S184" s="502"/>
      <c r="T184" s="502"/>
      <c r="U184" s="502"/>
      <c r="V184" s="502"/>
      <c r="W184" s="502"/>
    </row>
    <row r="185" spans="1:23" x14ac:dyDescent="0.2">
      <c r="E185" s="310"/>
      <c r="F185" s="312"/>
      <c r="G185" s="480"/>
      <c r="H185" s="310"/>
      <c r="I185" s="312"/>
      <c r="J185" s="313"/>
      <c r="L185" s="320"/>
      <c r="M185" s="320"/>
      <c r="N185" s="320"/>
      <c r="P185" s="502"/>
      <c r="Q185" s="502"/>
      <c r="R185" s="502"/>
      <c r="S185" s="502"/>
      <c r="T185" s="502"/>
      <c r="U185" s="502"/>
      <c r="V185" s="502"/>
      <c r="W185" s="502"/>
    </row>
    <row r="186" spans="1:23" x14ac:dyDescent="0.2">
      <c r="A186" s="480">
        <f>A184+1</f>
        <v>105</v>
      </c>
      <c r="C186" s="304" t="s">
        <v>621</v>
      </c>
      <c r="E186" s="316">
        <v>25442334.388775863</v>
      </c>
      <c r="F186" s="317">
        <v>36.433189235117659</v>
      </c>
      <c r="G186" s="320"/>
      <c r="H186" s="316">
        <v>25144751.549396001</v>
      </c>
      <c r="I186" s="317">
        <v>36.007053341509049</v>
      </c>
      <c r="J186" s="318">
        <v>-297582.83937986265</v>
      </c>
      <c r="L186" s="473">
        <v>-1.1696365389771163E-2</v>
      </c>
      <c r="M186" s="473">
        <v>-1.5994177342963711E-2</v>
      </c>
      <c r="N186" s="320"/>
      <c r="P186" s="502"/>
      <c r="Q186" s="502"/>
      <c r="R186" s="502"/>
      <c r="S186" s="502"/>
      <c r="T186" s="502"/>
      <c r="U186" s="502"/>
      <c r="V186" s="502"/>
      <c r="W186" s="502"/>
    </row>
    <row r="187" spans="1:23" x14ac:dyDescent="0.2">
      <c r="A187" s="480">
        <f>A186+1</f>
        <v>106</v>
      </c>
      <c r="C187" s="304" t="s">
        <v>622</v>
      </c>
      <c r="E187" s="320"/>
      <c r="F187" s="320"/>
      <c r="G187" s="320"/>
      <c r="H187" s="320"/>
      <c r="I187" s="320"/>
      <c r="J187" s="313"/>
      <c r="L187" s="473">
        <v>-2.7439901930219914E-2</v>
      </c>
      <c r="M187" s="473">
        <v>-7.4242428798847376E-2</v>
      </c>
      <c r="N187" s="321"/>
      <c r="P187" s="502"/>
      <c r="Q187" s="502"/>
      <c r="R187" s="502"/>
      <c r="S187" s="502"/>
      <c r="T187" s="502"/>
      <c r="U187" s="502"/>
      <c r="V187" s="502"/>
      <c r="W187" s="502"/>
    </row>
    <row r="188" spans="1:23" x14ac:dyDescent="0.2">
      <c r="A188" s="480">
        <f>A187+1</f>
        <v>107</v>
      </c>
      <c r="C188" s="304" t="s">
        <v>623</v>
      </c>
      <c r="E188" s="316">
        <v>23377359.608899564</v>
      </c>
      <c r="F188" s="317">
        <v>33.476164310778614</v>
      </c>
      <c r="G188" s="320"/>
      <c r="H188" s="316">
        <v>23844533.715245999</v>
      </c>
      <c r="I188" s="317">
        <v>34.145153341509044</v>
      </c>
      <c r="J188" s="318">
        <v>467174.10634643794</v>
      </c>
      <c r="L188" s="473">
        <v>1.998404071983342E-2</v>
      </c>
      <c r="M188" s="473">
        <v>2.8243873594425938E-2</v>
      </c>
      <c r="N188" s="321"/>
      <c r="P188" s="502"/>
      <c r="Q188" s="502"/>
      <c r="R188" s="502"/>
      <c r="S188" s="502"/>
      <c r="T188" s="502"/>
      <c r="U188" s="502"/>
      <c r="V188" s="502"/>
      <c r="W188" s="502"/>
    </row>
    <row r="189" spans="1:23" x14ac:dyDescent="0.2">
      <c r="A189" s="480">
        <f>A188+1</f>
        <v>108</v>
      </c>
      <c r="C189" s="304" t="s">
        <v>624</v>
      </c>
      <c r="E189" s="320"/>
      <c r="F189" s="320"/>
      <c r="G189" s="320"/>
      <c r="H189" s="320"/>
      <c r="I189" s="320"/>
      <c r="J189" s="313"/>
      <c r="L189" s="474">
        <v>5.32093829323525E-2</v>
      </c>
      <c r="M189" s="474">
        <v>0.24040448849340468</v>
      </c>
      <c r="N189" s="321"/>
      <c r="P189" s="502"/>
      <c r="Q189" s="502"/>
      <c r="R189" s="502"/>
      <c r="S189" s="502"/>
      <c r="T189" s="502"/>
      <c r="U189" s="502"/>
      <c r="V189" s="502"/>
      <c r="W189" s="502"/>
    </row>
    <row r="190" spans="1:23" x14ac:dyDescent="0.2">
      <c r="E190" s="480"/>
      <c r="F190" s="480"/>
      <c r="G190" s="480"/>
      <c r="H190" s="480"/>
      <c r="I190" s="480"/>
      <c r="J190" s="323"/>
      <c r="K190" s="480"/>
      <c r="L190" s="480"/>
      <c r="M190" s="480"/>
      <c r="N190" s="480"/>
      <c r="P190" s="502"/>
      <c r="Q190" s="502"/>
      <c r="R190" s="502"/>
      <c r="S190" s="502"/>
      <c r="T190" s="502"/>
      <c r="U190" s="502"/>
      <c r="V190" s="502"/>
      <c r="W190" s="502"/>
    </row>
    <row r="191" spans="1:23" ht="14.25" x14ac:dyDescent="0.2">
      <c r="C191" s="305" t="s">
        <v>741</v>
      </c>
      <c r="E191" s="304" t="s">
        <v>710</v>
      </c>
      <c r="G191" s="480"/>
      <c r="H191" s="480"/>
      <c r="I191" s="480"/>
      <c r="J191" s="480"/>
      <c r="K191" s="480"/>
      <c r="L191" s="480"/>
      <c r="M191" s="480"/>
      <c r="N191" s="480"/>
      <c r="P191" s="502"/>
      <c r="Q191" s="502"/>
      <c r="R191" s="502"/>
      <c r="S191" s="502"/>
      <c r="T191" s="502"/>
      <c r="U191" s="502"/>
      <c r="V191" s="502"/>
      <c r="W191" s="502"/>
    </row>
    <row r="192" spans="1:23" x14ac:dyDescent="0.2">
      <c r="A192" s="480">
        <f>A189+1</f>
        <v>109</v>
      </c>
      <c r="C192" s="304" t="s">
        <v>617</v>
      </c>
      <c r="E192" s="310">
        <v>3135864.1676275972</v>
      </c>
      <c r="F192" s="312">
        <v>1.522264159042523</v>
      </c>
      <c r="G192" s="312"/>
      <c r="H192" s="310">
        <v>2918348.34</v>
      </c>
      <c r="I192" s="312">
        <v>1.4166739514563107</v>
      </c>
      <c r="J192" s="313">
        <f>H192-E192</f>
        <v>-217515.82762759738</v>
      </c>
      <c r="K192" s="312"/>
      <c r="L192" s="472">
        <f>J192/E192</f>
        <v>-6.9363918843511813E-2</v>
      </c>
      <c r="M192" s="472">
        <f>L192</f>
        <v>-6.9363918843511813E-2</v>
      </c>
      <c r="N192" s="314"/>
      <c r="P192" s="502"/>
      <c r="Q192" s="502"/>
      <c r="R192" s="502"/>
      <c r="S192" s="502"/>
      <c r="T192" s="502"/>
      <c r="U192" s="502"/>
      <c r="V192" s="502"/>
      <c r="W192" s="502"/>
    </row>
    <row r="193" spans="1:23" x14ac:dyDescent="0.2">
      <c r="A193" s="480">
        <f>A192+1</f>
        <v>110</v>
      </c>
      <c r="C193" s="304" t="s">
        <v>618</v>
      </c>
      <c r="E193" s="310">
        <v>20167399.999999996</v>
      </c>
      <c r="F193" s="312">
        <v>9.7899999999999991</v>
      </c>
      <c r="G193" s="312"/>
      <c r="H193" s="310">
        <v>20167399.999999996</v>
      </c>
      <c r="I193" s="312">
        <v>9.7899999999999991</v>
      </c>
      <c r="J193" s="313">
        <f>H193-E193</f>
        <v>0</v>
      </c>
      <c r="K193" s="312"/>
      <c r="L193" s="315">
        <f>IFERROR(J193/E193,"100.0%")</f>
        <v>0</v>
      </c>
      <c r="M193" s="315">
        <v>0</v>
      </c>
      <c r="N193" s="314"/>
      <c r="P193" s="502"/>
      <c r="Q193" s="502"/>
      <c r="R193" s="502"/>
      <c r="S193" s="502"/>
      <c r="T193" s="502"/>
      <c r="U193" s="502"/>
      <c r="V193" s="502"/>
      <c r="W193" s="502"/>
    </row>
    <row r="194" spans="1:23" x14ac:dyDescent="0.2">
      <c r="A194" s="480">
        <f>A193+1</f>
        <v>111</v>
      </c>
      <c r="C194" s="304" t="s">
        <v>44</v>
      </c>
      <c r="E194" s="310">
        <v>37779228.7847028</v>
      </c>
      <c r="F194" s="312">
        <v>18.339431448884856</v>
      </c>
      <c r="H194" s="310">
        <v>43061004</v>
      </c>
      <c r="I194" s="312">
        <v>20.903400000000001</v>
      </c>
      <c r="J194" s="313">
        <f>H194-E194</f>
        <v>5281775.2152971998</v>
      </c>
      <c r="L194" s="314">
        <f>J194/E194</f>
        <v>0.1398063270533422</v>
      </c>
      <c r="M194" s="314">
        <f>L194</f>
        <v>0.1398063270533422</v>
      </c>
      <c r="N194" s="314"/>
      <c r="P194" s="502"/>
      <c r="Q194" s="502"/>
      <c r="R194" s="502"/>
      <c r="S194" s="502"/>
      <c r="T194" s="502"/>
      <c r="U194" s="502"/>
      <c r="V194" s="502"/>
      <c r="W194" s="502"/>
    </row>
    <row r="195" spans="1:23" x14ac:dyDescent="0.2">
      <c r="A195" s="480">
        <f>A194+1</f>
        <v>112</v>
      </c>
      <c r="C195" s="304" t="s">
        <v>620</v>
      </c>
      <c r="E195" s="316">
        <f>SUM(E192:E194)</f>
        <v>61082492.952330396</v>
      </c>
      <c r="F195" s="317">
        <v>29.651695607927376</v>
      </c>
      <c r="H195" s="316">
        <f>SUM(H192:H194)</f>
        <v>66146752.339999996</v>
      </c>
      <c r="I195" s="317">
        <v>32.110073951456307</v>
      </c>
      <c r="J195" s="318">
        <f>SUM(J192:J194)</f>
        <v>5064259.3876696024</v>
      </c>
      <c r="L195" s="319">
        <f>J195/E195</f>
        <v>8.2908524896353183E-2</v>
      </c>
      <c r="M195" s="319">
        <f>(J192+J194)/(E192+E194)</f>
        <v>0.12377484742781596</v>
      </c>
      <c r="N195" s="320"/>
      <c r="P195" s="502"/>
      <c r="Q195" s="502"/>
      <c r="R195" s="502"/>
      <c r="S195" s="502"/>
      <c r="T195" s="502"/>
      <c r="U195" s="502"/>
      <c r="V195" s="502"/>
      <c r="W195" s="502"/>
    </row>
    <row r="196" spans="1:23" x14ac:dyDescent="0.2">
      <c r="E196" s="310"/>
      <c r="F196" s="312"/>
      <c r="G196" s="480"/>
      <c r="H196" s="310"/>
      <c r="I196" s="312"/>
      <c r="J196" s="313"/>
      <c r="L196" s="320"/>
      <c r="M196" s="320"/>
      <c r="N196" s="320"/>
      <c r="P196" s="502"/>
      <c r="Q196" s="502"/>
      <c r="R196" s="502"/>
      <c r="S196" s="502"/>
      <c r="T196" s="502"/>
      <c r="U196" s="502"/>
      <c r="V196" s="502"/>
      <c r="W196" s="502"/>
    </row>
    <row r="197" spans="1:23" x14ac:dyDescent="0.2">
      <c r="A197" s="480">
        <f>A195+1</f>
        <v>113</v>
      </c>
      <c r="C197" s="304" t="s">
        <v>625</v>
      </c>
      <c r="E197" s="316">
        <v>66364268.167627595</v>
      </c>
      <c r="F197" s="317">
        <v>32.215664159042525</v>
      </c>
      <c r="G197" s="320"/>
      <c r="H197" s="316">
        <v>66146752.339999996</v>
      </c>
      <c r="I197" s="317">
        <v>32.110073951456307</v>
      </c>
      <c r="J197" s="318">
        <v>-217515.82762759924</v>
      </c>
      <c r="L197" s="473">
        <v>-3.2776045548815859E-3</v>
      </c>
      <c r="M197" s="473">
        <v>-4.7084539765408426E-3</v>
      </c>
      <c r="N197" s="320"/>
      <c r="P197" s="502"/>
      <c r="Q197" s="502"/>
      <c r="R197" s="502"/>
      <c r="S197" s="502"/>
      <c r="T197" s="502"/>
      <c r="U197" s="502"/>
      <c r="V197" s="502"/>
      <c r="W197" s="502"/>
    </row>
    <row r="198" spans="1:23" x14ac:dyDescent="0.2">
      <c r="A198" s="480">
        <f>A197+1</f>
        <v>114</v>
      </c>
      <c r="C198" s="304" t="s">
        <v>626</v>
      </c>
      <c r="E198" s="320"/>
      <c r="F198" s="320"/>
      <c r="G198" s="320"/>
      <c r="H198" s="320"/>
      <c r="I198" s="320"/>
      <c r="J198" s="313"/>
      <c r="L198" s="319">
        <v>0</v>
      </c>
      <c r="M198" s="319">
        <v>0</v>
      </c>
      <c r="N198" s="321"/>
      <c r="P198" s="502"/>
      <c r="Q198" s="502"/>
      <c r="R198" s="502"/>
      <c r="S198" s="502"/>
      <c r="T198" s="502"/>
      <c r="U198" s="502"/>
      <c r="V198" s="502"/>
      <c r="W198" s="502"/>
    </row>
    <row r="199" spans="1:23" x14ac:dyDescent="0.2">
      <c r="E199" s="480"/>
      <c r="F199" s="480"/>
      <c r="G199" s="480"/>
      <c r="H199" s="480"/>
      <c r="I199" s="480"/>
      <c r="J199" s="323"/>
      <c r="K199" s="480"/>
      <c r="L199" s="480"/>
      <c r="M199" s="480"/>
      <c r="N199" s="480"/>
      <c r="P199" s="502"/>
      <c r="Q199" s="502"/>
      <c r="R199" s="502"/>
      <c r="S199" s="502"/>
      <c r="T199" s="502"/>
      <c r="U199" s="502"/>
      <c r="V199" s="502"/>
      <c r="W199" s="502"/>
    </row>
    <row r="200" spans="1:23" ht="14.25" x14ac:dyDescent="0.2">
      <c r="C200" s="305" t="s">
        <v>742</v>
      </c>
      <c r="E200" s="304" t="s">
        <v>711</v>
      </c>
      <c r="G200" s="480"/>
      <c r="H200" s="480"/>
      <c r="I200" s="480"/>
      <c r="J200" s="480"/>
      <c r="K200" s="480"/>
      <c r="L200" s="480"/>
      <c r="M200" s="480"/>
      <c r="N200" s="480"/>
      <c r="P200" s="502"/>
      <c r="Q200" s="502"/>
      <c r="R200" s="502"/>
      <c r="S200" s="502"/>
      <c r="T200" s="502"/>
      <c r="U200" s="502"/>
      <c r="V200" s="502"/>
      <c r="W200" s="502"/>
    </row>
    <row r="201" spans="1:23" x14ac:dyDescent="0.2">
      <c r="A201" s="480">
        <f>A198+1</f>
        <v>115</v>
      </c>
      <c r="C201" s="304" t="s">
        <v>617</v>
      </c>
      <c r="E201" s="310">
        <v>14843.730786704673</v>
      </c>
      <c r="F201" s="312">
        <v>2.47987790618338</v>
      </c>
      <c r="G201" s="312"/>
      <c r="H201" s="310">
        <v>13934.142409</v>
      </c>
      <c r="I201" s="312">
        <v>2.3279169097193799</v>
      </c>
      <c r="J201" s="313">
        <f>H201-E201</f>
        <v>-909.58837770467289</v>
      </c>
      <c r="K201" s="312"/>
      <c r="L201" s="472">
        <f>J201/E201</f>
        <v>-6.1277612129652659E-2</v>
      </c>
      <c r="M201" s="472">
        <f>L201</f>
        <v>-6.1277612129652659E-2</v>
      </c>
      <c r="N201" s="314"/>
      <c r="P201" s="502"/>
      <c r="Q201" s="502"/>
      <c r="R201" s="502"/>
      <c r="S201" s="502"/>
      <c r="T201" s="502"/>
      <c r="U201" s="502"/>
      <c r="V201" s="502"/>
      <c r="W201" s="502"/>
    </row>
    <row r="202" spans="1:23" x14ac:dyDescent="0.2">
      <c r="A202" s="480">
        <f>A201+1</f>
        <v>116</v>
      </c>
      <c r="C202" s="304" t="s">
        <v>618</v>
      </c>
      <c r="E202" s="310">
        <v>58599.709299999995</v>
      </c>
      <c r="F202" s="312">
        <v>9.7899999999999991</v>
      </c>
      <c r="G202" s="312"/>
      <c r="H202" s="310">
        <v>58599.709299999995</v>
      </c>
      <c r="I202" s="312">
        <v>9.7899999999999991</v>
      </c>
      <c r="J202" s="313">
        <f>H202-E202</f>
        <v>0</v>
      </c>
      <c r="K202" s="312"/>
      <c r="L202" s="315">
        <f>IFERROR(J202/E202,"100.0%")</f>
        <v>0</v>
      </c>
      <c r="M202" s="315">
        <v>0</v>
      </c>
      <c r="N202" s="314"/>
      <c r="P202" s="502"/>
      <c r="Q202" s="502"/>
      <c r="R202" s="502"/>
      <c r="S202" s="502"/>
      <c r="T202" s="502"/>
      <c r="U202" s="502"/>
      <c r="V202" s="502"/>
      <c r="W202" s="502"/>
    </row>
    <row r="203" spans="1:23" x14ac:dyDescent="0.2">
      <c r="A203" s="480">
        <f>A202+1</f>
        <v>117</v>
      </c>
      <c r="C203" s="304" t="s">
        <v>619</v>
      </c>
      <c r="E203" s="310">
        <v>18461.476007894285</v>
      </c>
      <c r="F203" s="312">
        <v>3.0842789542180382</v>
      </c>
      <c r="G203" s="312"/>
      <c r="H203" s="310">
        <v>5312.2821250000006</v>
      </c>
      <c r="I203" s="312">
        <v>0.88750000000000007</v>
      </c>
      <c r="J203" s="313">
        <f>H203-E203</f>
        <v>-13149.193882894284</v>
      </c>
      <c r="K203" s="312"/>
      <c r="L203" s="472">
        <f>J203/E203</f>
        <v>-0.71225041146610246</v>
      </c>
      <c r="M203" s="472">
        <f>L203</f>
        <v>-0.71225041146610246</v>
      </c>
      <c r="N203" s="314"/>
      <c r="P203" s="502"/>
      <c r="Q203" s="502"/>
      <c r="R203" s="502"/>
      <c r="S203" s="502"/>
      <c r="T203" s="502"/>
      <c r="U203" s="502"/>
      <c r="V203" s="502"/>
      <c r="W203" s="502"/>
    </row>
    <row r="204" spans="1:23" x14ac:dyDescent="0.2">
      <c r="A204" s="480">
        <f>A203+1</f>
        <v>118</v>
      </c>
      <c r="C204" s="304" t="s">
        <v>44</v>
      </c>
      <c r="E204" s="310">
        <v>109797.37345480292</v>
      </c>
      <c r="F204" s="312">
        <v>18.343372330048751</v>
      </c>
      <c r="H204" s="310">
        <v>125120.85427800001</v>
      </c>
      <c r="I204" s="312">
        <v>20.903400000000001</v>
      </c>
      <c r="J204" s="313">
        <f>H204-E204</f>
        <v>15323.480823197096</v>
      </c>
      <c r="L204" s="314">
        <f>J204/E204</f>
        <v>0.1395614516180104</v>
      </c>
      <c r="M204" s="314">
        <f>L204</f>
        <v>0.1395614516180104</v>
      </c>
      <c r="N204" s="314"/>
      <c r="P204" s="502"/>
      <c r="Q204" s="502"/>
      <c r="R204" s="502"/>
      <c r="S204" s="502"/>
      <c r="T204" s="502"/>
      <c r="U204" s="502"/>
      <c r="V204" s="502"/>
      <c r="W204" s="502"/>
    </row>
    <row r="205" spans="1:23" x14ac:dyDescent="0.2">
      <c r="A205" s="480">
        <f>A204+1</f>
        <v>119</v>
      </c>
      <c r="C205" s="304" t="s">
        <v>620</v>
      </c>
      <c r="E205" s="316">
        <f>SUM(E201:E204)</f>
        <v>201702.28954940184</v>
      </c>
      <c r="F205" s="317">
        <v>33.697529190450162</v>
      </c>
      <c r="H205" s="316">
        <f>SUM(H201:H204)</f>
        <v>202966.98811199999</v>
      </c>
      <c r="I205" s="317">
        <v>33.908816909719377</v>
      </c>
      <c r="J205" s="318">
        <f>SUM(J201:J204)</f>
        <v>1264.6985625981397</v>
      </c>
      <c r="L205" s="319">
        <f>J205/E205</f>
        <v>6.2701249719249418E-3</v>
      </c>
      <c r="M205" s="319">
        <f>(J201+J204+J203)/(E201+E204+E203)</f>
        <v>8.8377062132213059E-3</v>
      </c>
      <c r="N205" s="320"/>
      <c r="P205" s="502"/>
      <c r="Q205" s="502"/>
      <c r="R205" s="502"/>
      <c r="S205" s="502"/>
      <c r="T205" s="502"/>
      <c r="U205" s="502"/>
      <c r="V205" s="502"/>
      <c r="W205" s="502"/>
    </row>
    <row r="206" spans="1:23" x14ac:dyDescent="0.2">
      <c r="E206" s="310"/>
      <c r="F206" s="312"/>
      <c r="G206" s="480"/>
      <c r="H206" s="310"/>
      <c r="I206" s="312"/>
      <c r="J206" s="313"/>
      <c r="L206" s="320"/>
      <c r="M206" s="320"/>
      <c r="N206" s="320"/>
      <c r="P206" s="502"/>
      <c r="Q206" s="502"/>
      <c r="R206" s="502"/>
      <c r="S206" s="502"/>
      <c r="T206" s="502"/>
      <c r="U206" s="502"/>
      <c r="V206" s="502"/>
      <c r="W206" s="502"/>
    </row>
    <row r="207" spans="1:23" x14ac:dyDescent="0.2">
      <c r="A207" s="480">
        <f>A205+1</f>
        <v>120</v>
      </c>
      <c r="C207" s="304" t="s">
        <v>621</v>
      </c>
      <c r="E207" s="316">
        <v>217025.77037259896</v>
      </c>
      <c r="F207" s="317">
        <v>36.257556860401422</v>
      </c>
      <c r="G207" s="320"/>
      <c r="H207" s="316">
        <v>214112.30565200001</v>
      </c>
      <c r="I207" s="317">
        <v>35.770816909719386</v>
      </c>
      <c r="J207" s="318">
        <v>-2913.4647205989604</v>
      </c>
      <c r="L207" s="473">
        <v>-1.3424510442225372E-2</v>
      </c>
      <c r="M207" s="473">
        <v>-1.8390059696452726E-2</v>
      </c>
      <c r="N207" s="320"/>
      <c r="P207" s="502"/>
      <c r="Q207" s="502"/>
      <c r="R207" s="502"/>
      <c r="S207" s="502"/>
      <c r="T207" s="502"/>
      <c r="U207" s="502"/>
      <c r="V207" s="502"/>
      <c r="W207" s="502"/>
    </row>
    <row r="208" spans="1:23" x14ac:dyDescent="0.2">
      <c r="A208" s="480">
        <f>A207+1</f>
        <v>121</v>
      </c>
      <c r="C208" s="304" t="s">
        <v>622</v>
      </c>
      <c r="E208" s="320"/>
      <c r="F208" s="320"/>
      <c r="G208" s="320"/>
      <c r="H208" s="320"/>
      <c r="I208" s="320"/>
      <c r="J208" s="313"/>
      <c r="L208" s="473">
        <v>-3.1700858282707016E-2</v>
      </c>
      <c r="M208" s="473">
        <v>-8.7477755011910976E-2</v>
      </c>
      <c r="N208" s="321"/>
      <c r="P208" s="502"/>
      <c r="Q208" s="502"/>
      <c r="R208" s="502"/>
      <c r="S208" s="502"/>
      <c r="T208" s="502"/>
      <c r="U208" s="502"/>
      <c r="V208" s="502"/>
      <c r="W208" s="502"/>
    </row>
    <row r="209" spans="1:23" x14ac:dyDescent="0.2">
      <c r="A209" s="480">
        <f>A208+1</f>
        <v>122</v>
      </c>
      <c r="C209" s="304" t="s">
        <v>623</v>
      </c>
      <c r="E209" s="316">
        <v>199326.00547080347</v>
      </c>
      <c r="F209" s="317">
        <v>33.300533686421652</v>
      </c>
      <c r="G209" s="320"/>
      <c r="H209" s="316">
        <v>202966.98811199999</v>
      </c>
      <c r="I209" s="317">
        <v>33.908816909719377</v>
      </c>
      <c r="J209" s="318">
        <v>3640.9826411965523</v>
      </c>
      <c r="L209" s="473">
        <v>1.8266470712622943E-2</v>
      </c>
      <c r="M209" s="473">
        <v>2.5872795207921833E-2</v>
      </c>
      <c r="N209" s="321"/>
      <c r="P209" s="502"/>
      <c r="Q209" s="502"/>
      <c r="R209" s="502"/>
      <c r="S209" s="502"/>
      <c r="T209" s="502"/>
      <c r="U209" s="502"/>
      <c r="V209" s="502"/>
      <c r="W209" s="502"/>
    </row>
    <row r="210" spans="1:23" x14ac:dyDescent="0.2">
      <c r="A210" s="480">
        <f>A209+1</f>
        <v>123</v>
      </c>
      <c r="C210" s="304" t="s">
        <v>624</v>
      </c>
      <c r="E210" s="320"/>
      <c r="F210" s="320"/>
      <c r="G210" s="320"/>
      <c r="H210" s="320"/>
      <c r="I210" s="320"/>
      <c r="J210" s="313"/>
      <c r="L210" s="474">
        <v>4.9066440572789527E-2</v>
      </c>
      <c r="M210" s="474">
        <v>0.23331493373959603</v>
      </c>
      <c r="N210" s="321"/>
      <c r="P210" s="502"/>
      <c r="Q210" s="502"/>
      <c r="R210" s="502"/>
      <c r="S210" s="502"/>
      <c r="T210" s="502"/>
      <c r="U210" s="502"/>
      <c r="V210" s="502"/>
      <c r="W210" s="502"/>
    </row>
    <row r="211" spans="1:23" x14ac:dyDescent="0.2">
      <c r="E211" s="480"/>
      <c r="F211" s="480"/>
      <c r="G211" s="480"/>
      <c r="H211" s="480"/>
      <c r="I211" s="480"/>
      <c r="J211" s="323"/>
      <c r="K211" s="480"/>
      <c r="L211" s="480"/>
      <c r="M211" s="480"/>
      <c r="N211" s="480"/>
      <c r="P211" s="502"/>
      <c r="Q211" s="502"/>
      <c r="R211" s="502"/>
      <c r="S211" s="502"/>
      <c r="T211" s="502"/>
      <c r="U211" s="502"/>
      <c r="V211" s="502"/>
      <c r="W211" s="502"/>
    </row>
    <row r="212" spans="1:23" ht="14.25" x14ac:dyDescent="0.2">
      <c r="C212" s="305" t="s">
        <v>743</v>
      </c>
      <c r="E212" s="304" t="s">
        <v>712</v>
      </c>
      <c r="G212" s="480"/>
      <c r="H212" s="480"/>
      <c r="I212" s="480"/>
      <c r="J212" s="323"/>
      <c r="K212" s="480"/>
      <c r="L212" s="480"/>
      <c r="M212" s="480"/>
      <c r="N212" s="480"/>
      <c r="P212" s="502"/>
      <c r="Q212" s="502"/>
      <c r="R212" s="502"/>
      <c r="S212" s="502"/>
      <c r="T212" s="502"/>
      <c r="U212" s="502"/>
      <c r="V212" s="502"/>
      <c r="W212" s="502"/>
    </row>
    <row r="213" spans="1:23" x14ac:dyDescent="0.2">
      <c r="A213" s="480">
        <f>A210+1</f>
        <v>124</v>
      </c>
      <c r="C213" s="304" t="s">
        <v>617</v>
      </c>
      <c r="E213" s="310">
        <v>29477.627862160123</v>
      </c>
      <c r="F213" s="312">
        <v>8.6906458548533916</v>
      </c>
      <c r="G213" s="312"/>
      <c r="H213" s="310">
        <v>9691.4962759999999</v>
      </c>
      <c r="I213" s="312">
        <v>2.8572638996662616</v>
      </c>
      <c r="J213" s="313">
        <f>H213-E213</f>
        <v>-19786.131586160125</v>
      </c>
      <c r="K213" s="312"/>
      <c r="L213" s="472">
        <f>J213/E213</f>
        <v>-0.67122536720667436</v>
      </c>
      <c r="M213" s="472">
        <f>L213</f>
        <v>-0.67122536720667436</v>
      </c>
      <c r="N213" s="314"/>
      <c r="P213" s="502"/>
      <c r="Q213" s="502"/>
      <c r="R213" s="502"/>
      <c r="S213" s="502"/>
      <c r="T213" s="502"/>
      <c r="U213" s="502"/>
      <c r="V213" s="502"/>
      <c r="W213" s="502"/>
    </row>
    <row r="214" spans="1:23" x14ac:dyDescent="0.2">
      <c r="A214" s="480">
        <f>A213+1</f>
        <v>125</v>
      </c>
      <c r="C214" s="304" t="s">
        <v>618</v>
      </c>
      <c r="E214" s="310">
        <v>33206.505199999992</v>
      </c>
      <c r="F214" s="312">
        <v>9.7899999999999991</v>
      </c>
      <c r="G214" s="312"/>
      <c r="H214" s="310">
        <v>33206.505199999992</v>
      </c>
      <c r="I214" s="312">
        <v>9.7899999999999991</v>
      </c>
      <c r="J214" s="313">
        <f>H214-E214</f>
        <v>0</v>
      </c>
      <c r="K214" s="312"/>
      <c r="L214" s="315">
        <f>IFERROR(J214/E214,"100.0%")</f>
        <v>0</v>
      </c>
      <c r="M214" s="315">
        <v>0</v>
      </c>
      <c r="N214" s="314"/>
      <c r="P214" s="502"/>
      <c r="Q214" s="502"/>
      <c r="R214" s="502"/>
      <c r="S214" s="502"/>
      <c r="T214" s="502"/>
      <c r="U214" s="502"/>
      <c r="V214" s="502"/>
      <c r="W214" s="502"/>
    </row>
    <row r="215" spans="1:23" x14ac:dyDescent="0.2">
      <c r="A215" s="480">
        <f>A214+1</f>
        <v>126</v>
      </c>
      <c r="C215" s="304" t="s">
        <v>619</v>
      </c>
      <c r="E215" s="310">
        <v>11460.48630717643</v>
      </c>
      <c r="F215" s="312">
        <v>3.3788006377514628</v>
      </c>
      <c r="G215" s="312"/>
      <c r="H215" s="310">
        <v>3010.9718760000001</v>
      </c>
      <c r="I215" s="312">
        <v>0.88769999999999993</v>
      </c>
      <c r="J215" s="313">
        <f>H215-E215</f>
        <v>-8449.5144311764307</v>
      </c>
      <c r="K215" s="312"/>
      <c r="L215" s="472">
        <f>J215/E215</f>
        <v>-0.73727363784601685</v>
      </c>
      <c r="M215" s="472">
        <f>L215</f>
        <v>-0.73727363784601685</v>
      </c>
      <c r="N215" s="314"/>
      <c r="P215" s="502"/>
      <c r="Q215" s="502"/>
      <c r="R215" s="502"/>
      <c r="S215" s="502"/>
      <c r="T215" s="502"/>
      <c r="U215" s="502"/>
      <c r="V215" s="502"/>
      <c r="W215" s="502"/>
    </row>
    <row r="216" spans="1:23" x14ac:dyDescent="0.2">
      <c r="A216" s="480">
        <f>A215+1</f>
        <v>127</v>
      </c>
      <c r="C216" s="304" t="s">
        <v>44</v>
      </c>
      <c r="E216" s="310">
        <v>62218.51773884576</v>
      </c>
      <c r="F216" s="312">
        <v>18.343372330048751</v>
      </c>
      <c r="H216" s="310">
        <v>70901.82439200001</v>
      </c>
      <c r="I216" s="312">
        <v>20.903400000000001</v>
      </c>
      <c r="J216" s="313">
        <f>H216-E216</f>
        <v>8683.3066531542499</v>
      </c>
      <c r="L216" s="314">
        <f>J216/E216</f>
        <v>0.13956145161801048</v>
      </c>
      <c r="M216" s="314">
        <f>L216</f>
        <v>0.13956145161801048</v>
      </c>
      <c r="N216" s="314"/>
      <c r="P216" s="502"/>
      <c r="Q216" s="502"/>
      <c r="R216" s="502"/>
      <c r="S216" s="502"/>
      <c r="T216" s="502"/>
      <c r="U216" s="502"/>
      <c r="V216" s="502"/>
      <c r="W216" s="502"/>
    </row>
    <row r="217" spans="1:23" x14ac:dyDescent="0.2">
      <c r="A217" s="480">
        <f>A216+1</f>
        <v>128</v>
      </c>
      <c r="C217" s="304" t="s">
        <v>620</v>
      </c>
      <c r="E217" s="316">
        <f>SUM(E213:E216)</f>
        <v>136363.1371081823</v>
      </c>
      <c r="F217" s="317">
        <v>40.202818822653605</v>
      </c>
      <c r="H217" s="316">
        <f>SUM(H213:H216)</f>
        <v>116810.79774400001</v>
      </c>
      <c r="I217" s="317">
        <v>34.438363899666264</v>
      </c>
      <c r="J217" s="318">
        <f>SUM(J213:J216)</f>
        <v>-19552.339364182306</v>
      </c>
      <c r="L217" s="473">
        <f>J217/E217</f>
        <v>-0.14338434696373006</v>
      </c>
      <c r="M217" s="473">
        <f>(J213+J216+J215)/(E213+E216+E215)</f>
        <v>-0.1895403039291304</v>
      </c>
      <c r="N217" s="320"/>
      <c r="P217" s="502"/>
      <c r="Q217" s="502"/>
      <c r="R217" s="502"/>
      <c r="S217" s="502"/>
      <c r="T217" s="502"/>
      <c r="U217" s="502"/>
      <c r="V217" s="502"/>
      <c r="W217" s="502"/>
    </row>
    <row r="218" spans="1:23" ht="9.75" customHeight="1" x14ac:dyDescent="0.2">
      <c r="E218" s="310"/>
      <c r="F218" s="312"/>
      <c r="G218" s="480"/>
      <c r="H218" s="310"/>
      <c r="I218" s="312"/>
      <c r="J218" s="313"/>
      <c r="L218" s="320"/>
      <c r="M218" s="320"/>
      <c r="N218" s="320"/>
      <c r="P218" s="502"/>
      <c r="Q218" s="502"/>
      <c r="R218" s="502"/>
      <c r="S218" s="502"/>
      <c r="T218" s="502"/>
      <c r="U218" s="502"/>
      <c r="V218" s="502"/>
      <c r="W218" s="502"/>
    </row>
    <row r="219" spans="1:23" x14ac:dyDescent="0.2">
      <c r="A219" s="480">
        <f>A217+1</f>
        <v>129</v>
      </c>
      <c r="C219" s="304" t="s">
        <v>621</v>
      </c>
      <c r="E219" s="316">
        <v>145046.44376133656</v>
      </c>
      <c r="F219" s="317">
        <v>42.762846492604858</v>
      </c>
      <c r="G219" s="320"/>
      <c r="H219" s="316">
        <v>123126.47830399999</v>
      </c>
      <c r="I219" s="317">
        <v>36.300363899666259</v>
      </c>
      <c r="J219" s="318">
        <v>-21919.965457336555</v>
      </c>
      <c r="L219" s="473">
        <v>-0.15112377035182106</v>
      </c>
      <c r="M219" s="473">
        <v>-0.19599407634970178</v>
      </c>
      <c r="N219" s="320"/>
      <c r="P219" s="502"/>
      <c r="Q219" s="502"/>
      <c r="R219" s="502"/>
      <c r="S219" s="502"/>
      <c r="T219" s="502"/>
      <c r="U219" s="502"/>
      <c r="V219" s="502"/>
      <c r="W219" s="502"/>
    </row>
    <row r="220" spans="1:23" x14ac:dyDescent="0.2">
      <c r="A220" s="480">
        <f>A219+1</f>
        <v>130</v>
      </c>
      <c r="C220" s="304" t="s">
        <v>622</v>
      </c>
      <c r="E220" s="320"/>
      <c r="F220" s="320"/>
      <c r="G220" s="320"/>
      <c r="H220" s="320"/>
      <c r="I220" s="320"/>
      <c r="J220" s="313"/>
      <c r="L220" s="473">
        <v>-0.29563797944860493</v>
      </c>
      <c r="M220" s="473">
        <v>-0.53544150486919695</v>
      </c>
      <c r="N220" s="321"/>
      <c r="P220" s="502"/>
      <c r="Q220" s="502"/>
      <c r="R220" s="502"/>
      <c r="S220" s="502"/>
      <c r="T220" s="502"/>
      <c r="U220" s="502"/>
      <c r="V220" s="502"/>
      <c r="W220" s="502"/>
    </row>
    <row r="221" spans="1:23" x14ac:dyDescent="0.2">
      <c r="A221" s="480">
        <f>A220+1</f>
        <v>131</v>
      </c>
      <c r="C221" s="304" t="s">
        <v>623</v>
      </c>
      <c r="E221" s="316">
        <v>135016.56644567396</v>
      </c>
      <c r="F221" s="317">
        <v>39.80582050239807</v>
      </c>
      <c r="G221" s="320"/>
      <c r="H221" s="316">
        <v>116810.79774400001</v>
      </c>
      <c r="I221" s="317">
        <v>34.438363899666264</v>
      </c>
      <c r="J221" s="318">
        <v>-18205.768701673966</v>
      </c>
      <c r="L221" s="473">
        <v>-0.13484099900436547</v>
      </c>
      <c r="M221" s="473">
        <v>-0.17882091886520252</v>
      </c>
      <c r="N221" s="321"/>
      <c r="P221" s="502"/>
      <c r="Q221" s="502"/>
      <c r="R221" s="502"/>
      <c r="S221" s="502"/>
      <c r="T221" s="502"/>
      <c r="U221" s="502"/>
      <c r="V221" s="502"/>
      <c r="W221" s="502"/>
    </row>
    <row r="222" spans="1:23" x14ac:dyDescent="0.2">
      <c r="A222" s="480">
        <f>A221+1</f>
        <v>132</v>
      </c>
      <c r="C222" s="304" t="s">
        <v>624</v>
      </c>
      <c r="E222" s="320"/>
      <c r="F222" s="320"/>
      <c r="G222" s="320"/>
      <c r="H222" s="320"/>
      <c r="I222" s="320"/>
      <c r="J222" s="313"/>
      <c r="L222" s="474">
        <v>-0.28395604690155224</v>
      </c>
      <c r="M222" s="474">
        <v>-0.58902643938778743</v>
      </c>
      <c r="N222" s="321"/>
      <c r="P222" s="502"/>
      <c r="Q222" s="502"/>
      <c r="R222" s="502"/>
      <c r="S222" s="502"/>
      <c r="T222" s="502"/>
      <c r="U222" s="502"/>
      <c r="V222" s="502"/>
      <c r="W222" s="502"/>
    </row>
    <row r="223" spans="1:23" x14ac:dyDescent="0.2">
      <c r="E223" s="480"/>
      <c r="F223" s="480"/>
      <c r="G223" s="480"/>
      <c r="H223" s="480"/>
      <c r="I223" s="480"/>
      <c r="J223" s="324"/>
      <c r="K223" s="480"/>
      <c r="L223" s="480"/>
      <c r="M223" s="310"/>
      <c r="N223" s="480"/>
      <c r="P223" s="502"/>
      <c r="Q223" s="502"/>
      <c r="R223" s="502"/>
      <c r="S223" s="502"/>
      <c r="T223" s="502"/>
      <c r="U223" s="502"/>
      <c r="V223" s="502"/>
      <c r="W223" s="502"/>
    </row>
    <row r="224" spans="1:23" ht="14.25" x14ac:dyDescent="0.2">
      <c r="C224" s="305" t="s">
        <v>744</v>
      </c>
      <c r="E224" s="304" t="s">
        <v>713</v>
      </c>
      <c r="J224" s="321"/>
      <c r="P224" s="502"/>
      <c r="Q224" s="502"/>
      <c r="R224" s="502"/>
      <c r="S224" s="502"/>
      <c r="T224" s="502"/>
      <c r="U224" s="502"/>
      <c r="V224" s="502"/>
      <c r="W224" s="502"/>
    </row>
    <row r="225" spans="1:23" x14ac:dyDescent="0.2">
      <c r="A225" s="480">
        <f>A222+1</f>
        <v>133</v>
      </c>
      <c r="C225" s="304" t="s">
        <v>617</v>
      </c>
      <c r="E225" s="310">
        <v>47616.033070465986</v>
      </c>
      <c r="F225" s="312">
        <v>7.9550047146712046</v>
      </c>
      <c r="G225" s="312"/>
      <c r="H225" s="310">
        <v>11777.136466</v>
      </c>
      <c r="I225" s="312">
        <v>1.9675552554684772</v>
      </c>
      <c r="J225" s="313">
        <f>H225-E225</f>
        <v>-35838.89660446599</v>
      </c>
      <c r="K225" s="312"/>
      <c r="L225" s="472">
        <f>J225/E225</f>
        <v>-0.75266447651001811</v>
      </c>
      <c r="M225" s="472">
        <f>L225</f>
        <v>-0.75266447651001811</v>
      </c>
      <c r="N225" s="315"/>
      <c r="O225" s="315"/>
      <c r="P225" s="502"/>
      <c r="Q225" s="502"/>
      <c r="R225" s="502"/>
      <c r="S225" s="502"/>
      <c r="T225" s="502"/>
      <c r="U225" s="502"/>
      <c r="V225" s="502"/>
      <c r="W225" s="502"/>
    </row>
    <row r="226" spans="1:23" x14ac:dyDescent="0.2">
      <c r="A226" s="480">
        <f>A225+1</f>
        <v>134</v>
      </c>
      <c r="C226" s="304" t="s">
        <v>618</v>
      </c>
      <c r="E226" s="310">
        <v>58599.709299999995</v>
      </c>
      <c r="F226" s="312">
        <v>9.7899999999999991</v>
      </c>
      <c r="G226" s="312"/>
      <c r="H226" s="310">
        <v>58599.709299999995</v>
      </c>
      <c r="I226" s="312">
        <v>9.7899999999999991</v>
      </c>
      <c r="J226" s="313">
        <f>H226-E226</f>
        <v>0</v>
      </c>
      <c r="K226" s="312"/>
      <c r="L226" s="472">
        <f>IFERROR(J226/E226,"100.0%")</f>
        <v>0</v>
      </c>
      <c r="M226" s="472">
        <v>0</v>
      </c>
      <c r="N226" s="315"/>
      <c r="O226" s="315"/>
      <c r="P226" s="502"/>
      <c r="Q226" s="502"/>
      <c r="R226" s="502"/>
      <c r="S226" s="502"/>
      <c r="T226" s="502"/>
      <c r="U226" s="502"/>
      <c r="V226" s="502"/>
      <c r="W226" s="502"/>
    </row>
    <row r="227" spans="1:23" x14ac:dyDescent="0.2">
      <c r="A227" s="480">
        <f>A226+1</f>
        <v>135</v>
      </c>
      <c r="C227" s="304" t="s">
        <v>619</v>
      </c>
      <c r="E227" s="310">
        <v>20224.385613369799</v>
      </c>
      <c r="F227" s="312">
        <v>3.3788006377514628</v>
      </c>
      <c r="G227" s="312"/>
      <c r="H227" s="310">
        <v>5313.4792590000006</v>
      </c>
      <c r="I227" s="312">
        <v>0.88770000000000016</v>
      </c>
      <c r="J227" s="313">
        <f>H227-E227</f>
        <v>-14910.906354369799</v>
      </c>
      <c r="K227" s="312"/>
      <c r="L227" s="472">
        <f>J227/E227</f>
        <v>-0.73727363784601685</v>
      </c>
      <c r="M227" s="472">
        <f>L227</f>
        <v>-0.73727363784601685</v>
      </c>
      <c r="N227" s="315"/>
      <c r="O227" s="315"/>
      <c r="P227" s="502"/>
      <c r="Q227" s="502"/>
      <c r="R227" s="502"/>
      <c r="S227" s="502"/>
      <c r="T227" s="502"/>
      <c r="U227" s="502"/>
      <c r="V227" s="502"/>
      <c r="W227" s="502"/>
    </row>
    <row r="228" spans="1:23" x14ac:dyDescent="0.2">
      <c r="A228" s="480">
        <f>A227+1</f>
        <v>136</v>
      </c>
      <c r="C228" s="304" t="s">
        <v>44</v>
      </c>
      <c r="E228" s="310">
        <v>109797.37345480292</v>
      </c>
      <c r="F228" s="312">
        <v>18.343372330048751</v>
      </c>
      <c r="H228" s="310">
        <v>125120.85427800001</v>
      </c>
      <c r="I228" s="312">
        <v>20.903400000000001</v>
      </c>
      <c r="J228" s="313">
        <f>H228-E228</f>
        <v>15323.480823197096</v>
      </c>
      <c r="L228" s="314">
        <f>J228/E228</f>
        <v>0.1395614516180104</v>
      </c>
      <c r="M228" s="314">
        <f>L228</f>
        <v>0.1395614516180104</v>
      </c>
      <c r="N228" s="314"/>
      <c r="P228" s="502"/>
      <c r="Q228" s="502"/>
      <c r="R228" s="502"/>
      <c r="S228" s="502"/>
      <c r="T228" s="502"/>
      <c r="U228" s="502"/>
      <c r="V228" s="502"/>
      <c r="W228" s="502"/>
    </row>
    <row r="229" spans="1:23" x14ac:dyDescent="0.2">
      <c r="A229" s="480">
        <f>A228+1</f>
        <v>137</v>
      </c>
      <c r="C229" s="304" t="s">
        <v>620</v>
      </c>
      <c r="E229" s="316">
        <f>SUM(E225:E228)</f>
        <v>236237.50143863869</v>
      </c>
      <c r="F229" s="317">
        <v>39.467177682471416</v>
      </c>
      <c r="H229" s="316">
        <f>SUM(H225:H228)</f>
        <v>200811.17930300001</v>
      </c>
      <c r="I229" s="317">
        <v>33.548655255468482</v>
      </c>
      <c r="J229" s="318">
        <f>SUM(J225:J228)</f>
        <v>-35426.322135638693</v>
      </c>
      <c r="L229" s="473">
        <f>J229/E229</f>
        <v>-0.14996061979956418</v>
      </c>
      <c r="M229" s="473">
        <f>(J225+J228+J227)/(E225+E228+E227)</f>
        <v>-0.19943009710450554</v>
      </c>
      <c r="N229" s="320"/>
      <c r="P229" s="502"/>
      <c r="Q229" s="502"/>
      <c r="R229" s="502"/>
      <c r="S229" s="502"/>
      <c r="T229" s="502"/>
      <c r="U229" s="502"/>
      <c r="V229" s="502"/>
      <c r="W229" s="502"/>
    </row>
    <row r="230" spans="1:23" x14ac:dyDescent="0.2">
      <c r="E230" s="310"/>
      <c r="F230" s="312"/>
      <c r="G230" s="480"/>
      <c r="H230" s="310"/>
      <c r="I230" s="312"/>
      <c r="J230" s="313"/>
      <c r="L230" s="320"/>
      <c r="M230" s="320"/>
      <c r="N230" s="320"/>
      <c r="P230" s="502"/>
      <c r="Q230" s="502"/>
      <c r="R230" s="502"/>
      <c r="S230" s="502"/>
      <c r="T230" s="502"/>
      <c r="U230" s="502"/>
      <c r="V230" s="502"/>
      <c r="W230" s="502"/>
    </row>
    <row r="231" spans="1:23" x14ac:dyDescent="0.2">
      <c r="A231" s="480">
        <f>A229+1</f>
        <v>138</v>
      </c>
      <c r="C231" s="304" t="s">
        <v>621</v>
      </c>
      <c r="E231" s="316">
        <v>251560.98226183577</v>
      </c>
      <c r="F231" s="317">
        <v>42.027205352422662</v>
      </c>
      <c r="G231" s="320"/>
      <c r="H231" s="316">
        <v>211956.496843</v>
      </c>
      <c r="I231" s="317">
        <v>35.410655255468477</v>
      </c>
      <c r="J231" s="318">
        <v>-39604.485418835786</v>
      </c>
      <c r="L231" s="473">
        <v>-0.15743492914816851</v>
      </c>
      <c r="M231" s="473">
        <v>-0.205245771915429</v>
      </c>
      <c r="N231" s="320"/>
      <c r="P231" s="502"/>
      <c r="Q231" s="502"/>
      <c r="R231" s="502"/>
      <c r="S231" s="502"/>
      <c r="T231" s="502"/>
      <c r="U231" s="502"/>
      <c r="V231" s="502"/>
      <c r="W231" s="502"/>
    </row>
    <row r="232" spans="1:23" x14ac:dyDescent="0.2">
      <c r="A232" s="480">
        <f>A231+1</f>
        <v>139</v>
      </c>
      <c r="C232" s="304" t="s">
        <v>622</v>
      </c>
      <c r="E232" s="320"/>
      <c r="F232" s="320"/>
      <c r="G232" s="320"/>
      <c r="H232" s="320"/>
      <c r="I232" s="320"/>
      <c r="J232" s="313"/>
      <c r="L232" s="473">
        <v>-0.31322718546993927</v>
      </c>
      <c r="M232" s="473">
        <v>-0.58378892977369368</v>
      </c>
      <c r="N232" s="321"/>
      <c r="P232" s="502"/>
      <c r="Q232" s="502"/>
      <c r="R232" s="502"/>
      <c r="S232" s="502"/>
      <c r="T232" s="502"/>
      <c r="U232" s="502"/>
      <c r="V232" s="502"/>
      <c r="W232" s="502"/>
    </row>
    <row r="233" spans="1:23" x14ac:dyDescent="0.2">
      <c r="A233" s="480">
        <f>A232+1</f>
        <v>140</v>
      </c>
      <c r="C233" s="304" t="s">
        <v>623</v>
      </c>
      <c r="E233" s="316">
        <v>233861.20050303475</v>
      </c>
      <c r="F233" s="317">
        <v>39.070179362215882</v>
      </c>
      <c r="G233" s="320"/>
      <c r="H233" s="316">
        <v>200811.17930300001</v>
      </c>
      <c r="I233" s="317">
        <v>33.548655255468482</v>
      </c>
      <c r="J233" s="318">
        <v>-33050.021200034738</v>
      </c>
      <c r="L233" s="473">
        <v>-0.14132323416173456</v>
      </c>
      <c r="M233" s="473">
        <v>-0.18857548782206446</v>
      </c>
      <c r="N233" s="321"/>
      <c r="P233" s="502"/>
      <c r="Q233" s="502"/>
      <c r="R233" s="502"/>
      <c r="S233" s="502"/>
      <c r="T233" s="502"/>
      <c r="U233" s="502"/>
      <c r="V233" s="502"/>
      <c r="W233" s="502"/>
    </row>
    <row r="234" spans="1:23" x14ac:dyDescent="0.2">
      <c r="A234" s="480">
        <f>A233+1</f>
        <v>141</v>
      </c>
      <c r="C234" s="304" t="s">
        <v>624</v>
      </c>
      <c r="E234" s="320"/>
      <c r="F234" s="320"/>
      <c r="G234" s="320"/>
      <c r="H234" s="320"/>
      <c r="I234" s="320"/>
      <c r="J234" s="313"/>
      <c r="L234" s="474">
        <v>-0.30393522135416751</v>
      </c>
      <c r="M234" s="474">
        <v>-0.65914641749461267</v>
      </c>
      <c r="N234" s="321"/>
      <c r="P234" s="502"/>
      <c r="Q234" s="502"/>
      <c r="R234" s="502"/>
      <c r="S234" s="502"/>
      <c r="T234" s="502"/>
      <c r="U234" s="502"/>
      <c r="V234" s="502"/>
      <c r="W234" s="502"/>
    </row>
    <row r="235" spans="1:23" x14ac:dyDescent="0.2">
      <c r="E235" s="480"/>
      <c r="F235" s="480"/>
      <c r="G235" s="480"/>
      <c r="H235" s="480"/>
      <c r="I235" s="480"/>
      <c r="J235" s="480"/>
      <c r="K235" s="480"/>
      <c r="L235" s="480"/>
      <c r="M235" s="480"/>
      <c r="N235" s="480"/>
      <c r="P235" s="502"/>
      <c r="Q235" s="502"/>
      <c r="R235" s="502"/>
      <c r="S235" s="502"/>
      <c r="T235" s="502"/>
      <c r="U235" s="502"/>
      <c r="V235" s="502"/>
      <c r="W235" s="502"/>
    </row>
    <row r="236" spans="1:23" ht="14.25" x14ac:dyDescent="0.2">
      <c r="C236" s="305" t="s">
        <v>745</v>
      </c>
      <c r="E236" s="304" t="s">
        <v>706</v>
      </c>
      <c r="G236" s="480"/>
      <c r="H236" s="480"/>
      <c r="I236" s="480"/>
      <c r="J236" s="480"/>
      <c r="K236" s="480"/>
      <c r="L236" s="480"/>
      <c r="M236" s="480"/>
      <c r="N236" s="480"/>
      <c r="P236" s="502"/>
      <c r="Q236" s="502"/>
      <c r="R236" s="502"/>
      <c r="S236" s="502"/>
      <c r="T236" s="502"/>
      <c r="U236" s="502"/>
      <c r="V236" s="502"/>
      <c r="W236" s="502"/>
    </row>
    <row r="237" spans="1:23" x14ac:dyDescent="0.2">
      <c r="A237" s="480">
        <f>A234+1</f>
        <v>142</v>
      </c>
      <c r="C237" s="304" t="s">
        <v>617</v>
      </c>
      <c r="E237" s="310">
        <v>108253.72897367828</v>
      </c>
      <c r="F237" s="312">
        <v>1.0851285767781291</v>
      </c>
      <c r="G237" s="312"/>
      <c r="H237" s="310">
        <v>66570.163239999994</v>
      </c>
      <c r="I237" s="312">
        <v>0.66729513317802902</v>
      </c>
      <c r="J237" s="313">
        <f>H237-E237</f>
        <v>-41683.56573367829</v>
      </c>
      <c r="K237" s="312"/>
      <c r="L237" s="472">
        <f>J237/E237</f>
        <v>-0.38505431756363406</v>
      </c>
      <c r="M237" s="472">
        <f>L237</f>
        <v>-0.38505431756363406</v>
      </c>
      <c r="N237" s="314"/>
      <c r="P237" s="502"/>
      <c r="Q237" s="502"/>
      <c r="R237" s="502"/>
      <c r="S237" s="502"/>
      <c r="T237" s="502"/>
      <c r="U237" s="502"/>
      <c r="V237" s="502"/>
      <c r="W237" s="502"/>
    </row>
    <row r="238" spans="1:23" x14ac:dyDescent="0.2">
      <c r="A238" s="480">
        <f>A237+1</f>
        <v>143</v>
      </c>
      <c r="C238" s="304" t="s">
        <v>618</v>
      </c>
      <c r="E238" s="310">
        <v>976662.14799999993</v>
      </c>
      <c r="F238" s="312">
        <v>9.7899999999999991</v>
      </c>
      <c r="G238" s="312"/>
      <c r="H238" s="310">
        <v>976662.14799999993</v>
      </c>
      <c r="I238" s="312">
        <v>9.7899999999999991</v>
      </c>
      <c r="J238" s="313">
        <f>H238-E238</f>
        <v>0</v>
      </c>
      <c r="K238" s="312"/>
      <c r="L238" s="472">
        <f>IFERROR(J238/E238,"100.0%")</f>
        <v>0</v>
      </c>
      <c r="M238" s="472">
        <v>0</v>
      </c>
      <c r="N238" s="314"/>
      <c r="P238" s="502"/>
      <c r="Q238" s="502"/>
      <c r="R238" s="502"/>
      <c r="S238" s="502"/>
      <c r="T238" s="502"/>
      <c r="U238" s="502"/>
      <c r="V238" s="502"/>
      <c r="W238" s="502"/>
    </row>
    <row r="239" spans="1:23" x14ac:dyDescent="0.2">
      <c r="A239" s="480">
        <f>A238+1</f>
        <v>144</v>
      </c>
      <c r="C239" s="304" t="s">
        <v>619</v>
      </c>
      <c r="E239" s="310">
        <v>271476.67630410165</v>
      </c>
      <c r="F239" s="312">
        <v>2.721265144205379</v>
      </c>
      <c r="G239" s="312"/>
      <c r="H239" s="310">
        <v>88558.017240000016</v>
      </c>
      <c r="I239" s="312">
        <v>0.88770000000000016</v>
      </c>
      <c r="J239" s="313">
        <f>H239-E239</f>
        <v>-182918.65906410164</v>
      </c>
      <c r="K239" s="312"/>
      <c r="L239" s="472">
        <f>J239/E239</f>
        <v>-0.67379143414589526</v>
      </c>
      <c r="M239" s="472">
        <f>L239</f>
        <v>-0.67379143414589526</v>
      </c>
      <c r="N239" s="314"/>
      <c r="P239" s="502"/>
      <c r="Q239" s="502"/>
      <c r="R239" s="502"/>
      <c r="S239" s="502"/>
      <c r="T239" s="502"/>
      <c r="U239" s="502"/>
      <c r="V239" s="502"/>
      <c r="W239" s="502"/>
    </row>
    <row r="240" spans="1:23" x14ac:dyDescent="0.2">
      <c r="A240" s="480">
        <f>A239+1</f>
        <v>145</v>
      </c>
      <c r="C240" s="304" t="s">
        <v>44</v>
      </c>
      <c r="E240" s="310">
        <v>1829563.66371061</v>
      </c>
      <c r="F240" s="312">
        <v>18.339431198808857</v>
      </c>
      <c r="H240" s="310">
        <v>2085348.2680800001</v>
      </c>
      <c r="I240" s="312">
        <v>20.903400000000001</v>
      </c>
      <c r="J240" s="313">
        <f>H240-E240</f>
        <v>255784.60436939006</v>
      </c>
      <c r="L240" s="314">
        <f>J240/E240</f>
        <v>0.13980634259571117</v>
      </c>
      <c r="M240" s="314">
        <f>L240</f>
        <v>0.13980634259571117</v>
      </c>
      <c r="N240" s="314"/>
      <c r="P240" s="502"/>
      <c r="Q240" s="502"/>
      <c r="R240" s="502"/>
      <c r="S240" s="502"/>
      <c r="T240" s="502"/>
      <c r="U240" s="502"/>
      <c r="V240" s="502"/>
      <c r="W240" s="502"/>
    </row>
    <row r="241" spans="1:23" x14ac:dyDescent="0.2">
      <c r="A241" s="480">
        <f>A240+1</f>
        <v>146</v>
      </c>
      <c r="C241" s="304" t="s">
        <v>620</v>
      </c>
      <c r="E241" s="316">
        <f>SUM(E237:E240)</f>
        <v>3185956.2169883898</v>
      </c>
      <c r="F241" s="317">
        <v>31.93582491979236</v>
      </c>
      <c r="H241" s="316">
        <f>SUM(H237:H240)</f>
        <v>3217138.59656</v>
      </c>
      <c r="I241" s="317">
        <v>32.248395133178029</v>
      </c>
      <c r="J241" s="318">
        <f>SUM(J237:J240)</f>
        <v>31182.37957161013</v>
      </c>
      <c r="L241" s="319">
        <f>J241/E241</f>
        <v>9.7874476131646609E-3</v>
      </c>
      <c r="M241" s="319">
        <f>(J237+J240+J239)/(E237+E240+E239)</f>
        <v>1.4114182448282307E-2</v>
      </c>
      <c r="N241" s="320"/>
      <c r="P241" s="502"/>
      <c r="Q241" s="502"/>
      <c r="R241" s="502"/>
      <c r="S241" s="502"/>
      <c r="T241" s="502"/>
      <c r="U241" s="502"/>
      <c r="V241" s="502"/>
      <c r="W241" s="502"/>
    </row>
    <row r="242" spans="1:23" x14ac:dyDescent="0.2">
      <c r="E242" s="310"/>
      <c r="F242" s="312"/>
      <c r="G242" s="480"/>
      <c r="H242" s="310"/>
      <c r="I242" s="312"/>
      <c r="J242" s="313"/>
      <c r="L242" s="320"/>
      <c r="M242" s="320"/>
      <c r="N242" s="320"/>
      <c r="P242" s="502"/>
      <c r="Q242" s="502"/>
      <c r="R242" s="502"/>
      <c r="S242" s="502"/>
      <c r="T242" s="502"/>
      <c r="U242" s="502"/>
      <c r="V242" s="502"/>
      <c r="W242" s="502"/>
    </row>
    <row r="243" spans="1:23" x14ac:dyDescent="0.2">
      <c r="A243" s="480">
        <f>A241+1</f>
        <v>147</v>
      </c>
      <c r="C243" s="304" t="s">
        <v>621</v>
      </c>
      <c r="E243" s="316">
        <v>3441740.8213577801</v>
      </c>
      <c r="F243" s="317">
        <v>34.499793720983511</v>
      </c>
      <c r="G243" s="320"/>
      <c r="H243" s="316">
        <v>3402893.95096</v>
      </c>
      <c r="I243" s="317">
        <v>34.110395133178031</v>
      </c>
      <c r="J243" s="318">
        <v>-38846.870397779974</v>
      </c>
      <c r="L243" s="473">
        <v>-1.128698307458687E-2</v>
      </c>
      <c r="M243" s="473">
        <v>-1.5758876508742473E-2</v>
      </c>
      <c r="N243" s="320"/>
      <c r="P243" s="502"/>
      <c r="Q243" s="502"/>
      <c r="R243" s="502"/>
      <c r="S243" s="502"/>
      <c r="T243" s="502"/>
      <c r="U243" s="502"/>
      <c r="V243" s="502"/>
      <c r="W243" s="502"/>
    </row>
    <row r="244" spans="1:23" x14ac:dyDescent="0.2">
      <c r="A244" s="480">
        <f>A243+1</f>
        <v>148</v>
      </c>
      <c r="C244" s="304" t="s">
        <v>622</v>
      </c>
      <c r="E244" s="320"/>
      <c r="F244" s="320"/>
      <c r="G244" s="320"/>
      <c r="H244" s="320"/>
      <c r="I244" s="320"/>
      <c r="J244" s="313"/>
      <c r="L244" s="473">
        <v>-2.8639843461175655E-2</v>
      </c>
      <c r="M244" s="473">
        <v>-0.10230118488763827</v>
      </c>
      <c r="N244" s="321"/>
      <c r="P244" s="502"/>
      <c r="Q244" s="502"/>
      <c r="R244" s="502"/>
      <c r="S244" s="502"/>
      <c r="T244" s="502"/>
      <c r="U244" s="502"/>
      <c r="V244" s="502"/>
      <c r="W244" s="502"/>
    </row>
    <row r="245" spans="1:23" x14ac:dyDescent="0.2">
      <c r="A245" s="480">
        <f>A244+1</f>
        <v>149</v>
      </c>
      <c r="C245" s="304" t="s">
        <v>623</v>
      </c>
      <c r="E245" s="316">
        <v>3146744.5421498399</v>
      </c>
      <c r="F245" s="317">
        <v>31.542769555196209</v>
      </c>
      <c r="G245" s="320"/>
      <c r="H245" s="316">
        <v>3217138.59656</v>
      </c>
      <c r="I245" s="317">
        <v>32.248395133178029</v>
      </c>
      <c r="J245" s="318">
        <v>70394.054410159748</v>
      </c>
      <c r="L245" s="473">
        <v>2.2370438231400534E-2</v>
      </c>
      <c r="M245" s="473">
        <v>3.2438424734438524E-2</v>
      </c>
      <c r="N245" s="321"/>
      <c r="P245" s="502"/>
      <c r="Q245" s="502"/>
      <c r="R245" s="502"/>
      <c r="S245" s="502"/>
      <c r="T245" s="502"/>
      <c r="U245" s="502"/>
      <c r="V245" s="502"/>
      <c r="W245" s="502"/>
    </row>
    <row r="246" spans="1:23" x14ac:dyDescent="0.2">
      <c r="A246" s="480">
        <f>A245+1</f>
        <v>150</v>
      </c>
      <c r="C246" s="304" t="s">
        <v>624</v>
      </c>
      <c r="E246" s="320"/>
      <c r="F246" s="320"/>
      <c r="G246" s="320"/>
      <c r="H246" s="320"/>
      <c r="I246" s="320"/>
      <c r="J246" s="313"/>
      <c r="L246" s="474">
        <v>6.6322123159750043E-2</v>
      </c>
      <c r="M246" s="474">
        <v>0.83076391620701884</v>
      </c>
      <c r="N246" s="321"/>
      <c r="P246" s="502"/>
      <c r="Q246" s="502"/>
      <c r="R246" s="502"/>
      <c r="S246" s="502"/>
      <c r="T246" s="502"/>
      <c r="U246" s="502"/>
      <c r="V246" s="502"/>
      <c r="W246" s="502"/>
    </row>
    <row r="247" spans="1:23" x14ac:dyDescent="0.2">
      <c r="E247" s="480"/>
      <c r="F247" s="480"/>
      <c r="G247" s="480"/>
      <c r="H247" s="480"/>
      <c r="I247" s="480"/>
      <c r="J247" s="324"/>
      <c r="K247" s="480"/>
      <c r="L247" s="480"/>
      <c r="M247" s="310"/>
      <c r="N247" s="480"/>
      <c r="P247" s="502"/>
      <c r="Q247" s="502"/>
      <c r="R247" s="502"/>
      <c r="S247" s="502"/>
      <c r="T247" s="502"/>
      <c r="U247" s="502"/>
      <c r="V247" s="502"/>
      <c r="W247" s="502"/>
    </row>
    <row r="248" spans="1:23" ht="12.75" customHeight="1" x14ac:dyDescent="0.2">
      <c r="L248" s="422"/>
      <c r="M248" s="422"/>
      <c r="N248" s="422"/>
    </row>
    <row r="249" spans="1:23" x14ac:dyDescent="0.2">
      <c r="C249" s="305"/>
      <c r="D249" s="305"/>
      <c r="E249" s="305"/>
      <c r="F249" s="305"/>
      <c r="G249" s="305"/>
      <c r="H249" s="305"/>
      <c r="I249" s="305"/>
      <c r="J249" s="305"/>
      <c r="L249" s="422" t="s">
        <v>139</v>
      </c>
      <c r="M249" s="422"/>
      <c r="N249" s="422"/>
    </row>
    <row r="250" spans="1:23" x14ac:dyDescent="0.2">
      <c r="A250" s="515" t="s">
        <v>881</v>
      </c>
      <c r="B250" s="515"/>
      <c r="C250" s="515"/>
      <c r="D250" s="515"/>
      <c r="E250" s="515"/>
      <c r="F250" s="515"/>
      <c r="G250" s="515"/>
      <c r="H250" s="515"/>
      <c r="I250" s="515"/>
      <c r="J250" s="515"/>
      <c r="K250" s="515"/>
      <c r="L250" s="515"/>
      <c r="M250" s="515"/>
      <c r="P250" s="304"/>
    </row>
    <row r="251" spans="1:23" x14ac:dyDescent="0.2">
      <c r="A251" s="515" t="s">
        <v>813</v>
      </c>
      <c r="B251" s="515"/>
      <c r="C251" s="515"/>
      <c r="D251" s="515"/>
      <c r="E251" s="515"/>
      <c r="F251" s="515"/>
      <c r="G251" s="515"/>
      <c r="H251" s="515"/>
      <c r="I251" s="515"/>
      <c r="J251" s="515"/>
      <c r="K251" s="515"/>
      <c r="L251" s="515"/>
      <c r="M251" s="515"/>
      <c r="P251" s="304"/>
    </row>
    <row r="252" spans="1:23" x14ac:dyDescent="0.2">
      <c r="A252" s="306"/>
      <c r="B252" s="306"/>
      <c r="E252" s="307"/>
      <c r="F252" s="307"/>
      <c r="G252" s="307"/>
      <c r="H252" s="307"/>
      <c r="I252" s="307"/>
      <c r="J252" s="307"/>
      <c r="K252" s="307"/>
      <c r="L252" s="307"/>
      <c r="M252" s="308"/>
      <c r="N252" s="480"/>
    </row>
    <row r="253" spans="1:23" x14ac:dyDescent="0.2">
      <c r="E253" s="516" t="s">
        <v>812</v>
      </c>
      <c r="F253" s="516"/>
      <c r="H253" s="516" t="s">
        <v>607</v>
      </c>
      <c r="I253" s="516"/>
      <c r="J253" s="516"/>
      <c r="L253" s="516" t="s">
        <v>608</v>
      </c>
      <c r="M253" s="516"/>
      <c r="N253" s="480"/>
      <c r="O253" s="480"/>
    </row>
    <row r="254" spans="1:23" x14ac:dyDescent="0.2">
      <c r="E254" s="480" t="s">
        <v>47</v>
      </c>
      <c r="F254" s="480"/>
      <c r="H254" s="480" t="s">
        <v>47</v>
      </c>
      <c r="I254" s="480"/>
      <c r="J254" s="480" t="s">
        <v>609</v>
      </c>
      <c r="L254" s="480" t="s">
        <v>610</v>
      </c>
      <c r="M254" s="480" t="s">
        <v>611</v>
      </c>
      <c r="N254" s="480"/>
      <c r="O254" s="480"/>
    </row>
    <row r="255" spans="1:23" x14ac:dyDescent="0.2">
      <c r="A255" s="480" t="s">
        <v>0</v>
      </c>
      <c r="E255" s="480" t="s">
        <v>612</v>
      </c>
      <c r="F255" s="480" t="s">
        <v>264</v>
      </c>
      <c r="H255" s="480" t="s">
        <v>612</v>
      </c>
      <c r="I255" s="480" t="s">
        <v>264</v>
      </c>
      <c r="J255" s="480" t="s">
        <v>613</v>
      </c>
      <c r="L255" s="480" t="s">
        <v>614</v>
      </c>
      <c r="M255" s="480" t="s">
        <v>614</v>
      </c>
      <c r="N255" s="480"/>
      <c r="O255" s="480"/>
    </row>
    <row r="256" spans="1:23" ht="14.25" x14ac:dyDescent="0.2">
      <c r="A256" s="491" t="s">
        <v>1</v>
      </c>
      <c r="C256" s="309" t="s">
        <v>9</v>
      </c>
      <c r="E256" s="491" t="s">
        <v>288</v>
      </c>
      <c r="F256" s="491" t="s">
        <v>12</v>
      </c>
      <c r="H256" s="491" t="s">
        <v>288</v>
      </c>
      <c r="I256" s="491" t="s">
        <v>12</v>
      </c>
      <c r="J256" s="491" t="s">
        <v>288</v>
      </c>
      <c r="L256" s="491" t="s">
        <v>2</v>
      </c>
      <c r="M256" s="491" t="s">
        <v>2</v>
      </c>
      <c r="N256" s="480"/>
      <c r="O256" s="480"/>
      <c r="Q256" s="305"/>
    </row>
    <row r="257" spans="1:23" x14ac:dyDescent="0.2">
      <c r="E257" s="480" t="s">
        <v>3</v>
      </c>
      <c r="F257" s="480" t="s">
        <v>4</v>
      </c>
      <c r="G257" s="480"/>
      <c r="H257" s="480" t="s">
        <v>86</v>
      </c>
      <c r="I257" s="480" t="s">
        <v>133</v>
      </c>
      <c r="J257" s="480" t="s">
        <v>615</v>
      </c>
      <c r="K257" s="480"/>
      <c r="L257" s="480" t="s">
        <v>616</v>
      </c>
      <c r="M257" s="480" t="s">
        <v>15</v>
      </c>
      <c r="N257" s="480"/>
      <c r="O257" s="480"/>
    </row>
    <row r="258" spans="1:23" x14ac:dyDescent="0.2">
      <c r="E258" s="480"/>
      <c r="F258" s="480"/>
      <c r="G258" s="480"/>
      <c r="H258" s="480"/>
      <c r="I258" s="480"/>
      <c r="J258" s="480"/>
      <c r="K258" s="480"/>
      <c r="L258" s="480"/>
      <c r="M258" s="480"/>
      <c r="N258" s="480"/>
      <c r="O258" s="480"/>
    </row>
    <row r="259" spans="1:23" ht="14.25" x14ac:dyDescent="0.2">
      <c r="C259" s="305" t="s">
        <v>746</v>
      </c>
      <c r="E259" s="304" t="s">
        <v>714</v>
      </c>
      <c r="G259" s="480"/>
      <c r="H259" s="480"/>
      <c r="J259" s="321"/>
      <c r="P259" s="502"/>
      <c r="Q259" s="502"/>
      <c r="R259" s="502"/>
      <c r="S259" s="502"/>
      <c r="T259" s="502"/>
      <c r="U259" s="502"/>
      <c r="V259" s="502"/>
      <c r="W259" s="502"/>
    </row>
    <row r="260" spans="1:23" x14ac:dyDescent="0.2">
      <c r="A260" s="480">
        <f>A246+1</f>
        <v>151</v>
      </c>
      <c r="C260" s="304" t="s">
        <v>617</v>
      </c>
      <c r="E260" s="310">
        <v>116258.12915287106</v>
      </c>
      <c r="F260" s="312">
        <v>1.1653640643780387</v>
      </c>
      <c r="G260" s="312"/>
      <c r="H260" s="310">
        <v>82806.105916999993</v>
      </c>
      <c r="I260" s="312">
        <v>0.83004311913418038</v>
      </c>
      <c r="J260" s="313">
        <f>H260-E260</f>
        <v>-33452.023235871064</v>
      </c>
      <c r="K260" s="312"/>
      <c r="L260" s="472">
        <f>J260/E260</f>
        <v>-0.28773921857872031</v>
      </c>
      <c r="M260" s="472">
        <f>L260</f>
        <v>-0.28773921857872031</v>
      </c>
      <c r="N260" s="315"/>
      <c r="O260" s="315"/>
      <c r="P260" s="502"/>
      <c r="Q260" s="502"/>
      <c r="R260" s="502"/>
      <c r="S260" s="502"/>
      <c r="T260" s="502"/>
      <c r="U260" s="502"/>
      <c r="V260" s="502"/>
      <c r="W260" s="502"/>
    </row>
    <row r="261" spans="1:23" x14ac:dyDescent="0.2">
      <c r="A261" s="480">
        <f>A260+1</f>
        <v>152</v>
      </c>
      <c r="C261" s="304" t="s">
        <v>618</v>
      </c>
      <c r="E261" s="310">
        <v>976662.24589999986</v>
      </c>
      <c r="F261" s="312">
        <v>9.7899999999999991</v>
      </c>
      <c r="G261" s="312"/>
      <c r="H261" s="310">
        <v>976662.24589999986</v>
      </c>
      <c r="I261" s="312">
        <v>9.7899999999999991</v>
      </c>
      <c r="J261" s="313">
        <f>H261-E261</f>
        <v>0</v>
      </c>
      <c r="K261" s="312"/>
      <c r="L261" s="472">
        <f>IFERROR(J261/E261,"100.0%")</f>
        <v>0</v>
      </c>
      <c r="M261" s="472">
        <v>0</v>
      </c>
      <c r="N261" s="315"/>
      <c r="O261" s="315"/>
      <c r="P261" s="502"/>
      <c r="Q261" s="502"/>
      <c r="R261" s="502"/>
      <c r="S261" s="502"/>
      <c r="T261" s="502"/>
      <c r="U261" s="502"/>
      <c r="V261" s="502"/>
      <c r="W261" s="502"/>
    </row>
    <row r="262" spans="1:23" x14ac:dyDescent="0.2">
      <c r="A262" s="480">
        <f>A261+1</f>
        <v>153</v>
      </c>
      <c r="C262" s="304" t="s">
        <v>619</v>
      </c>
      <c r="E262" s="310">
        <v>271476.7035167531</v>
      </c>
      <c r="F262" s="312">
        <v>2.721265144205379</v>
      </c>
      <c r="G262" s="312"/>
      <c r="H262" s="310">
        <v>88558.026117000001</v>
      </c>
      <c r="I262" s="312">
        <v>0.88769999999999993</v>
      </c>
      <c r="J262" s="313">
        <f>H262-E262</f>
        <v>-182918.6773997531</v>
      </c>
      <c r="K262" s="312"/>
      <c r="L262" s="472">
        <f>J262/E262</f>
        <v>-0.67379143414589537</v>
      </c>
      <c r="M262" s="472">
        <f>L262</f>
        <v>-0.67379143414589537</v>
      </c>
      <c r="N262" s="315"/>
      <c r="O262" s="315"/>
      <c r="P262" s="502"/>
      <c r="Q262" s="502"/>
      <c r="R262" s="502"/>
      <c r="S262" s="502"/>
      <c r="T262" s="502"/>
      <c r="U262" s="502"/>
      <c r="V262" s="502"/>
      <c r="W262" s="502"/>
    </row>
    <row r="263" spans="1:23" x14ac:dyDescent="0.2">
      <c r="A263" s="480">
        <f>A262+1</f>
        <v>154</v>
      </c>
      <c r="C263" s="304" t="s">
        <v>44</v>
      </c>
      <c r="E263" s="310">
        <v>1829563.8471049222</v>
      </c>
      <c r="F263" s="312">
        <v>18.33943119880886</v>
      </c>
      <c r="H263" s="310">
        <v>2085348.4771140001</v>
      </c>
      <c r="I263" s="312">
        <v>20.903400000000001</v>
      </c>
      <c r="J263" s="313">
        <f>H263-E263</f>
        <v>255784.63000907796</v>
      </c>
      <c r="L263" s="314">
        <f>J263/E263</f>
        <v>0.13980634259571109</v>
      </c>
      <c r="M263" s="314">
        <f>L263</f>
        <v>0.13980634259571109</v>
      </c>
      <c r="N263" s="314"/>
      <c r="P263" s="502"/>
      <c r="Q263" s="502"/>
      <c r="R263" s="502"/>
      <c r="S263" s="502"/>
      <c r="T263" s="502"/>
      <c r="U263" s="502"/>
      <c r="V263" s="502"/>
      <c r="W263" s="502"/>
    </row>
    <row r="264" spans="1:23" x14ac:dyDescent="0.2">
      <c r="A264" s="480">
        <f>A263+1</f>
        <v>155</v>
      </c>
      <c r="C264" s="304" t="s">
        <v>620</v>
      </c>
      <c r="E264" s="316">
        <f>SUM(E260:E263)</f>
        <v>3193960.9256745465</v>
      </c>
      <c r="F264" s="317">
        <v>32.016060407392274</v>
      </c>
      <c r="H264" s="316">
        <f>SUM(H260:H263)</f>
        <v>3233374.8550479999</v>
      </c>
      <c r="I264" s="317">
        <v>32.411143119134181</v>
      </c>
      <c r="J264" s="318">
        <f>SUM(J260:J263)</f>
        <v>39413.929373453779</v>
      </c>
      <c r="L264" s="319">
        <f>J264/E264</f>
        <v>1.2340141376378854E-2</v>
      </c>
      <c r="M264" s="319">
        <f>(J260+J263+J262)/(E260+E263+E262)</f>
        <v>1.7775651847436898E-2</v>
      </c>
      <c r="N264" s="320"/>
      <c r="P264" s="502"/>
      <c r="Q264" s="502"/>
      <c r="R264" s="502"/>
      <c r="S264" s="502"/>
      <c r="T264" s="502"/>
      <c r="U264" s="502"/>
      <c r="V264" s="502"/>
      <c r="W264" s="502"/>
    </row>
    <row r="265" spans="1:23" x14ac:dyDescent="0.2">
      <c r="E265" s="310"/>
      <c r="F265" s="312"/>
      <c r="G265" s="480"/>
      <c r="H265" s="310"/>
      <c r="I265" s="312"/>
      <c r="J265" s="313"/>
      <c r="L265" s="320"/>
      <c r="M265" s="320"/>
      <c r="N265" s="320"/>
      <c r="P265" s="502"/>
      <c r="Q265" s="502"/>
      <c r="R265" s="502"/>
      <c r="S265" s="502"/>
      <c r="T265" s="502"/>
      <c r="U265" s="502"/>
      <c r="V265" s="502"/>
      <c r="W265" s="502"/>
    </row>
    <row r="266" spans="1:23" x14ac:dyDescent="0.2">
      <c r="A266" s="480">
        <f>A264+1</f>
        <v>156</v>
      </c>
      <c r="C266" s="304" t="s">
        <v>621</v>
      </c>
      <c r="E266" s="316">
        <v>3449745.555683624</v>
      </c>
      <c r="F266" s="317">
        <v>34.580029208583419</v>
      </c>
      <c r="G266" s="320"/>
      <c r="H266" s="316">
        <v>3419130.2280679997</v>
      </c>
      <c r="I266" s="317">
        <v>34.273143119134176</v>
      </c>
      <c r="J266" s="318">
        <v>-30615.327615624192</v>
      </c>
      <c r="L266" s="473">
        <v>-8.8746625284244363E-3</v>
      </c>
      <c r="M266" s="473">
        <v>-1.2379416210731211E-2</v>
      </c>
      <c r="N266" s="320"/>
      <c r="P266" s="502"/>
      <c r="Q266" s="502"/>
      <c r="R266" s="502"/>
      <c r="S266" s="502"/>
      <c r="T266" s="502"/>
      <c r="U266" s="502"/>
      <c r="V266" s="502"/>
      <c r="W266" s="502"/>
    </row>
    <row r="267" spans="1:23" x14ac:dyDescent="0.2">
      <c r="A267" s="480">
        <f>A266+1</f>
        <v>157</v>
      </c>
      <c r="C267" s="304" t="s">
        <v>622</v>
      </c>
      <c r="E267" s="320"/>
      <c r="F267" s="320"/>
      <c r="G267" s="320"/>
      <c r="H267" s="320"/>
      <c r="I267" s="320"/>
      <c r="J267" s="313"/>
      <c r="L267" s="473">
        <v>-2.2438722639101513E-2</v>
      </c>
      <c r="M267" s="473">
        <v>-7.8959446085439755E-2</v>
      </c>
      <c r="N267" s="321"/>
      <c r="P267" s="502"/>
      <c r="Q267" s="502"/>
      <c r="R267" s="502"/>
      <c r="S267" s="502"/>
      <c r="T267" s="502"/>
      <c r="U267" s="502"/>
      <c r="V267" s="502"/>
      <c r="W267" s="502"/>
    </row>
    <row r="268" spans="1:23" x14ac:dyDescent="0.2">
      <c r="A268" s="480">
        <f>A267+1</f>
        <v>158</v>
      </c>
      <c r="C268" s="304" t="s">
        <v>623</v>
      </c>
      <c r="E268" s="316">
        <v>3154749.2469054428</v>
      </c>
      <c r="F268" s="317">
        <v>31.62300504279612</v>
      </c>
      <c r="G268" s="320"/>
      <c r="H268" s="316">
        <v>3764723.038381</v>
      </c>
      <c r="I268" s="317">
        <v>37.737343386081626</v>
      </c>
      <c r="J268" s="318">
        <v>609973.79147555714</v>
      </c>
      <c r="L268" s="473">
        <v>0.19335095874066466</v>
      </c>
      <c r="M268" s="473">
        <v>0.28005024188381028</v>
      </c>
      <c r="N268" s="321"/>
      <c r="P268" s="502"/>
      <c r="Q268" s="502"/>
      <c r="R268" s="502"/>
      <c r="S268" s="502"/>
      <c r="T268" s="502"/>
      <c r="U268" s="502"/>
      <c r="V268" s="502"/>
      <c r="W268" s="502"/>
    </row>
    <row r="269" spans="1:23" x14ac:dyDescent="0.2">
      <c r="A269" s="480">
        <f>A268+1</f>
        <v>159</v>
      </c>
      <c r="C269" s="304" t="s">
        <v>624</v>
      </c>
      <c r="E269" s="320"/>
      <c r="F269" s="320"/>
      <c r="G269" s="320"/>
      <c r="H269" s="320"/>
      <c r="I269" s="320"/>
      <c r="J269" s="313"/>
      <c r="L269" s="474">
        <v>0.5703883976018792</v>
      </c>
      <c r="M269" s="474">
        <v>6.5773506616255375</v>
      </c>
      <c r="N269" s="321"/>
      <c r="P269" s="502"/>
      <c r="Q269" s="502"/>
      <c r="R269" s="502"/>
      <c r="S269" s="502"/>
      <c r="T269" s="502"/>
      <c r="U269" s="502"/>
      <c r="V269" s="502"/>
      <c r="W269" s="502"/>
    </row>
    <row r="270" spans="1:23" x14ac:dyDescent="0.2">
      <c r="E270" s="480"/>
      <c r="F270" s="480"/>
      <c r="G270" s="480"/>
      <c r="H270" s="480"/>
      <c r="I270" s="480"/>
      <c r="J270" s="480"/>
      <c r="K270" s="480"/>
      <c r="L270" s="480"/>
      <c r="M270" s="480"/>
      <c r="N270" s="480"/>
      <c r="P270" s="502"/>
      <c r="Q270" s="502"/>
      <c r="R270" s="502"/>
      <c r="S270" s="502"/>
      <c r="T270" s="502"/>
      <c r="U270" s="502"/>
      <c r="V270" s="502"/>
      <c r="W270" s="502"/>
    </row>
    <row r="271" spans="1:23" ht="14.25" x14ac:dyDescent="0.2">
      <c r="C271" s="305" t="s">
        <v>746</v>
      </c>
      <c r="E271" s="304" t="s">
        <v>715</v>
      </c>
      <c r="J271" s="321"/>
      <c r="P271" s="502"/>
      <c r="Q271" s="502"/>
      <c r="R271" s="502"/>
      <c r="S271" s="502"/>
      <c r="T271" s="502"/>
      <c r="U271" s="502"/>
      <c r="V271" s="502"/>
      <c r="W271" s="502"/>
    </row>
    <row r="272" spans="1:23" x14ac:dyDescent="0.2">
      <c r="A272" s="480">
        <f>A269+1</f>
        <v>160</v>
      </c>
      <c r="C272" s="304" t="s">
        <v>617</v>
      </c>
      <c r="E272" s="310">
        <v>617885.9078814172</v>
      </c>
      <c r="F272" s="312">
        <v>0.88480694670404725</v>
      </c>
      <c r="G272" s="312"/>
      <c r="H272" s="310">
        <v>430175.30944999994</v>
      </c>
      <c r="I272" s="312">
        <v>0.61600709329491776</v>
      </c>
      <c r="J272" s="313">
        <f>H272-E272</f>
        <v>-187710.59843141725</v>
      </c>
      <c r="K272" s="312"/>
      <c r="L272" s="472">
        <f>J272/E272</f>
        <v>-0.30379491753587962</v>
      </c>
      <c r="M272" s="472">
        <f>L272</f>
        <v>-0.30379491753587962</v>
      </c>
      <c r="N272" s="315"/>
      <c r="O272" s="315"/>
      <c r="P272" s="502"/>
      <c r="Q272" s="502"/>
      <c r="R272" s="502"/>
      <c r="S272" s="502"/>
      <c r="T272" s="502"/>
      <c r="U272" s="502"/>
      <c r="V272" s="502"/>
      <c r="W272" s="502"/>
    </row>
    <row r="273" spans="1:23" x14ac:dyDescent="0.2">
      <c r="A273" s="480">
        <f>A272+1</f>
        <v>161</v>
      </c>
      <c r="C273" s="304" t="s">
        <v>618</v>
      </c>
      <c r="E273" s="310">
        <v>6836636.0149999997</v>
      </c>
      <c r="F273" s="312">
        <v>9.7900000000000009</v>
      </c>
      <c r="G273" s="312"/>
      <c r="H273" s="310">
        <v>6836636.0149999997</v>
      </c>
      <c r="I273" s="312">
        <v>9.7900000000000009</v>
      </c>
      <c r="J273" s="313">
        <f>H273-E273</f>
        <v>0</v>
      </c>
      <c r="K273" s="312"/>
      <c r="L273" s="472">
        <f>IFERROR(J273/E273,"100.0%")</f>
        <v>0</v>
      </c>
      <c r="M273" s="472">
        <v>0</v>
      </c>
      <c r="N273" s="315"/>
      <c r="O273" s="315"/>
      <c r="P273" s="502"/>
      <c r="Q273" s="502"/>
      <c r="R273" s="502"/>
      <c r="S273" s="502"/>
      <c r="T273" s="502"/>
      <c r="U273" s="502"/>
      <c r="V273" s="502"/>
      <c r="W273" s="502"/>
    </row>
    <row r="274" spans="1:23" x14ac:dyDescent="0.2">
      <c r="A274" s="480">
        <f>A273+1</f>
        <v>162</v>
      </c>
      <c r="C274" s="304" t="s">
        <v>619</v>
      </c>
      <c r="E274" s="310">
        <v>1900337.0062552262</v>
      </c>
      <c r="F274" s="312">
        <v>2.7212651442053795</v>
      </c>
      <c r="G274" s="312"/>
      <c r="H274" s="310">
        <v>619906.20944999997</v>
      </c>
      <c r="I274" s="312">
        <v>0.88769999999999993</v>
      </c>
      <c r="J274" s="313">
        <f>H274-E274</f>
        <v>-1280430.7968052262</v>
      </c>
      <c r="K274" s="312"/>
      <c r="L274" s="472">
        <f>J274/E274</f>
        <v>-0.67379143414589537</v>
      </c>
      <c r="M274" s="472">
        <f>L274</f>
        <v>-0.67379143414589537</v>
      </c>
      <c r="N274" s="315"/>
      <c r="O274" s="315"/>
      <c r="P274" s="502"/>
      <c r="Q274" s="502"/>
      <c r="R274" s="502"/>
      <c r="S274" s="502"/>
      <c r="T274" s="502"/>
      <c r="U274" s="502"/>
      <c r="V274" s="502"/>
      <c r="W274" s="502"/>
    </row>
    <row r="275" spans="1:23" x14ac:dyDescent="0.2">
      <c r="A275" s="480">
        <f>A274+1</f>
        <v>163</v>
      </c>
      <c r="C275" s="304" t="s">
        <v>44</v>
      </c>
      <c r="E275" s="310">
        <v>12806947.47991739</v>
      </c>
      <c r="F275" s="312">
        <v>18.339431198808857</v>
      </c>
      <c r="H275" s="310">
        <v>14597439.9669</v>
      </c>
      <c r="I275" s="312">
        <v>20.903400000000001</v>
      </c>
      <c r="J275" s="313">
        <f>H275-E275</f>
        <v>1790492.4869826101</v>
      </c>
      <c r="L275" s="314">
        <f>J275/E275</f>
        <v>0.13980634259571115</v>
      </c>
      <c r="M275" s="314">
        <f>L275</f>
        <v>0.13980634259571115</v>
      </c>
      <c r="N275" s="314"/>
      <c r="P275" s="502"/>
      <c r="Q275" s="502"/>
      <c r="R275" s="502"/>
      <c r="S275" s="502"/>
      <c r="T275" s="502"/>
      <c r="U275" s="502"/>
      <c r="V275" s="502"/>
      <c r="W275" s="502"/>
    </row>
    <row r="276" spans="1:23" x14ac:dyDescent="0.2">
      <c r="A276" s="480">
        <f>A275+1</f>
        <v>164</v>
      </c>
      <c r="C276" s="304" t="s">
        <v>620</v>
      </c>
      <c r="E276" s="316">
        <f>SUM(E272:E275)</f>
        <v>22161806.409054033</v>
      </c>
      <c r="F276" s="317">
        <v>31.735503289718281</v>
      </c>
      <c r="H276" s="316">
        <f>SUM(H272:H275)</f>
        <v>22484157.500799999</v>
      </c>
      <c r="I276" s="317">
        <v>32.19710709329491</v>
      </c>
      <c r="J276" s="318">
        <f>SUM(J272:J275)</f>
        <v>322351.09174596658</v>
      </c>
      <c r="L276" s="319">
        <f>J276/E276</f>
        <v>1.4545343723166562E-2</v>
      </c>
      <c r="M276" s="319">
        <f>(J272+J275+J274)/(E272+E275+E274)</f>
        <v>2.1034095116556396E-2</v>
      </c>
      <c r="N276" s="320"/>
      <c r="P276" s="502"/>
      <c r="Q276" s="502"/>
      <c r="R276" s="502"/>
      <c r="S276" s="502"/>
      <c r="T276" s="502"/>
      <c r="U276" s="502"/>
      <c r="V276" s="502"/>
      <c r="W276" s="502"/>
    </row>
    <row r="277" spans="1:23" x14ac:dyDescent="0.2">
      <c r="E277" s="310"/>
      <c r="F277" s="312"/>
      <c r="G277" s="480"/>
      <c r="H277" s="310"/>
      <c r="I277" s="312"/>
      <c r="J277" s="313"/>
      <c r="L277" s="320"/>
      <c r="M277" s="320"/>
      <c r="N277" s="320"/>
      <c r="P277" s="502"/>
      <c r="Q277" s="502"/>
      <c r="R277" s="502"/>
      <c r="S277" s="502"/>
      <c r="T277" s="502"/>
      <c r="U277" s="502"/>
      <c r="V277" s="502"/>
      <c r="W277" s="502"/>
    </row>
    <row r="278" spans="1:23" x14ac:dyDescent="0.2">
      <c r="A278" s="480">
        <f>A276+1</f>
        <v>165</v>
      </c>
      <c r="C278" s="304" t="s">
        <v>621</v>
      </c>
      <c r="E278" s="316">
        <v>23952298.896036644</v>
      </c>
      <c r="F278" s="317">
        <v>34.299472090909426</v>
      </c>
      <c r="G278" s="320"/>
      <c r="H278" s="316">
        <v>23784445.167800002</v>
      </c>
      <c r="I278" s="317">
        <v>34.059107093294919</v>
      </c>
      <c r="J278" s="318">
        <v>-167853.7282366436</v>
      </c>
      <c r="L278" s="473">
        <v>-7.0078337350916297E-3</v>
      </c>
      <c r="M278" s="473">
        <v>-9.8070246769476691E-3</v>
      </c>
      <c r="N278" s="320"/>
      <c r="P278" s="502"/>
      <c r="Q278" s="502"/>
      <c r="R278" s="502"/>
      <c r="S278" s="502"/>
      <c r="T278" s="502"/>
      <c r="U278" s="502"/>
      <c r="V278" s="502"/>
      <c r="W278" s="502"/>
    </row>
    <row r="279" spans="1:23" x14ac:dyDescent="0.2">
      <c r="A279" s="480">
        <f>A278+1</f>
        <v>166</v>
      </c>
      <c r="C279" s="304" t="s">
        <v>622</v>
      </c>
      <c r="E279" s="320"/>
      <c r="F279" s="320"/>
      <c r="G279" s="320"/>
      <c r="H279" s="320"/>
      <c r="I279" s="320"/>
      <c r="J279" s="313"/>
      <c r="L279" s="473">
        <v>-1.7942945960825383E-2</v>
      </c>
      <c r="M279" s="473">
        <v>-6.6655627384834257E-2</v>
      </c>
      <c r="N279" s="321"/>
      <c r="P279" s="502"/>
      <c r="Q279" s="502"/>
      <c r="R279" s="502"/>
      <c r="S279" s="502"/>
      <c r="T279" s="502"/>
      <c r="U279" s="502"/>
      <c r="V279" s="502"/>
      <c r="W279" s="502"/>
    </row>
    <row r="280" spans="1:23" x14ac:dyDescent="0.2">
      <c r="A280" s="480">
        <f>A279+1</f>
        <v>167</v>
      </c>
      <c r="C280" s="304" t="s">
        <v>623</v>
      </c>
      <c r="E280" s="316">
        <v>21887324.64587865</v>
      </c>
      <c r="F280" s="317">
        <v>31.34244792512213</v>
      </c>
      <c r="G280" s="320"/>
      <c r="H280" s="316">
        <v>22484157.500799999</v>
      </c>
      <c r="I280" s="317">
        <v>32.19710709329491</v>
      </c>
      <c r="J280" s="318">
        <v>596832.85492135095</v>
      </c>
      <c r="L280" s="473">
        <v>2.726842428563939E-2</v>
      </c>
      <c r="M280" s="473">
        <v>3.9654853645491192E-2</v>
      </c>
      <c r="N280" s="321"/>
      <c r="P280" s="502"/>
      <c r="Q280" s="502"/>
      <c r="R280" s="502"/>
      <c r="S280" s="502"/>
      <c r="T280" s="502"/>
      <c r="U280" s="502"/>
      <c r="V280" s="502"/>
      <c r="W280" s="502"/>
    </row>
    <row r="281" spans="1:23" x14ac:dyDescent="0.2">
      <c r="A281" s="480">
        <f>A280+1</f>
        <v>168</v>
      </c>
      <c r="C281" s="304" t="s">
        <v>624</v>
      </c>
      <c r="E281" s="320"/>
      <c r="F281" s="320"/>
      <c r="G281" s="320"/>
      <c r="H281" s="320"/>
      <c r="I281" s="320"/>
      <c r="J281" s="313"/>
      <c r="L281" s="474">
        <v>8.1871371249863226E-2</v>
      </c>
      <c r="M281" s="474">
        <v>1.3167889998446103</v>
      </c>
      <c r="N281" s="321"/>
      <c r="P281" s="502"/>
      <c r="Q281" s="502"/>
      <c r="R281" s="502"/>
      <c r="S281" s="502"/>
      <c r="T281" s="502"/>
      <c r="U281" s="502"/>
      <c r="V281" s="502"/>
      <c r="W281" s="502"/>
    </row>
    <row r="282" spans="1:23" x14ac:dyDescent="0.2">
      <c r="E282" s="320"/>
      <c r="F282" s="320"/>
      <c r="G282" s="320"/>
      <c r="H282" s="320"/>
      <c r="I282" s="320"/>
      <c r="J282" s="313"/>
      <c r="L282" s="314"/>
      <c r="M282" s="314"/>
      <c r="N282" s="321"/>
      <c r="P282" s="502"/>
      <c r="Q282" s="502"/>
      <c r="R282" s="502"/>
      <c r="S282" s="502"/>
      <c r="T282" s="502"/>
      <c r="U282" s="502"/>
      <c r="V282" s="502"/>
      <c r="W282" s="502"/>
    </row>
    <row r="283" spans="1:23" ht="14.25" x14ac:dyDescent="0.2">
      <c r="C283" s="305" t="s">
        <v>747</v>
      </c>
      <c r="E283" s="304" t="s">
        <v>716</v>
      </c>
      <c r="J283" s="321"/>
      <c r="P283" s="502"/>
      <c r="Q283" s="502"/>
      <c r="R283" s="502"/>
      <c r="S283" s="502"/>
      <c r="T283" s="502"/>
      <c r="U283" s="502"/>
      <c r="V283" s="502"/>
      <c r="W283" s="502"/>
    </row>
    <row r="284" spans="1:23" x14ac:dyDescent="0.2">
      <c r="A284" s="480">
        <f>A281+1</f>
        <v>169</v>
      </c>
      <c r="C284" s="304" t="s">
        <v>617</v>
      </c>
      <c r="E284" s="310">
        <v>5954981.6104730107</v>
      </c>
      <c r="F284" s="312">
        <v>4.2442936065795029</v>
      </c>
      <c r="G284" s="312"/>
      <c r="H284" s="310">
        <v>5031287.6880000001</v>
      </c>
      <c r="I284" s="312">
        <v>3.5859493049457756</v>
      </c>
      <c r="J284" s="313">
        <f>H284-E284</f>
        <v>-923693.92247301061</v>
      </c>
      <c r="K284" s="312"/>
      <c r="L284" s="314"/>
      <c r="M284" s="472">
        <f>J284/E284</f>
        <v>-0.15511280855150122</v>
      </c>
      <c r="N284" s="315"/>
      <c r="O284" s="315"/>
      <c r="P284" s="502"/>
      <c r="Q284" s="502"/>
      <c r="R284" s="502"/>
      <c r="S284" s="502"/>
      <c r="T284" s="502"/>
      <c r="U284" s="502"/>
      <c r="V284" s="502"/>
      <c r="W284" s="502"/>
    </row>
    <row r="285" spans="1:23" x14ac:dyDescent="0.2">
      <c r="A285" s="480">
        <f>A284+1</f>
        <v>170</v>
      </c>
      <c r="C285" s="304" t="s">
        <v>619</v>
      </c>
      <c r="E285" s="310">
        <v>5248929.6594909895</v>
      </c>
      <c r="F285" s="312">
        <v>3.7410692513278083</v>
      </c>
      <c r="G285" s="312"/>
      <c r="H285" s="310">
        <v>1913908.6896000002</v>
      </c>
      <c r="I285" s="312">
        <v>1.3641000000000001</v>
      </c>
      <c r="J285" s="313">
        <f>H285-E285</f>
        <v>-3335020.9698909894</v>
      </c>
      <c r="K285" s="312"/>
      <c r="L285" s="314"/>
      <c r="M285" s="472">
        <f>J285/E285</f>
        <v>-0.63537162550095982</v>
      </c>
      <c r="N285" s="315"/>
      <c r="O285" s="315"/>
      <c r="P285" s="502"/>
      <c r="Q285" s="502"/>
      <c r="R285" s="502"/>
      <c r="S285" s="502"/>
      <c r="T285" s="502"/>
      <c r="U285" s="502"/>
      <c r="V285" s="502"/>
      <c r="W285" s="502"/>
    </row>
    <row r="286" spans="1:23" x14ac:dyDescent="0.2">
      <c r="A286" s="480">
        <f>A285+1</f>
        <v>171</v>
      </c>
      <c r="C286" s="304" t="s">
        <v>44</v>
      </c>
      <c r="E286" s="310">
        <v>25731108.039998189</v>
      </c>
      <c r="F286" s="312">
        <v>18.339330746597561</v>
      </c>
      <c r="H286" s="310">
        <v>29328640.790399998</v>
      </c>
      <c r="I286" s="312">
        <v>20.903400000000001</v>
      </c>
      <c r="J286" s="313">
        <f>H286-E286</f>
        <v>3597532.7504018098</v>
      </c>
      <c r="L286" s="314"/>
      <c r="M286" s="314">
        <f>J286/E286</f>
        <v>0.13981258579341238</v>
      </c>
      <c r="N286" s="314"/>
      <c r="P286" s="502"/>
      <c r="Q286" s="502"/>
      <c r="R286" s="502"/>
      <c r="S286" s="502"/>
      <c r="T286" s="502"/>
      <c r="U286" s="502"/>
      <c r="V286" s="502"/>
      <c r="W286" s="502"/>
    </row>
    <row r="287" spans="1:23" x14ac:dyDescent="0.2">
      <c r="A287" s="480">
        <f>A286+1</f>
        <v>172</v>
      </c>
      <c r="C287" s="304" t="s">
        <v>620</v>
      </c>
      <c r="E287" s="316">
        <f>SUM(E284:E286)</f>
        <v>36935019.309962191</v>
      </c>
      <c r="F287" s="317">
        <v>26.324693604504873</v>
      </c>
      <c r="H287" s="316">
        <f>SUM(H284:H286)</f>
        <v>36273837.167999998</v>
      </c>
      <c r="I287" s="317">
        <v>25.853449304945777</v>
      </c>
      <c r="J287" s="318">
        <f>SUM(J284:J286)</f>
        <v>-661182.14196219016</v>
      </c>
      <c r="L287" s="314"/>
      <c r="M287" s="473">
        <f>(J284+J286+J285)/(E284+E286+E285)</f>
        <v>-1.7901226378507801E-2</v>
      </c>
      <c r="N287" s="320"/>
      <c r="P287" s="502"/>
      <c r="Q287" s="502"/>
      <c r="R287" s="502"/>
      <c r="S287" s="502"/>
      <c r="T287" s="502"/>
      <c r="U287" s="502"/>
      <c r="V287" s="502"/>
      <c r="W287" s="502"/>
    </row>
    <row r="288" spans="1:23" x14ac:dyDescent="0.2">
      <c r="E288" s="310"/>
      <c r="F288" s="312"/>
      <c r="G288" s="480"/>
      <c r="H288" s="310"/>
      <c r="I288" s="312"/>
      <c r="J288" s="313"/>
      <c r="L288" s="314"/>
      <c r="M288" s="320"/>
      <c r="N288" s="320"/>
      <c r="P288" s="502"/>
      <c r="Q288" s="502"/>
      <c r="R288" s="502"/>
      <c r="S288" s="502"/>
      <c r="T288" s="502"/>
      <c r="U288" s="502"/>
      <c r="V288" s="502"/>
      <c r="W288" s="502"/>
    </row>
    <row r="289" spans="1:23" x14ac:dyDescent="0.2">
      <c r="A289" s="480">
        <f>A287+1</f>
        <v>173</v>
      </c>
      <c r="C289" s="304" t="s">
        <v>621</v>
      </c>
      <c r="E289" s="316">
        <v>40532552.060364</v>
      </c>
      <c r="F289" s="317">
        <v>28.888762857907313</v>
      </c>
      <c r="G289" s="320"/>
      <c r="H289" s="316">
        <v>38886327.439999998</v>
      </c>
      <c r="I289" s="317">
        <v>27.715449304945771</v>
      </c>
      <c r="J289" s="318">
        <v>-1646224.6203640001</v>
      </c>
      <c r="L289" s="314"/>
      <c r="M289" s="473">
        <v>-4.0614877097112562E-2</v>
      </c>
      <c r="N289" s="320"/>
      <c r="P289" s="502"/>
      <c r="Q289" s="502"/>
      <c r="R289" s="502"/>
      <c r="S289" s="502"/>
      <c r="T289" s="502"/>
      <c r="U289" s="502"/>
      <c r="V289" s="502"/>
      <c r="W289" s="502"/>
    </row>
    <row r="290" spans="1:23" x14ac:dyDescent="0.2">
      <c r="A290" s="480">
        <f>A289+1</f>
        <v>174</v>
      </c>
      <c r="C290" s="304" t="s">
        <v>622</v>
      </c>
      <c r="E290" s="320"/>
      <c r="F290" s="320"/>
      <c r="G290" s="320"/>
      <c r="H290" s="320"/>
      <c r="I290" s="320"/>
      <c r="J290" s="313"/>
      <c r="L290" s="314"/>
      <c r="M290" s="473">
        <v>-0.14693302907327377</v>
      </c>
      <c r="N290" s="321"/>
      <c r="P290" s="502"/>
      <c r="Q290" s="502"/>
      <c r="R290" s="502"/>
      <c r="S290" s="502"/>
      <c r="T290" s="502"/>
      <c r="U290" s="502"/>
      <c r="V290" s="502"/>
      <c r="W290" s="502"/>
    </row>
    <row r="291" spans="1:23" x14ac:dyDescent="0.2">
      <c r="A291" s="480">
        <f>A290+1</f>
        <v>175</v>
      </c>
      <c r="C291" s="304" t="s">
        <v>623</v>
      </c>
      <c r="E291" s="316">
        <v>36383681.834276825</v>
      </c>
      <c r="F291" s="317">
        <v>25.931738885886823</v>
      </c>
      <c r="G291" s="320"/>
      <c r="H291" s="316">
        <v>36273837.167999998</v>
      </c>
      <c r="I291" s="317">
        <v>25.853449304945777</v>
      </c>
      <c r="J291" s="318">
        <v>-109844.66627682559</v>
      </c>
      <c r="L291" s="314"/>
      <c r="M291" s="473">
        <v>-3.019064062212134E-3</v>
      </c>
      <c r="N291" s="321"/>
      <c r="P291" s="502"/>
      <c r="Q291" s="502"/>
      <c r="R291" s="502"/>
      <c r="S291" s="502"/>
      <c r="T291" s="502"/>
      <c r="U291" s="502"/>
      <c r="V291" s="502"/>
      <c r="W291" s="502"/>
    </row>
    <row r="292" spans="1:23" x14ac:dyDescent="0.2">
      <c r="A292" s="480">
        <f>A291+1</f>
        <v>176</v>
      </c>
      <c r="C292" s="304" t="s">
        <v>624</v>
      </c>
      <c r="E292" s="320"/>
      <c r="F292" s="320"/>
      <c r="G292" s="320"/>
      <c r="H292" s="320"/>
      <c r="I292" s="320"/>
      <c r="J292" s="313"/>
      <c r="L292" s="314"/>
      <c r="M292" s="472">
        <v>-1.5569670763596961E-2</v>
      </c>
      <c r="N292" s="321"/>
      <c r="P292" s="502"/>
      <c r="Q292" s="502"/>
      <c r="R292" s="502"/>
      <c r="S292" s="502"/>
      <c r="T292" s="502"/>
      <c r="U292" s="502"/>
      <c r="V292" s="502"/>
      <c r="W292" s="502"/>
    </row>
    <row r="293" spans="1:23" x14ac:dyDescent="0.2">
      <c r="E293" s="480"/>
      <c r="F293" s="480"/>
      <c r="G293" s="480"/>
      <c r="H293" s="480"/>
      <c r="I293" s="480"/>
      <c r="J293" s="480"/>
      <c r="K293" s="480"/>
      <c r="L293" s="314"/>
      <c r="M293" s="480"/>
      <c r="N293" s="480"/>
      <c r="P293" s="502"/>
      <c r="Q293" s="502"/>
      <c r="R293" s="502"/>
      <c r="S293" s="502"/>
      <c r="T293" s="502"/>
      <c r="U293" s="502"/>
      <c r="V293" s="502"/>
      <c r="W293" s="502"/>
    </row>
    <row r="294" spans="1:23" x14ac:dyDescent="0.2">
      <c r="A294" s="305" t="s">
        <v>5</v>
      </c>
      <c r="B294" s="305"/>
      <c r="F294" s="312"/>
      <c r="J294" s="321"/>
      <c r="L294" s="314"/>
      <c r="P294" s="304"/>
    </row>
    <row r="295" spans="1:23" x14ac:dyDescent="0.2">
      <c r="A295" s="481" t="s">
        <v>189</v>
      </c>
      <c r="B295" s="326"/>
      <c r="C295" s="327" t="s">
        <v>811</v>
      </c>
      <c r="E295" s="310"/>
      <c r="F295" s="312"/>
      <c r="H295" s="310"/>
      <c r="I295" s="312"/>
      <c r="J295" s="313"/>
      <c r="L295" s="320"/>
      <c r="M295" s="320"/>
      <c r="P295" s="304"/>
    </row>
    <row r="296" spans="1:23" x14ac:dyDescent="0.2">
      <c r="A296" s="481" t="s">
        <v>190</v>
      </c>
      <c r="C296" s="513" t="s">
        <v>829</v>
      </c>
      <c r="D296" s="514"/>
      <c r="E296" s="514"/>
      <c r="F296" s="514"/>
      <c r="G296" s="514"/>
      <c r="H296" s="514"/>
      <c r="I296" s="514"/>
      <c r="J296" s="514"/>
      <c r="K296" s="514"/>
      <c r="L296" s="514"/>
      <c r="M296" s="514"/>
    </row>
    <row r="801" spans="3:13" x14ac:dyDescent="0.2">
      <c r="C801" s="328"/>
      <c r="D801" s="328"/>
      <c r="E801" s="328"/>
      <c r="F801" s="328"/>
      <c r="G801" s="328"/>
      <c r="H801" s="328"/>
      <c r="I801" s="328"/>
      <c r="J801" s="328"/>
      <c r="K801" s="328"/>
      <c r="L801" s="328"/>
      <c r="M801" s="328"/>
    </row>
  </sheetData>
  <mergeCells count="22">
    <mergeCell ref="L173:M173"/>
    <mergeCell ref="A250:M250"/>
    <mergeCell ref="A251:M251"/>
    <mergeCell ref="E253:F253"/>
    <mergeCell ref="H253:J253"/>
    <mergeCell ref="L253:M253"/>
    <mergeCell ref="C296:M296"/>
    <mergeCell ref="A4:M4"/>
    <mergeCell ref="A5:M5"/>
    <mergeCell ref="E7:F7"/>
    <mergeCell ref="H7:J7"/>
    <mergeCell ref="L7:M7"/>
    <mergeCell ref="E156:F156"/>
    <mergeCell ref="A87:M87"/>
    <mergeCell ref="A88:M88"/>
    <mergeCell ref="E90:F90"/>
    <mergeCell ref="H90:J90"/>
    <mergeCell ref="L90:M90"/>
    <mergeCell ref="A170:M170"/>
    <mergeCell ref="A171:M171"/>
    <mergeCell ref="E173:F173"/>
    <mergeCell ref="H173:J173"/>
  </mergeCells>
  <pageMargins left="0.7" right="0.7" top="0.75" bottom="0.75" header="0.3" footer="0.3"/>
  <pageSetup scale="64" fitToHeight="0" orientation="portrait" blackAndWhite="1" r:id="rId1"/>
  <headerFooter>
    <oddHeader xml:space="preserve">&amp;R&amp;"Arial,Regular"&amp;10Filed: 2022-11-30
EB-2022-0200
Exhibit 8
Tab 2
Schedule 9
Attachment 10
Page &amp;P of 9&amp;"-,Regular"&amp;11
</oddHeader>
  </headerFooter>
  <rowBreaks count="5" manualBreakCount="5">
    <brk id="83" max="16" man="1"/>
    <brk id="166" max="16" man="1"/>
    <brk id="246" max="16" man="1"/>
    <brk id="476" max="18" man="1"/>
    <brk id="632" max="1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2F6A4-306F-49BD-889E-BAE7265BD592}">
  <dimension ref="A1:X494"/>
  <sheetViews>
    <sheetView view="pageLayout" zoomScale="90" zoomScaleNormal="100" zoomScaleSheetLayoutView="90" zoomScalePageLayoutView="90" workbookViewId="0"/>
  </sheetViews>
  <sheetFormatPr defaultColWidth="9.140625" defaultRowHeight="12.75" x14ac:dyDescent="0.2"/>
  <cols>
    <col min="1" max="1" width="4.7109375" style="304" customWidth="1"/>
    <col min="2" max="2" width="1.7109375" style="304" customWidth="1"/>
    <col min="3" max="3" width="35.7109375" style="304" customWidth="1"/>
    <col min="4" max="4" width="1.7109375" style="304" customWidth="1"/>
    <col min="5" max="6" width="15" style="304" customWidth="1"/>
    <col min="7" max="7" width="1.7109375" style="304" customWidth="1"/>
    <col min="8" max="8" width="10.85546875" style="304" customWidth="1"/>
    <col min="9" max="9" width="10.140625" style="304" customWidth="1"/>
    <col min="10" max="10" width="12" style="304" customWidth="1"/>
    <col min="11" max="11" width="1.7109375" style="304" customWidth="1"/>
    <col min="12" max="13" width="15.7109375" style="304" customWidth="1"/>
    <col min="14" max="16384" width="9.140625" style="304"/>
  </cols>
  <sheetData>
    <row r="1" spans="1:24" x14ac:dyDescent="0.2">
      <c r="A1" s="480"/>
      <c r="J1" s="422"/>
      <c r="K1" s="422"/>
      <c r="L1" s="422"/>
      <c r="N1" s="501"/>
    </row>
    <row r="2" spans="1:24" x14ac:dyDescent="0.2">
      <c r="A2" s="480"/>
      <c r="C2" s="305"/>
      <c r="D2" s="305"/>
      <c r="E2" s="305"/>
      <c r="F2" s="305"/>
      <c r="G2" s="305"/>
      <c r="H2" s="305"/>
      <c r="I2" s="305"/>
      <c r="J2" s="422"/>
      <c r="K2" s="422"/>
      <c r="L2" s="422"/>
      <c r="N2" s="501"/>
    </row>
    <row r="3" spans="1:24" x14ac:dyDescent="0.2">
      <c r="A3" s="480"/>
      <c r="C3" s="305"/>
      <c r="D3" s="305"/>
      <c r="E3" s="305"/>
      <c r="F3" s="305"/>
      <c r="G3" s="305"/>
      <c r="H3" s="305"/>
      <c r="I3" s="305"/>
      <c r="J3" s="422" t="s">
        <v>139</v>
      </c>
      <c r="K3" s="422"/>
      <c r="L3" s="422"/>
      <c r="N3" s="501"/>
    </row>
    <row r="4" spans="1:24" s="305" customFormat="1" x14ac:dyDescent="0.2">
      <c r="A4" s="515" t="s">
        <v>881</v>
      </c>
      <c r="B4" s="515"/>
      <c r="C4" s="515"/>
      <c r="D4" s="515"/>
      <c r="E4" s="515"/>
      <c r="F4" s="515"/>
      <c r="G4" s="515"/>
      <c r="H4" s="515"/>
      <c r="I4" s="515"/>
      <c r="J4" s="515"/>
      <c r="K4" s="515"/>
      <c r="L4" s="515"/>
      <c r="M4" s="515"/>
    </row>
    <row r="5" spans="1:24" x14ac:dyDescent="0.2">
      <c r="A5" s="515" t="s">
        <v>883</v>
      </c>
      <c r="B5" s="515"/>
      <c r="C5" s="515"/>
      <c r="D5" s="515"/>
      <c r="E5" s="515"/>
      <c r="F5" s="515"/>
      <c r="G5" s="515"/>
      <c r="H5" s="515"/>
      <c r="I5" s="515"/>
      <c r="J5" s="515"/>
      <c r="K5" s="515"/>
      <c r="L5" s="515"/>
      <c r="M5" s="515"/>
    </row>
    <row r="6" spans="1:24" x14ac:dyDescent="0.2">
      <c r="A6" s="306"/>
      <c r="B6" s="306"/>
      <c r="E6" s="307"/>
      <c r="F6" s="307"/>
      <c r="G6" s="307"/>
      <c r="H6" s="307"/>
      <c r="I6" s="307"/>
      <c r="J6" s="307"/>
      <c r="K6" s="308"/>
      <c r="L6" s="308"/>
      <c r="N6" s="501"/>
    </row>
    <row r="7" spans="1:24" x14ac:dyDescent="0.2">
      <c r="A7" s="480"/>
      <c r="E7" s="516" t="s">
        <v>812</v>
      </c>
      <c r="F7" s="516"/>
      <c r="H7" s="516" t="s">
        <v>607</v>
      </c>
      <c r="I7" s="516"/>
      <c r="J7" s="516"/>
      <c r="L7" s="516" t="s">
        <v>608</v>
      </c>
      <c r="M7" s="516"/>
      <c r="N7" s="480"/>
      <c r="O7" s="480"/>
      <c r="P7" s="501"/>
    </row>
    <row r="8" spans="1:24" x14ac:dyDescent="0.2">
      <c r="A8" s="480"/>
      <c r="E8" s="480" t="s">
        <v>47</v>
      </c>
      <c r="F8" s="480"/>
      <c r="H8" s="480" t="s">
        <v>47</v>
      </c>
      <c r="I8" s="480"/>
      <c r="J8" s="480" t="s">
        <v>609</v>
      </c>
      <c r="L8" s="480" t="s">
        <v>610</v>
      </c>
      <c r="M8" s="480" t="s">
        <v>611</v>
      </c>
      <c r="N8" s="480"/>
      <c r="O8" s="480"/>
      <c r="P8" s="501"/>
    </row>
    <row r="9" spans="1:24" x14ac:dyDescent="0.2">
      <c r="A9" s="480" t="s">
        <v>0</v>
      </c>
      <c r="E9" s="480" t="s">
        <v>612</v>
      </c>
      <c r="F9" s="480" t="s">
        <v>264</v>
      </c>
      <c r="H9" s="480" t="s">
        <v>612</v>
      </c>
      <c r="I9" s="480" t="s">
        <v>264</v>
      </c>
      <c r="J9" s="480" t="s">
        <v>613</v>
      </c>
      <c r="L9" s="480" t="s">
        <v>614</v>
      </c>
      <c r="M9" s="480" t="s">
        <v>614</v>
      </c>
      <c r="N9" s="480"/>
      <c r="O9" s="480"/>
      <c r="P9" s="501"/>
    </row>
    <row r="10" spans="1:24" ht="14.25" x14ac:dyDescent="0.2">
      <c r="A10" s="491" t="s">
        <v>1</v>
      </c>
      <c r="C10" s="309" t="s">
        <v>9</v>
      </c>
      <c r="E10" s="491" t="s">
        <v>288</v>
      </c>
      <c r="F10" s="491" t="s">
        <v>12</v>
      </c>
      <c r="H10" s="491" t="s">
        <v>288</v>
      </c>
      <c r="I10" s="491" t="s">
        <v>12</v>
      </c>
      <c r="J10" s="491" t="s">
        <v>288</v>
      </c>
      <c r="L10" s="491" t="s">
        <v>2</v>
      </c>
      <c r="M10" s="491" t="s">
        <v>2</v>
      </c>
      <c r="N10" s="480"/>
      <c r="O10" s="480"/>
      <c r="P10" s="501"/>
      <c r="Q10" s="305"/>
    </row>
    <row r="11" spans="1:24" x14ac:dyDescent="0.2">
      <c r="A11" s="480"/>
      <c r="E11" s="480" t="s">
        <v>3</v>
      </c>
      <c r="F11" s="480" t="s">
        <v>4</v>
      </c>
      <c r="G11" s="480"/>
      <c r="H11" s="480" t="s">
        <v>86</v>
      </c>
      <c r="I11" s="480" t="s">
        <v>133</v>
      </c>
      <c r="J11" s="480" t="s">
        <v>615</v>
      </c>
      <c r="K11" s="480"/>
      <c r="L11" s="480" t="s">
        <v>616</v>
      </c>
      <c r="M11" s="480" t="s">
        <v>15</v>
      </c>
      <c r="N11" s="480"/>
      <c r="O11" s="480"/>
      <c r="P11" s="501"/>
    </row>
    <row r="12" spans="1:24" x14ac:dyDescent="0.2">
      <c r="A12" s="480"/>
      <c r="E12" s="480"/>
      <c r="F12" s="480"/>
      <c r="G12" s="480"/>
      <c r="H12" s="480"/>
      <c r="I12" s="480"/>
      <c r="J12" s="480"/>
      <c r="K12" s="480"/>
      <c r="L12" s="480"/>
      <c r="M12" s="480"/>
      <c r="N12" s="480"/>
      <c r="P12" s="501"/>
    </row>
    <row r="13" spans="1:24" ht="14.25" x14ac:dyDescent="0.2">
      <c r="A13" s="480"/>
      <c r="C13" s="305" t="s">
        <v>748</v>
      </c>
      <c r="E13" s="493" t="s">
        <v>717</v>
      </c>
      <c r="F13" s="480"/>
      <c r="G13" s="480"/>
      <c r="H13" s="480"/>
      <c r="I13" s="480"/>
      <c r="J13" s="480"/>
      <c r="K13" s="480"/>
      <c r="L13" s="480"/>
      <c r="M13" s="480"/>
      <c r="N13" s="480"/>
      <c r="P13" s="502"/>
    </row>
    <row r="14" spans="1:24" x14ac:dyDescent="0.2">
      <c r="A14" s="480">
        <v>1</v>
      </c>
      <c r="C14" s="304" t="s">
        <v>617</v>
      </c>
      <c r="E14" s="310">
        <v>516.88424539999994</v>
      </c>
      <c r="F14" s="312">
        <v>23.494738427272726</v>
      </c>
      <c r="G14" s="312"/>
      <c r="H14" s="310">
        <v>513.83403099999998</v>
      </c>
      <c r="I14" s="312">
        <v>23.356092318181819</v>
      </c>
      <c r="J14" s="321">
        <f>H14-E14</f>
        <v>-3.0502143999999589</v>
      </c>
      <c r="K14" s="312"/>
      <c r="L14" s="472">
        <f>J14/E14</f>
        <v>-5.901155678752594E-3</v>
      </c>
      <c r="M14" s="472">
        <f>L14</f>
        <v>-5.901155678752594E-3</v>
      </c>
      <c r="N14" s="314"/>
      <c r="O14" s="335"/>
      <c r="P14" s="335"/>
      <c r="Q14" s="335"/>
      <c r="R14" s="335"/>
      <c r="S14" s="335"/>
      <c r="T14" s="335"/>
      <c r="U14" s="335"/>
      <c r="V14" s="335"/>
      <c r="W14" s="335"/>
      <c r="X14" s="335"/>
    </row>
    <row r="15" spans="1:24" x14ac:dyDescent="0.2">
      <c r="A15" s="480">
        <f>A14+1</f>
        <v>2</v>
      </c>
      <c r="C15" s="304" t="s">
        <v>618</v>
      </c>
      <c r="E15" s="310">
        <v>215.37999999999997</v>
      </c>
      <c r="F15" s="312">
        <v>9.7899999999999991</v>
      </c>
      <c r="G15" s="312"/>
      <c r="H15" s="310">
        <v>215.37999999999997</v>
      </c>
      <c r="I15" s="312">
        <v>9.7899999999999991</v>
      </c>
      <c r="J15" s="321">
        <f>H15-E15</f>
        <v>0</v>
      </c>
      <c r="K15" s="312"/>
      <c r="L15" s="472">
        <f>IFERROR(J15/E15,"100.0%")</f>
        <v>0</v>
      </c>
      <c r="M15" s="472">
        <v>0</v>
      </c>
      <c r="N15" s="314"/>
      <c r="O15" s="335"/>
      <c r="P15" s="335"/>
      <c r="Q15" s="335"/>
    </row>
    <row r="16" spans="1:24" x14ac:dyDescent="0.2">
      <c r="A16" s="480">
        <f>A15+1</f>
        <v>3</v>
      </c>
      <c r="C16" s="304" t="s">
        <v>619</v>
      </c>
      <c r="E16" s="310">
        <v>188.26060000000001</v>
      </c>
      <c r="F16" s="312">
        <v>8.5573000000000015</v>
      </c>
      <c r="G16" s="312"/>
      <c r="H16" s="310">
        <v>41.379800000000003</v>
      </c>
      <c r="I16" s="312">
        <v>1.8809000000000002</v>
      </c>
      <c r="J16" s="321">
        <f>H16-E16</f>
        <v>-146.88080000000002</v>
      </c>
      <c r="L16" s="472">
        <f>J16/E16</f>
        <v>-0.7801993619482781</v>
      </c>
      <c r="M16" s="472">
        <f>L16</f>
        <v>-0.7801993619482781</v>
      </c>
      <c r="N16" s="314"/>
      <c r="O16" s="335"/>
      <c r="P16" s="335"/>
      <c r="Q16" s="335"/>
      <c r="R16" s="335"/>
      <c r="S16" s="335"/>
      <c r="T16" s="335"/>
      <c r="U16" s="335"/>
      <c r="V16" s="335"/>
    </row>
    <row r="17" spans="1:22" x14ac:dyDescent="0.2">
      <c r="A17" s="480">
        <f>A16+1</f>
        <v>4</v>
      </c>
      <c r="C17" s="304" t="s">
        <v>44</v>
      </c>
      <c r="E17" s="310">
        <v>490.93276972764289</v>
      </c>
      <c r="F17" s="312">
        <v>22.315125896711042</v>
      </c>
      <c r="H17" s="310">
        <v>459.87480000000005</v>
      </c>
      <c r="I17" s="312">
        <v>20.903400000000001</v>
      </c>
      <c r="J17" s="321">
        <f>H17-E17</f>
        <v>-31.057969727642842</v>
      </c>
      <c r="L17" s="472">
        <f>J17/E17</f>
        <v>-6.3263183154127239E-2</v>
      </c>
      <c r="M17" s="472">
        <f>L17</f>
        <v>-6.3263183154127239E-2</v>
      </c>
      <c r="N17" s="314"/>
      <c r="O17" s="335"/>
      <c r="P17" s="335"/>
      <c r="Q17" s="335"/>
    </row>
    <row r="18" spans="1:22" x14ac:dyDescent="0.2">
      <c r="A18" s="480">
        <f>A17+1</f>
        <v>5</v>
      </c>
      <c r="C18" s="304" t="s">
        <v>628</v>
      </c>
      <c r="E18" s="316">
        <f>SUM(E14:E17)</f>
        <v>1411.4576151276428</v>
      </c>
      <c r="F18" s="317">
        <v>64.157164323983764</v>
      </c>
      <c r="G18" s="480"/>
      <c r="H18" s="316">
        <f>SUM(H14:H17)</f>
        <v>1230.4686310000002</v>
      </c>
      <c r="I18" s="317">
        <v>55.930392318181831</v>
      </c>
      <c r="J18" s="329">
        <f>SUM(J14:J17)</f>
        <v>-180.98898412764282</v>
      </c>
      <c r="L18" s="473">
        <f>J18/E18</f>
        <v>-0.12822842300601098</v>
      </c>
      <c r="M18" s="473">
        <f>(J14+J17)/(E14+E17)</f>
        <v>-3.3843627975781797E-2</v>
      </c>
      <c r="N18" s="320"/>
      <c r="O18" s="335"/>
      <c r="P18" s="335"/>
      <c r="Q18" s="335"/>
      <c r="R18" s="335"/>
      <c r="S18" s="335"/>
      <c r="T18" s="335"/>
      <c r="U18" s="335"/>
      <c r="V18" s="335"/>
    </row>
    <row r="19" spans="1:22" x14ac:dyDescent="0.2">
      <c r="A19" s="480"/>
      <c r="E19" s="310"/>
      <c r="F19" s="312"/>
      <c r="G19" s="480"/>
      <c r="H19" s="310"/>
      <c r="I19" s="312"/>
      <c r="J19" s="321"/>
      <c r="L19" s="320"/>
      <c r="M19" s="320"/>
      <c r="N19" s="320"/>
      <c r="O19" s="335"/>
      <c r="P19" s="335"/>
      <c r="Q19" s="335"/>
    </row>
    <row r="20" spans="1:22" x14ac:dyDescent="0.2">
      <c r="A20" s="480">
        <f>A18+1</f>
        <v>6</v>
      </c>
      <c r="C20" s="304" t="s">
        <v>625</v>
      </c>
      <c r="E20" s="316">
        <f>SUM(E14:E16)+H17</f>
        <v>1380.3996454000001</v>
      </c>
      <c r="F20" s="317">
        <v>62.745438427272724</v>
      </c>
      <c r="G20" s="480"/>
      <c r="H20" s="316">
        <f>SUM(H14:H17)</f>
        <v>1230.4686310000002</v>
      </c>
      <c r="I20" s="317">
        <v>55.930392318181831</v>
      </c>
      <c r="J20" s="318">
        <f>J14+J15+J16</f>
        <v>-149.93101439999998</v>
      </c>
      <c r="L20" s="473">
        <f>J20/E20</f>
        <v>-0.10861420813865415</v>
      </c>
      <c r="M20" s="473">
        <f>(J20-J15)/(E20-E15)</f>
        <v>-0.12869397953244158</v>
      </c>
      <c r="N20" s="320"/>
      <c r="O20" s="335"/>
      <c r="P20" s="335"/>
      <c r="Q20" s="335"/>
      <c r="R20" s="335"/>
      <c r="S20" s="335"/>
      <c r="T20" s="335"/>
      <c r="U20" s="335"/>
      <c r="V20" s="335"/>
    </row>
    <row r="21" spans="1:22" x14ac:dyDescent="0.2">
      <c r="A21" s="480">
        <f>A20+1</f>
        <v>7</v>
      </c>
      <c r="C21" s="304" t="s">
        <v>626</v>
      </c>
      <c r="E21" s="320"/>
      <c r="F21" s="320"/>
      <c r="G21" s="320"/>
      <c r="H21" s="320"/>
      <c r="I21" s="320"/>
      <c r="J21" s="321"/>
      <c r="L21" s="474">
        <v>-0.16287557598171049</v>
      </c>
      <c r="M21" s="474">
        <v>-0.21262442089461814</v>
      </c>
      <c r="N21" s="321"/>
      <c r="O21" s="335"/>
      <c r="P21" s="335"/>
      <c r="Q21" s="335"/>
    </row>
    <row r="22" spans="1:22" x14ac:dyDescent="0.2">
      <c r="A22" s="480"/>
      <c r="E22" s="480"/>
      <c r="F22" s="480"/>
      <c r="G22" s="480"/>
      <c r="H22" s="480"/>
      <c r="I22" s="480"/>
      <c r="J22" s="324"/>
      <c r="K22" s="480"/>
      <c r="L22" s="480"/>
      <c r="M22" s="310"/>
      <c r="N22" s="480"/>
      <c r="O22" s="335"/>
      <c r="P22" s="335"/>
      <c r="Q22" s="335"/>
      <c r="R22" s="335"/>
      <c r="S22" s="335"/>
      <c r="T22" s="335"/>
      <c r="U22" s="335"/>
      <c r="V22" s="335"/>
    </row>
    <row r="23" spans="1:22" ht="14.25" x14ac:dyDescent="0.2">
      <c r="A23" s="480"/>
      <c r="C23" s="305" t="s">
        <v>749</v>
      </c>
      <c r="E23" s="493" t="s">
        <v>718</v>
      </c>
      <c r="F23" s="480"/>
      <c r="G23" s="480"/>
      <c r="H23" s="480"/>
      <c r="I23" s="480"/>
      <c r="J23" s="480"/>
      <c r="K23" s="480"/>
      <c r="L23" s="480"/>
      <c r="M23" s="480"/>
      <c r="N23" s="480"/>
      <c r="O23" s="335"/>
      <c r="P23" s="335"/>
      <c r="Q23" s="335"/>
    </row>
    <row r="24" spans="1:22" x14ac:dyDescent="0.2">
      <c r="A24" s="480">
        <f>A21+1</f>
        <v>8</v>
      </c>
      <c r="C24" s="304" t="s">
        <v>617</v>
      </c>
      <c r="E24" s="310">
        <v>4238.4152000000004</v>
      </c>
      <c r="F24" s="312">
        <v>10.596038</v>
      </c>
      <c r="G24" s="312"/>
      <c r="H24" s="310">
        <v>3775.4858836363637</v>
      </c>
      <c r="I24" s="312">
        <v>9.4387147090909096</v>
      </c>
      <c r="J24" s="321">
        <f>H24-E24</f>
        <v>-462.92931636363664</v>
      </c>
      <c r="K24" s="312"/>
      <c r="L24" s="472">
        <f>J24/E24</f>
        <v>-0.10922226693685805</v>
      </c>
      <c r="M24" s="472">
        <f>L24</f>
        <v>-0.10922226693685805</v>
      </c>
      <c r="N24" s="314"/>
      <c r="O24" s="335"/>
      <c r="P24" s="335"/>
      <c r="Q24" s="335"/>
      <c r="R24" s="335"/>
      <c r="S24" s="335"/>
      <c r="T24" s="335"/>
      <c r="U24" s="335"/>
      <c r="V24" s="335"/>
    </row>
    <row r="25" spans="1:22" x14ac:dyDescent="0.2">
      <c r="A25" s="480">
        <f>A24+1</f>
        <v>9</v>
      </c>
      <c r="C25" s="304" t="s">
        <v>618</v>
      </c>
      <c r="E25" s="310">
        <v>3915.9999999999995</v>
      </c>
      <c r="F25" s="312">
        <v>9.7899999999999991</v>
      </c>
      <c r="G25" s="312"/>
      <c r="H25" s="310">
        <v>3915.9999999999995</v>
      </c>
      <c r="I25" s="312">
        <v>9.7899999999999991</v>
      </c>
      <c r="J25" s="321">
        <f>H25-E25</f>
        <v>0</v>
      </c>
      <c r="K25" s="312"/>
      <c r="L25" s="472">
        <f>IFERROR(J25/E25,"100.0%")</f>
        <v>0</v>
      </c>
      <c r="M25" s="472">
        <v>0</v>
      </c>
      <c r="N25" s="314"/>
      <c r="O25" s="335"/>
      <c r="P25" s="335"/>
      <c r="Q25" s="335"/>
    </row>
    <row r="26" spans="1:22" x14ac:dyDescent="0.2">
      <c r="A26" s="480">
        <f>A25+1</f>
        <v>10</v>
      </c>
      <c r="C26" s="304" t="s">
        <v>619</v>
      </c>
      <c r="E26" s="310">
        <v>3422.9199999999996</v>
      </c>
      <c r="F26" s="312">
        <v>8.5572999999999997</v>
      </c>
      <c r="G26" s="312"/>
      <c r="H26" s="310">
        <v>724.76</v>
      </c>
      <c r="I26" s="312">
        <v>1.8119000000000001</v>
      </c>
      <c r="J26" s="321">
        <f>H26-E26</f>
        <v>-2698.16</v>
      </c>
      <c r="L26" s="472">
        <f>J26/E26</f>
        <v>-0.78826265293959552</v>
      </c>
      <c r="M26" s="472">
        <f>L26</f>
        <v>-0.78826265293959552</v>
      </c>
      <c r="N26" s="314"/>
      <c r="O26" s="335"/>
      <c r="P26" s="335"/>
      <c r="Q26" s="335"/>
      <c r="R26" s="335"/>
      <c r="S26" s="335"/>
      <c r="T26" s="335"/>
      <c r="U26" s="335"/>
      <c r="V26" s="335"/>
    </row>
    <row r="27" spans="1:22" x14ac:dyDescent="0.2">
      <c r="A27" s="480">
        <f>A26+1</f>
        <v>11</v>
      </c>
      <c r="C27" s="304" t="s">
        <v>44</v>
      </c>
      <c r="E27" s="310">
        <v>8926.050358684417</v>
      </c>
      <c r="F27" s="312">
        <v>22.315125896711045</v>
      </c>
      <c r="H27" s="310">
        <v>8361.36</v>
      </c>
      <c r="I27" s="312">
        <v>20.903400000000001</v>
      </c>
      <c r="J27" s="321">
        <f>H27-E27</f>
        <v>-564.69035868441642</v>
      </c>
      <c r="L27" s="472">
        <f>J27/E27</f>
        <v>-6.326318315412735E-2</v>
      </c>
      <c r="M27" s="472">
        <f>L27</f>
        <v>-6.326318315412735E-2</v>
      </c>
      <c r="N27" s="314"/>
      <c r="O27" s="335"/>
      <c r="P27" s="335"/>
      <c r="Q27" s="335"/>
    </row>
    <row r="28" spans="1:22" x14ac:dyDescent="0.2">
      <c r="A28" s="480">
        <f>A27+1</f>
        <v>12</v>
      </c>
      <c r="C28" s="304" t="s">
        <v>628</v>
      </c>
      <c r="E28" s="316">
        <f>SUM(E24:E27)</f>
        <v>20503.385558684415</v>
      </c>
      <c r="F28" s="317">
        <v>51.258463896711035</v>
      </c>
      <c r="G28" s="480"/>
      <c r="H28" s="316">
        <f>SUM(H24:H27)</f>
        <v>16777.605883636366</v>
      </c>
      <c r="I28" s="317">
        <v>41.944014709090915</v>
      </c>
      <c r="J28" s="329">
        <f>SUM(J24:J27)</f>
        <v>-3725.7796750480529</v>
      </c>
      <c r="L28" s="473">
        <f>J28/E28</f>
        <v>-0.1817153398585904</v>
      </c>
      <c r="M28" s="473">
        <f>(J24+J27)/(E24+E27)</f>
        <v>-7.8060113452167193E-2</v>
      </c>
      <c r="N28" s="320"/>
      <c r="O28" s="335"/>
      <c r="P28" s="335"/>
      <c r="Q28" s="335"/>
      <c r="R28" s="335"/>
      <c r="S28" s="335"/>
      <c r="T28" s="335"/>
      <c r="U28" s="335"/>
      <c r="V28" s="335"/>
    </row>
    <row r="29" spans="1:22" x14ac:dyDescent="0.2">
      <c r="A29" s="480"/>
      <c r="E29" s="310"/>
      <c r="F29" s="312"/>
      <c r="G29" s="480"/>
      <c r="H29" s="310"/>
      <c r="I29" s="312"/>
      <c r="J29" s="321"/>
      <c r="L29" s="320"/>
      <c r="M29" s="320"/>
      <c r="N29" s="320"/>
      <c r="O29" s="335"/>
      <c r="P29" s="335"/>
      <c r="Q29" s="335"/>
    </row>
    <row r="30" spans="1:22" x14ac:dyDescent="0.2">
      <c r="A30" s="480">
        <f>A28+1</f>
        <v>13</v>
      </c>
      <c r="C30" s="304" t="s">
        <v>625</v>
      </c>
      <c r="E30" s="316">
        <f>SUM(E24:E26)+H27</f>
        <v>19938.695200000002</v>
      </c>
      <c r="F30" s="317">
        <v>49.846738000000009</v>
      </c>
      <c r="G30" s="480"/>
      <c r="H30" s="316">
        <f>SUM(H24:H27)</f>
        <v>16777.605883636366</v>
      </c>
      <c r="I30" s="317">
        <v>41.944014709090915</v>
      </c>
      <c r="J30" s="318">
        <f>J24+J25+J26</f>
        <v>-3161.0893163636365</v>
      </c>
      <c r="L30" s="473">
        <f>J30/E30</f>
        <v>-0.15854043028671386</v>
      </c>
      <c r="M30" s="473">
        <f>(J30-J25)/(E30-E25)</f>
        <v>-0.19728823877044332</v>
      </c>
      <c r="N30" s="320"/>
      <c r="O30" s="335"/>
      <c r="P30" s="335"/>
      <c r="Q30" s="335"/>
      <c r="R30" s="335"/>
      <c r="S30" s="335"/>
      <c r="T30" s="335"/>
      <c r="U30" s="335"/>
      <c r="V30" s="335"/>
    </row>
    <row r="31" spans="1:22" x14ac:dyDescent="0.2">
      <c r="A31" s="480">
        <f>A30+1</f>
        <v>14</v>
      </c>
      <c r="C31" s="304" t="s">
        <v>626</v>
      </c>
      <c r="E31" s="320"/>
      <c r="F31" s="320"/>
      <c r="G31" s="320"/>
      <c r="H31" s="320"/>
      <c r="I31" s="320"/>
      <c r="J31" s="321"/>
      <c r="L31" s="474">
        <v>-0.27304118450018067</v>
      </c>
      <c r="M31" s="474">
        <v>-0.41260292544876986</v>
      </c>
      <c r="N31" s="321"/>
      <c r="O31" s="335"/>
      <c r="P31" s="335"/>
      <c r="Q31" s="335"/>
    </row>
    <row r="32" spans="1:22" x14ac:dyDescent="0.2">
      <c r="A32" s="480"/>
      <c r="E32" s="480"/>
      <c r="F32" s="480"/>
      <c r="G32" s="480"/>
      <c r="H32" s="480"/>
      <c r="I32" s="480"/>
      <c r="J32" s="324"/>
      <c r="K32" s="480"/>
      <c r="L32" s="480"/>
      <c r="M32" s="310"/>
      <c r="N32" s="480"/>
      <c r="O32" s="335"/>
      <c r="P32" s="335"/>
      <c r="Q32" s="335"/>
      <c r="R32" s="335"/>
      <c r="S32" s="335"/>
      <c r="T32" s="335"/>
      <c r="U32" s="335"/>
      <c r="V32" s="335"/>
    </row>
    <row r="33" spans="1:22" ht="14.25" x14ac:dyDescent="0.2">
      <c r="A33" s="480"/>
      <c r="C33" s="305" t="s">
        <v>630</v>
      </c>
      <c r="E33" s="493" t="s">
        <v>719</v>
      </c>
      <c r="J33" s="321"/>
      <c r="O33" s="335"/>
      <c r="P33" s="335"/>
      <c r="Q33" s="335"/>
    </row>
    <row r="34" spans="1:22" x14ac:dyDescent="0.2">
      <c r="A34" s="480">
        <f>A31+1</f>
        <v>15</v>
      </c>
      <c r="C34" s="304" t="s">
        <v>617</v>
      </c>
      <c r="E34" s="310">
        <v>6143.1103363599996</v>
      </c>
      <c r="F34" s="312">
        <v>10.238517227266666</v>
      </c>
      <c r="G34" s="312"/>
      <c r="H34" s="310">
        <v>5507.1065037851622</v>
      </c>
      <c r="I34" s="312">
        <v>9.1785108396419375</v>
      </c>
      <c r="J34" s="321">
        <f>H34-E34</f>
        <v>-636.00383257483736</v>
      </c>
      <c r="K34" s="312"/>
      <c r="L34" s="472">
        <f>J34/E34</f>
        <v>-0.10353124032470026</v>
      </c>
      <c r="M34" s="472">
        <f>L34</f>
        <v>-0.10353124032470026</v>
      </c>
      <c r="N34" s="315"/>
      <c r="O34" s="335"/>
      <c r="P34" s="335"/>
      <c r="Q34" s="335"/>
      <c r="R34" s="335"/>
      <c r="S34" s="335"/>
      <c r="T34" s="335"/>
      <c r="U34" s="335"/>
      <c r="V34" s="335"/>
    </row>
    <row r="35" spans="1:22" x14ac:dyDescent="0.2">
      <c r="A35" s="480">
        <f>A34+1</f>
        <v>16</v>
      </c>
      <c r="C35" s="304" t="s">
        <v>618</v>
      </c>
      <c r="E35" s="310">
        <v>5874</v>
      </c>
      <c r="F35" s="312">
        <v>9.7900000000000009</v>
      </c>
      <c r="G35" s="312"/>
      <c r="H35" s="310">
        <v>5874</v>
      </c>
      <c r="I35" s="312">
        <v>9.7900000000000009</v>
      </c>
      <c r="J35" s="321">
        <f>H35-E35</f>
        <v>0</v>
      </c>
      <c r="K35" s="312"/>
      <c r="L35" s="472">
        <f>IFERROR(J35/E35,"100.0%")</f>
        <v>0</v>
      </c>
      <c r="M35" s="472">
        <v>0</v>
      </c>
      <c r="N35" s="315"/>
      <c r="O35" s="335"/>
      <c r="P35" s="335"/>
      <c r="Q35" s="335"/>
    </row>
    <row r="36" spans="1:22" x14ac:dyDescent="0.2">
      <c r="A36" s="480">
        <f>A35+1</f>
        <v>17</v>
      </c>
      <c r="C36" s="304" t="s">
        <v>619</v>
      </c>
      <c r="E36" s="310">
        <v>4073.7000000000003</v>
      </c>
      <c r="F36" s="312">
        <v>6.7895000000000012</v>
      </c>
      <c r="G36" s="312"/>
      <c r="H36" s="310">
        <v>1087.1400000000001</v>
      </c>
      <c r="I36" s="312">
        <v>1.8119000000000003</v>
      </c>
      <c r="J36" s="321">
        <f>H36-E36</f>
        <v>-2986.5600000000004</v>
      </c>
      <c r="L36" s="472">
        <f>J36/E36</f>
        <v>-0.73313204212386773</v>
      </c>
      <c r="M36" s="472">
        <f>L36</f>
        <v>-0.73313204212386773</v>
      </c>
      <c r="N36" s="315"/>
      <c r="O36" s="335"/>
      <c r="P36" s="335"/>
      <c r="Q36" s="335"/>
      <c r="R36" s="335"/>
      <c r="S36" s="335"/>
      <c r="T36" s="335"/>
      <c r="U36" s="335"/>
      <c r="V36" s="335"/>
    </row>
    <row r="37" spans="1:22" x14ac:dyDescent="0.2">
      <c r="A37" s="480">
        <f>A36+1</f>
        <v>18</v>
      </c>
      <c r="C37" s="304" t="s">
        <v>44</v>
      </c>
      <c r="E37" s="310">
        <v>13389.075538026626</v>
      </c>
      <c r="F37" s="312">
        <v>22.315125896711045</v>
      </c>
      <c r="H37" s="310">
        <v>12542.04</v>
      </c>
      <c r="I37" s="312">
        <v>20.903400000000001</v>
      </c>
      <c r="J37" s="321">
        <f>H37-E37</f>
        <v>-847.03553802662464</v>
      </c>
      <c r="L37" s="472">
        <f>J37/E37</f>
        <v>-6.326318315412735E-2</v>
      </c>
      <c r="M37" s="472">
        <f>L37</f>
        <v>-6.326318315412735E-2</v>
      </c>
      <c r="N37" s="314"/>
      <c r="O37" s="335"/>
      <c r="P37" s="335"/>
      <c r="Q37" s="335"/>
    </row>
    <row r="38" spans="1:22" x14ac:dyDescent="0.2">
      <c r="A38" s="480">
        <f>A37+1</f>
        <v>19</v>
      </c>
      <c r="C38" s="304" t="s">
        <v>620</v>
      </c>
      <c r="E38" s="316">
        <f>SUM(E34:E37)</f>
        <v>29479.885874386626</v>
      </c>
      <c r="F38" s="317">
        <v>49.13314312397771</v>
      </c>
      <c r="G38" s="480"/>
      <c r="H38" s="316">
        <f>SUM(H34:H37)</f>
        <v>25010.286503785162</v>
      </c>
      <c r="I38" s="317">
        <v>41.683810839641936</v>
      </c>
      <c r="J38" s="329">
        <f>SUM(J34:J37)</f>
        <v>-4469.5993706014624</v>
      </c>
      <c r="L38" s="473">
        <f>J38/E38</f>
        <v>-0.15161521959909754</v>
      </c>
      <c r="M38" s="473">
        <f>(J34+J37)/(E34+E37)</f>
        <v>-7.5927977551464618E-2</v>
      </c>
      <c r="N38" s="320"/>
      <c r="O38" s="335"/>
      <c r="P38" s="335"/>
      <c r="Q38" s="335"/>
      <c r="R38" s="335"/>
      <c r="S38" s="335"/>
      <c r="T38" s="335"/>
      <c r="U38" s="335"/>
      <c r="V38" s="335"/>
    </row>
    <row r="39" spans="1:22" x14ac:dyDescent="0.2">
      <c r="A39" s="480"/>
      <c r="E39" s="310"/>
      <c r="F39" s="312"/>
      <c r="G39" s="480"/>
      <c r="H39" s="310"/>
      <c r="I39" s="312"/>
      <c r="J39" s="321"/>
      <c r="L39" s="320"/>
      <c r="M39" s="320"/>
      <c r="N39" s="320"/>
      <c r="O39" s="335"/>
      <c r="P39" s="335"/>
      <c r="Q39" s="335"/>
    </row>
    <row r="40" spans="1:22" x14ac:dyDescent="0.2">
      <c r="A40" s="480">
        <f>A38+1</f>
        <v>20</v>
      </c>
      <c r="C40" s="304" t="s">
        <v>625</v>
      </c>
      <c r="E40" s="316">
        <f>SUM(E34:E36)+H37</f>
        <v>28632.850336360003</v>
      </c>
      <c r="F40" s="317">
        <v>47.72141722726667</v>
      </c>
      <c r="G40" s="480"/>
      <c r="H40" s="316">
        <f>SUM(H34:H37)</f>
        <v>25010.286503785162</v>
      </c>
      <c r="I40" s="317">
        <v>41.683810839641936</v>
      </c>
      <c r="J40" s="318">
        <f>J34+J35+J36</f>
        <v>-3622.5638325748378</v>
      </c>
      <c r="L40" s="473">
        <f>J40/E40</f>
        <v>-0.12651775111521649</v>
      </c>
      <c r="M40" s="473">
        <f>(J40-J35)/(E40-E35)</f>
        <v>-0.15917165318264587</v>
      </c>
      <c r="N40" s="320"/>
      <c r="O40" s="335"/>
      <c r="P40" s="335"/>
      <c r="Q40" s="335"/>
      <c r="R40" s="335"/>
      <c r="S40" s="335"/>
      <c r="T40" s="335"/>
      <c r="U40" s="335"/>
      <c r="V40" s="335"/>
    </row>
    <row r="41" spans="1:22" x14ac:dyDescent="0.2">
      <c r="A41" s="480">
        <f>A40+1</f>
        <v>21</v>
      </c>
      <c r="C41" s="304" t="s">
        <v>626</v>
      </c>
      <c r="E41" s="320"/>
      <c r="F41" s="320"/>
      <c r="G41" s="320"/>
      <c r="H41" s="320"/>
      <c r="I41" s="320"/>
      <c r="J41" s="321"/>
      <c r="L41" s="474">
        <v>-0.22513246734311584</v>
      </c>
      <c r="M41" s="474">
        <v>-0.35456896167316632</v>
      </c>
      <c r="N41" s="321"/>
      <c r="O41" s="335"/>
      <c r="P41" s="335"/>
      <c r="Q41" s="335"/>
    </row>
    <row r="42" spans="1:22" x14ac:dyDescent="0.2">
      <c r="A42" s="480"/>
      <c r="G42" s="480"/>
      <c r="H42" s="480"/>
      <c r="I42" s="480"/>
      <c r="J42" s="313"/>
      <c r="O42" s="335"/>
      <c r="P42" s="335"/>
      <c r="Q42" s="335"/>
      <c r="R42" s="335"/>
      <c r="S42" s="335"/>
      <c r="T42" s="335"/>
      <c r="U42" s="335"/>
      <c r="V42" s="335"/>
    </row>
    <row r="43" spans="1:22" ht="14.25" x14ac:dyDescent="0.2">
      <c r="A43" s="480"/>
      <c r="C43" s="305" t="s">
        <v>631</v>
      </c>
      <c r="E43" s="493" t="s">
        <v>720</v>
      </c>
      <c r="J43" s="313"/>
      <c r="M43" s="330"/>
      <c r="O43" s="335"/>
      <c r="P43" s="335"/>
      <c r="Q43" s="335"/>
    </row>
    <row r="44" spans="1:22" x14ac:dyDescent="0.2">
      <c r="A44" s="480">
        <f>A61+1</f>
        <v>29</v>
      </c>
      <c r="C44" s="304" t="s">
        <v>617</v>
      </c>
      <c r="E44" s="310">
        <v>8765.3971026999989</v>
      </c>
      <c r="F44" s="312">
        <v>9.425158174946235</v>
      </c>
      <c r="G44" s="312"/>
      <c r="H44" s="310">
        <v>8348.7732384299998</v>
      </c>
      <c r="I44" s="312">
        <v>8.9771755251935481</v>
      </c>
      <c r="J44" s="321">
        <f>H44-E44</f>
        <v>-416.6238642699991</v>
      </c>
      <c r="K44" s="312"/>
      <c r="L44" s="472">
        <f>J44/E44</f>
        <v>-4.7530517943296234E-2</v>
      </c>
      <c r="M44" s="472">
        <f>L44</f>
        <v>-4.7530517943296234E-2</v>
      </c>
      <c r="N44" s="314"/>
      <c r="O44" s="335"/>
      <c r="P44" s="335"/>
      <c r="Q44" s="335"/>
      <c r="R44" s="335"/>
      <c r="S44" s="335"/>
      <c r="T44" s="335"/>
      <c r="U44" s="335"/>
      <c r="V44" s="335"/>
    </row>
    <row r="45" spans="1:22" x14ac:dyDescent="0.2">
      <c r="A45" s="480">
        <f>A44+1</f>
        <v>30</v>
      </c>
      <c r="C45" s="304" t="s">
        <v>618</v>
      </c>
      <c r="E45" s="310">
        <v>9104.6999999999989</v>
      </c>
      <c r="F45" s="312">
        <v>9.7899999999999991</v>
      </c>
      <c r="G45" s="312"/>
      <c r="H45" s="310">
        <v>9104.6999999999989</v>
      </c>
      <c r="I45" s="312">
        <v>9.7899999999999991</v>
      </c>
      <c r="J45" s="321">
        <f>H45-E45</f>
        <v>0</v>
      </c>
      <c r="K45" s="312"/>
      <c r="L45" s="472">
        <f>IFERROR(J45/E45,"100.0%")</f>
        <v>0</v>
      </c>
      <c r="M45" s="472">
        <v>0</v>
      </c>
      <c r="N45" s="314"/>
      <c r="O45" s="335"/>
      <c r="P45" s="335"/>
      <c r="Q45" s="335"/>
    </row>
    <row r="46" spans="1:22" x14ac:dyDescent="0.2">
      <c r="A46" s="480">
        <f>A45+1</f>
        <v>31</v>
      </c>
      <c r="C46" s="304" t="s">
        <v>619</v>
      </c>
      <c r="E46" s="310">
        <v>6314.2349999999997</v>
      </c>
      <c r="F46" s="312">
        <v>6.7894999999999994</v>
      </c>
      <c r="G46" s="312"/>
      <c r="H46" s="310">
        <v>1685.067</v>
      </c>
      <c r="I46" s="312">
        <v>1.8119000000000001</v>
      </c>
      <c r="J46" s="321">
        <f>H46-E46</f>
        <v>-4629.1679999999997</v>
      </c>
      <c r="L46" s="472">
        <f>J46/E46</f>
        <v>-0.73313204212386773</v>
      </c>
      <c r="M46" s="472">
        <f>L46</f>
        <v>-0.73313204212386773</v>
      </c>
      <c r="N46" s="314"/>
      <c r="O46" s="335"/>
      <c r="P46" s="335"/>
      <c r="Q46" s="335"/>
      <c r="R46" s="335"/>
      <c r="S46" s="335"/>
      <c r="T46" s="335"/>
      <c r="U46" s="335"/>
      <c r="V46" s="335"/>
    </row>
    <row r="47" spans="1:22" x14ac:dyDescent="0.2">
      <c r="A47" s="480">
        <f>A46+1</f>
        <v>32</v>
      </c>
      <c r="C47" s="304" t="s">
        <v>44</v>
      </c>
      <c r="E47" s="310">
        <v>20753.067083941271</v>
      </c>
      <c r="F47" s="312">
        <v>22.315125896711045</v>
      </c>
      <c r="H47" s="310">
        <v>19440.162</v>
      </c>
      <c r="I47" s="312">
        <v>20.903400000000001</v>
      </c>
      <c r="J47" s="321">
        <f>H47-E47</f>
        <v>-1312.9050839412703</v>
      </c>
      <c r="L47" s="472">
        <f>J47/E47</f>
        <v>-6.3263183154127448E-2</v>
      </c>
      <c r="M47" s="472">
        <f>L47</f>
        <v>-6.3263183154127448E-2</v>
      </c>
      <c r="N47" s="314"/>
      <c r="O47" s="335"/>
      <c r="P47" s="335"/>
      <c r="Q47" s="335"/>
    </row>
    <row r="48" spans="1:22" x14ac:dyDescent="0.2">
      <c r="A48" s="480">
        <f>A47+1</f>
        <v>33</v>
      </c>
      <c r="C48" s="304" t="s">
        <v>609</v>
      </c>
      <c r="E48" s="316">
        <f>SUM(E44:E47)</f>
        <v>44937.399186641269</v>
      </c>
      <c r="F48" s="317">
        <v>48.319784071657281</v>
      </c>
      <c r="G48" s="480"/>
      <c r="H48" s="316">
        <f>SUM(H44:H47)</f>
        <v>38578.70223843</v>
      </c>
      <c r="I48" s="317">
        <v>41.482475525193543</v>
      </c>
      <c r="J48" s="329">
        <f>SUM(J44:J47)</f>
        <v>-6358.696948211269</v>
      </c>
      <c r="L48" s="473">
        <f>J48/E48</f>
        <v>-0.14150122310820218</v>
      </c>
      <c r="M48" s="473">
        <f>(J44+J47)/(E44+E47)</f>
        <v>-5.8591427293631905E-2</v>
      </c>
      <c r="N48" s="320"/>
      <c r="O48" s="335"/>
      <c r="P48" s="335"/>
      <c r="Q48" s="335"/>
      <c r="R48" s="335"/>
      <c r="S48" s="335"/>
      <c r="T48" s="335"/>
      <c r="U48" s="335"/>
      <c r="V48" s="335"/>
    </row>
    <row r="49" spans="1:22" x14ac:dyDescent="0.2">
      <c r="A49" s="480"/>
      <c r="E49" s="310"/>
      <c r="F49" s="312"/>
      <c r="G49" s="480"/>
      <c r="H49" s="310"/>
      <c r="I49" s="312"/>
      <c r="J49" s="321"/>
      <c r="L49" s="320"/>
      <c r="M49" s="320"/>
      <c r="N49" s="320"/>
      <c r="O49" s="335"/>
      <c r="P49" s="335"/>
      <c r="Q49" s="335"/>
    </row>
    <row r="50" spans="1:22" x14ac:dyDescent="0.2">
      <c r="A50" s="480">
        <f>A48+1</f>
        <v>34</v>
      </c>
      <c r="C50" s="304" t="s">
        <v>632</v>
      </c>
      <c r="E50" s="316">
        <f>SUM(E44:E46)+H47</f>
        <v>43624.494102700002</v>
      </c>
      <c r="F50" s="317">
        <v>46.908058174946241</v>
      </c>
      <c r="G50" s="480"/>
      <c r="H50" s="316">
        <f>SUM(H44:H47)</f>
        <v>38578.70223843</v>
      </c>
      <c r="I50" s="317">
        <v>41.482475525193543</v>
      </c>
      <c r="J50" s="318">
        <f>J44+J45+J46</f>
        <v>-5045.7918642699988</v>
      </c>
      <c r="L50" s="473">
        <f>J50/E50</f>
        <v>-0.11566419205667546</v>
      </c>
      <c r="M50" s="473">
        <f>(J50-J45)/(E50-E45)</f>
        <v>-0.14617097220389666</v>
      </c>
      <c r="N50" s="320"/>
      <c r="O50" s="335"/>
      <c r="P50" s="335"/>
      <c r="Q50" s="335"/>
      <c r="R50" s="335"/>
      <c r="S50" s="335"/>
      <c r="T50" s="335"/>
      <c r="U50" s="335"/>
      <c r="V50" s="335"/>
    </row>
    <row r="51" spans="1:22" x14ac:dyDescent="0.2">
      <c r="A51" s="480">
        <f>A50+1</f>
        <v>35</v>
      </c>
      <c r="C51" s="304" t="s">
        <v>633</v>
      </c>
      <c r="E51" s="320"/>
      <c r="F51" s="320"/>
      <c r="G51" s="320"/>
      <c r="H51" s="320"/>
      <c r="I51" s="320"/>
      <c r="J51" s="321"/>
      <c r="L51" s="474">
        <v>-0.17741881269940496</v>
      </c>
      <c r="M51" s="474">
        <v>-0.293615337844289</v>
      </c>
      <c r="N51" s="321"/>
      <c r="O51" s="335"/>
      <c r="P51" s="335"/>
      <c r="Q51" s="335"/>
    </row>
    <row r="52" spans="1:22" x14ac:dyDescent="0.2">
      <c r="A52" s="480"/>
      <c r="J52" s="313"/>
      <c r="O52" s="335"/>
      <c r="P52" s="335"/>
      <c r="Q52" s="335"/>
      <c r="R52" s="335"/>
      <c r="S52" s="335"/>
      <c r="T52" s="335"/>
      <c r="U52" s="335"/>
      <c r="V52" s="335"/>
    </row>
    <row r="53" spans="1:22" ht="14.25" x14ac:dyDescent="0.2">
      <c r="A53" s="480"/>
      <c r="C53" s="305" t="s">
        <v>634</v>
      </c>
      <c r="E53" s="493" t="s">
        <v>721</v>
      </c>
      <c r="J53" s="313"/>
      <c r="M53" s="330"/>
      <c r="O53" s="335"/>
      <c r="P53" s="335"/>
      <c r="Q53" s="335"/>
    </row>
    <row r="54" spans="1:22" x14ac:dyDescent="0.2">
      <c r="A54" s="480">
        <f>A41+1</f>
        <v>22</v>
      </c>
      <c r="C54" s="304" t="s">
        <v>617</v>
      </c>
      <c r="E54" s="310">
        <v>20396.777521399999</v>
      </c>
      <c r="F54" s="312">
        <v>8.158711008560001</v>
      </c>
      <c r="G54" s="312"/>
      <c r="H54" s="310">
        <v>21868.217457784838</v>
      </c>
      <c r="I54" s="312">
        <v>8.7472869831139342</v>
      </c>
      <c r="J54" s="321">
        <f>H54-E54</f>
        <v>1471.4399363848388</v>
      </c>
      <c r="K54" s="312"/>
      <c r="L54" s="472">
        <f>J54/E54</f>
        <v>7.214080434230484E-2</v>
      </c>
      <c r="M54" s="472">
        <f>L54</f>
        <v>7.214080434230484E-2</v>
      </c>
      <c r="N54" s="314"/>
      <c r="O54" s="335"/>
      <c r="P54" s="335"/>
      <c r="Q54" s="335"/>
      <c r="R54" s="335"/>
      <c r="S54" s="335"/>
      <c r="T54" s="335"/>
      <c r="U54" s="335"/>
      <c r="V54" s="335"/>
    </row>
    <row r="55" spans="1:22" x14ac:dyDescent="0.2">
      <c r="A55" s="480">
        <f>A54+1</f>
        <v>23</v>
      </c>
      <c r="C55" s="304" t="s">
        <v>618</v>
      </c>
      <c r="E55" s="310">
        <v>24475</v>
      </c>
      <c r="F55" s="312">
        <v>9.7900000000000009</v>
      </c>
      <c r="G55" s="312"/>
      <c r="H55" s="310">
        <v>24475</v>
      </c>
      <c r="I55" s="312">
        <v>9.7900000000000009</v>
      </c>
      <c r="J55" s="321">
        <f>H55-E55</f>
        <v>0</v>
      </c>
      <c r="K55" s="312"/>
      <c r="L55" s="472">
        <f>IFERROR(J55/E55,"100.0%")</f>
        <v>0</v>
      </c>
      <c r="M55" s="472">
        <v>0</v>
      </c>
      <c r="N55" s="314"/>
      <c r="O55" s="335"/>
      <c r="P55" s="335"/>
      <c r="Q55" s="335"/>
    </row>
    <row r="56" spans="1:22" x14ac:dyDescent="0.2">
      <c r="A56" s="480">
        <f>A55+1</f>
        <v>24</v>
      </c>
      <c r="C56" s="304" t="s">
        <v>619</v>
      </c>
      <c r="E56" s="310">
        <v>16973.75</v>
      </c>
      <c r="F56" s="312">
        <v>6.7894999999999994</v>
      </c>
      <c r="G56" s="312"/>
      <c r="H56" s="310">
        <v>4529.75</v>
      </c>
      <c r="I56" s="312">
        <v>1.8119000000000001</v>
      </c>
      <c r="J56" s="321">
        <f>H56-E56</f>
        <v>-12444</v>
      </c>
      <c r="L56" s="472">
        <f>J56/E56</f>
        <v>-0.73313204212386773</v>
      </c>
      <c r="M56" s="472">
        <f>L56</f>
        <v>-0.73313204212386773</v>
      </c>
      <c r="N56" s="314"/>
      <c r="O56" s="335"/>
      <c r="P56" s="335"/>
      <c r="Q56" s="335"/>
      <c r="R56" s="335"/>
      <c r="S56" s="335"/>
      <c r="T56" s="335"/>
      <c r="U56" s="335"/>
      <c r="V56" s="335"/>
    </row>
    <row r="57" spans="1:22" x14ac:dyDescent="0.2">
      <c r="A57" s="480">
        <f>A56+1</f>
        <v>25</v>
      </c>
      <c r="C57" s="304" t="s">
        <v>44</v>
      </c>
      <c r="E57" s="310">
        <v>55787.814741777598</v>
      </c>
      <c r="F57" s="312">
        <v>22.315125896711038</v>
      </c>
      <c r="H57" s="310">
        <v>52258.5</v>
      </c>
      <c r="I57" s="312">
        <v>20.903400000000001</v>
      </c>
      <c r="J57" s="321">
        <f>H57-E57</f>
        <v>-3529.3147417775981</v>
      </c>
      <c r="L57" s="472">
        <f>J57/E57</f>
        <v>-6.3263183154127281E-2</v>
      </c>
      <c r="M57" s="472">
        <f>L57</f>
        <v>-6.3263183154127281E-2</v>
      </c>
      <c r="N57" s="314"/>
      <c r="O57" s="335"/>
      <c r="P57" s="335"/>
      <c r="Q57" s="335"/>
    </row>
    <row r="58" spans="1:22" x14ac:dyDescent="0.2">
      <c r="A58" s="480">
        <f>A57+1</f>
        <v>26</v>
      </c>
      <c r="C58" s="304" t="s">
        <v>609</v>
      </c>
      <c r="E58" s="316">
        <f>SUM(E54:E57)</f>
        <v>117633.34226317759</v>
      </c>
      <c r="F58" s="317">
        <v>47.053336905271038</v>
      </c>
      <c r="G58" s="480"/>
      <c r="H58" s="316">
        <f>SUM(H54:H57)</f>
        <v>103131.46745778483</v>
      </c>
      <c r="I58" s="317">
        <v>41.252586983113929</v>
      </c>
      <c r="J58" s="329">
        <f>SUM(J54:J57)</f>
        <v>-14501.874805392759</v>
      </c>
      <c r="L58" s="473">
        <f>J58/E58</f>
        <v>-0.12328030919114875</v>
      </c>
      <c r="M58" s="473">
        <f>(J54+J57)/(E54+E57)</f>
        <v>-2.7011692840514089E-2</v>
      </c>
      <c r="N58" s="320"/>
      <c r="O58" s="335"/>
      <c r="P58" s="335"/>
      <c r="Q58" s="335"/>
      <c r="R58" s="335"/>
      <c r="S58" s="335"/>
      <c r="T58" s="335"/>
      <c r="U58" s="335"/>
      <c r="V58" s="335"/>
    </row>
    <row r="59" spans="1:22" x14ac:dyDescent="0.2">
      <c r="A59" s="480"/>
      <c r="E59" s="310"/>
      <c r="F59" s="312"/>
      <c r="G59" s="480"/>
      <c r="H59" s="310"/>
      <c r="I59" s="312"/>
      <c r="J59" s="321"/>
      <c r="L59" s="320"/>
      <c r="M59" s="320"/>
      <c r="N59" s="320"/>
      <c r="O59" s="335"/>
      <c r="P59" s="335"/>
      <c r="Q59" s="335"/>
    </row>
    <row r="60" spans="1:22" x14ac:dyDescent="0.2">
      <c r="A60" s="480">
        <f>A58+1</f>
        <v>27</v>
      </c>
      <c r="C60" s="304" t="s">
        <v>632</v>
      </c>
      <c r="E60" s="316">
        <f>SUM(E54:E56)+H57</f>
        <v>114104.0275214</v>
      </c>
      <c r="F60" s="317">
        <v>45.641611008559998</v>
      </c>
      <c r="G60" s="480"/>
      <c r="H60" s="316">
        <f>SUM(H54:H57)</f>
        <v>103131.46745778483</v>
      </c>
      <c r="I60" s="317">
        <v>41.252586983113929</v>
      </c>
      <c r="J60" s="318">
        <f>J54+J55+J56</f>
        <v>-10972.560063615161</v>
      </c>
      <c r="L60" s="473">
        <f>J60/E60</f>
        <v>-9.6162776213637835E-2</v>
      </c>
      <c r="M60" s="473">
        <f>(J60-J55)/(E60-E55)</f>
        <v>-0.12242194707507377</v>
      </c>
      <c r="N60" s="320"/>
      <c r="O60" s="335"/>
      <c r="P60" s="335"/>
      <c r="Q60" s="335"/>
      <c r="R60" s="335"/>
      <c r="S60" s="335"/>
      <c r="T60" s="335"/>
      <c r="U60" s="335"/>
      <c r="V60" s="335"/>
    </row>
    <row r="61" spans="1:22" x14ac:dyDescent="0.2">
      <c r="A61" s="480">
        <f>A60+1</f>
        <v>28</v>
      </c>
      <c r="C61" s="304" t="s">
        <v>633</v>
      </c>
      <c r="E61" s="320"/>
      <c r="F61" s="320"/>
      <c r="G61" s="320"/>
      <c r="H61" s="320"/>
      <c r="I61" s="320"/>
      <c r="J61" s="321"/>
      <c r="L61" s="474">
        <v>-0.17741881269940496</v>
      </c>
      <c r="M61" s="474">
        <v>-0.293615337844289</v>
      </c>
      <c r="N61" s="321"/>
      <c r="O61" s="335"/>
      <c r="P61" s="335"/>
      <c r="Q61" s="335"/>
    </row>
    <row r="62" spans="1:22" x14ac:dyDescent="0.2">
      <c r="A62" s="480"/>
      <c r="J62" s="313"/>
      <c r="O62" s="335"/>
      <c r="P62" s="335"/>
      <c r="Q62" s="335"/>
      <c r="R62" s="335"/>
      <c r="S62" s="335"/>
      <c r="T62" s="335"/>
      <c r="U62" s="335"/>
      <c r="V62" s="335"/>
    </row>
    <row r="63" spans="1:22" ht="14.25" x14ac:dyDescent="0.2">
      <c r="A63" s="480"/>
      <c r="C63" s="305" t="s">
        <v>635</v>
      </c>
      <c r="E63" s="493" t="s">
        <v>722</v>
      </c>
      <c r="J63" s="313"/>
      <c r="O63" s="335"/>
      <c r="P63" s="335"/>
      <c r="Q63" s="335"/>
    </row>
    <row r="64" spans="1:22" x14ac:dyDescent="0.2">
      <c r="A64" s="480">
        <f>A51+1</f>
        <v>36</v>
      </c>
      <c r="C64" s="304" t="s">
        <v>617</v>
      </c>
      <c r="E64" s="310">
        <v>95250.744000000006</v>
      </c>
      <c r="F64" s="312">
        <v>3.1750248000000001</v>
      </c>
      <c r="G64" s="312"/>
      <c r="H64" s="310">
        <v>119555.90400000001</v>
      </c>
      <c r="I64" s="312">
        <v>3.9851968000000002</v>
      </c>
      <c r="J64" s="321">
        <f>H64-E64</f>
        <v>24305.160000000003</v>
      </c>
      <c r="K64" s="312"/>
      <c r="L64" s="472">
        <f>J64/E64</f>
        <v>0.25517029032340161</v>
      </c>
      <c r="M64" s="472">
        <f>L64</f>
        <v>0.25517029032340161</v>
      </c>
      <c r="N64" s="314"/>
      <c r="O64" s="335"/>
      <c r="P64" s="335"/>
      <c r="Q64" s="335"/>
      <c r="R64" s="335"/>
      <c r="S64" s="335"/>
      <c r="T64" s="335"/>
      <c r="U64" s="335"/>
      <c r="V64" s="335"/>
    </row>
    <row r="65" spans="1:22" x14ac:dyDescent="0.2">
      <c r="A65" s="480">
        <f>A64+1</f>
        <v>37</v>
      </c>
      <c r="C65" s="304" t="s">
        <v>618</v>
      </c>
      <c r="E65" s="310">
        <v>293699.99999999994</v>
      </c>
      <c r="F65" s="312">
        <v>9.7899999999999991</v>
      </c>
      <c r="G65" s="312"/>
      <c r="H65" s="310">
        <v>293699.99999999994</v>
      </c>
      <c r="I65" s="312">
        <v>9.7899999999999991</v>
      </c>
      <c r="J65" s="321">
        <f>H65-E65</f>
        <v>0</v>
      </c>
      <c r="K65" s="312"/>
      <c r="L65" s="472">
        <f>IFERROR(J65/E65,"100.0%")</f>
        <v>0</v>
      </c>
      <c r="M65" s="472">
        <v>0</v>
      </c>
      <c r="N65" s="314"/>
      <c r="O65" s="335"/>
      <c r="P65" s="335"/>
      <c r="Q65" s="335"/>
    </row>
    <row r="66" spans="1:22" x14ac:dyDescent="0.2">
      <c r="A66" s="480">
        <f>A65+1</f>
        <v>38</v>
      </c>
      <c r="C66" s="304" t="s">
        <v>619</v>
      </c>
      <c r="E66" s="310">
        <v>75893.003199999977</v>
      </c>
      <c r="F66" s="312">
        <v>2.5297667733333329</v>
      </c>
      <c r="G66" s="312"/>
      <c r="H66" s="310">
        <v>39855</v>
      </c>
      <c r="I66" s="312">
        <v>1.3285</v>
      </c>
      <c r="J66" s="321">
        <f>H66-E66</f>
        <v>-36038.003199999977</v>
      </c>
      <c r="L66" s="472">
        <f>J66/E66</f>
        <v>-0.4748527753609833</v>
      </c>
      <c r="M66" s="472">
        <f>L66</f>
        <v>-0.4748527753609833</v>
      </c>
      <c r="N66" s="314"/>
      <c r="O66" s="335"/>
      <c r="P66" s="335"/>
      <c r="Q66" s="335"/>
      <c r="R66" s="335"/>
      <c r="S66" s="335"/>
      <c r="T66" s="335"/>
      <c r="U66" s="335"/>
      <c r="V66" s="335"/>
    </row>
    <row r="67" spans="1:22" x14ac:dyDescent="0.2">
      <c r="A67" s="480">
        <f>A66+1</f>
        <v>39</v>
      </c>
      <c r="C67" s="304" t="s">
        <v>44</v>
      </c>
      <c r="E67" s="310">
        <v>650010.77690133126</v>
      </c>
      <c r="F67" s="312">
        <v>21.667025896711042</v>
      </c>
      <c r="H67" s="310">
        <v>627102.00000000012</v>
      </c>
      <c r="I67" s="312">
        <v>20.903400000000001</v>
      </c>
      <c r="J67" s="321">
        <f>H67-E67</f>
        <v>-22908.776901331148</v>
      </c>
      <c r="L67" s="472">
        <f>J67/E67</f>
        <v>-3.5243687820899927E-2</v>
      </c>
      <c r="M67" s="472">
        <f>L67</f>
        <v>-3.5243687820899927E-2</v>
      </c>
      <c r="N67" s="314"/>
      <c r="O67" s="335"/>
      <c r="P67" s="335"/>
      <c r="Q67" s="335"/>
    </row>
    <row r="68" spans="1:22" x14ac:dyDescent="0.2">
      <c r="A68" s="480">
        <f>A67+1</f>
        <v>40</v>
      </c>
      <c r="C68" s="304" t="s">
        <v>620</v>
      </c>
      <c r="E68" s="316">
        <f>SUM(E64:E67)</f>
        <v>1114854.5241013311</v>
      </c>
      <c r="F68" s="317">
        <v>37.161817470044376</v>
      </c>
      <c r="G68" s="480"/>
      <c r="H68" s="316">
        <f>SUM(H64:H67)</f>
        <v>1080212.9040000001</v>
      </c>
      <c r="I68" s="317">
        <v>36.007096800000006</v>
      </c>
      <c r="J68" s="329">
        <f>SUM(J64:J67)</f>
        <v>-34641.620101331122</v>
      </c>
      <c r="L68" s="473">
        <f>J68/E68</f>
        <v>-3.1072771695710932E-2</v>
      </c>
      <c r="M68" s="473">
        <f>(J64+J67)/(E64+E67)</f>
        <v>1.8736820022319781E-3</v>
      </c>
      <c r="N68" s="320"/>
      <c r="O68" s="335"/>
      <c r="P68" s="335"/>
      <c r="Q68" s="335"/>
      <c r="R68" s="335"/>
      <c r="S68" s="335"/>
      <c r="T68" s="335"/>
      <c r="U68" s="335"/>
      <c r="V68" s="335"/>
    </row>
    <row r="69" spans="1:22" x14ac:dyDescent="0.2">
      <c r="A69" s="480"/>
      <c r="E69" s="310"/>
      <c r="F69" s="312"/>
      <c r="G69" s="480"/>
      <c r="H69" s="310"/>
      <c r="I69" s="312"/>
      <c r="J69" s="321"/>
      <c r="L69" s="320"/>
      <c r="M69" s="320"/>
      <c r="N69" s="320"/>
      <c r="O69" s="335"/>
      <c r="P69" s="335"/>
      <c r="Q69" s="335"/>
    </row>
    <row r="70" spans="1:22" x14ac:dyDescent="0.2">
      <c r="A70" s="480">
        <f>A68+1</f>
        <v>41</v>
      </c>
      <c r="C70" s="304" t="s">
        <v>625</v>
      </c>
      <c r="E70" s="316">
        <f>SUM(E64:E66)+H67</f>
        <v>1091945.7472000001</v>
      </c>
      <c r="F70" s="317">
        <v>36.398191573333335</v>
      </c>
      <c r="G70" s="480"/>
      <c r="H70" s="316">
        <f>SUM(H64:H67)</f>
        <v>1080212.9040000001</v>
      </c>
      <c r="I70" s="317">
        <v>36.007096800000006</v>
      </c>
      <c r="J70" s="318">
        <f>J64+J65+J66</f>
        <v>-11732.843199999974</v>
      </c>
      <c r="L70" s="473">
        <f>J70/E70</f>
        <v>-1.0744895733222718E-2</v>
      </c>
      <c r="M70" s="473">
        <f>(J70-J65)/(E70-E65)</f>
        <v>-1.4698284633717335E-2</v>
      </c>
      <c r="N70" s="320"/>
      <c r="O70" s="335"/>
      <c r="P70" s="335"/>
      <c r="Q70" s="335"/>
      <c r="R70" s="335"/>
      <c r="S70" s="335"/>
      <c r="T70" s="335"/>
      <c r="U70" s="335"/>
      <c r="V70" s="335"/>
    </row>
    <row r="71" spans="1:22" x14ac:dyDescent="0.2">
      <c r="A71" s="480">
        <f>A70+1</f>
        <v>42</v>
      </c>
      <c r="C71" s="304" t="s">
        <v>626</v>
      </c>
      <c r="E71" s="320"/>
      <c r="F71" s="320"/>
      <c r="G71" s="320"/>
      <c r="H71" s="320"/>
      <c r="I71" s="320"/>
      <c r="J71" s="321"/>
      <c r="L71" s="474">
        <v>-2.5240402330187529E-2</v>
      </c>
      <c r="M71" s="474">
        <v>-6.8555488540804732E-2</v>
      </c>
      <c r="N71" s="321"/>
      <c r="O71" s="335"/>
      <c r="P71" s="335"/>
      <c r="Q71" s="335"/>
    </row>
    <row r="72" spans="1:22" x14ac:dyDescent="0.2">
      <c r="A72" s="480"/>
      <c r="J72" s="313"/>
      <c r="O72" s="335"/>
      <c r="P72" s="335"/>
      <c r="Q72" s="335"/>
      <c r="R72" s="335"/>
      <c r="S72" s="335"/>
      <c r="T72" s="335"/>
      <c r="U72" s="335"/>
      <c r="V72" s="335"/>
    </row>
    <row r="73" spans="1:22" ht="14.25" x14ac:dyDescent="0.2">
      <c r="A73" s="480"/>
      <c r="C73" s="305" t="s">
        <v>636</v>
      </c>
      <c r="E73" s="493" t="s">
        <v>723</v>
      </c>
      <c r="J73" s="313"/>
      <c r="O73" s="335"/>
      <c r="P73" s="335"/>
      <c r="Q73" s="335"/>
    </row>
    <row r="74" spans="1:22" x14ac:dyDescent="0.2">
      <c r="A74" s="480">
        <f>A71+1</f>
        <v>43</v>
      </c>
      <c r="C74" s="304" t="s">
        <v>617</v>
      </c>
      <c r="E74" s="310">
        <v>372039.84</v>
      </c>
      <c r="F74" s="312">
        <v>2.4802656000000001</v>
      </c>
      <c r="G74" s="312"/>
      <c r="H74" s="310">
        <v>405087</v>
      </c>
      <c r="I74" s="312">
        <v>2.70058</v>
      </c>
      <c r="J74" s="321">
        <f>H74-E74</f>
        <v>33047.159999999974</v>
      </c>
      <c r="K74" s="312"/>
      <c r="L74" s="472">
        <f>J74/E74</f>
        <v>8.8826938534324634E-2</v>
      </c>
      <c r="M74" s="472">
        <f>L74</f>
        <v>8.8826938534324634E-2</v>
      </c>
      <c r="N74" s="314"/>
      <c r="O74" s="335"/>
      <c r="P74" s="335"/>
      <c r="Q74" s="335"/>
      <c r="R74" s="335"/>
      <c r="S74" s="335"/>
      <c r="T74" s="335"/>
      <c r="U74" s="335"/>
      <c r="V74" s="335"/>
    </row>
    <row r="75" spans="1:22" x14ac:dyDescent="0.2">
      <c r="A75" s="480">
        <f>A74+1</f>
        <v>44</v>
      </c>
      <c r="C75" s="304" t="s">
        <v>618</v>
      </c>
      <c r="E75" s="310">
        <v>1468500</v>
      </c>
      <c r="F75" s="312">
        <v>9.7900000000000009</v>
      </c>
      <c r="G75" s="312"/>
      <c r="H75" s="310">
        <v>1468500</v>
      </c>
      <c r="I75" s="312">
        <v>9.7900000000000009</v>
      </c>
      <c r="J75" s="321">
        <f>H75-E75</f>
        <v>0</v>
      </c>
      <c r="K75" s="312"/>
      <c r="L75" s="472">
        <f>IFERROR(J75/E75,"100.0%")</f>
        <v>0</v>
      </c>
      <c r="M75" s="472">
        <v>0</v>
      </c>
      <c r="N75" s="314"/>
      <c r="O75" s="335"/>
      <c r="P75" s="335"/>
      <c r="Q75" s="335"/>
    </row>
    <row r="76" spans="1:22" x14ac:dyDescent="0.2">
      <c r="A76" s="480">
        <f>A75+1</f>
        <v>45</v>
      </c>
      <c r="C76" s="304" t="s">
        <v>619</v>
      </c>
      <c r="E76" s="310">
        <v>325255.72799999994</v>
      </c>
      <c r="F76" s="312">
        <v>2.1683715199999996</v>
      </c>
      <c r="G76" s="312"/>
      <c r="H76" s="310">
        <v>199275</v>
      </c>
      <c r="I76" s="312">
        <v>1.3285</v>
      </c>
      <c r="J76" s="321">
        <f>H76-E76</f>
        <v>-125980.72799999994</v>
      </c>
      <c r="L76" s="472">
        <f>J76/E76</f>
        <v>-0.38732823792114729</v>
      </c>
      <c r="M76" s="472">
        <f>L76</f>
        <v>-0.38732823792114729</v>
      </c>
      <c r="N76" s="314"/>
      <c r="O76" s="335"/>
      <c r="P76" s="335"/>
      <c r="Q76" s="335"/>
      <c r="R76" s="335"/>
      <c r="S76" s="335"/>
      <c r="T76" s="335"/>
      <c r="U76" s="335"/>
      <c r="V76" s="335"/>
    </row>
    <row r="77" spans="1:22" x14ac:dyDescent="0.2">
      <c r="A77" s="480">
        <f>A76+1</f>
        <v>46</v>
      </c>
      <c r="C77" s="304" t="s">
        <v>44</v>
      </c>
      <c r="E77" s="310">
        <v>3250053.8845066563</v>
      </c>
      <c r="F77" s="312">
        <v>21.667025896711042</v>
      </c>
      <c r="H77" s="310">
        <v>3135510</v>
      </c>
      <c r="I77" s="312">
        <v>20.903400000000001</v>
      </c>
      <c r="J77" s="321">
        <f>H77-E77</f>
        <v>-114543.88450665632</v>
      </c>
      <c r="L77" s="472">
        <f>J77/E77</f>
        <v>-3.5243687820900108E-2</v>
      </c>
      <c r="M77" s="472">
        <f>L77</f>
        <v>-3.5243687820900108E-2</v>
      </c>
      <c r="N77" s="314"/>
      <c r="O77" s="335"/>
      <c r="P77" s="335"/>
      <c r="Q77" s="335"/>
    </row>
    <row r="78" spans="1:22" x14ac:dyDescent="0.2">
      <c r="A78" s="480">
        <f>A77+1</f>
        <v>47</v>
      </c>
      <c r="C78" s="304" t="s">
        <v>620</v>
      </c>
      <c r="E78" s="316">
        <f>SUM(E74:E77)</f>
        <v>5415849.4525066558</v>
      </c>
      <c r="F78" s="317">
        <v>36.105663016711034</v>
      </c>
      <c r="G78" s="480"/>
      <c r="H78" s="316">
        <f>SUM(H74:H77)</f>
        <v>5208372</v>
      </c>
      <c r="I78" s="317">
        <v>34.722479999999997</v>
      </c>
      <c r="J78" s="329">
        <f>SUM(J74:J77)</f>
        <v>-207477.45250665629</v>
      </c>
      <c r="L78" s="473">
        <f>J78/E78</f>
        <v>-3.8309309430790778E-2</v>
      </c>
      <c r="M78" s="473">
        <f>(J74+J77)/(E74+E77)</f>
        <v>-2.2499893902595391E-2</v>
      </c>
      <c r="N78" s="320"/>
      <c r="O78" s="335"/>
      <c r="P78" s="335"/>
      <c r="Q78" s="335"/>
      <c r="R78" s="335"/>
      <c r="S78" s="335"/>
      <c r="T78" s="335"/>
      <c r="U78" s="335"/>
      <c r="V78" s="335"/>
    </row>
    <row r="79" spans="1:22" x14ac:dyDescent="0.2">
      <c r="A79" s="480"/>
      <c r="E79" s="310"/>
      <c r="F79" s="312"/>
      <c r="G79" s="480"/>
      <c r="H79" s="310"/>
      <c r="I79" s="312"/>
      <c r="J79" s="321"/>
      <c r="L79" s="320"/>
      <c r="M79" s="320"/>
      <c r="N79" s="320"/>
      <c r="O79" s="335"/>
      <c r="P79" s="335"/>
      <c r="Q79" s="335"/>
    </row>
    <row r="80" spans="1:22" x14ac:dyDescent="0.2">
      <c r="A80" s="480">
        <f>A78+1</f>
        <v>48</v>
      </c>
      <c r="C80" s="304" t="s">
        <v>625</v>
      </c>
      <c r="E80" s="316">
        <f>SUM(E74:E76)+H77</f>
        <v>5301305.568</v>
      </c>
      <c r="F80" s="317">
        <v>35.342037120000001</v>
      </c>
      <c r="G80" s="480"/>
      <c r="H80" s="316">
        <f>SUM(H74:H77)</f>
        <v>5208372</v>
      </c>
      <c r="I80" s="317">
        <v>34.722479999999997</v>
      </c>
      <c r="J80" s="318">
        <f>J74+J75+J76</f>
        <v>-92933.56799999997</v>
      </c>
      <c r="L80" s="473">
        <f>J80/E80</f>
        <v>-1.7530317165826117E-2</v>
      </c>
      <c r="M80" s="473">
        <f>(J80-J75)/(E80-E75)</f>
        <v>-2.4246877737785621E-2</v>
      </c>
      <c r="N80" s="320"/>
      <c r="O80" s="335"/>
      <c r="P80" s="335"/>
      <c r="Q80" s="335"/>
      <c r="R80" s="335"/>
      <c r="S80" s="335"/>
      <c r="T80" s="335"/>
      <c r="U80" s="335"/>
      <c r="V80" s="335"/>
    </row>
    <row r="81" spans="1:22" x14ac:dyDescent="0.2">
      <c r="A81" s="480">
        <f>A80+1</f>
        <v>49</v>
      </c>
      <c r="C81" s="304" t="s">
        <v>626</v>
      </c>
      <c r="E81" s="320"/>
      <c r="F81" s="320"/>
      <c r="G81" s="320"/>
      <c r="H81" s="320"/>
      <c r="I81" s="320"/>
      <c r="J81" s="321"/>
      <c r="L81" s="474">
        <v>-4.2909667640431706E-2</v>
      </c>
      <c r="M81" s="474">
        <v>-0.13327715285292047</v>
      </c>
      <c r="N81" s="321"/>
      <c r="O81" s="335"/>
      <c r="P81" s="335"/>
      <c r="Q81" s="335"/>
    </row>
    <row r="82" spans="1:22" x14ac:dyDescent="0.2">
      <c r="A82" s="480"/>
      <c r="J82" s="313"/>
      <c r="O82" s="335"/>
      <c r="P82" s="335"/>
      <c r="Q82" s="335"/>
      <c r="R82" s="335"/>
      <c r="S82" s="335"/>
      <c r="T82" s="335"/>
      <c r="U82" s="335"/>
      <c r="V82" s="335"/>
    </row>
    <row r="83" spans="1:22" x14ac:dyDescent="0.2">
      <c r="A83" s="480"/>
      <c r="C83" s="305"/>
      <c r="D83" s="305"/>
      <c r="E83" s="305"/>
      <c r="F83" s="305"/>
      <c r="G83" s="305"/>
      <c r="H83" s="305"/>
      <c r="I83" s="305"/>
      <c r="J83" s="422"/>
      <c r="K83" s="422"/>
      <c r="L83" s="422"/>
      <c r="N83" s="501"/>
    </row>
    <row r="84" spans="1:22" x14ac:dyDescent="0.2">
      <c r="A84" s="480"/>
      <c r="C84" s="305"/>
      <c r="D84" s="305"/>
      <c r="E84" s="305"/>
      <c r="F84" s="305"/>
      <c r="G84" s="305"/>
      <c r="H84" s="305"/>
      <c r="I84" s="305"/>
      <c r="J84" s="422" t="s">
        <v>139</v>
      </c>
      <c r="K84" s="422"/>
      <c r="L84" s="422"/>
      <c r="N84" s="501"/>
    </row>
    <row r="85" spans="1:22" s="305" customFormat="1" x14ac:dyDescent="0.2">
      <c r="A85" s="515" t="s">
        <v>881</v>
      </c>
      <c r="B85" s="515"/>
      <c r="C85" s="515"/>
      <c r="D85" s="515"/>
      <c r="E85" s="515"/>
      <c r="F85" s="515"/>
      <c r="G85" s="515"/>
      <c r="H85" s="515"/>
      <c r="I85" s="515"/>
      <c r="J85" s="515"/>
      <c r="K85" s="515"/>
      <c r="L85" s="515"/>
      <c r="M85" s="515"/>
    </row>
    <row r="86" spans="1:22" x14ac:dyDescent="0.2">
      <c r="A86" s="515" t="s">
        <v>882</v>
      </c>
      <c r="B86" s="515"/>
      <c r="C86" s="515"/>
      <c r="D86" s="515"/>
      <c r="E86" s="515"/>
      <c r="F86" s="515"/>
      <c r="G86" s="515"/>
      <c r="H86" s="515"/>
      <c r="I86" s="515"/>
      <c r="J86" s="515"/>
      <c r="K86" s="515"/>
      <c r="L86" s="515"/>
      <c r="M86" s="515"/>
    </row>
    <row r="87" spans="1:22" x14ac:dyDescent="0.2">
      <c r="A87" s="306"/>
      <c r="B87" s="306"/>
      <c r="E87" s="307"/>
      <c r="F87" s="307"/>
      <c r="G87" s="307"/>
      <c r="H87" s="307"/>
      <c r="I87" s="307"/>
      <c r="J87" s="307"/>
      <c r="K87" s="308"/>
      <c r="L87" s="308"/>
      <c r="N87" s="501"/>
    </row>
    <row r="88" spans="1:22" x14ac:dyDescent="0.2">
      <c r="A88" s="480"/>
      <c r="E88" s="516" t="s">
        <v>812</v>
      </c>
      <c r="F88" s="516"/>
      <c r="H88" s="516" t="s">
        <v>607</v>
      </c>
      <c r="I88" s="516"/>
      <c r="J88" s="516"/>
      <c r="L88" s="516" t="s">
        <v>608</v>
      </c>
      <c r="M88" s="516"/>
      <c r="N88" s="480"/>
      <c r="O88" s="480"/>
      <c r="P88" s="501"/>
    </row>
    <row r="89" spans="1:22" x14ac:dyDescent="0.2">
      <c r="A89" s="480"/>
      <c r="E89" s="480" t="s">
        <v>47</v>
      </c>
      <c r="F89" s="480"/>
      <c r="H89" s="480" t="s">
        <v>47</v>
      </c>
      <c r="I89" s="480"/>
      <c r="J89" s="480" t="s">
        <v>609</v>
      </c>
      <c r="L89" s="480" t="s">
        <v>610</v>
      </c>
      <c r="M89" s="480" t="s">
        <v>611</v>
      </c>
      <c r="N89" s="480"/>
      <c r="O89" s="480"/>
      <c r="P89" s="501"/>
    </row>
    <row r="90" spans="1:22" x14ac:dyDescent="0.2">
      <c r="A90" s="480" t="s">
        <v>0</v>
      </c>
      <c r="E90" s="480" t="s">
        <v>612</v>
      </c>
      <c r="F90" s="480" t="s">
        <v>264</v>
      </c>
      <c r="H90" s="480" t="s">
        <v>612</v>
      </c>
      <c r="I90" s="480" t="s">
        <v>264</v>
      </c>
      <c r="J90" s="480" t="s">
        <v>613</v>
      </c>
      <c r="L90" s="480" t="s">
        <v>614</v>
      </c>
      <c r="M90" s="480" t="s">
        <v>614</v>
      </c>
      <c r="N90" s="480"/>
      <c r="O90" s="480"/>
      <c r="P90" s="501"/>
    </row>
    <row r="91" spans="1:22" ht="14.25" x14ac:dyDescent="0.2">
      <c r="A91" s="491" t="s">
        <v>1</v>
      </c>
      <c r="C91" s="309" t="s">
        <v>9</v>
      </c>
      <c r="E91" s="491" t="s">
        <v>288</v>
      </c>
      <c r="F91" s="491" t="s">
        <v>12</v>
      </c>
      <c r="H91" s="491" t="s">
        <v>288</v>
      </c>
      <c r="I91" s="491" t="s">
        <v>12</v>
      </c>
      <c r="J91" s="491" t="s">
        <v>288</v>
      </c>
      <c r="L91" s="491" t="s">
        <v>2</v>
      </c>
      <c r="M91" s="491" t="s">
        <v>2</v>
      </c>
      <c r="N91" s="480"/>
      <c r="O91" s="480"/>
      <c r="P91" s="501"/>
      <c r="Q91" s="305"/>
    </row>
    <row r="92" spans="1:22" x14ac:dyDescent="0.2">
      <c r="A92" s="480"/>
      <c r="E92" s="480" t="s">
        <v>3</v>
      </c>
      <c r="F92" s="480" t="s">
        <v>4</v>
      </c>
      <c r="G92" s="480"/>
      <c r="H92" s="480" t="s">
        <v>86</v>
      </c>
      <c r="I92" s="480" t="s">
        <v>133</v>
      </c>
      <c r="J92" s="480" t="s">
        <v>615</v>
      </c>
      <c r="K92" s="480"/>
      <c r="L92" s="480" t="s">
        <v>616</v>
      </c>
      <c r="M92" s="480" t="s">
        <v>15</v>
      </c>
      <c r="N92" s="480"/>
      <c r="O92" s="480"/>
      <c r="P92" s="501"/>
    </row>
    <row r="93" spans="1:22" x14ac:dyDescent="0.2">
      <c r="A93" s="480"/>
      <c r="E93" s="480"/>
      <c r="F93" s="480"/>
      <c r="G93" s="480"/>
      <c r="H93" s="480"/>
      <c r="I93" s="480"/>
      <c r="J93" s="480"/>
      <c r="K93" s="480"/>
      <c r="L93" s="480"/>
      <c r="M93" s="480"/>
      <c r="N93" s="480"/>
      <c r="P93" s="501"/>
    </row>
    <row r="94" spans="1:22" ht="14.25" x14ac:dyDescent="0.2">
      <c r="A94" s="480"/>
      <c r="C94" s="305" t="s">
        <v>637</v>
      </c>
      <c r="E94" s="493" t="s">
        <v>724</v>
      </c>
      <c r="J94" s="313"/>
      <c r="O94" s="335"/>
      <c r="P94" s="335"/>
      <c r="Q94" s="335"/>
    </row>
    <row r="95" spans="1:22" x14ac:dyDescent="0.2">
      <c r="A95" s="480">
        <f>A81+1</f>
        <v>50</v>
      </c>
      <c r="C95" s="304" t="s">
        <v>617</v>
      </c>
      <c r="E95" s="310">
        <v>95250.744000000006</v>
      </c>
      <c r="F95" s="312">
        <v>3.1750248000000001</v>
      </c>
      <c r="G95" s="312"/>
      <c r="H95" s="310">
        <v>59841.768000000004</v>
      </c>
      <c r="I95" s="312">
        <v>1.9947256</v>
      </c>
      <c r="J95" s="321">
        <f>H95-E95</f>
        <v>-35408.976000000002</v>
      </c>
      <c r="K95" s="312"/>
      <c r="L95" s="472">
        <f>J95/E95</f>
        <v>-0.37174487581955268</v>
      </c>
      <c r="M95" s="472">
        <f>L95</f>
        <v>-0.37174487581955268</v>
      </c>
      <c r="N95" s="314"/>
      <c r="O95" s="335"/>
      <c r="P95" s="335"/>
      <c r="Q95" s="335"/>
      <c r="R95" s="335"/>
      <c r="S95" s="335"/>
      <c r="T95" s="335"/>
      <c r="U95" s="335"/>
      <c r="V95" s="335"/>
    </row>
    <row r="96" spans="1:22" x14ac:dyDescent="0.2">
      <c r="A96" s="480">
        <f>A95+1</f>
        <v>51</v>
      </c>
      <c r="C96" s="304" t="s">
        <v>618</v>
      </c>
      <c r="E96" s="310">
        <v>293699.99999999994</v>
      </c>
      <c r="F96" s="312">
        <v>9.7899999999999991</v>
      </c>
      <c r="G96" s="312"/>
      <c r="H96" s="310">
        <v>293699.99999999994</v>
      </c>
      <c r="I96" s="312">
        <v>9.7899999999999991</v>
      </c>
      <c r="J96" s="321">
        <f>H96-E96</f>
        <v>0</v>
      </c>
      <c r="K96" s="312"/>
      <c r="L96" s="472">
        <f>IFERROR(J96/E96,"100.0%")</f>
        <v>0</v>
      </c>
      <c r="M96" s="472">
        <v>0</v>
      </c>
      <c r="N96" s="314"/>
      <c r="O96" s="335"/>
      <c r="P96" s="335"/>
      <c r="Q96" s="335"/>
    </row>
    <row r="97" spans="1:22" x14ac:dyDescent="0.2">
      <c r="A97" s="480">
        <f>A96+1</f>
        <v>52</v>
      </c>
      <c r="C97" s="304" t="s">
        <v>619</v>
      </c>
      <c r="E97" s="310">
        <v>75893.003199999977</v>
      </c>
      <c r="F97" s="312">
        <v>2.5297667733333329</v>
      </c>
      <c r="G97" s="312"/>
      <c r="H97" s="310">
        <v>0</v>
      </c>
      <c r="I97" s="312">
        <v>0</v>
      </c>
      <c r="J97" s="321">
        <f>H97-E97</f>
        <v>-75893.003199999977</v>
      </c>
      <c r="L97" s="472">
        <f>J97/E97</f>
        <v>-1</v>
      </c>
      <c r="M97" s="472">
        <f>L97</f>
        <v>-1</v>
      </c>
      <c r="N97" s="314"/>
      <c r="O97" s="335"/>
      <c r="P97" s="335"/>
      <c r="Q97" s="335"/>
      <c r="R97" s="335"/>
      <c r="S97" s="335"/>
      <c r="T97" s="335"/>
      <c r="U97" s="335"/>
      <c r="V97" s="335"/>
    </row>
    <row r="98" spans="1:22" x14ac:dyDescent="0.2">
      <c r="A98" s="480">
        <f>A97+1</f>
        <v>53</v>
      </c>
      <c r="C98" s="304" t="s">
        <v>44</v>
      </c>
      <c r="E98" s="310">
        <v>650010.77690133126</v>
      </c>
      <c r="F98" s="312">
        <v>21.667025896711042</v>
      </c>
      <c r="H98" s="310">
        <v>627102.00000000012</v>
      </c>
      <c r="I98" s="312">
        <v>20.903400000000001</v>
      </c>
      <c r="J98" s="321">
        <f>H98-E98</f>
        <v>-22908.776901331148</v>
      </c>
      <c r="L98" s="472">
        <f>J98/E98</f>
        <v>-3.5243687820899927E-2</v>
      </c>
      <c r="M98" s="472">
        <f>L98</f>
        <v>-3.5243687820899927E-2</v>
      </c>
      <c r="N98" s="314"/>
      <c r="O98" s="335"/>
      <c r="P98" s="335"/>
      <c r="Q98" s="335"/>
    </row>
    <row r="99" spans="1:22" x14ac:dyDescent="0.2">
      <c r="A99" s="480">
        <f>A98+1</f>
        <v>54</v>
      </c>
      <c r="C99" s="304" t="s">
        <v>620</v>
      </c>
      <c r="E99" s="316">
        <f>SUM(E95:E98)</f>
        <v>1114854.5241013311</v>
      </c>
      <c r="F99" s="317">
        <v>37.161817470044376</v>
      </c>
      <c r="G99" s="480"/>
      <c r="H99" s="316">
        <f>SUM(H95:H98)</f>
        <v>980643.76800000004</v>
      </c>
      <c r="I99" s="317">
        <v>32.688125599999999</v>
      </c>
      <c r="J99" s="329">
        <f>SUM(J95:J98)</f>
        <v>-134210.75610133112</v>
      </c>
      <c r="L99" s="473">
        <f>J99/E99</f>
        <v>-0.12038409783511132</v>
      </c>
      <c r="M99" s="473">
        <f>(J95+J98)/(E95+E98)</f>
        <v>-7.8251393994957272E-2</v>
      </c>
      <c r="N99" s="320"/>
      <c r="O99" s="335"/>
      <c r="P99" s="335"/>
      <c r="Q99" s="335"/>
      <c r="R99" s="335"/>
      <c r="S99" s="335"/>
      <c r="T99" s="335"/>
      <c r="U99" s="335"/>
      <c r="V99" s="335"/>
    </row>
    <row r="100" spans="1:22" x14ac:dyDescent="0.2">
      <c r="A100" s="480"/>
      <c r="E100" s="310"/>
      <c r="F100" s="312"/>
      <c r="G100" s="480"/>
      <c r="H100" s="310"/>
      <c r="I100" s="312"/>
      <c r="J100" s="321"/>
      <c r="L100" s="320"/>
      <c r="M100" s="320"/>
      <c r="N100" s="320"/>
      <c r="O100" s="335"/>
      <c r="P100" s="335"/>
      <c r="Q100" s="335"/>
    </row>
    <row r="101" spans="1:22" x14ac:dyDescent="0.2">
      <c r="A101" s="480">
        <f>A99+1</f>
        <v>55</v>
      </c>
      <c r="C101" s="304" t="s">
        <v>625</v>
      </c>
      <c r="E101" s="316">
        <f>SUM(E95:E97)+H98</f>
        <v>1091945.7472000001</v>
      </c>
      <c r="F101" s="317">
        <v>36.398191573333335</v>
      </c>
      <c r="G101" s="480"/>
      <c r="H101" s="316">
        <f>SUM(H95:H98)</f>
        <v>980643.76800000004</v>
      </c>
      <c r="I101" s="317">
        <v>32.688125599999999</v>
      </c>
      <c r="J101" s="318">
        <f>J95+J96+J97</f>
        <v>-111301.97919999997</v>
      </c>
      <c r="L101" s="473">
        <f>J101/E101</f>
        <v>-0.10192995346646463</v>
      </c>
      <c r="M101" s="473">
        <f>(J101-J96)/(E101-E96)</f>
        <v>-0.13943322540760536</v>
      </c>
      <c r="N101" s="320"/>
      <c r="O101" s="335"/>
      <c r="P101" s="335"/>
      <c r="Q101" s="335"/>
      <c r="R101" s="335"/>
      <c r="S101" s="335"/>
      <c r="T101" s="335"/>
      <c r="U101" s="335"/>
      <c r="V101" s="335"/>
    </row>
    <row r="102" spans="1:22" x14ac:dyDescent="0.2">
      <c r="A102" s="480">
        <f>A101+1</f>
        <v>56</v>
      </c>
      <c r="C102" s="304" t="s">
        <v>626</v>
      </c>
      <c r="E102" s="320"/>
      <c r="F102" s="320"/>
      <c r="G102" s="320"/>
      <c r="H102" s="320"/>
      <c r="I102" s="320"/>
      <c r="J102" s="321"/>
      <c r="L102" s="474">
        <v>-0.23943955333470815</v>
      </c>
      <c r="M102" s="474">
        <v>-0.65034207221097928</v>
      </c>
      <c r="N102" s="321"/>
      <c r="O102" s="335"/>
      <c r="P102" s="335"/>
      <c r="Q102" s="335"/>
    </row>
    <row r="103" spans="1:22" x14ac:dyDescent="0.2">
      <c r="A103" s="480"/>
      <c r="J103" s="313"/>
      <c r="O103" s="335"/>
      <c r="P103" s="335"/>
      <c r="Q103" s="335"/>
      <c r="R103" s="335"/>
      <c r="S103" s="335"/>
      <c r="T103" s="335"/>
      <c r="U103" s="335"/>
      <c r="V103" s="335"/>
    </row>
    <row r="104" spans="1:22" ht="14.25" x14ac:dyDescent="0.2">
      <c r="A104" s="480"/>
      <c r="C104" s="305" t="s">
        <v>638</v>
      </c>
      <c r="E104" s="493" t="s">
        <v>723</v>
      </c>
      <c r="J104" s="313"/>
      <c r="O104" s="335"/>
      <c r="P104" s="335"/>
      <c r="Q104" s="335"/>
    </row>
    <row r="105" spans="1:22" x14ac:dyDescent="0.2">
      <c r="A105" s="480">
        <f>A102+1</f>
        <v>57</v>
      </c>
      <c r="C105" s="304" t="s">
        <v>617</v>
      </c>
      <c r="E105" s="310">
        <v>372039.84</v>
      </c>
      <c r="F105" s="312">
        <v>2.4802656000000001</v>
      </c>
      <c r="G105" s="312"/>
      <c r="H105" s="310">
        <v>159735.84</v>
      </c>
      <c r="I105" s="312">
        <v>1.0649056000000001</v>
      </c>
      <c r="J105" s="321">
        <f>H105-E105</f>
        <v>-212304.00000000003</v>
      </c>
      <c r="K105" s="312"/>
      <c r="L105" s="472">
        <f>J105/E105</f>
        <v>-0.57064856279908094</v>
      </c>
      <c r="M105" s="472">
        <f>L105</f>
        <v>-0.57064856279908094</v>
      </c>
      <c r="N105" s="314"/>
      <c r="O105" s="335"/>
      <c r="P105" s="335"/>
      <c r="Q105" s="335"/>
      <c r="R105" s="335"/>
      <c r="S105" s="335"/>
      <c r="T105" s="335"/>
      <c r="U105" s="335"/>
      <c r="V105" s="335"/>
    </row>
    <row r="106" spans="1:22" x14ac:dyDescent="0.2">
      <c r="A106" s="480">
        <f>A105+1</f>
        <v>58</v>
      </c>
      <c r="C106" s="304" t="s">
        <v>618</v>
      </c>
      <c r="E106" s="310">
        <v>1468500</v>
      </c>
      <c r="F106" s="312">
        <v>9.7900000000000009</v>
      </c>
      <c r="G106" s="312"/>
      <c r="H106" s="310">
        <v>1468500</v>
      </c>
      <c r="I106" s="312">
        <v>9.7900000000000009</v>
      </c>
      <c r="J106" s="321">
        <f>H106-E106</f>
        <v>0</v>
      </c>
      <c r="K106" s="312"/>
      <c r="L106" s="472">
        <f>IFERROR(J106/E106,"100.0%")</f>
        <v>0</v>
      </c>
      <c r="M106" s="472">
        <v>0</v>
      </c>
      <c r="N106" s="314"/>
      <c r="O106" s="335"/>
      <c r="P106" s="335"/>
      <c r="Q106" s="335"/>
    </row>
    <row r="107" spans="1:22" x14ac:dyDescent="0.2">
      <c r="A107" s="480">
        <f>A106+1</f>
        <v>59</v>
      </c>
      <c r="C107" s="304" t="s">
        <v>619</v>
      </c>
      <c r="E107" s="310">
        <v>325255.72799999994</v>
      </c>
      <c r="F107" s="312">
        <v>2.1683715199999996</v>
      </c>
      <c r="G107" s="312"/>
      <c r="H107" s="310">
        <v>0</v>
      </c>
      <c r="I107" s="312">
        <v>0</v>
      </c>
      <c r="J107" s="321">
        <f>H107-E107</f>
        <v>-325255.72799999994</v>
      </c>
      <c r="L107" s="472">
        <f>J107/E107</f>
        <v>-1</v>
      </c>
      <c r="M107" s="472">
        <f>L107</f>
        <v>-1</v>
      </c>
      <c r="N107" s="314"/>
      <c r="O107" s="335"/>
      <c r="P107" s="335"/>
      <c r="Q107" s="335"/>
      <c r="R107" s="335"/>
      <c r="S107" s="335"/>
      <c r="T107" s="335"/>
      <c r="U107" s="335"/>
      <c r="V107" s="335"/>
    </row>
    <row r="108" spans="1:22" x14ac:dyDescent="0.2">
      <c r="A108" s="480">
        <f>A107+1</f>
        <v>60</v>
      </c>
      <c r="C108" s="304" t="s">
        <v>44</v>
      </c>
      <c r="E108" s="310">
        <v>3250053.8845066563</v>
      </c>
      <c r="F108" s="312">
        <v>21.667025896711042</v>
      </c>
      <c r="H108" s="310">
        <v>3135510</v>
      </c>
      <c r="I108" s="312">
        <v>20.903400000000001</v>
      </c>
      <c r="J108" s="321">
        <f>H108-E108</f>
        <v>-114543.88450665632</v>
      </c>
      <c r="L108" s="472">
        <f>J108/E108</f>
        <v>-3.5243687820900108E-2</v>
      </c>
      <c r="M108" s="472">
        <f>L108</f>
        <v>-3.5243687820900108E-2</v>
      </c>
      <c r="N108" s="314"/>
      <c r="O108" s="335"/>
      <c r="P108" s="335"/>
      <c r="Q108" s="335"/>
    </row>
    <row r="109" spans="1:22" x14ac:dyDescent="0.2">
      <c r="A109" s="480">
        <f>A108+1</f>
        <v>61</v>
      </c>
      <c r="C109" s="304" t="s">
        <v>620</v>
      </c>
      <c r="E109" s="316">
        <f>SUM(E105:E108)</f>
        <v>5415849.4525066558</v>
      </c>
      <c r="F109" s="317">
        <v>36.105663016711034</v>
      </c>
      <c r="G109" s="480"/>
      <c r="H109" s="316">
        <f>SUM(H105:H108)</f>
        <v>4763745.84</v>
      </c>
      <c r="I109" s="317">
        <v>31.758305599999996</v>
      </c>
      <c r="J109" s="329">
        <f>SUM(J105:J108)</f>
        <v>-652103.61250665633</v>
      </c>
      <c r="L109" s="473">
        <f>J109/E109</f>
        <v>-0.12040652500132525</v>
      </c>
      <c r="M109" s="473">
        <f>(J105+J108)/(E105+E108)</f>
        <v>-9.0237279696889772E-2</v>
      </c>
      <c r="N109" s="320"/>
      <c r="O109" s="335"/>
      <c r="P109" s="335"/>
      <c r="Q109" s="335"/>
      <c r="R109" s="335"/>
      <c r="S109" s="335"/>
      <c r="T109" s="335"/>
      <c r="U109" s="335"/>
      <c r="V109" s="335"/>
    </row>
    <row r="110" spans="1:22" x14ac:dyDescent="0.2">
      <c r="A110" s="480"/>
      <c r="E110" s="310"/>
      <c r="F110" s="312"/>
      <c r="G110" s="480"/>
      <c r="H110" s="310"/>
      <c r="I110" s="312"/>
      <c r="J110" s="321"/>
      <c r="L110" s="320"/>
      <c r="M110" s="320"/>
      <c r="N110" s="320"/>
      <c r="O110" s="335"/>
      <c r="P110" s="335"/>
      <c r="Q110" s="335"/>
    </row>
    <row r="111" spans="1:22" x14ac:dyDescent="0.2">
      <c r="A111" s="480">
        <f>A109+1</f>
        <v>62</v>
      </c>
      <c r="C111" s="304" t="s">
        <v>625</v>
      </c>
      <c r="E111" s="316">
        <f>SUM(E105:E107)+H108</f>
        <v>5301305.568</v>
      </c>
      <c r="F111" s="317">
        <v>35.342037120000001</v>
      </c>
      <c r="G111" s="480"/>
      <c r="H111" s="316">
        <f>SUM(H105:H108)</f>
        <v>4763745.84</v>
      </c>
      <c r="I111" s="317">
        <v>31.758305599999996</v>
      </c>
      <c r="J111" s="318">
        <f>J105+J106+J107</f>
        <v>-537559.728</v>
      </c>
      <c r="L111" s="473">
        <f>J111/E111</f>
        <v>-0.1014013852068525</v>
      </c>
      <c r="M111" s="473">
        <f>(J111-J106)/(E111-E106)</f>
        <v>-0.14025228216324695</v>
      </c>
      <c r="N111" s="320"/>
      <c r="O111" s="335"/>
      <c r="P111" s="335"/>
      <c r="Q111" s="335"/>
      <c r="R111" s="335"/>
      <c r="S111" s="335"/>
      <c r="T111" s="335"/>
      <c r="U111" s="335"/>
      <c r="V111" s="335"/>
    </row>
    <row r="112" spans="1:22" x14ac:dyDescent="0.2">
      <c r="A112" s="480">
        <f>A111+1</f>
        <v>63</v>
      </c>
      <c r="C112" s="304" t="s">
        <v>626</v>
      </c>
      <c r="E112" s="320"/>
      <c r="F112" s="320"/>
      <c r="G112" s="320"/>
      <c r="H112" s="320"/>
      <c r="I112" s="320"/>
      <c r="J112" s="321"/>
      <c r="L112" s="474">
        <v>-0.24820427926926111</v>
      </c>
      <c r="M112" s="474">
        <v>-0.77092090165127802</v>
      </c>
      <c r="N112" s="321"/>
      <c r="P112" s="502"/>
    </row>
    <row r="113" spans="1:22" x14ac:dyDescent="0.2">
      <c r="A113" s="480"/>
      <c r="J113" s="313"/>
      <c r="O113" s="335"/>
      <c r="P113" s="335"/>
      <c r="Q113" s="335"/>
      <c r="R113" s="335"/>
      <c r="S113" s="335"/>
      <c r="T113" s="335"/>
      <c r="U113" s="335"/>
      <c r="V113" s="335"/>
    </row>
    <row r="114" spans="1:22" ht="14.25" x14ac:dyDescent="0.2">
      <c r="A114" s="480"/>
      <c r="C114" s="305" t="s">
        <v>639</v>
      </c>
      <c r="E114" s="493" t="s">
        <v>724</v>
      </c>
      <c r="J114" s="313"/>
      <c r="P114" s="502"/>
    </row>
    <row r="115" spans="1:22" x14ac:dyDescent="0.2">
      <c r="A115" s="480">
        <f>A112+1</f>
        <v>64</v>
      </c>
      <c r="C115" s="304" t="s">
        <v>617</v>
      </c>
      <c r="E115" s="310">
        <v>95250.744000000006</v>
      </c>
      <c r="F115" s="312">
        <v>3.1750248000000001</v>
      </c>
      <c r="G115" s="312"/>
      <c r="H115" s="310">
        <v>197406.31199999998</v>
      </c>
      <c r="I115" s="312">
        <v>6.5802103999999986</v>
      </c>
      <c r="J115" s="321">
        <f>H115-E115</f>
        <v>102155.56799999997</v>
      </c>
      <c r="K115" s="312"/>
      <c r="L115" s="472">
        <f>J115/E115</f>
        <v>1.0724910243220773</v>
      </c>
      <c r="M115" s="472">
        <f>L115</f>
        <v>1.0724910243220773</v>
      </c>
      <c r="N115" s="314"/>
      <c r="O115" s="335"/>
      <c r="P115" s="335"/>
      <c r="Q115" s="335"/>
      <c r="R115" s="335"/>
      <c r="S115" s="335"/>
      <c r="T115" s="335"/>
      <c r="U115" s="335"/>
      <c r="V115" s="335"/>
    </row>
    <row r="116" spans="1:22" x14ac:dyDescent="0.2">
      <c r="A116" s="480">
        <f>A115+1</f>
        <v>65</v>
      </c>
      <c r="C116" s="304" t="s">
        <v>618</v>
      </c>
      <c r="E116" s="310">
        <v>293699.99999999994</v>
      </c>
      <c r="F116" s="312">
        <v>9.7899999999999991</v>
      </c>
      <c r="G116" s="312"/>
      <c r="H116" s="310">
        <v>293699.99999999994</v>
      </c>
      <c r="I116" s="312">
        <v>9.7899999999999991</v>
      </c>
      <c r="J116" s="321">
        <f>H116-E116</f>
        <v>0</v>
      </c>
      <c r="K116" s="312"/>
      <c r="L116" s="472">
        <f>IFERROR(J116/E116,"100.0%")</f>
        <v>0</v>
      </c>
      <c r="M116" s="472">
        <v>0</v>
      </c>
      <c r="N116" s="314"/>
      <c r="P116" s="502"/>
    </row>
    <row r="117" spans="1:22" x14ac:dyDescent="0.2">
      <c r="A117" s="480">
        <f>A116+1</f>
        <v>66</v>
      </c>
      <c r="C117" s="304" t="s">
        <v>619</v>
      </c>
      <c r="E117" s="310">
        <v>75893.003199999977</v>
      </c>
      <c r="F117" s="312">
        <v>2.5297667733333329</v>
      </c>
      <c r="G117" s="312"/>
      <c r="H117" s="310">
        <v>0</v>
      </c>
      <c r="I117" s="312">
        <v>0</v>
      </c>
      <c r="J117" s="321">
        <f>H117-E117</f>
        <v>-75893.003199999977</v>
      </c>
      <c r="L117" s="472">
        <f>J117/E117</f>
        <v>-1</v>
      </c>
      <c r="M117" s="472">
        <f>L117</f>
        <v>-1</v>
      </c>
      <c r="N117" s="314"/>
      <c r="O117" s="335"/>
      <c r="P117" s="335"/>
      <c r="Q117" s="335"/>
      <c r="R117" s="335"/>
      <c r="S117" s="335"/>
      <c r="T117" s="335"/>
      <c r="U117" s="335"/>
      <c r="V117" s="335"/>
    </row>
    <row r="118" spans="1:22" x14ac:dyDescent="0.2">
      <c r="A118" s="480">
        <f>A117+1</f>
        <v>67</v>
      </c>
      <c r="C118" s="304" t="s">
        <v>44</v>
      </c>
      <c r="E118" s="310">
        <v>650010.77690133126</v>
      </c>
      <c r="F118" s="312">
        <v>21.667025896711042</v>
      </c>
      <c r="H118" s="310">
        <v>627102.00000000012</v>
      </c>
      <c r="I118" s="312">
        <v>20.903400000000001</v>
      </c>
      <c r="J118" s="321">
        <f>H118-E118</f>
        <v>-22908.776901331148</v>
      </c>
      <c r="L118" s="472">
        <f>J118/E118</f>
        <v>-3.5243687820899927E-2</v>
      </c>
      <c r="M118" s="472">
        <f>L118</f>
        <v>-3.5243687820899927E-2</v>
      </c>
      <c r="N118" s="314"/>
      <c r="P118" s="502"/>
    </row>
    <row r="119" spans="1:22" x14ac:dyDescent="0.2">
      <c r="A119" s="480">
        <f>A118+1</f>
        <v>68</v>
      </c>
      <c r="C119" s="304" t="s">
        <v>620</v>
      </c>
      <c r="E119" s="316">
        <f>SUM(E115:E118)</f>
        <v>1114854.5241013311</v>
      </c>
      <c r="F119" s="317">
        <v>37.161817470044376</v>
      </c>
      <c r="G119" s="480"/>
      <c r="H119" s="316">
        <f>SUM(H115:H118)</f>
        <v>1118208.3119999999</v>
      </c>
      <c r="I119" s="317">
        <v>37.273610399999995</v>
      </c>
      <c r="J119" s="329">
        <f>SUM(J115:J118)</f>
        <v>3353.7878986688447</v>
      </c>
      <c r="L119" s="473">
        <f>J119/E119</f>
        <v>3.0082740179686557E-3</v>
      </c>
      <c r="M119" s="473">
        <f>(J115+J118)/(E115+E118)</f>
        <v>0.10633420467331586</v>
      </c>
      <c r="N119" s="320"/>
      <c r="O119" s="335"/>
      <c r="P119" s="335"/>
      <c r="Q119" s="335"/>
      <c r="R119" s="335"/>
      <c r="S119" s="335"/>
      <c r="T119" s="335"/>
      <c r="U119" s="335"/>
      <c r="V119" s="335"/>
    </row>
    <row r="120" spans="1:22" x14ac:dyDescent="0.2">
      <c r="A120" s="480"/>
      <c r="E120" s="310"/>
      <c r="F120" s="312"/>
      <c r="G120" s="480"/>
      <c r="H120" s="310"/>
      <c r="I120" s="312"/>
      <c r="J120" s="321"/>
      <c r="L120" s="320"/>
      <c r="M120" s="320"/>
      <c r="N120" s="320"/>
      <c r="P120" s="502"/>
    </row>
    <row r="121" spans="1:22" x14ac:dyDescent="0.2">
      <c r="A121" s="480">
        <f>A119+1</f>
        <v>69</v>
      </c>
      <c r="C121" s="304" t="s">
        <v>625</v>
      </c>
      <c r="E121" s="316">
        <f>SUM(E115:E117)+H118</f>
        <v>1091945.7472000001</v>
      </c>
      <c r="F121" s="317">
        <v>36.398191573333335</v>
      </c>
      <c r="G121" s="480"/>
      <c r="H121" s="316">
        <f>SUM(H115:H118)</f>
        <v>1118208.3119999999</v>
      </c>
      <c r="I121" s="317">
        <v>37.273610399999995</v>
      </c>
      <c r="J121" s="318">
        <f>J115+J116+J117</f>
        <v>26262.564799999993</v>
      </c>
      <c r="L121" s="473">
        <f>J121/E121</f>
        <v>2.4051162676665253E-2</v>
      </c>
      <c r="M121" s="473">
        <f>(J121-J116)/(E121-E116)</f>
        <v>3.2900350414795158E-2</v>
      </c>
      <c r="N121" s="320"/>
      <c r="O121" s="335"/>
      <c r="P121" s="335"/>
      <c r="Q121" s="335"/>
      <c r="R121" s="335"/>
      <c r="S121" s="335"/>
      <c r="T121" s="335"/>
      <c r="U121" s="335"/>
      <c r="V121" s="335"/>
    </row>
    <row r="122" spans="1:22" x14ac:dyDescent="0.2">
      <c r="A122" s="480">
        <f>A121+1</f>
        <v>70</v>
      </c>
      <c r="C122" s="304" t="s">
        <v>626</v>
      </c>
      <c r="E122" s="320"/>
      <c r="F122" s="320"/>
      <c r="G122" s="320"/>
      <c r="H122" s="320"/>
      <c r="I122" s="320"/>
      <c r="J122" s="321"/>
      <c r="L122" s="474">
        <v>5.6497618733592402E-2</v>
      </c>
      <c r="M122" s="474">
        <v>0.15345325335964136</v>
      </c>
      <c r="N122" s="321"/>
      <c r="P122" s="502"/>
    </row>
    <row r="123" spans="1:22" x14ac:dyDescent="0.2">
      <c r="A123" s="480"/>
      <c r="J123" s="313"/>
      <c r="O123" s="335"/>
      <c r="P123" s="335"/>
      <c r="Q123" s="335"/>
      <c r="R123" s="335"/>
      <c r="S123" s="335"/>
      <c r="T123" s="335"/>
      <c r="U123" s="335"/>
      <c r="V123" s="335"/>
    </row>
    <row r="124" spans="1:22" ht="14.25" x14ac:dyDescent="0.2">
      <c r="A124" s="480"/>
      <c r="C124" s="305" t="s">
        <v>640</v>
      </c>
      <c r="E124" s="493" t="s">
        <v>723</v>
      </c>
      <c r="J124" s="313"/>
      <c r="P124" s="502"/>
    </row>
    <row r="125" spans="1:22" x14ac:dyDescent="0.2">
      <c r="A125" s="480">
        <f>A122+1</f>
        <v>71</v>
      </c>
      <c r="C125" s="304" t="s">
        <v>617</v>
      </c>
      <c r="E125" s="310">
        <v>372039.84</v>
      </c>
      <c r="F125" s="312">
        <v>2.4802656000000001</v>
      </c>
      <c r="G125" s="312"/>
      <c r="H125" s="310">
        <v>253825.2</v>
      </c>
      <c r="I125" s="312">
        <v>1.6921680000000001</v>
      </c>
      <c r="J125" s="321">
        <f>H125-E125</f>
        <v>-118214.64000000001</v>
      </c>
      <c r="K125" s="312"/>
      <c r="L125" s="472">
        <f>J125/E125</f>
        <v>-0.31774726061595987</v>
      </c>
      <c r="M125" s="472">
        <f>L125</f>
        <v>-0.31774726061595987</v>
      </c>
      <c r="N125" s="314"/>
      <c r="O125" s="335"/>
      <c r="P125" s="335"/>
      <c r="Q125" s="335"/>
      <c r="R125" s="335"/>
      <c r="S125" s="335"/>
      <c r="T125" s="335"/>
      <c r="U125" s="335"/>
      <c r="V125" s="335"/>
    </row>
    <row r="126" spans="1:22" x14ac:dyDescent="0.2">
      <c r="A126" s="480">
        <f>A125+1</f>
        <v>72</v>
      </c>
      <c r="C126" s="304" t="s">
        <v>618</v>
      </c>
      <c r="E126" s="310">
        <v>1468500</v>
      </c>
      <c r="F126" s="312">
        <v>9.7900000000000009</v>
      </c>
      <c r="G126" s="312"/>
      <c r="H126" s="310">
        <v>1468500</v>
      </c>
      <c r="I126" s="312">
        <v>9.7900000000000009</v>
      </c>
      <c r="J126" s="321">
        <f>H126-E126</f>
        <v>0</v>
      </c>
      <c r="K126" s="312"/>
      <c r="L126" s="472">
        <f>IFERROR(J126/E126,"100.0%")</f>
        <v>0</v>
      </c>
      <c r="M126" s="472">
        <v>0</v>
      </c>
      <c r="N126" s="314"/>
      <c r="P126" s="502"/>
    </row>
    <row r="127" spans="1:22" x14ac:dyDescent="0.2">
      <c r="A127" s="480">
        <f>A126+1</f>
        <v>73</v>
      </c>
      <c r="C127" s="304" t="s">
        <v>619</v>
      </c>
      <c r="E127" s="310">
        <v>325255.72799999994</v>
      </c>
      <c r="F127" s="312">
        <v>2.1683715199999996</v>
      </c>
      <c r="G127" s="312"/>
      <c r="H127" s="310">
        <v>0</v>
      </c>
      <c r="I127" s="312">
        <v>0</v>
      </c>
      <c r="J127" s="321">
        <f>H127-E127</f>
        <v>-325255.72799999994</v>
      </c>
      <c r="L127" s="472">
        <f>J127/E127</f>
        <v>-1</v>
      </c>
      <c r="M127" s="472">
        <f>L127</f>
        <v>-1</v>
      </c>
      <c r="N127" s="314"/>
      <c r="O127" s="335"/>
      <c r="P127" s="335"/>
      <c r="Q127" s="335"/>
      <c r="R127" s="335"/>
      <c r="S127" s="335"/>
      <c r="T127" s="335"/>
      <c r="U127" s="335"/>
      <c r="V127" s="335"/>
    </row>
    <row r="128" spans="1:22" x14ac:dyDescent="0.2">
      <c r="A128" s="480">
        <f>A127+1</f>
        <v>74</v>
      </c>
      <c r="C128" s="304" t="s">
        <v>44</v>
      </c>
      <c r="E128" s="310">
        <v>3250053.8845066563</v>
      </c>
      <c r="F128" s="312">
        <v>21.667025896711042</v>
      </c>
      <c r="H128" s="310">
        <v>3135510</v>
      </c>
      <c r="I128" s="312">
        <v>20.903400000000001</v>
      </c>
      <c r="J128" s="321">
        <f>H128-E128</f>
        <v>-114543.88450665632</v>
      </c>
      <c r="L128" s="472">
        <f>J128/E128</f>
        <v>-3.5243687820900108E-2</v>
      </c>
      <c r="M128" s="472">
        <f>L128</f>
        <v>-3.5243687820900108E-2</v>
      </c>
      <c r="N128" s="314"/>
      <c r="P128" s="502"/>
    </row>
    <row r="129" spans="1:22" x14ac:dyDescent="0.2">
      <c r="A129" s="480">
        <f>A128+1</f>
        <v>75</v>
      </c>
      <c r="C129" s="304" t="s">
        <v>620</v>
      </c>
      <c r="E129" s="316">
        <f>SUM(E125:E128)</f>
        <v>5415849.4525066558</v>
      </c>
      <c r="F129" s="317">
        <v>36.105663016711034</v>
      </c>
      <c r="G129" s="480"/>
      <c r="H129" s="316">
        <f>SUM(H125:H128)</f>
        <v>4857835.2</v>
      </c>
      <c r="I129" s="317">
        <v>32.385568000000006</v>
      </c>
      <c r="J129" s="329">
        <f>SUM(J125:J128)</f>
        <v>-558014.25250665634</v>
      </c>
      <c r="L129" s="473">
        <f>J129/E129</f>
        <v>-0.10303356055223925</v>
      </c>
      <c r="M129" s="473">
        <f>(J125+J128)/(E125+E128)</f>
        <v>-6.4260768000518539E-2</v>
      </c>
      <c r="N129" s="320"/>
      <c r="O129" s="335"/>
      <c r="P129" s="335"/>
      <c r="Q129" s="335"/>
      <c r="R129" s="335"/>
      <c r="S129" s="335"/>
      <c r="T129" s="335"/>
      <c r="U129" s="335"/>
      <c r="V129" s="335"/>
    </row>
    <row r="130" spans="1:22" x14ac:dyDescent="0.2">
      <c r="A130" s="480"/>
      <c r="E130" s="310"/>
      <c r="F130" s="312"/>
      <c r="G130" s="480"/>
      <c r="H130" s="310"/>
      <c r="I130" s="312"/>
      <c r="J130" s="321"/>
      <c r="L130" s="320"/>
      <c r="M130" s="320"/>
      <c r="N130" s="320"/>
      <c r="P130" s="502"/>
    </row>
    <row r="131" spans="1:22" x14ac:dyDescent="0.2">
      <c r="A131" s="480">
        <f>A129+1</f>
        <v>76</v>
      </c>
      <c r="C131" s="304" t="s">
        <v>625</v>
      </c>
      <c r="E131" s="316">
        <f>SUM(E125:E127)+H128</f>
        <v>5301305.568</v>
      </c>
      <c r="F131" s="317">
        <v>35.342037120000001</v>
      </c>
      <c r="G131" s="480"/>
      <c r="H131" s="316">
        <f>SUM(H125:H128)</f>
        <v>4857835.2</v>
      </c>
      <c r="I131" s="317">
        <v>32.385568000000006</v>
      </c>
      <c r="J131" s="318">
        <f>J125+J126+J127</f>
        <v>-443470.36799999996</v>
      </c>
      <c r="L131" s="473">
        <f>J131/E131</f>
        <v>-8.3653047784473605E-2</v>
      </c>
      <c r="M131" s="473">
        <f>(J131-J126)/(E131-E126)</f>
        <v>-0.11570385195182432</v>
      </c>
      <c r="N131" s="320"/>
      <c r="O131" s="335"/>
      <c r="P131" s="335"/>
      <c r="Q131" s="335"/>
      <c r="R131" s="335"/>
      <c r="S131" s="335"/>
      <c r="T131" s="335"/>
      <c r="U131" s="335"/>
      <c r="V131" s="335"/>
    </row>
    <row r="132" spans="1:22" x14ac:dyDescent="0.2">
      <c r="A132" s="480">
        <f>A131+1</f>
        <v>77</v>
      </c>
      <c r="C132" s="304" t="s">
        <v>626</v>
      </c>
      <c r="E132" s="320"/>
      <c r="F132" s="320"/>
      <c r="G132" s="320"/>
      <c r="H132" s="320"/>
      <c r="I132" s="320"/>
      <c r="J132" s="321"/>
      <c r="L132" s="474">
        <v>-0.20476095461286858</v>
      </c>
      <c r="M132" s="474">
        <v>-0.63598621352487927</v>
      </c>
      <c r="N132" s="321"/>
      <c r="P132" s="502"/>
    </row>
    <row r="133" spans="1:22" x14ac:dyDescent="0.2">
      <c r="A133" s="480"/>
      <c r="E133" s="480"/>
      <c r="F133" s="480"/>
      <c r="G133" s="480"/>
      <c r="H133" s="480"/>
      <c r="I133" s="480"/>
      <c r="J133" s="480"/>
      <c r="K133" s="480"/>
      <c r="L133" s="480"/>
      <c r="M133" s="480"/>
      <c r="N133" s="480"/>
      <c r="O133" s="335"/>
      <c r="P133" s="335"/>
      <c r="Q133" s="335"/>
      <c r="R133" s="335"/>
      <c r="S133" s="335"/>
      <c r="T133" s="335"/>
      <c r="U133" s="335"/>
      <c r="V133" s="335"/>
    </row>
    <row r="134" spans="1:22" ht="14.25" collapsed="1" x14ac:dyDescent="0.2">
      <c r="A134" s="480"/>
      <c r="C134" s="305" t="s">
        <v>641</v>
      </c>
      <c r="E134" s="493" t="s">
        <v>725</v>
      </c>
      <c r="J134" s="313"/>
      <c r="P134" s="502"/>
    </row>
    <row r="135" spans="1:22" x14ac:dyDescent="0.2">
      <c r="A135" s="480">
        <f>A132+1</f>
        <v>78</v>
      </c>
      <c r="C135" s="304" t="s">
        <v>617</v>
      </c>
      <c r="E135" s="310">
        <v>78232.881915181279</v>
      </c>
      <c r="F135" s="312">
        <v>3.4388079962717049</v>
      </c>
      <c r="G135" s="312"/>
      <c r="H135" s="310">
        <v>31573.61780821918</v>
      </c>
      <c r="I135" s="312">
        <v>1.3878513322294146</v>
      </c>
      <c r="J135" s="313">
        <f>H135-E135</f>
        <v>-46659.264106962102</v>
      </c>
      <c r="K135" s="312"/>
      <c r="L135" s="472">
        <f>J135/E135</f>
        <v>-0.59641499794867914</v>
      </c>
      <c r="M135" s="472">
        <f>L135</f>
        <v>-0.59641499794867914</v>
      </c>
      <c r="N135" s="314"/>
      <c r="O135" s="335"/>
      <c r="P135" s="335"/>
      <c r="Q135" s="335"/>
      <c r="R135" s="335"/>
      <c r="S135" s="335"/>
      <c r="T135" s="335"/>
      <c r="U135" s="335"/>
      <c r="V135" s="335"/>
    </row>
    <row r="136" spans="1:22" x14ac:dyDescent="0.2">
      <c r="A136" s="480">
        <f>A135+1</f>
        <v>79</v>
      </c>
      <c r="C136" s="304" t="s">
        <v>618</v>
      </c>
      <c r="E136" s="310">
        <v>222722.49999999997</v>
      </c>
      <c r="F136" s="312">
        <v>9.7899999999999991</v>
      </c>
      <c r="G136" s="312"/>
      <c r="H136" s="310">
        <v>222722.49999999997</v>
      </c>
      <c r="I136" s="312">
        <v>9.7899999999999991</v>
      </c>
      <c r="J136" s="313">
        <f>H136-E136</f>
        <v>0</v>
      </c>
      <c r="K136" s="312"/>
      <c r="L136" s="472">
        <f>IFERROR(J136/E136,"100.0%")</f>
        <v>0</v>
      </c>
      <c r="M136" s="472">
        <v>0</v>
      </c>
      <c r="N136" s="314"/>
      <c r="O136" s="335"/>
      <c r="P136" s="335"/>
      <c r="Q136" s="335"/>
    </row>
    <row r="137" spans="1:22" x14ac:dyDescent="0.2">
      <c r="A137" s="480">
        <f>A136+1</f>
        <v>80</v>
      </c>
      <c r="C137" s="304" t="s">
        <v>619</v>
      </c>
      <c r="E137" s="310">
        <v>25809.875</v>
      </c>
      <c r="F137" s="312">
        <v>1.1344999999999998</v>
      </c>
      <c r="G137" s="312"/>
      <c r="H137" s="310">
        <v>20195.174999999999</v>
      </c>
      <c r="I137" s="312">
        <v>0.88769999999999993</v>
      </c>
      <c r="J137" s="313">
        <f>H137-E137</f>
        <v>-5614.7000000000007</v>
      </c>
      <c r="L137" s="472">
        <f>J137/E137</f>
        <v>-0.21754076685764656</v>
      </c>
      <c r="M137" s="472">
        <f>L137</f>
        <v>-0.21754076685764656</v>
      </c>
      <c r="N137" s="314"/>
      <c r="O137" s="335"/>
      <c r="P137" s="335"/>
      <c r="Q137" s="335"/>
      <c r="R137" s="335"/>
      <c r="S137" s="335"/>
      <c r="T137" s="335"/>
      <c r="U137" s="335"/>
      <c r="V137" s="335"/>
    </row>
    <row r="138" spans="1:22" x14ac:dyDescent="0.2">
      <c r="A138" s="480">
        <f>A137+1</f>
        <v>81</v>
      </c>
      <c r="C138" s="304" t="s">
        <v>44</v>
      </c>
      <c r="E138" s="310">
        <v>497922.03009802982</v>
      </c>
      <c r="F138" s="312">
        <v>21.886682641671641</v>
      </c>
      <c r="H138" s="310">
        <v>475552.35</v>
      </c>
      <c r="I138" s="312">
        <v>20.903400000000001</v>
      </c>
      <c r="J138" s="313">
        <f>H138-E138</f>
        <v>-22369.680098029843</v>
      </c>
      <c r="L138" s="472">
        <f>J138/E138</f>
        <v>-4.4926070239603072E-2</v>
      </c>
      <c r="M138" s="472">
        <f>L138</f>
        <v>-4.4926070239603072E-2</v>
      </c>
      <c r="N138" s="314"/>
      <c r="O138" s="335"/>
      <c r="P138" s="335"/>
      <c r="Q138" s="335"/>
    </row>
    <row r="139" spans="1:22" x14ac:dyDescent="0.2">
      <c r="A139" s="480">
        <f>A138+1</f>
        <v>82</v>
      </c>
      <c r="C139" s="304" t="s">
        <v>620</v>
      </c>
      <c r="E139" s="316">
        <f>SUM(E135:E138)</f>
        <v>824687.28701321105</v>
      </c>
      <c r="F139" s="317">
        <v>36.249990637943341</v>
      </c>
      <c r="G139" s="480"/>
      <c r="H139" s="316">
        <f>SUM(H135:H138)</f>
        <v>750043.64280821919</v>
      </c>
      <c r="I139" s="317">
        <v>32.968951332229409</v>
      </c>
      <c r="J139" s="318">
        <f>SUM(J135:J138)</f>
        <v>-74643.644204991942</v>
      </c>
      <c r="L139" s="473">
        <f>J139/E139</f>
        <v>-9.0511452498959394E-2</v>
      </c>
      <c r="M139" s="473">
        <f>(J135+J138)/(E135+E138)</f>
        <v>-0.11980969486798219</v>
      </c>
      <c r="N139" s="320"/>
      <c r="O139" s="335"/>
      <c r="P139" s="335"/>
      <c r="Q139" s="335"/>
      <c r="R139" s="335"/>
      <c r="S139" s="335"/>
      <c r="T139" s="335"/>
      <c r="U139" s="335"/>
      <c r="V139" s="335"/>
    </row>
    <row r="140" spans="1:22" x14ac:dyDescent="0.2">
      <c r="A140" s="480"/>
      <c r="E140" s="310"/>
      <c r="F140" s="312"/>
      <c r="G140" s="480"/>
      <c r="H140" s="310"/>
      <c r="I140" s="312"/>
      <c r="J140" s="313"/>
      <c r="L140" s="320"/>
      <c r="M140" s="320"/>
      <c r="N140" s="320"/>
      <c r="O140" s="335"/>
      <c r="P140" s="335"/>
      <c r="Q140" s="335"/>
    </row>
    <row r="141" spans="1:22" x14ac:dyDescent="0.2">
      <c r="A141" s="480">
        <f>A139+1</f>
        <v>83</v>
      </c>
      <c r="C141" s="304" t="s">
        <v>625</v>
      </c>
      <c r="E141" s="316">
        <f>SUM(E135:E137)+H138</f>
        <v>802317.60691518127</v>
      </c>
      <c r="F141" s="317">
        <v>35.266707996271705</v>
      </c>
      <c r="G141" s="480"/>
      <c r="H141" s="316">
        <f>SUM(H135:H138)</f>
        <v>750043.64280821919</v>
      </c>
      <c r="I141" s="317">
        <v>32.968951332229409</v>
      </c>
      <c r="J141" s="318">
        <f>J135+J136+J137</f>
        <v>-52273.964106962099</v>
      </c>
      <c r="L141" s="473">
        <f>J141/E141</f>
        <v>-6.5153704289189748E-2</v>
      </c>
      <c r="M141" s="473">
        <f>(J141-J136)/(E141-E136)</f>
        <v>-9.0190485535986312E-2</v>
      </c>
      <c r="N141" s="320"/>
      <c r="O141" s="335"/>
      <c r="P141" s="335"/>
      <c r="Q141" s="335"/>
      <c r="R141" s="335"/>
      <c r="S141" s="335"/>
      <c r="T141" s="335"/>
      <c r="U141" s="335"/>
      <c r="V141" s="335"/>
    </row>
    <row r="142" spans="1:22" x14ac:dyDescent="0.2">
      <c r="A142" s="480">
        <f>A141+1</f>
        <v>84</v>
      </c>
      <c r="C142" s="304" t="s">
        <v>626</v>
      </c>
      <c r="E142" s="320"/>
      <c r="F142" s="320"/>
      <c r="G142" s="320"/>
      <c r="H142" s="320"/>
      <c r="I142" s="320"/>
      <c r="J142" s="313"/>
      <c r="L142" s="474">
        <v>-0.15997405783115706</v>
      </c>
      <c r="M142" s="474">
        <v>-0.50242771007670795</v>
      </c>
      <c r="N142" s="320"/>
      <c r="O142" s="335"/>
      <c r="P142" s="335"/>
      <c r="Q142" s="335"/>
    </row>
    <row r="143" spans="1:22" x14ac:dyDescent="0.2">
      <c r="A143" s="480"/>
      <c r="J143" s="313"/>
      <c r="L143" s="472"/>
      <c r="M143" s="472"/>
      <c r="O143" s="335"/>
      <c r="P143" s="335"/>
      <c r="Q143" s="335"/>
      <c r="R143" s="335"/>
      <c r="S143" s="335"/>
      <c r="T143" s="335"/>
      <c r="U143" s="335"/>
      <c r="V143" s="335"/>
    </row>
    <row r="144" spans="1:22" ht="14.25" x14ac:dyDescent="0.2">
      <c r="A144" s="480"/>
      <c r="C144" s="305" t="s">
        <v>642</v>
      </c>
      <c r="E144" s="493" t="s">
        <v>726</v>
      </c>
      <c r="J144" s="313"/>
      <c r="L144" s="472"/>
      <c r="M144" s="472"/>
      <c r="O144" s="335"/>
      <c r="P144" s="335"/>
      <c r="Q144" s="335"/>
    </row>
    <row r="145" spans="1:22" x14ac:dyDescent="0.2">
      <c r="A145" s="480">
        <f>A142+1</f>
        <v>85</v>
      </c>
      <c r="C145" s="304" t="s">
        <v>617</v>
      </c>
      <c r="E145" s="310">
        <v>340126.31999999995</v>
      </c>
      <c r="F145" s="312">
        <v>1.259727111111111</v>
      </c>
      <c r="G145" s="312"/>
      <c r="H145" s="310">
        <v>229860.47999999998</v>
      </c>
      <c r="I145" s="312">
        <v>0.85133511111111104</v>
      </c>
      <c r="J145" s="313">
        <f>H145-E145</f>
        <v>-110265.83999999997</v>
      </c>
      <c r="K145" s="312"/>
      <c r="L145" s="472">
        <f>J145/E145</f>
        <v>-0.32419084768270795</v>
      </c>
      <c r="M145" s="472">
        <f>L145</f>
        <v>-0.32419084768270795</v>
      </c>
      <c r="N145" s="314"/>
      <c r="O145" s="335"/>
      <c r="P145" s="335"/>
      <c r="Q145" s="335"/>
      <c r="R145" s="335"/>
      <c r="S145" s="335"/>
      <c r="T145" s="335"/>
      <c r="U145" s="335"/>
      <c r="V145" s="335"/>
    </row>
    <row r="146" spans="1:22" x14ac:dyDescent="0.2">
      <c r="A146" s="480">
        <f>A145+1</f>
        <v>86</v>
      </c>
      <c r="C146" s="304" t="s">
        <v>618</v>
      </c>
      <c r="E146" s="310">
        <v>2643299.9999999995</v>
      </c>
      <c r="F146" s="312">
        <v>9.7899999999999991</v>
      </c>
      <c r="G146" s="312"/>
      <c r="H146" s="310">
        <v>2643299.9999999995</v>
      </c>
      <c r="I146" s="312">
        <v>9.7899999999999991</v>
      </c>
      <c r="J146" s="313">
        <f>H146-E146</f>
        <v>0</v>
      </c>
      <c r="K146" s="312"/>
      <c r="L146" s="472">
        <f>IFERROR(J146/E146,"100.0%")</f>
        <v>0</v>
      </c>
      <c r="M146" s="472">
        <v>0</v>
      </c>
      <c r="N146" s="314"/>
      <c r="O146" s="335"/>
      <c r="P146" s="335"/>
      <c r="Q146" s="335"/>
    </row>
    <row r="147" spans="1:22" x14ac:dyDescent="0.2">
      <c r="A147" s="480">
        <f>A146+1</f>
        <v>87</v>
      </c>
      <c r="C147" s="304" t="s">
        <v>619</v>
      </c>
      <c r="E147" s="310">
        <v>1428391.7999999998</v>
      </c>
      <c r="F147" s="312">
        <v>5.2903399999999996</v>
      </c>
      <c r="G147" s="312"/>
      <c r="H147" s="310">
        <v>1368550.7999999998</v>
      </c>
      <c r="I147" s="312">
        <v>5.0687066666666665</v>
      </c>
      <c r="J147" s="313">
        <f>H147-E147</f>
        <v>-59841</v>
      </c>
      <c r="L147" s="472">
        <f>J147/E147</f>
        <v>-4.1893967747504576E-2</v>
      </c>
      <c r="M147" s="472">
        <f>L147</f>
        <v>-4.1893967747504576E-2</v>
      </c>
      <c r="N147" s="314"/>
      <c r="O147" s="335"/>
      <c r="P147" s="335"/>
      <c r="Q147" s="335"/>
      <c r="R147" s="335"/>
      <c r="S147" s="335"/>
      <c r="T147" s="335"/>
      <c r="U147" s="335"/>
      <c r="V147" s="335"/>
    </row>
    <row r="148" spans="1:22" x14ac:dyDescent="0.2">
      <c r="A148" s="480">
        <f>A147+1</f>
        <v>88</v>
      </c>
      <c r="C148" s="304" t="s">
        <v>44</v>
      </c>
      <c r="E148" s="310">
        <v>5850096.9921119809</v>
      </c>
      <c r="F148" s="312">
        <v>21.667025896711039</v>
      </c>
      <c r="H148" s="310">
        <v>5643918</v>
      </c>
      <c r="I148" s="312">
        <v>20.903400000000001</v>
      </c>
      <c r="J148" s="313">
        <f>H148-E148</f>
        <v>-206178.99211198092</v>
      </c>
      <c r="L148" s="472">
        <f>J148/E148</f>
        <v>-3.5243687820900031E-2</v>
      </c>
      <c r="M148" s="472">
        <f>L148</f>
        <v>-3.5243687820900031E-2</v>
      </c>
      <c r="N148" s="314"/>
      <c r="O148" s="335"/>
      <c r="P148" s="335"/>
      <c r="Q148" s="335"/>
    </row>
    <row r="149" spans="1:22" x14ac:dyDescent="0.2">
      <c r="A149" s="480">
        <f>A148+1</f>
        <v>89</v>
      </c>
      <c r="C149" s="304" t="s">
        <v>620</v>
      </c>
      <c r="E149" s="316">
        <f>SUM(E145:E148)</f>
        <v>10261915.11211198</v>
      </c>
      <c r="F149" s="317">
        <v>38.007093007822149</v>
      </c>
      <c r="G149" s="480"/>
      <c r="H149" s="316">
        <f>SUM(H145:H148)</f>
        <v>9885629.2799999993</v>
      </c>
      <c r="I149" s="317">
        <v>36.61344177777778</v>
      </c>
      <c r="J149" s="318">
        <f>SUM(J145:J148)</f>
        <v>-376285.83211198088</v>
      </c>
      <c r="L149" s="473">
        <f>J149/E149</f>
        <v>-3.6668187955273233E-2</v>
      </c>
      <c r="M149" s="473">
        <f>(J145+J148)/(E145+E148)</f>
        <v>-5.1120099575861049E-2</v>
      </c>
      <c r="N149" s="320"/>
      <c r="O149" s="335"/>
      <c r="P149" s="335"/>
      <c r="Q149" s="335"/>
      <c r="R149" s="335"/>
      <c r="S149" s="335"/>
      <c r="T149" s="335"/>
      <c r="U149" s="335"/>
      <c r="V149" s="335"/>
    </row>
    <row r="150" spans="1:22" x14ac:dyDescent="0.2">
      <c r="A150" s="480"/>
      <c r="E150" s="310"/>
      <c r="F150" s="312"/>
      <c r="G150" s="480"/>
      <c r="H150" s="310"/>
      <c r="I150" s="312"/>
      <c r="J150" s="313"/>
      <c r="L150" s="320"/>
      <c r="M150" s="320"/>
      <c r="N150" s="320"/>
      <c r="O150" s="335"/>
      <c r="P150" s="335"/>
      <c r="Q150" s="335"/>
    </row>
    <row r="151" spans="1:22" x14ac:dyDescent="0.2">
      <c r="A151" s="480">
        <f>A149+1</f>
        <v>90</v>
      </c>
      <c r="C151" s="304" t="s">
        <v>625</v>
      </c>
      <c r="E151" s="316">
        <f>SUM(E145:E147)+H148</f>
        <v>10055736.119999999</v>
      </c>
      <c r="F151" s="317">
        <f>SUM(F145:F147)+I148</f>
        <v>37.243467111111116</v>
      </c>
      <c r="G151" s="480"/>
      <c r="H151" s="316">
        <f>SUM(H145:H148)</f>
        <v>9885629.2799999993</v>
      </c>
      <c r="I151" s="317">
        <v>36.61344177777778</v>
      </c>
      <c r="J151" s="318">
        <f>J145+J146+J147</f>
        <v>-170106.83999999997</v>
      </c>
      <c r="L151" s="473">
        <f>J151/E151</f>
        <v>-1.6916398558000343E-2</v>
      </c>
      <c r="M151" s="473">
        <f>(J151-J146)/(E151-E146)</f>
        <v>-2.2948843976007174E-2</v>
      </c>
      <c r="N151" s="320"/>
      <c r="O151" s="335"/>
      <c r="P151" s="335"/>
      <c r="Q151" s="335"/>
      <c r="R151" s="335"/>
      <c r="S151" s="335"/>
      <c r="T151" s="335"/>
      <c r="U151" s="335"/>
      <c r="V151" s="335"/>
    </row>
    <row r="152" spans="1:22" x14ac:dyDescent="0.2">
      <c r="A152" s="480">
        <f>A151+1</f>
        <v>91</v>
      </c>
      <c r="C152" s="304" t="s">
        <v>626</v>
      </c>
      <c r="E152" s="320"/>
      <c r="F152" s="320"/>
      <c r="G152" s="320"/>
      <c r="H152" s="320"/>
      <c r="I152" s="320"/>
      <c r="J152" s="313"/>
      <c r="L152" s="473">
        <v>-3.8557083581677656E-2</v>
      </c>
      <c r="M152" s="473">
        <v>-9.6186088271461981E-2</v>
      </c>
      <c r="N152" s="320"/>
      <c r="O152" s="335"/>
      <c r="P152" s="335"/>
      <c r="Q152" s="335"/>
    </row>
    <row r="153" spans="1:22" x14ac:dyDescent="0.2">
      <c r="A153" s="480">
        <f>A152+1</f>
        <v>92</v>
      </c>
      <c r="C153" s="304" t="s">
        <v>643</v>
      </c>
      <c r="E153" s="316">
        <f>SUM(E145:E146)+H148+H147</f>
        <v>9995895.120000001</v>
      </c>
      <c r="F153" s="317">
        <v>37.021833777777779</v>
      </c>
      <c r="G153" s="320"/>
      <c r="H153" s="316">
        <f>SUM(H145:H148)</f>
        <v>9885629.2799999993</v>
      </c>
      <c r="I153" s="317">
        <v>36.61344177777778</v>
      </c>
      <c r="J153" s="318">
        <f>H153-E153</f>
        <v>-110265.84000000171</v>
      </c>
      <c r="L153" s="473">
        <f>J153/E153</f>
        <v>-1.103111213915995E-2</v>
      </c>
      <c r="M153" s="473">
        <f>(J153-J146)/(E153-E146)</f>
        <v>-1.4996860047422508E-2</v>
      </c>
      <c r="N153" s="320"/>
      <c r="O153" s="335"/>
      <c r="P153" s="335"/>
      <c r="Q153" s="335"/>
    </row>
    <row r="154" spans="1:22" x14ac:dyDescent="0.2">
      <c r="A154" s="480">
        <f>A153+1</f>
        <v>93</v>
      </c>
      <c r="C154" s="304" t="s">
        <v>644</v>
      </c>
      <c r="E154" s="320"/>
      <c r="F154" s="320"/>
      <c r="G154" s="320"/>
      <c r="H154" s="320"/>
      <c r="I154" s="320"/>
      <c r="J154" s="313"/>
      <c r="L154" s="474">
        <v>-3.6959464780749129E-2</v>
      </c>
      <c r="M154" s="474">
        <v>-0.32419084768270795</v>
      </c>
      <c r="N154" s="320"/>
      <c r="O154" s="335"/>
      <c r="P154" s="335"/>
      <c r="Q154" s="335"/>
    </row>
    <row r="155" spans="1:22" x14ac:dyDescent="0.2">
      <c r="A155" s="480"/>
      <c r="J155" s="313"/>
      <c r="O155" s="335"/>
      <c r="P155" s="335"/>
      <c r="Q155" s="335"/>
      <c r="R155" s="335"/>
      <c r="S155" s="335"/>
      <c r="T155" s="335"/>
      <c r="U155" s="335"/>
      <c r="V155" s="335"/>
    </row>
    <row r="156" spans="1:22" ht="14.25" x14ac:dyDescent="0.2">
      <c r="A156" s="480"/>
      <c r="C156" s="305" t="s">
        <v>645</v>
      </c>
      <c r="E156" s="493" t="s">
        <v>727</v>
      </c>
      <c r="J156" s="313"/>
      <c r="O156" s="335"/>
      <c r="P156" s="335"/>
      <c r="Q156" s="335"/>
    </row>
    <row r="157" spans="1:22" x14ac:dyDescent="0.2">
      <c r="A157" s="480">
        <f>A154+1</f>
        <v>94</v>
      </c>
      <c r="C157" s="304" t="s">
        <v>617</v>
      </c>
      <c r="E157" s="310">
        <v>2776822.32</v>
      </c>
      <c r="F157" s="312">
        <v>1.1570092999999999</v>
      </c>
      <c r="G157" s="312"/>
      <c r="H157" s="310">
        <v>1530177.48</v>
      </c>
      <c r="I157" s="312">
        <v>0.63757394999999994</v>
      </c>
      <c r="J157" s="313">
        <f>H157-E157</f>
        <v>-1246644.8399999999</v>
      </c>
      <c r="K157" s="312"/>
      <c r="L157" s="472">
        <f>J157/E157</f>
        <v>-0.44894656421517093</v>
      </c>
      <c r="M157" s="472">
        <f>L157</f>
        <v>-0.44894656421517093</v>
      </c>
      <c r="N157" s="314"/>
      <c r="O157" s="335"/>
      <c r="P157" s="335"/>
      <c r="Q157" s="335"/>
      <c r="R157" s="335"/>
      <c r="S157" s="335"/>
      <c r="T157" s="335"/>
      <c r="U157" s="335"/>
      <c r="V157" s="335"/>
    </row>
    <row r="158" spans="1:22" x14ac:dyDescent="0.2">
      <c r="A158" s="480">
        <f>A157+1</f>
        <v>95</v>
      </c>
      <c r="C158" s="304" t="s">
        <v>618</v>
      </c>
      <c r="E158" s="310">
        <v>23496000</v>
      </c>
      <c r="F158" s="312">
        <v>9.7900000000000009</v>
      </c>
      <c r="G158" s="312"/>
      <c r="H158" s="310">
        <v>23496000</v>
      </c>
      <c r="I158" s="312">
        <v>9.7900000000000009</v>
      </c>
      <c r="J158" s="313">
        <f>H158-E158</f>
        <v>0</v>
      </c>
      <c r="K158" s="312"/>
      <c r="L158" s="472">
        <f>IFERROR(J158/E158,"100.0%")</f>
        <v>0</v>
      </c>
      <c r="M158" s="472">
        <v>0</v>
      </c>
      <c r="N158" s="314"/>
      <c r="O158" s="335"/>
      <c r="P158" s="335"/>
      <c r="Q158" s="335"/>
    </row>
    <row r="159" spans="1:22" x14ac:dyDescent="0.2">
      <c r="A159" s="480">
        <f>A158+1</f>
        <v>96</v>
      </c>
      <c r="C159" s="304" t="s">
        <v>619</v>
      </c>
      <c r="E159" s="310">
        <v>12141330.300000001</v>
      </c>
      <c r="F159" s="312">
        <v>5.0588876250000006</v>
      </c>
      <c r="G159" s="312"/>
      <c r="H159" s="310">
        <v>11632681.800000001</v>
      </c>
      <c r="I159" s="312">
        <v>4.8469507500000004</v>
      </c>
      <c r="J159" s="313">
        <f>H159-E159</f>
        <v>-508648.5</v>
      </c>
      <c r="L159" s="472">
        <f>J159/E159</f>
        <v>-4.1893967747504569E-2</v>
      </c>
      <c r="M159" s="472">
        <f>L159</f>
        <v>-4.1893967747504569E-2</v>
      </c>
      <c r="N159" s="314"/>
      <c r="O159" s="335"/>
      <c r="P159" s="335"/>
      <c r="Q159" s="335"/>
      <c r="R159" s="335"/>
      <c r="S159" s="335"/>
      <c r="T159" s="335"/>
      <c r="U159" s="335"/>
      <c r="V159" s="335"/>
    </row>
    <row r="160" spans="1:22" x14ac:dyDescent="0.2">
      <c r="A160" s="480">
        <f>A159+1</f>
        <v>97</v>
      </c>
      <c r="C160" s="304" t="s">
        <v>44</v>
      </c>
      <c r="E160" s="310">
        <v>52000862.152106501</v>
      </c>
      <c r="F160" s="312">
        <v>21.667025896711042</v>
      </c>
      <c r="H160" s="310">
        <v>50168160</v>
      </c>
      <c r="I160" s="312">
        <v>20.903400000000001</v>
      </c>
      <c r="J160" s="313">
        <f>H160-E160</f>
        <v>-1832702.1521065012</v>
      </c>
      <c r="L160" s="472">
        <f>J160/E160</f>
        <v>-3.5243687820900108E-2</v>
      </c>
      <c r="M160" s="472">
        <f>L160</f>
        <v>-3.5243687820900108E-2</v>
      </c>
      <c r="N160" s="314"/>
      <c r="O160" s="335"/>
      <c r="P160" s="335"/>
      <c r="Q160" s="335"/>
    </row>
    <row r="161" spans="1:22" x14ac:dyDescent="0.2">
      <c r="A161" s="480">
        <f>A160+1</f>
        <v>98</v>
      </c>
      <c r="C161" s="304" t="s">
        <v>620</v>
      </c>
      <c r="E161" s="316">
        <f>SUM(E157:E160)</f>
        <v>90415014.772106498</v>
      </c>
      <c r="F161" s="317">
        <v>37.67292282171104</v>
      </c>
      <c r="G161" s="480"/>
      <c r="H161" s="316">
        <f>SUM(H157:H160)</f>
        <v>86827019.280000001</v>
      </c>
      <c r="I161" s="317">
        <v>36.177924700000005</v>
      </c>
      <c r="J161" s="318">
        <f>SUM(J157:J160)</f>
        <v>-3587995.492106501</v>
      </c>
      <c r="L161" s="473">
        <f>J161/E161</f>
        <v>-3.9683624463814349E-2</v>
      </c>
      <c r="M161" s="473">
        <f>(J157+J160)/(E157+E160)</f>
        <v>-5.6215355245155425E-2</v>
      </c>
      <c r="N161" s="320"/>
      <c r="O161" s="335"/>
      <c r="P161" s="335"/>
      <c r="Q161" s="335"/>
      <c r="R161" s="335"/>
      <c r="S161" s="335"/>
      <c r="T161" s="335"/>
      <c r="U161" s="335"/>
      <c r="V161" s="335"/>
    </row>
    <row r="162" spans="1:22" x14ac:dyDescent="0.2">
      <c r="A162" s="480"/>
      <c r="E162" s="310"/>
      <c r="F162" s="312"/>
      <c r="G162" s="480"/>
      <c r="H162" s="310"/>
      <c r="I162" s="312"/>
      <c r="J162" s="313"/>
      <c r="L162" s="320"/>
      <c r="M162" s="320"/>
      <c r="N162" s="320"/>
      <c r="O162" s="335"/>
      <c r="P162" s="335"/>
      <c r="Q162" s="335"/>
    </row>
    <row r="163" spans="1:22" s="501" customFormat="1" x14ac:dyDescent="0.2">
      <c r="A163" s="480">
        <f>A161+1</f>
        <v>99</v>
      </c>
      <c r="B163" s="304"/>
      <c r="C163" s="304" t="s">
        <v>625</v>
      </c>
      <c r="D163" s="304"/>
      <c r="E163" s="316">
        <f>SUM(E157:E159)+H160</f>
        <v>88582312.620000005</v>
      </c>
      <c r="F163" s="317">
        <f>SUM(F157:F159)+I160</f>
        <v>36.909296925000007</v>
      </c>
      <c r="G163" s="480"/>
      <c r="H163" s="316">
        <f>SUM(H157:H160)</f>
        <v>86827019.280000001</v>
      </c>
      <c r="I163" s="317">
        <v>36.177924700000005</v>
      </c>
      <c r="J163" s="318">
        <f>J157+J158+J159</f>
        <v>-1755293.3399999999</v>
      </c>
      <c r="K163" s="304"/>
      <c r="L163" s="473">
        <f>J163/E163</f>
        <v>-1.9815393029191383E-2</v>
      </c>
      <c r="M163" s="473">
        <f>(J163-J158)/(E163-E158)</f>
        <v>-2.6968701549404193E-2</v>
      </c>
      <c r="N163" s="320"/>
      <c r="O163" s="335"/>
      <c r="P163" s="335"/>
      <c r="Q163" s="335"/>
      <c r="R163" s="335"/>
      <c r="S163" s="335"/>
      <c r="T163" s="335"/>
      <c r="U163" s="335"/>
      <c r="V163" s="335"/>
    </row>
    <row r="164" spans="1:22" s="501" customFormat="1" x14ac:dyDescent="0.2">
      <c r="A164" s="480">
        <f>A163+1</f>
        <v>100</v>
      </c>
      <c r="B164" s="304"/>
      <c r="C164" s="304" t="s">
        <v>626</v>
      </c>
      <c r="D164" s="304"/>
      <c r="E164" s="320"/>
      <c r="F164" s="320"/>
      <c r="G164" s="320"/>
      <c r="H164" s="320"/>
      <c r="I164" s="320"/>
      <c r="J164" s="313"/>
      <c r="K164" s="304"/>
      <c r="L164" s="473">
        <v>-4.5693923210117129E-2</v>
      </c>
      <c r="M164" s="473">
        <v>-0.11766157544512369</v>
      </c>
      <c r="N164" s="320"/>
      <c r="O164" s="335"/>
      <c r="P164" s="335"/>
      <c r="Q164" s="335"/>
      <c r="R164" s="304"/>
      <c r="S164" s="304"/>
      <c r="T164" s="304"/>
      <c r="U164" s="304"/>
      <c r="V164" s="304"/>
    </row>
    <row r="165" spans="1:22" s="501" customFormat="1" x14ac:dyDescent="0.2">
      <c r="A165" s="480">
        <f t="shared" ref="A165:A166" si="0">A164+1</f>
        <v>101</v>
      </c>
      <c r="B165" s="304"/>
      <c r="C165" s="304" t="s">
        <v>643</v>
      </c>
      <c r="D165" s="304"/>
      <c r="E165" s="316">
        <f>SUM(E157:E158)+H160+H159</f>
        <v>88073664.11999999</v>
      </c>
      <c r="F165" s="317">
        <v>36.697360049999993</v>
      </c>
      <c r="G165" s="320"/>
      <c r="H165" s="316">
        <f>SUM(H157:H160)</f>
        <v>86827019.280000001</v>
      </c>
      <c r="I165" s="317">
        <v>36.177924700000005</v>
      </c>
      <c r="J165" s="318">
        <f>H165-E165</f>
        <v>-1246644.8399999887</v>
      </c>
      <c r="K165" s="304"/>
      <c r="L165" s="473">
        <f>J165/E165</f>
        <v>-1.4154569955230208E-2</v>
      </c>
      <c r="M165" s="473">
        <f>(J165-J158)/(E165-E158)</f>
        <v>-1.9304582427810319E-2</v>
      </c>
      <c r="N165" s="320"/>
      <c r="O165" s="335"/>
      <c r="P165" s="335"/>
      <c r="Q165" s="335"/>
      <c r="R165" s="304"/>
      <c r="S165" s="304"/>
      <c r="T165" s="304"/>
      <c r="U165" s="304"/>
      <c r="V165" s="304"/>
    </row>
    <row r="166" spans="1:22" s="501" customFormat="1" x14ac:dyDescent="0.2">
      <c r="A166" s="480">
        <f t="shared" si="0"/>
        <v>102</v>
      </c>
      <c r="B166" s="304"/>
      <c r="C166" s="304" t="s">
        <v>644</v>
      </c>
      <c r="D166" s="304"/>
      <c r="E166" s="320"/>
      <c r="F166" s="320"/>
      <c r="G166" s="320"/>
      <c r="H166" s="320"/>
      <c r="I166" s="320"/>
      <c r="J166" s="313"/>
      <c r="K166" s="304"/>
      <c r="L166" s="474">
        <v>-4.7449977958820215E-2</v>
      </c>
      <c r="M166" s="474">
        <v>-0.44894656421517093</v>
      </c>
      <c r="N166" s="320"/>
      <c r="O166" s="335"/>
      <c r="P166" s="335"/>
      <c r="Q166" s="335"/>
      <c r="R166" s="304"/>
      <c r="S166" s="304"/>
      <c r="T166" s="304"/>
      <c r="U166" s="304"/>
      <c r="V166" s="304"/>
    </row>
    <row r="167" spans="1:22" x14ac:dyDescent="0.2">
      <c r="A167" s="480"/>
      <c r="P167" s="501"/>
    </row>
    <row r="168" spans="1:22" s="501" customFormat="1" x14ac:dyDescent="0.2">
      <c r="A168" s="305" t="s">
        <v>5</v>
      </c>
      <c r="B168" s="305"/>
      <c r="C168" s="304"/>
      <c r="D168" s="304"/>
      <c r="E168" s="304"/>
      <c r="F168" s="304"/>
      <c r="G168" s="304"/>
      <c r="H168" s="304"/>
      <c r="I168" s="304"/>
      <c r="J168" s="304"/>
      <c r="K168" s="304"/>
      <c r="L168" s="304"/>
      <c r="M168" s="304"/>
      <c r="N168" s="304"/>
      <c r="O168" s="304"/>
      <c r="Q168" s="304"/>
      <c r="R168" s="304"/>
      <c r="S168" s="304"/>
      <c r="T168" s="304"/>
      <c r="U168" s="304"/>
    </row>
    <row r="169" spans="1:22" s="501" customFormat="1" x14ac:dyDescent="0.2">
      <c r="A169" s="481" t="s">
        <v>189</v>
      </c>
      <c r="B169" s="331"/>
      <c r="C169" s="326" t="s">
        <v>830</v>
      </c>
      <c r="D169" s="304"/>
      <c r="E169" s="304"/>
      <c r="F169" s="304"/>
      <c r="G169" s="304"/>
      <c r="H169" s="304"/>
      <c r="I169" s="304"/>
      <c r="J169" s="304"/>
      <c r="K169" s="304"/>
      <c r="L169" s="304"/>
      <c r="M169" s="304"/>
      <c r="N169" s="304"/>
      <c r="O169" s="304"/>
      <c r="Q169" s="304"/>
      <c r="R169" s="304"/>
      <c r="S169" s="304"/>
      <c r="T169" s="304"/>
      <c r="U169" s="304"/>
    </row>
    <row r="170" spans="1:22" s="501" customFormat="1" x14ac:dyDescent="0.2">
      <c r="A170" s="481" t="s">
        <v>190</v>
      </c>
      <c r="B170" s="331"/>
      <c r="C170" s="513" t="s">
        <v>831</v>
      </c>
      <c r="D170" s="514"/>
      <c r="E170" s="514"/>
      <c r="F170" s="514"/>
      <c r="G170" s="514"/>
      <c r="H170" s="514"/>
      <c r="I170" s="514"/>
      <c r="J170" s="514"/>
      <c r="K170" s="514"/>
      <c r="L170" s="514"/>
      <c r="M170" s="514"/>
      <c r="N170" s="304"/>
      <c r="O170" s="304"/>
      <c r="Q170" s="304"/>
      <c r="R170" s="304"/>
      <c r="S170" s="304"/>
      <c r="T170" s="304"/>
      <c r="U170" s="304"/>
    </row>
    <row r="171" spans="1:22" x14ac:dyDescent="0.2">
      <c r="A171" s="480"/>
      <c r="P171" s="501"/>
    </row>
    <row r="494" spans="1:16" ht="12" customHeight="1" x14ac:dyDescent="0.2">
      <c r="A494" s="480"/>
      <c r="B494" s="326"/>
      <c r="P494" s="501"/>
    </row>
  </sheetData>
  <mergeCells count="11">
    <mergeCell ref="C170:M170"/>
    <mergeCell ref="A4:M4"/>
    <mergeCell ref="A5:M5"/>
    <mergeCell ref="E7:F7"/>
    <mergeCell ref="H7:J7"/>
    <mergeCell ref="L7:M7"/>
    <mergeCell ref="A85:M85"/>
    <mergeCell ref="A86:M86"/>
    <mergeCell ref="E88:F88"/>
    <mergeCell ref="H88:J88"/>
    <mergeCell ref="L88:M88"/>
  </mergeCells>
  <pageMargins left="0.7" right="0.7" top="0.75" bottom="0.75" header="0.3" footer="0.3"/>
  <pageSetup scale="62" firstPageNumber="5" fitToHeight="0" orientation="portrait" useFirstPageNumber="1" r:id="rId1"/>
  <headerFooter>
    <oddHeader>&amp;R&amp;"Arial,Regular"&amp;10Filed: 2022-11-30
EB-2022-0200
Exhibit 8
Tab 2
Schedule 9
Attachment 10
Page &amp;P of 9</oddHeader>
  </headerFooter>
  <rowBreaks count="1" manualBreakCount="1">
    <brk id="81" max="16" man="1"/>
  </rowBreaks>
  <colBreaks count="1" manualBreakCount="1">
    <brk id="13"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3E503-9543-4D1A-A5B4-505285A91200}">
  <sheetPr>
    <pageSetUpPr fitToPage="1"/>
  </sheetPr>
  <dimension ref="A1:O254"/>
  <sheetViews>
    <sheetView view="pageLayout" zoomScale="80" zoomScaleNormal="100" zoomScaleSheetLayoutView="90" zoomScalePageLayoutView="80" workbookViewId="0"/>
  </sheetViews>
  <sheetFormatPr defaultColWidth="9.140625" defaultRowHeight="12.75" x14ac:dyDescent="0.2"/>
  <cols>
    <col min="1" max="1" width="4.7109375" style="503" customWidth="1"/>
    <col min="2" max="2" width="1.7109375" style="503" customWidth="1"/>
    <col min="3" max="3" width="35.7109375" style="503" customWidth="1"/>
    <col min="4" max="4" width="1.7109375" style="503" customWidth="1"/>
    <col min="5" max="5" width="15" style="503" customWidth="1"/>
    <col min="6" max="6" width="15.140625" style="503" customWidth="1"/>
    <col min="7" max="7" width="1.7109375" style="503" customWidth="1"/>
    <col min="8" max="8" width="10.85546875" style="503" customWidth="1"/>
    <col min="9" max="9" width="10.140625" style="503" customWidth="1"/>
    <col min="10" max="10" width="12" style="503" customWidth="1"/>
    <col min="11" max="11" width="1.7109375" style="503" customWidth="1"/>
    <col min="12" max="13" width="15.7109375" style="503" customWidth="1"/>
    <col min="14" max="16384" width="9.140625" style="503"/>
  </cols>
  <sheetData>
    <row r="1" spans="1:15" s="501" customFormat="1" x14ac:dyDescent="0.2">
      <c r="A1" s="480"/>
      <c r="B1" s="304"/>
      <c r="C1" s="304"/>
      <c r="D1" s="304"/>
      <c r="E1" s="304"/>
      <c r="F1" s="304"/>
      <c r="G1" s="304"/>
      <c r="H1" s="304"/>
      <c r="I1" s="304"/>
      <c r="J1" s="304"/>
      <c r="K1" s="304"/>
      <c r="L1" s="332"/>
      <c r="M1" s="332"/>
      <c r="N1" s="332"/>
      <c r="O1" s="304"/>
    </row>
    <row r="2" spans="1:15" s="501" customFormat="1" x14ac:dyDescent="0.2">
      <c r="A2" s="480"/>
      <c r="B2" s="304"/>
      <c r="C2" s="304"/>
      <c r="D2" s="304"/>
      <c r="E2" s="304"/>
      <c r="F2" s="304"/>
      <c r="G2" s="304"/>
      <c r="H2" s="304"/>
      <c r="I2" s="304"/>
      <c r="J2" s="304"/>
      <c r="K2" s="304"/>
      <c r="L2" s="333"/>
      <c r="M2" s="332"/>
      <c r="N2" s="333"/>
      <c r="O2" s="304"/>
    </row>
    <row r="3" spans="1:15" s="501" customFormat="1" x14ac:dyDescent="0.2">
      <c r="A3" s="480"/>
      <c r="B3" s="304"/>
      <c r="C3" s="304"/>
      <c r="D3" s="304"/>
      <c r="E3" s="304"/>
      <c r="F3" s="304"/>
      <c r="G3" s="304"/>
      <c r="H3" s="304"/>
      <c r="I3" s="304"/>
      <c r="J3" s="304"/>
      <c r="K3" s="304"/>
      <c r="L3" s="334"/>
      <c r="M3" s="333"/>
      <c r="N3" s="334"/>
      <c r="O3" s="304"/>
    </row>
    <row r="4" spans="1:15" s="305" customFormat="1" x14ac:dyDescent="0.2">
      <c r="A4" s="515" t="s">
        <v>881</v>
      </c>
      <c r="B4" s="515"/>
      <c r="C4" s="515"/>
      <c r="D4" s="515"/>
      <c r="E4" s="515"/>
      <c r="F4" s="515"/>
      <c r="G4" s="515"/>
      <c r="H4" s="515"/>
      <c r="I4" s="515"/>
      <c r="J4" s="515"/>
      <c r="K4" s="515"/>
      <c r="L4" s="515"/>
      <c r="M4" s="515"/>
    </row>
    <row r="5" spans="1:15" x14ac:dyDescent="0.2">
      <c r="A5" s="515" t="s">
        <v>816</v>
      </c>
      <c r="B5" s="515"/>
      <c r="C5" s="515"/>
      <c r="D5" s="515"/>
      <c r="E5" s="515"/>
      <c r="F5" s="515"/>
      <c r="G5" s="515"/>
      <c r="H5" s="515"/>
      <c r="I5" s="515"/>
      <c r="J5" s="515"/>
      <c r="K5" s="515"/>
      <c r="L5" s="515"/>
      <c r="M5" s="515"/>
    </row>
    <row r="6" spans="1:15" s="304" customFormat="1" x14ac:dyDescent="0.2">
      <c r="A6" s="492"/>
      <c r="B6" s="492"/>
      <c r="C6" s="492"/>
      <c r="D6" s="492"/>
      <c r="E6" s="492"/>
      <c r="F6" s="492"/>
      <c r="G6" s="492"/>
      <c r="H6" s="492"/>
      <c r="I6" s="492"/>
      <c r="J6" s="492"/>
      <c r="K6" s="492"/>
      <c r="L6" s="492"/>
      <c r="M6" s="492"/>
      <c r="N6" s="492"/>
    </row>
    <row r="7" spans="1:15" s="304" customFormat="1" ht="12.75" customHeight="1" x14ac:dyDescent="0.2">
      <c r="A7" s="480"/>
      <c r="E7" s="516" t="s">
        <v>812</v>
      </c>
      <c r="F7" s="516"/>
      <c r="H7" s="516" t="s">
        <v>607</v>
      </c>
      <c r="I7" s="516"/>
      <c r="J7" s="516"/>
      <c r="L7" s="516" t="s">
        <v>608</v>
      </c>
      <c r="M7" s="516"/>
      <c r="N7" s="480"/>
    </row>
    <row r="8" spans="1:15" s="304" customFormat="1" x14ac:dyDescent="0.2">
      <c r="A8" s="480"/>
      <c r="E8" s="480" t="s">
        <v>47</v>
      </c>
      <c r="F8" s="480"/>
      <c r="H8" s="480" t="s">
        <v>47</v>
      </c>
      <c r="I8" s="480"/>
      <c r="J8" s="480" t="s">
        <v>609</v>
      </c>
      <c r="L8" s="480" t="str">
        <f>'Attach 10 p.1-4'!$L$8</f>
        <v>Including Federal</v>
      </c>
      <c r="M8" s="480" t="str">
        <f>'Attach 10 p.1-4'!$M$8</f>
        <v xml:space="preserve">Excluding Federal </v>
      </c>
      <c r="N8" s="480"/>
    </row>
    <row r="9" spans="1:15" s="304" customFormat="1" x14ac:dyDescent="0.2">
      <c r="A9" s="480" t="s">
        <v>0</v>
      </c>
      <c r="E9" s="480" t="s">
        <v>612</v>
      </c>
      <c r="F9" s="480" t="s">
        <v>264</v>
      </c>
      <c r="H9" s="480" t="s">
        <v>612</v>
      </c>
      <c r="I9" s="480" t="s">
        <v>264</v>
      </c>
      <c r="J9" s="480" t="s">
        <v>613</v>
      </c>
      <c r="L9" s="480" t="str">
        <f>'Attach 10 p.1-4'!$L$9</f>
        <v>Carbon Charge</v>
      </c>
      <c r="M9" s="480" t="str">
        <f>'Attach 10 p.1-4'!$M$9</f>
        <v>Carbon Charge</v>
      </c>
      <c r="N9" s="480"/>
    </row>
    <row r="10" spans="1:15" s="304" customFormat="1" ht="14.25" x14ac:dyDescent="0.2">
      <c r="A10" s="491" t="s">
        <v>1</v>
      </c>
      <c r="C10" s="309" t="s">
        <v>9</v>
      </c>
      <c r="E10" s="491" t="s">
        <v>288</v>
      </c>
      <c r="F10" s="491" t="s">
        <v>12</v>
      </c>
      <c r="H10" s="491" t="s">
        <v>288</v>
      </c>
      <c r="I10" s="491" t="s">
        <v>12</v>
      </c>
      <c r="J10" s="491" t="s">
        <v>288</v>
      </c>
      <c r="L10" s="491" t="s">
        <v>2</v>
      </c>
      <c r="M10" s="491" t="s">
        <v>2</v>
      </c>
      <c r="N10" s="480"/>
    </row>
    <row r="11" spans="1:15" s="304" customFormat="1" x14ac:dyDescent="0.2">
      <c r="A11" s="480"/>
      <c r="E11" s="480" t="s">
        <v>3</v>
      </c>
      <c r="F11" s="480" t="s">
        <v>4</v>
      </c>
      <c r="G11" s="480"/>
      <c r="H11" s="480" t="s">
        <v>86</v>
      </c>
      <c r="I11" s="480" t="s">
        <v>133</v>
      </c>
      <c r="J11" s="480" t="s">
        <v>615</v>
      </c>
      <c r="K11" s="480"/>
      <c r="L11" s="480" t="s">
        <v>616</v>
      </c>
      <c r="M11" s="480" t="s">
        <v>15</v>
      </c>
      <c r="N11" s="480"/>
    </row>
    <row r="12" spans="1:15" s="304" customFormat="1" x14ac:dyDescent="0.2">
      <c r="A12" s="480"/>
      <c r="E12" s="480"/>
      <c r="F12" s="480"/>
      <c r="G12" s="480"/>
      <c r="H12" s="480"/>
      <c r="I12" s="480"/>
      <c r="J12" s="480"/>
      <c r="K12" s="480"/>
      <c r="L12" s="480"/>
      <c r="M12" s="480"/>
      <c r="N12" s="480"/>
    </row>
    <row r="13" spans="1:15" s="304" customFormat="1" ht="14.25" x14ac:dyDescent="0.2">
      <c r="A13" s="480"/>
      <c r="C13" s="305" t="s">
        <v>750</v>
      </c>
      <c r="E13" s="493" t="s">
        <v>627</v>
      </c>
      <c r="H13" s="311"/>
    </row>
    <row r="14" spans="1:15" s="304" customFormat="1" x14ac:dyDescent="0.2">
      <c r="A14" s="480">
        <f>1</f>
        <v>1</v>
      </c>
      <c r="C14" s="304" t="s">
        <v>617</v>
      </c>
      <c r="E14" s="310">
        <v>432.56967980000002</v>
      </c>
      <c r="F14" s="312">
        <v>19.662258172727274</v>
      </c>
      <c r="G14" s="312"/>
      <c r="H14" s="310">
        <v>513.83403099999998</v>
      </c>
      <c r="I14" s="312">
        <v>23.356092318181819</v>
      </c>
      <c r="J14" s="313">
        <f>H14-E14</f>
        <v>81.264351199999965</v>
      </c>
      <c r="K14" s="312"/>
      <c r="L14" s="472">
        <f>J14/E14</f>
        <v>0.18786418696190818</v>
      </c>
      <c r="M14" s="472">
        <f>L14</f>
        <v>0.18786418696190818</v>
      </c>
      <c r="N14" s="314"/>
    </row>
    <row r="15" spans="1:15" s="304" customFormat="1" x14ac:dyDescent="0.2">
      <c r="A15" s="480">
        <f>A14+1</f>
        <v>2</v>
      </c>
      <c r="C15" s="304" t="s">
        <v>618</v>
      </c>
      <c r="E15" s="310">
        <v>215.37999999999997</v>
      </c>
      <c r="F15" s="312">
        <v>9.7899999999999991</v>
      </c>
      <c r="G15" s="312"/>
      <c r="H15" s="310">
        <v>215.37999999999997</v>
      </c>
      <c r="I15" s="312">
        <v>9.7899999999999991</v>
      </c>
      <c r="J15" s="313">
        <f>H15-E15</f>
        <v>0</v>
      </c>
      <c r="K15" s="312"/>
      <c r="L15" s="472">
        <f>IFERROR(J15/E15,"100.0%")</f>
        <v>0</v>
      </c>
      <c r="M15" s="472">
        <v>0</v>
      </c>
      <c r="N15" s="314"/>
    </row>
    <row r="16" spans="1:15" s="304" customFormat="1" x14ac:dyDescent="0.2">
      <c r="A16" s="480">
        <f>A15+1</f>
        <v>3</v>
      </c>
      <c r="C16" s="304" t="s">
        <v>619</v>
      </c>
      <c r="E16" s="310">
        <v>0</v>
      </c>
      <c r="F16" s="312">
        <v>0</v>
      </c>
      <c r="G16" s="312"/>
      <c r="H16" s="310">
        <v>41.379800000000003</v>
      </c>
      <c r="I16" s="312">
        <v>1.8809000000000002</v>
      </c>
      <c r="J16" s="313">
        <f>H16-E16</f>
        <v>41.379800000000003</v>
      </c>
      <c r="K16" s="312"/>
      <c r="L16" s="472" t="str">
        <f>IFERROR(J16/E16,"100.0%")</f>
        <v>100.0%</v>
      </c>
      <c r="M16" s="472" t="str">
        <f>L16</f>
        <v>100.0%</v>
      </c>
      <c r="N16" s="314"/>
    </row>
    <row r="17" spans="1:14" s="304" customFormat="1" x14ac:dyDescent="0.2">
      <c r="A17" s="480">
        <f>A16+1</f>
        <v>4</v>
      </c>
      <c r="C17" s="304" t="s">
        <v>646</v>
      </c>
      <c r="E17" s="310">
        <v>490.39407207210047</v>
      </c>
      <c r="F17" s="312">
        <v>22.290639639640929</v>
      </c>
      <c r="H17" s="310">
        <v>459.87480000000005</v>
      </c>
      <c r="I17" s="312">
        <v>20.903400000000001</v>
      </c>
      <c r="J17" s="313">
        <f>H17-E17</f>
        <v>-30.519272072100421</v>
      </c>
      <c r="L17" s="472">
        <f>J17/E17</f>
        <v>-6.2234178205182927E-2</v>
      </c>
      <c r="M17" s="472">
        <f>L17</f>
        <v>-6.2234178205182927E-2</v>
      </c>
      <c r="N17" s="314"/>
    </row>
    <row r="18" spans="1:14" s="304" customFormat="1" x14ac:dyDescent="0.2">
      <c r="A18" s="480">
        <f>A17+1</f>
        <v>5</v>
      </c>
      <c r="C18" s="304" t="s">
        <v>620</v>
      </c>
      <c r="E18" s="316">
        <f>SUM(E14:E17)</f>
        <v>1138.3437518721005</v>
      </c>
      <c r="F18" s="317">
        <v>51.742897812368206</v>
      </c>
      <c r="H18" s="316">
        <f>SUM(H14:H17)</f>
        <v>1230.4686310000002</v>
      </c>
      <c r="I18" s="317">
        <v>55.930392318181831</v>
      </c>
      <c r="J18" s="318">
        <f>SUM(J14:J17)</f>
        <v>92.124879127899547</v>
      </c>
      <c r="L18" s="473">
        <f>J18/E18</f>
        <v>8.0928874934651826E-2</v>
      </c>
      <c r="M18" s="473">
        <f>(J18-J15)/(E18-E15)</f>
        <v>9.9814189821688395E-2</v>
      </c>
      <c r="N18" s="320"/>
    </row>
    <row r="19" spans="1:14" s="304" customFormat="1" x14ac:dyDescent="0.2">
      <c r="A19" s="480"/>
      <c r="E19" s="310"/>
      <c r="F19" s="312"/>
      <c r="G19" s="480"/>
      <c r="H19" s="310"/>
      <c r="I19" s="312"/>
      <c r="J19" s="313"/>
      <c r="L19" s="320"/>
      <c r="M19" s="320"/>
      <c r="N19" s="320"/>
    </row>
    <row r="20" spans="1:14" s="304" customFormat="1" x14ac:dyDescent="0.2">
      <c r="A20" s="480">
        <f>A18+1</f>
        <v>6</v>
      </c>
      <c r="C20" s="304" t="s">
        <v>625</v>
      </c>
      <c r="E20" s="316">
        <f>SUM(E14:E16)+H17</f>
        <v>1107.8244798000001</v>
      </c>
      <c r="F20" s="317">
        <v>50.355658172727281</v>
      </c>
      <c r="G20" s="480"/>
      <c r="H20" s="316">
        <f>SUM(H14:H17)</f>
        <v>1230.4686310000002</v>
      </c>
      <c r="I20" s="317">
        <v>55.930392318181831</v>
      </c>
      <c r="J20" s="318">
        <f>J14+J15+J16</f>
        <v>122.64415119999997</v>
      </c>
      <c r="L20" s="473">
        <f>J20/E20</f>
        <v>0.1107072044681134</v>
      </c>
      <c r="M20" s="473">
        <f>(J20-J15)/(E20-E15)</f>
        <v>0.13742496477482269</v>
      </c>
      <c r="N20" s="320"/>
    </row>
    <row r="21" spans="1:14" s="304" customFormat="1" x14ac:dyDescent="0.2">
      <c r="A21" s="480">
        <f>A20+1</f>
        <v>7</v>
      </c>
      <c r="C21" s="304" t="s">
        <v>626</v>
      </c>
      <c r="E21" s="310"/>
      <c r="F21" s="312"/>
      <c r="G21" s="480"/>
      <c r="H21" s="310"/>
      <c r="I21" s="312"/>
      <c r="J21" s="313"/>
      <c r="L21" s="474">
        <v>0.1892803639286558</v>
      </c>
      <c r="M21" s="474">
        <v>0.28352461332173101</v>
      </c>
      <c r="N21" s="320"/>
    </row>
    <row r="22" spans="1:14" s="304" customFormat="1" x14ac:dyDescent="0.2">
      <c r="A22" s="480"/>
      <c r="F22" s="312"/>
      <c r="I22" s="312"/>
      <c r="J22" s="321"/>
      <c r="L22" s="320"/>
    </row>
    <row r="23" spans="1:14" s="304" customFormat="1" ht="14.25" x14ac:dyDescent="0.2">
      <c r="A23" s="480"/>
      <c r="C23" s="305" t="s">
        <v>751</v>
      </c>
      <c r="E23" s="493" t="s">
        <v>629</v>
      </c>
      <c r="H23" s="311"/>
    </row>
    <row r="24" spans="1:14" s="304" customFormat="1" x14ac:dyDescent="0.2">
      <c r="A24" s="480">
        <f>A21+1</f>
        <v>8</v>
      </c>
      <c r="C24" s="304" t="s">
        <v>617</v>
      </c>
      <c r="E24" s="310">
        <v>2834.0341999999996</v>
      </c>
      <c r="F24" s="312">
        <v>7.085085499999999</v>
      </c>
      <c r="G24" s="312"/>
      <c r="H24" s="310">
        <v>3775.4858836363637</v>
      </c>
      <c r="I24" s="312">
        <v>9.4387147090909096</v>
      </c>
      <c r="J24" s="313">
        <f>H24-E24</f>
        <v>941.45168363636412</v>
      </c>
      <c r="K24" s="312"/>
      <c r="L24" s="472">
        <f>J24/E24</f>
        <v>0.33219489152119769</v>
      </c>
      <c r="M24" s="472">
        <f>L24</f>
        <v>0.33219489152119769</v>
      </c>
      <c r="N24" s="314"/>
    </row>
    <row r="25" spans="1:14" s="304" customFormat="1" x14ac:dyDescent="0.2">
      <c r="A25" s="480">
        <f>A24+1</f>
        <v>9</v>
      </c>
      <c r="C25" s="304" t="s">
        <v>618</v>
      </c>
      <c r="E25" s="310">
        <v>3915.9999999999995</v>
      </c>
      <c r="F25" s="312">
        <v>9.7899999999999991</v>
      </c>
      <c r="G25" s="312"/>
      <c r="H25" s="310">
        <v>3915.9999999999995</v>
      </c>
      <c r="I25" s="312">
        <v>9.7899999999999991</v>
      </c>
      <c r="J25" s="313">
        <f>H25-E25</f>
        <v>0</v>
      </c>
      <c r="K25" s="312"/>
      <c r="L25" s="472">
        <f>IFERROR(J25/E25,"100.0%")</f>
        <v>0</v>
      </c>
      <c r="M25" s="472">
        <v>0</v>
      </c>
      <c r="N25" s="314"/>
    </row>
    <row r="26" spans="1:14" s="304" customFormat="1" x14ac:dyDescent="0.2">
      <c r="A26" s="480">
        <f>A25+1</f>
        <v>10</v>
      </c>
      <c r="C26" s="304" t="s">
        <v>619</v>
      </c>
      <c r="E26" s="310">
        <v>0</v>
      </c>
      <c r="F26" s="312">
        <v>0</v>
      </c>
      <c r="G26" s="312"/>
      <c r="H26" s="310">
        <v>724.76</v>
      </c>
      <c r="I26" s="312">
        <v>1.8119000000000001</v>
      </c>
      <c r="J26" s="313">
        <f>H26-E26</f>
        <v>724.76</v>
      </c>
      <c r="K26" s="312"/>
      <c r="L26" s="472" t="str">
        <f>IFERROR(J26/E26,"100.0%")</f>
        <v>100.0%</v>
      </c>
      <c r="M26" s="472" t="str">
        <f>L26</f>
        <v>100.0%</v>
      </c>
      <c r="N26" s="314"/>
    </row>
    <row r="27" spans="1:14" s="304" customFormat="1" x14ac:dyDescent="0.2">
      <c r="A27" s="480">
        <f>A26+1</f>
        <v>11</v>
      </c>
      <c r="C27" s="304" t="s">
        <v>646</v>
      </c>
      <c r="E27" s="310">
        <v>8916.2558558563705</v>
      </c>
      <c r="F27" s="312">
        <v>22.290639639640926</v>
      </c>
      <c r="H27" s="310">
        <v>8361.36</v>
      </c>
      <c r="I27" s="312">
        <v>20.903400000000001</v>
      </c>
      <c r="J27" s="313">
        <f>H27-E27</f>
        <v>-554.89585585636996</v>
      </c>
      <c r="L27" s="472">
        <f>J27/E27</f>
        <v>-6.2234178205182789E-2</v>
      </c>
      <c r="M27" s="472">
        <f>L27</f>
        <v>-6.2234178205182789E-2</v>
      </c>
      <c r="N27" s="314"/>
    </row>
    <row r="28" spans="1:14" s="304" customFormat="1" x14ac:dyDescent="0.2">
      <c r="A28" s="480">
        <f>A27+1</f>
        <v>12</v>
      </c>
      <c r="C28" s="304" t="s">
        <v>620</v>
      </c>
      <c r="E28" s="316">
        <f>SUM(E24:E27)</f>
        <v>15666.290055856371</v>
      </c>
      <c r="F28" s="317">
        <v>39.165725139640926</v>
      </c>
      <c r="H28" s="316">
        <f>SUM(H24:H27)</f>
        <v>16777.605883636366</v>
      </c>
      <c r="I28" s="317">
        <v>41.944014709090915</v>
      </c>
      <c r="J28" s="318">
        <f>SUM(J24:J27)</f>
        <v>1111.3158277799942</v>
      </c>
      <c r="L28" s="473">
        <f>J28/E28</f>
        <v>7.0936758084889556E-2</v>
      </c>
      <c r="M28" s="473">
        <f>(J28-J25)/(E28-E25)</f>
        <v>9.4577735740754065E-2</v>
      </c>
      <c r="N28" s="320"/>
    </row>
    <row r="29" spans="1:14" s="304" customFormat="1" x14ac:dyDescent="0.2">
      <c r="A29" s="480"/>
      <c r="E29" s="310"/>
      <c r="F29" s="312"/>
      <c r="G29" s="480"/>
      <c r="H29" s="310"/>
      <c r="I29" s="312"/>
      <c r="J29" s="313"/>
      <c r="L29" s="320"/>
      <c r="M29" s="320"/>
      <c r="N29" s="320"/>
    </row>
    <row r="30" spans="1:14" s="304" customFormat="1" x14ac:dyDescent="0.2">
      <c r="A30" s="480">
        <f>A28+1</f>
        <v>13</v>
      </c>
      <c r="C30" s="304" t="s">
        <v>625</v>
      </c>
      <c r="E30" s="316">
        <f>SUM(E24:E26)+H27</f>
        <v>15111.394199999999</v>
      </c>
      <c r="F30" s="317">
        <v>37.778485499999995</v>
      </c>
      <c r="G30" s="480"/>
      <c r="H30" s="316">
        <f>SUM(H24:H27)</f>
        <v>16777.605883636366</v>
      </c>
      <c r="I30" s="317">
        <v>41.944014709090915</v>
      </c>
      <c r="J30" s="318">
        <f>J24+J25+J26</f>
        <v>1666.2116836363641</v>
      </c>
      <c r="L30" s="473">
        <f>J30/E30</f>
        <v>0.11026194284815655</v>
      </c>
      <c r="M30" s="473">
        <f>(J30-J25)/(E30-E25)</f>
        <v>0.14883010404728439</v>
      </c>
      <c r="N30" s="320"/>
    </row>
    <row r="31" spans="1:14" s="304" customFormat="1" x14ac:dyDescent="0.2">
      <c r="A31" s="480">
        <f>A30+1</f>
        <v>14</v>
      </c>
      <c r="C31" s="304" t="s">
        <v>626</v>
      </c>
      <c r="E31" s="310"/>
      <c r="F31" s="312"/>
      <c r="G31" s="480"/>
      <c r="H31" s="310"/>
      <c r="I31" s="312"/>
      <c r="J31" s="313"/>
      <c r="L31" s="474">
        <v>0.24684492467258379</v>
      </c>
      <c r="M31" s="474">
        <v>0.58792927891849867</v>
      </c>
      <c r="N31" s="320"/>
    </row>
    <row r="32" spans="1:14" s="304" customFormat="1" x14ac:dyDescent="0.2">
      <c r="A32" s="480"/>
      <c r="F32" s="312"/>
      <c r="I32" s="312"/>
      <c r="J32" s="321"/>
      <c r="L32" s="320"/>
    </row>
    <row r="33" spans="1:14" s="304" customFormat="1" ht="14.25" x14ac:dyDescent="0.2">
      <c r="A33" s="480"/>
      <c r="C33" s="305" t="s">
        <v>752</v>
      </c>
      <c r="E33" s="493" t="s">
        <v>647</v>
      </c>
      <c r="F33" s="312"/>
      <c r="J33" s="321"/>
      <c r="L33" s="320"/>
    </row>
    <row r="34" spans="1:14" s="304" customFormat="1" x14ac:dyDescent="0.2">
      <c r="A34" s="480">
        <f>A31+1</f>
        <v>15</v>
      </c>
      <c r="C34" s="304" t="s">
        <v>617</v>
      </c>
      <c r="E34" s="310">
        <v>5093.3136199999999</v>
      </c>
      <c r="F34" s="312">
        <v>8.4888560333333327</v>
      </c>
      <c r="G34" s="312"/>
      <c r="H34" s="310">
        <v>6091.4881510356172</v>
      </c>
      <c r="I34" s="312">
        <v>10.152480251726029</v>
      </c>
      <c r="J34" s="313">
        <f>H34-E34</f>
        <v>998.17453103561729</v>
      </c>
      <c r="K34" s="312"/>
      <c r="L34" s="472">
        <f>J34/E34</f>
        <v>0.19597743345630017</v>
      </c>
      <c r="M34" s="472">
        <f>L34</f>
        <v>0.19597743345630017</v>
      </c>
      <c r="N34" s="314"/>
    </row>
    <row r="35" spans="1:14" s="304" customFormat="1" x14ac:dyDescent="0.2">
      <c r="A35" s="480">
        <f>A34+1</f>
        <v>16</v>
      </c>
      <c r="C35" s="304" t="s">
        <v>618</v>
      </c>
      <c r="E35" s="310">
        <v>5874</v>
      </c>
      <c r="F35" s="312">
        <v>9.7900000000000009</v>
      </c>
      <c r="G35" s="312"/>
      <c r="H35" s="310">
        <v>5874</v>
      </c>
      <c r="I35" s="312">
        <v>9.7900000000000009</v>
      </c>
      <c r="J35" s="313">
        <f>H35-E35</f>
        <v>0</v>
      </c>
      <c r="K35" s="312"/>
      <c r="L35" s="472">
        <f>IFERROR(J35/E35,"100.0%")</f>
        <v>0</v>
      </c>
      <c r="M35" s="472">
        <v>0</v>
      </c>
      <c r="N35" s="314"/>
    </row>
    <row r="36" spans="1:14" s="304" customFormat="1" x14ac:dyDescent="0.2">
      <c r="A36" s="480">
        <f>A35+1</f>
        <v>17</v>
      </c>
      <c r="C36" s="304" t="s">
        <v>619</v>
      </c>
      <c r="E36" s="310">
        <v>0</v>
      </c>
      <c r="F36" s="312">
        <v>0</v>
      </c>
      <c r="G36" s="312"/>
      <c r="H36" s="310">
        <v>1087.1400000000001</v>
      </c>
      <c r="I36" s="312">
        <v>1.8119000000000003</v>
      </c>
      <c r="J36" s="313">
        <f>H36-E36</f>
        <v>1087.1400000000001</v>
      </c>
      <c r="K36" s="312"/>
      <c r="L36" s="472" t="str">
        <f>IFERROR(J36/E36,"100.0%")</f>
        <v>100.0%</v>
      </c>
      <c r="M36" s="472" t="str">
        <f>L36</f>
        <v>100.0%</v>
      </c>
      <c r="N36" s="314"/>
    </row>
    <row r="37" spans="1:14" s="304" customFormat="1" x14ac:dyDescent="0.2">
      <c r="A37" s="480">
        <f>A36+1</f>
        <v>18</v>
      </c>
      <c r="C37" s="304" t="s">
        <v>646</v>
      </c>
      <c r="E37" s="310">
        <v>13374.383783784557</v>
      </c>
      <c r="F37" s="312">
        <v>22.290639639640926</v>
      </c>
      <c r="H37" s="310">
        <v>12542.04</v>
      </c>
      <c r="I37" s="312">
        <v>20.903400000000001</v>
      </c>
      <c r="J37" s="313">
        <f>H37-E37</f>
        <v>-832.34378378455585</v>
      </c>
      <c r="L37" s="472">
        <f>J37/E37</f>
        <v>-6.2234178205182851E-2</v>
      </c>
      <c r="M37" s="472">
        <f>L37</f>
        <v>-6.2234178205182851E-2</v>
      </c>
      <c r="N37" s="314"/>
    </row>
    <row r="38" spans="1:14" s="304" customFormat="1" x14ac:dyDescent="0.2">
      <c r="A38" s="480">
        <f>A37+1</f>
        <v>19</v>
      </c>
      <c r="C38" s="304" t="s">
        <v>620</v>
      </c>
      <c r="E38" s="316">
        <f>SUM(E34:E37)</f>
        <v>24341.697403784558</v>
      </c>
      <c r="F38" s="317">
        <v>40.569495672974263</v>
      </c>
      <c r="H38" s="316">
        <f>SUM(H34:H37)</f>
        <v>25594.668151035617</v>
      </c>
      <c r="I38" s="317">
        <v>42.657780251726031</v>
      </c>
      <c r="J38" s="318">
        <f>SUM(J34:J37)</f>
        <v>1252.9707472510618</v>
      </c>
      <c r="L38" s="473">
        <f>J38/E38</f>
        <v>5.1474255326839059E-2</v>
      </c>
      <c r="M38" s="473">
        <f>(J38-J35)/(E38-E35)</f>
        <v>6.7846614542985323E-2</v>
      </c>
      <c r="N38" s="320"/>
    </row>
    <row r="39" spans="1:14" s="304" customFormat="1" x14ac:dyDescent="0.2">
      <c r="A39" s="480"/>
      <c r="E39" s="310"/>
      <c r="F39" s="312"/>
      <c r="G39" s="480"/>
      <c r="H39" s="310"/>
      <c r="I39" s="312"/>
      <c r="J39" s="313"/>
      <c r="L39" s="320"/>
      <c r="M39" s="320"/>
      <c r="N39" s="320"/>
    </row>
    <row r="40" spans="1:14" s="304" customFormat="1" x14ac:dyDescent="0.2">
      <c r="A40" s="480">
        <f>A38+1</f>
        <v>20</v>
      </c>
      <c r="C40" s="304" t="s">
        <v>625</v>
      </c>
      <c r="E40" s="316">
        <f>SUM(E34:E36)+H37</f>
        <v>23509.353620000002</v>
      </c>
      <c r="F40" s="317">
        <v>39.182256033333331</v>
      </c>
      <c r="G40" s="480"/>
      <c r="H40" s="316">
        <f>SUM(H34:H37)</f>
        <v>25594.668151035617</v>
      </c>
      <c r="I40" s="317">
        <v>42.657780251726031</v>
      </c>
      <c r="J40" s="318">
        <f>J34+J35+J36</f>
        <v>2085.3145310356176</v>
      </c>
      <c r="L40" s="473">
        <f>J40/E40</f>
        <v>8.8701483024254138E-2</v>
      </c>
      <c r="M40" s="473">
        <f>(J40-J35)/(E40-E35)</f>
        <v>0.11824625555966693</v>
      </c>
      <c r="N40" s="320"/>
    </row>
    <row r="41" spans="1:14" s="304" customFormat="1" x14ac:dyDescent="0.2">
      <c r="A41" s="480">
        <f>A40+1</f>
        <v>21</v>
      </c>
      <c r="C41" s="304" t="s">
        <v>626</v>
      </c>
      <c r="E41" s="310"/>
      <c r="F41" s="312"/>
      <c r="G41" s="480"/>
      <c r="H41" s="310"/>
      <c r="I41" s="312"/>
      <c r="J41" s="313"/>
      <c r="L41" s="474">
        <v>0.19013904437207271</v>
      </c>
      <c r="M41" s="474">
        <v>0.40942197685357096</v>
      </c>
      <c r="N41" s="320"/>
    </row>
    <row r="42" spans="1:14" s="304" customFormat="1" x14ac:dyDescent="0.2">
      <c r="A42" s="480"/>
      <c r="F42" s="312"/>
      <c r="I42" s="312"/>
      <c r="J42" s="321"/>
      <c r="L42" s="320"/>
    </row>
    <row r="43" spans="1:14" s="304" customFormat="1" ht="14.25" x14ac:dyDescent="0.2">
      <c r="A43" s="480"/>
      <c r="C43" s="305" t="s">
        <v>753</v>
      </c>
      <c r="E43" s="493" t="s">
        <v>648</v>
      </c>
      <c r="F43" s="312"/>
      <c r="J43" s="313"/>
      <c r="L43" s="320"/>
    </row>
    <row r="44" spans="1:14" s="304" customFormat="1" x14ac:dyDescent="0.2">
      <c r="A44" s="480">
        <f>A61+1</f>
        <v>29</v>
      </c>
      <c r="C44" s="304" t="s">
        <v>617</v>
      </c>
      <c r="E44" s="310">
        <v>5350.9331709999997</v>
      </c>
      <c r="F44" s="312">
        <v>7.3300454397260264</v>
      </c>
      <c r="G44" s="312"/>
      <c r="H44" s="310">
        <v>7337.5485837600008</v>
      </c>
      <c r="I44" s="312">
        <v>10.05143641610959</v>
      </c>
      <c r="J44" s="313">
        <f>H44-E44</f>
        <v>1986.6154127600012</v>
      </c>
      <c r="K44" s="312"/>
      <c r="L44" s="472">
        <f>J44/E44</f>
        <v>0.37126522594725958</v>
      </c>
      <c r="M44" s="472">
        <f>L44</f>
        <v>0.37126522594725958</v>
      </c>
      <c r="N44" s="314"/>
    </row>
    <row r="45" spans="1:14" s="304" customFormat="1" x14ac:dyDescent="0.2">
      <c r="A45" s="480">
        <f>A44+1</f>
        <v>30</v>
      </c>
      <c r="C45" s="304" t="s">
        <v>618</v>
      </c>
      <c r="E45" s="310">
        <v>7146.6999999999989</v>
      </c>
      <c r="F45" s="312">
        <v>9.7899999999999991</v>
      </c>
      <c r="G45" s="312"/>
      <c r="H45" s="310">
        <v>7146.6999999999989</v>
      </c>
      <c r="I45" s="312">
        <v>9.7899999999999991</v>
      </c>
      <c r="J45" s="313">
        <f>H45-E45</f>
        <v>0</v>
      </c>
      <c r="K45" s="312"/>
      <c r="L45" s="472">
        <f>IFERROR(J45/E45,"100.0%")</f>
        <v>0</v>
      </c>
      <c r="M45" s="472">
        <v>0</v>
      </c>
      <c r="N45" s="314"/>
    </row>
    <row r="46" spans="1:14" s="304" customFormat="1" x14ac:dyDescent="0.2">
      <c r="A46" s="480">
        <f>A45+1</f>
        <v>31</v>
      </c>
      <c r="C46" s="304" t="s">
        <v>619</v>
      </c>
      <c r="E46" s="310">
        <v>0</v>
      </c>
      <c r="F46" s="312">
        <v>0</v>
      </c>
      <c r="G46" s="312"/>
      <c r="H46" s="310">
        <v>1322.6870000000001</v>
      </c>
      <c r="I46" s="312">
        <v>1.8119000000000003</v>
      </c>
      <c r="J46" s="313">
        <f>H46-E46</f>
        <v>1322.6870000000001</v>
      </c>
      <c r="K46" s="312"/>
      <c r="L46" s="472" t="str">
        <f>IFERROR(J46/E46,"100.0%")</f>
        <v>100.0%</v>
      </c>
      <c r="M46" s="472" t="str">
        <f>L46</f>
        <v>100.0%</v>
      </c>
      <c r="N46" s="314"/>
    </row>
    <row r="47" spans="1:14" s="304" customFormat="1" x14ac:dyDescent="0.2">
      <c r="A47" s="480">
        <f>A46+1</f>
        <v>32</v>
      </c>
      <c r="C47" s="304" t="s">
        <v>646</v>
      </c>
      <c r="E47" s="310">
        <v>16272.166936937878</v>
      </c>
      <c r="F47" s="312">
        <v>22.290639639640926</v>
      </c>
      <c r="H47" s="310">
        <v>15259.482000000002</v>
      </c>
      <c r="I47" s="312">
        <v>20.903400000000001</v>
      </c>
      <c r="J47" s="313">
        <f>H47-E47</f>
        <v>-1012.684936937876</v>
      </c>
      <c r="L47" s="472">
        <f>J47/E47</f>
        <v>-6.2234178205182837E-2</v>
      </c>
      <c r="M47" s="472">
        <f>L47</f>
        <v>-6.2234178205182837E-2</v>
      </c>
      <c r="N47" s="314"/>
    </row>
    <row r="48" spans="1:14" s="304" customFormat="1" x14ac:dyDescent="0.2">
      <c r="A48" s="480">
        <f>A47+1</f>
        <v>33</v>
      </c>
      <c r="C48" s="304" t="s">
        <v>620</v>
      </c>
      <c r="E48" s="316">
        <f>SUM(E44:E47)</f>
        <v>28769.800107937874</v>
      </c>
      <c r="F48" s="317">
        <v>39.410685079366949</v>
      </c>
      <c r="H48" s="316">
        <f>SUM(H44:H47)</f>
        <v>31066.417583760001</v>
      </c>
      <c r="I48" s="317">
        <v>42.556736416109594</v>
      </c>
      <c r="J48" s="318">
        <f>SUM(J44:J47)</f>
        <v>2296.617475822125</v>
      </c>
      <c r="L48" s="473">
        <f>J48/E48</f>
        <v>7.9827369922826311E-2</v>
      </c>
      <c r="M48" s="473">
        <f>(J48-J45)/(E48-E45)</f>
        <v>0.10621129552922122</v>
      </c>
      <c r="N48" s="320"/>
    </row>
    <row r="49" spans="1:14" s="304" customFormat="1" x14ac:dyDescent="0.2">
      <c r="A49" s="480"/>
      <c r="E49" s="310"/>
      <c r="F49" s="312"/>
      <c r="G49" s="480"/>
      <c r="H49" s="310"/>
      <c r="I49" s="312"/>
      <c r="J49" s="313"/>
      <c r="L49" s="320"/>
      <c r="M49" s="320"/>
      <c r="N49" s="320"/>
    </row>
    <row r="50" spans="1:14" s="304" customFormat="1" x14ac:dyDescent="0.2">
      <c r="A50" s="480">
        <f>A48+1</f>
        <v>34</v>
      </c>
      <c r="C50" s="304" t="s">
        <v>625</v>
      </c>
      <c r="E50" s="316">
        <f>SUM(E44:E46)+H47</f>
        <v>27757.115170999998</v>
      </c>
      <c r="F50" s="317">
        <v>38.023445439726025</v>
      </c>
      <c r="G50" s="480"/>
      <c r="H50" s="316">
        <f>SUM(H44:H47)</f>
        <v>31066.417583760001</v>
      </c>
      <c r="I50" s="317">
        <v>42.556736416109594</v>
      </c>
      <c r="J50" s="318">
        <f>J44+J45+J46</f>
        <v>3309.3024127600011</v>
      </c>
      <c r="L50" s="473">
        <f>J50/E50</f>
        <v>0.1192235717715177</v>
      </c>
      <c r="M50" s="473">
        <f>(J50-J45)/(E50-E45)</f>
        <v>0.16056456821968212</v>
      </c>
      <c r="N50" s="320"/>
    </row>
    <row r="51" spans="1:14" s="304" customFormat="1" x14ac:dyDescent="0.2">
      <c r="A51" s="480">
        <f>A50+1</f>
        <v>35</v>
      </c>
      <c r="C51" s="304" t="s">
        <v>626</v>
      </c>
      <c r="E51" s="310"/>
      <c r="F51" s="312"/>
      <c r="G51" s="480"/>
      <c r="H51" s="310"/>
      <c r="I51" s="312"/>
      <c r="J51" s="313"/>
      <c r="L51" s="474">
        <v>0.26479433085290399</v>
      </c>
      <c r="M51" s="474">
        <v>0.61845332524337016</v>
      </c>
      <c r="N51" s="320"/>
    </row>
    <row r="52" spans="1:14" s="304" customFormat="1" x14ac:dyDescent="0.2">
      <c r="A52" s="480"/>
      <c r="F52" s="312"/>
      <c r="I52" s="312"/>
      <c r="J52" s="313"/>
      <c r="L52" s="320"/>
    </row>
    <row r="53" spans="1:14" s="304" customFormat="1" ht="14.25" x14ac:dyDescent="0.2">
      <c r="A53" s="480"/>
      <c r="C53" s="305" t="s">
        <v>754</v>
      </c>
      <c r="E53" s="493" t="s">
        <v>649</v>
      </c>
      <c r="F53" s="312"/>
      <c r="J53" s="313"/>
      <c r="L53" s="320"/>
    </row>
    <row r="54" spans="1:14" s="304" customFormat="1" x14ac:dyDescent="0.2">
      <c r="A54" s="480">
        <f>A41+1</f>
        <v>22</v>
      </c>
      <c r="C54" s="304" t="s">
        <v>617</v>
      </c>
      <c r="E54" s="310">
        <v>17465.478500000001</v>
      </c>
      <c r="F54" s="312">
        <v>6.9861914000000009</v>
      </c>
      <c r="G54" s="312"/>
      <c r="H54" s="310">
        <v>24303.140629315069</v>
      </c>
      <c r="I54" s="312">
        <v>9.721256251726027</v>
      </c>
      <c r="J54" s="313">
        <f>H54-E54</f>
        <v>6837.6621293150674</v>
      </c>
      <c r="K54" s="312"/>
      <c r="L54" s="472">
        <f>J54/E54</f>
        <v>0.39149583730643661</v>
      </c>
      <c r="M54" s="472">
        <f>L54</f>
        <v>0.39149583730643661</v>
      </c>
      <c r="N54" s="314"/>
    </row>
    <row r="55" spans="1:14" s="304" customFormat="1" x14ac:dyDescent="0.2">
      <c r="A55" s="480">
        <f>A54+1</f>
        <v>23</v>
      </c>
      <c r="C55" s="304" t="s">
        <v>618</v>
      </c>
      <c r="E55" s="310">
        <v>24475</v>
      </c>
      <c r="F55" s="312">
        <v>9.7900000000000009</v>
      </c>
      <c r="G55" s="312"/>
      <c r="H55" s="310">
        <v>24475</v>
      </c>
      <c r="I55" s="312">
        <v>9.7900000000000009</v>
      </c>
      <c r="J55" s="313">
        <f>H55-E55</f>
        <v>0</v>
      </c>
      <c r="K55" s="312"/>
      <c r="L55" s="472">
        <f>IFERROR(J55/E55,"100.0%")</f>
        <v>0</v>
      </c>
      <c r="M55" s="472">
        <v>0</v>
      </c>
      <c r="N55" s="314"/>
    </row>
    <row r="56" spans="1:14" s="304" customFormat="1" x14ac:dyDescent="0.2">
      <c r="A56" s="480">
        <f>A55+1</f>
        <v>24</v>
      </c>
      <c r="C56" s="304" t="s">
        <v>619</v>
      </c>
      <c r="E56" s="310">
        <v>0</v>
      </c>
      <c r="F56" s="312">
        <v>0</v>
      </c>
      <c r="G56" s="312"/>
      <c r="H56" s="310">
        <v>4529.75</v>
      </c>
      <c r="I56" s="312">
        <v>1.8119000000000001</v>
      </c>
      <c r="J56" s="313">
        <f>H56-E56</f>
        <v>4529.75</v>
      </c>
      <c r="K56" s="312"/>
      <c r="L56" s="472" t="str">
        <f>IFERROR(J56/E56,"100.0%")</f>
        <v>100.0%</v>
      </c>
      <c r="M56" s="472" t="str">
        <f>L56</f>
        <v>100.0%</v>
      </c>
      <c r="N56" s="314"/>
    </row>
    <row r="57" spans="1:14" s="304" customFormat="1" x14ac:dyDescent="0.2">
      <c r="A57" s="480">
        <f>A56+1</f>
        <v>25</v>
      </c>
      <c r="C57" s="304" t="s">
        <v>646</v>
      </c>
      <c r="E57" s="310">
        <v>55726.599099102328</v>
      </c>
      <c r="F57" s="312">
        <v>22.290639639640929</v>
      </c>
      <c r="H57" s="310">
        <v>52258.5</v>
      </c>
      <c r="I57" s="312">
        <v>20.903400000000001</v>
      </c>
      <c r="J57" s="313">
        <f>H57-E57</f>
        <v>-3468.0990991023282</v>
      </c>
      <c r="L57" s="472">
        <f>J57/E57</f>
        <v>-6.2234178205183059E-2</v>
      </c>
      <c r="M57" s="472">
        <f>L57</f>
        <v>-6.2234178205183059E-2</v>
      </c>
      <c r="N57" s="314"/>
    </row>
    <row r="58" spans="1:14" s="304" customFormat="1" x14ac:dyDescent="0.2">
      <c r="A58" s="480">
        <f>A57+1</f>
        <v>26</v>
      </c>
      <c r="C58" s="304" t="s">
        <v>620</v>
      </c>
      <c r="E58" s="316">
        <f>SUM(E54:E57)</f>
        <v>97667.077599102326</v>
      </c>
      <c r="F58" s="317">
        <v>39.066831039640931</v>
      </c>
      <c r="H58" s="316">
        <f>SUM(H54:H57)</f>
        <v>105566.39062931506</v>
      </c>
      <c r="I58" s="317">
        <v>42.226556251726031</v>
      </c>
      <c r="J58" s="318">
        <f>SUM(J54:J57)</f>
        <v>7899.3130302127392</v>
      </c>
      <c r="L58" s="473">
        <f>J58/E58</f>
        <v>8.087999789076665E-2</v>
      </c>
      <c r="M58" s="473">
        <f>(J58-J55)/(E58-E55)</f>
        <v>0.10792579319144265</v>
      </c>
      <c r="N58" s="320"/>
    </row>
    <row r="59" spans="1:14" s="304" customFormat="1" x14ac:dyDescent="0.2">
      <c r="A59" s="480"/>
      <c r="E59" s="310"/>
      <c r="F59" s="312"/>
      <c r="G59" s="480"/>
      <c r="H59" s="310"/>
      <c r="I59" s="312"/>
      <c r="J59" s="313"/>
      <c r="L59" s="320"/>
      <c r="M59" s="320"/>
      <c r="N59" s="320"/>
    </row>
    <row r="60" spans="1:14" s="304" customFormat="1" x14ac:dyDescent="0.2">
      <c r="A60" s="480">
        <f>A58+1</f>
        <v>27</v>
      </c>
      <c r="C60" s="304" t="s">
        <v>625</v>
      </c>
      <c r="E60" s="316">
        <f>SUM(E54:E56)+H57</f>
        <v>94198.978499999997</v>
      </c>
      <c r="F60" s="317">
        <v>37.6795914</v>
      </c>
      <c r="G60" s="480"/>
      <c r="H60" s="316">
        <f>SUM(H54:H57)</f>
        <v>105566.39062931506</v>
      </c>
      <c r="I60" s="317">
        <v>42.226556251726031</v>
      </c>
      <c r="J60" s="318">
        <f>J54+J55+J56</f>
        <v>11367.412129315067</v>
      </c>
      <c r="L60" s="473">
        <f>J60/E60</f>
        <v>0.12067447344256571</v>
      </c>
      <c r="M60" s="473">
        <f>(J60-J55)/(E60-E55)</f>
        <v>0.16303447356084347</v>
      </c>
      <c r="N60" s="320"/>
    </row>
    <row r="61" spans="1:14" s="304" customFormat="1" x14ac:dyDescent="0.2">
      <c r="A61" s="480">
        <f>A60+1</f>
        <v>28</v>
      </c>
      <c r="C61" s="304" t="s">
        <v>626</v>
      </c>
      <c r="E61" s="310"/>
      <c r="F61" s="312"/>
      <c r="G61" s="480"/>
      <c r="H61" s="310"/>
      <c r="I61" s="312"/>
      <c r="J61" s="313"/>
      <c r="L61" s="474">
        <v>0.27103677725839659</v>
      </c>
      <c r="M61" s="474">
        <v>0.65085031190614495</v>
      </c>
      <c r="N61" s="320"/>
    </row>
    <row r="62" spans="1:14" s="304" customFormat="1" x14ac:dyDescent="0.2">
      <c r="A62" s="480"/>
      <c r="F62" s="312"/>
      <c r="I62" s="312"/>
      <c r="J62" s="321"/>
      <c r="L62" s="320"/>
    </row>
    <row r="63" spans="1:14" s="304" customFormat="1" ht="14.25" x14ac:dyDescent="0.2">
      <c r="A63" s="480"/>
      <c r="C63" s="305" t="s">
        <v>755</v>
      </c>
      <c r="E63" s="304" t="s">
        <v>650</v>
      </c>
      <c r="F63" s="312"/>
      <c r="J63" s="313"/>
      <c r="L63" s="320"/>
    </row>
    <row r="64" spans="1:14" s="304" customFormat="1" x14ac:dyDescent="0.2">
      <c r="A64" s="480">
        <f>A51+1</f>
        <v>36</v>
      </c>
      <c r="C64" s="304" t="s">
        <v>617</v>
      </c>
      <c r="E64" s="310">
        <v>57891.289599999989</v>
      </c>
      <c r="F64" s="312">
        <v>6.6161473828571422</v>
      </c>
      <c r="G64" s="312"/>
      <c r="H64" s="310">
        <v>44420.677799999998</v>
      </c>
      <c r="I64" s="312">
        <v>5.0766488914285706</v>
      </c>
      <c r="J64" s="313">
        <f>H64-E64</f>
        <v>-13470.611799999991</v>
      </c>
      <c r="K64" s="312"/>
      <c r="L64" s="472">
        <f>J64/E64</f>
        <v>-0.23268805882672883</v>
      </c>
      <c r="M64" s="472">
        <f>L64</f>
        <v>-0.23268805882672883</v>
      </c>
      <c r="N64" s="314"/>
    </row>
    <row r="65" spans="1:14" s="304" customFormat="1" x14ac:dyDescent="0.2">
      <c r="A65" s="480">
        <f>A64+1</f>
        <v>37</v>
      </c>
      <c r="C65" s="304" t="s">
        <v>618</v>
      </c>
      <c r="E65" s="310">
        <v>85662.5</v>
      </c>
      <c r="F65" s="312">
        <v>9.7900000000000009</v>
      </c>
      <c r="G65" s="312"/>
      <c r="H65" s="310">
        <v>85662.5</v>
      </c>
      <c r="I65" s="312">
        <v>9.7900000000000009</v>
      </c>
      <c r="J65" s="313">
        <f>H65-E65</f>
        <v>0</v>
      </c>
      <c r="K65" s="312"/>
      <c r="L65" s="472">
        <f>IFERROR(J65/E65,"100.0%")</f>
        <v>0</v>
      </c>
      <c r="M65" s="472">
        <v>0</v>
      </c>
      <c r="N65" s="314"/>
    </row>
    <row r="66" spans="1:14" s="304" customFormat="1" x14ac:dyDescent="0.2">
      <c r="A66" s="480">
        <f>A65+1</f>
        <v>38</v>
      </c>
      <c r="C66" s="304" t="s">
        <v>619</v>
      </c>
      <c r="E66" s="310">
        <v>0</v>
      </c>
      <c r="F66" s="312">
        <v>0</v>
      </c>
      <c r="G66" s="312"/>
      <c r="H66" s="310">
        <v>11624.375</v>
      </c>
      <c r="I66" s="312">
        <v>1.3285</v>
      </c>
      <c r="J66" s="313">
        <f>H66-E66</f>
        <v>11624.375</v>
      </c>
      <c r="K66" s="312"/>
      <c r="L66" s="472" t="str">
        <f>IFERROR(J66/E66,"100.0%")</f>
        <v>100.0%</v>
      </c>
      <c r="M66" s="472" t="str">
        <f>L66</f>
        <v>100.0%</v>
      </c>
      <c r="N66" s="314"/>
    </row>
    <row r="67" spans="1:14" s="304" customFormat="1" x14ac:dyDescent="0.2">
      <c r="A67" s="480">
        <f>A66+1</f>
        <v>39</v>
      </c>
      <c r="C67" s="304" t="s">
        <v>646</v>
      </c>
      <c r="E67" s="310">
        <v>195043.09684685813</v>
      </c>
      <c r="F67" s="312">
        <v>22.290639639640929</v>
      </c>
      <c r="H67" s="310">
        <v>182904.75</v>
      </c>
      <c r="I67" s="312">
        <v>20.903400000000001</v>
      </c>
      <c r="J67" s="313">
        <f>H67-E67</f>
        <v>-12138.346846858127</v>
      </c>
      <c r="L67" s="472">
        <f>J67/E67</f>
        <v>-6.2234178205182955E-2</v>
      </c>
      <c r="M67" s="472">
        <f>L67</f>
        <v>-6.2234178205182955E-2</v>
      </c>
      <c r="N67" s="314"/>
    </row>
    <row r="68" spans="1:14" s="304" customFormat="1" x14ac:dyDescent="0.2">
      <c r="A68" s="480">
        <f>A67+1</f>
        <v>40</v>
      </c>
      <c r="C68" s="304" t="s">
        <v>620</v>
      </c>
      <c r="E68" s="316">
        <f>SUM(E64:E67)</f>
        <v>338596.88644685812</v>
      </c>
      <c r="F68" s="317">
        <v>38.696787022498071</v>
      </c>
      <c r="H68" s="316">
        <f>SUM(H64:H67)</f>
        <v>324612.3028</v>
      </c>
      <c r="I68" s="317">
        <v>37.098548891428571</v>
      </c>
      <c r="J68" s="318">
        <f>SUM(J64:J67)</f>
        <v>-13984.583646858118</v>
      </c>
      <c r="L68" s="473">
        <f>J68/E68</f>
        <v>-4.1301571888650433E-2</v>
      </c>
      <c r="M68" s="473">
        <f>(J68-J65)/(E68-E65)</f>
        <v>-5.5289373039819165E-2</v>
      </c>
      <c r="N68" s="320"/>
    </row>
    <row r="69" spans="1:14" s="304" customFormat="1" x14ac:dyDescent="0.2">
      <c r="A69" s="480"/>
      <c r="E69" s="310"/>
      <c r="F69" s="312"/>
      <c r="G69" s="480"/>
      <c r="H69" s="310"/>
      <c r="I69" s="312"/>
      <c r="J69" s="313"/>
      <c r="L69" s="320"/>
      <c r="M69" s="320"/>
      <c r="N69" s="320"/>
    </row>
    <row r="70" spans="1:14" s="304" customFormat="1" x14ac:dyDescent="0.2">
      <c r="A70" s="480">
        <f>A68+1</f>
        <v>41</v>
      </c>
      <c r="C70" s="304" t="s">
        <v>625</v>
      </c>
      <c r="E70" s="316">
        <f>SUM(E64:E66)+H67</f>
        <v>326458.53960000002</v>
      </c>
      <c r="F70" s="317">
        <v>37.309547382857147</v>
      </c>
      <c r="G70" s="480"/>
      <c r="H70" s="316">
        <f>SUM(H64:H67)</f>
        <v>324612.3028</v>
      </c>
      <c r="I70" s="317">
        <v>37.098548891428571</v>
      </c>
      <c r="J70" s="318">
        <f>J64+J65+J66</f>
        <v>-1846.2367999999915</v>
      </c>
      <c r="L70" s="473">
        <f>J70/E70</f>
        <v>-5.6553484625096063E-3</v>
      </c>
      <c r="M70" s="473">
        <f>(J70-J65)/(E70-E65)</f>
        <v>-7.6672224471252947E-3</v>
      </c>
      <c r="N70" s="320"/>
    </row>
    <row r="71" spans="1:14" s="304" customFormat="1" x14ac:dyDescent="0.2">
      <c r="A71" s="480">
        <f>A70+1</f>
        <v>42</v>
      </c>
      <c r="C71" s="304" t="s">
        <v>626</v>
      </c>
      <c r="E71" s="310"/>
      <c r="F71" s="312"/>
      <c r="G71" s="480"/>
      <c r="H71" s="310"/>
      <c r="I71" s="312"/>
      <c r="J71" s="313"/>
      <c r="L71" s="474">
        <v>-1.2860940872019944E-2</v>
      </c>
      <c r="M71" s="474">
        <v>-3.1891443648199395E-2</v>
      </c>
      <c r="N71" s="320"/>
    </row>
    <row r="72" spans="1:14" s="304" customFormat="1" x14ac:dyDescent="0.2">
      <c r="A72" s="480"/>
      <c r="F72" s="312"/>
      <c r="I72" s="312"/>
      <c r="J72" s="313"/>
      <c r="L72" s="320"/>
    </row>
    <row r="73" spans="1:14" s="304" customFormat="1" ht="14.25" x14ac:dyDescent="0.2">
      <c r="A73" s="480"/>
      <c r="C73" s="305" t="s">
        <v>756</v>
      </c>
      <c r="E73" s="304" t="s">
        <v>651</v>
      </c>
      <c r="F73" s="312"/>
      <c r="J73" s="313"/>
      <c r="L73" s="320"/>
    </row>
    <row r="74" spans="1:14" s="304" customFormat="1" x14ac:dyDescent="0.2">
      <c r="A74" s="480">
        <f>A71+1</f>
        <v>43</v>
      </c>
      <c r="C74" s="304" t="s">
        <v>617</v>
      </c>
      <c r="E74" s="310">
        <v>468571.51919999998</v>
      </c>
      <c r="F74" s="312">
        <v>3.9047626599999994</v>
      </c>
      <c r="G74" s="312"/>
      <c r="H74" s="310">
        <v>344797.68</v>
      </c>
      <c r="I74" s="312">
        <v>2.8733140000000001</v>
      </c>
      <c r="J74" s="313">
        <f>H74-E74</f>
        <v>-123773.83919999999</v>
      </c>
      <c r="K74" s="312"/>
      <c r="L74" s="472">
        <f>J74/E74</f>
        <v>-0.26415143500680782</v>
      </c>
      <c r="M74" s="472">
        <f>L74</f>
        <v>-0.26415143500680782</v>
      </c>
      <c r="N74" s="314"/>
    </row>
    <row r="75" spans="1:14" s="304" customFormat="1" x14ac:dyDescent="0.2">
      <c r="A75" s="480">
        <f>A74+1</f>
        <v>44</v>
      </c>
      <c r="C75" s="304" t="s">
        <v>618</v>
      </c>
      <c r="E75" s="310">
        <v>1174799.9999999998</v>
      </c>
      <c r="F75" s="312">
        <v>9.7899999999999991</v>
      </c>
      <c r="G75" s="312"/>
      <c r="H75" s="310">
        <v>1174799.9999999998</v>
      </c>
      <c r="I75" s="312">
        <v>9.7899999999999991</v>
      </c>
      <c r="J75" s="313">
        <f>H75-E75</f>
        <v>0</v>
      </c>
      <c r="K75" s="312"/>
      <c r="L75" s="472">
        <f>IFERROR(J75/E75,"100.0%")</f>
        <v>0</v>
      </c>
      <c r="M75" s="472">
        <v>0</v>
      </c>
      <c r="N75" s="314"/>
    </row>
    <row r="76" spans="1:14" s="304" customFormat="1" x14ac:dyDescent="0.2">
      <c r="A76" s="480">
        <f>A75+1</f>
        <v>45</v>
      </c>
      <c r="C76" s="304" t="s">
        <v>619</v>
      </c>
      <c r="E76" s="335">
        <v>0</v>
      </c>
      <c r="F76" s="312">
        <v>0</v>
      </c>
      <c r="G76" s="312"/>
      <c r="H76" s="310">
        <v>159420</v>
      </c>
      <c r="I76" s="312">
        <v>1.3285</v>
      </c>
      <c r="J76" s="313">
        <f>H76-E76</f>
        <v>159420</v>
      </c>
      <c r="K76" s="312"/>
      <c r="L76" s="472" t="str">
        <f>IFERROR(J76/E76,"100.0%")</f>
        <v>100.0%</v>
      </c>
      <c r="M76" s="472" t="str">
        <f>L76</f>
        <v>100.0%</v>
      </c>
      <c r="N76" s="314"/>
    </row>
    <row r="77" spans="1:14" s="304" customFormat="1" x14ac:dyDescent="0.2">
      <c r="A77" s="480">
        <f>A76+1</f>
        <v>46</v>
      </c>
      <c r="C77" s="304" t="s">
        <v>646</v>
      </c>
      <c r="E77" s="310">
        <v>2674876.7567569115</v>
      </c>
      <c r="F77" s="312">
        <v>22.290639639640929</v>
      </c>
      <c r="H77" s="310">
        <v>2508408.0000000005</v>
      </c>
      <c r="I77" s="312">
        <v>20.903400000000001</v>
      </c>
      <c r="J77" s="313">
        <f>H77-E77</f>
        <v>-166468.75675691105</v>
      </c>
      <c r="L77" s="472">
        <f>J77/E77</f>
        <v>-6.2234178205182809E-2</v>
      </c>
      <c r="M77" s="472">
        <f>L77</f>
        <v>-6.2234178205182809E-2</v>
      </c>
      <c r="N77" s="314"/>
    </row>
    <row r="78" spans="1:14" s="304" customFormat="1" x14ac:dyDescent="0.2">
      <c r="A78" s="480">
        <f>A77+1</f>
        <v>47</v>
      </c>
      <c r="C78" s="304" t="s">
        <v>620</v>
      </c>
      <c r="E78" s="316">
        <f>SUM(E74:E77)</f>
        <v>4318248.275956911</v>
      </c>
      <c r="F78" s="317">
        <v>35.985402299640924</v>
      </c>
      <c r="H78" s="316">
        <f>SUM(H74:H77)</f>
        <v>4187425.68</v>
      </c>
      <c r="I78" s="317">
        <v>34.895214000000003</v>
      </c>
      <c r="J78" s="318">
        <f>SUM(J74:J77)</f>
        <v>-130822.59595691104</v>
      </c>
      <c r="L78" s="473">
        <f>J78/E78</f>
        <v>-3.029529281243588E-2</v>
      </c>
      <c r="M78" s="473">
        <f>(J78-J75)/(E78-E75)</f>
        <v>-4.161754368841547E-2</v>
      </c>
      <c r="N78" s="320"/>
    </row>
    <row r="79" spans="1:14" s="304" customFormat="1" x14ac:dyDescent="0.2">
      <c r="A79" s="480"/>
      <c r="E79" s="310"/>
      <c r="F79" s="312"/>
      <c r="G79" s="480"/>
      <c r="H79" s="310"/>
      <c r="I79" s="312"/>
      <c r="J79" s="313"/>
      <c r="L79" s="320"/>
      <c r="M79" s="320"/>
      <c r="N79" s="320"/>
    </row>
    <row r="80" spans="1:14" s="304" customFormat="1" x14ac:dyDescent="0.2">
      <c r="A80" s="480">
        <f>A78+1</f>
        <v>48</v>
      </c>
      <c r="C80" s="304" t="s">
        <v>625</v>
      </c>
      <c r="E80" s="316">
        <f>SUM(E74:E76)+H77</f>
        <v>4151779.5192</v>
      </c>
      <c r="F80" s="317">
        <v>34.59816266</v>
      </c>
      <c r="G80" s="480"/>
      <c r="H80" s="316">
        <f>SUM(H74:H77)</f>
        <v>4187425.68</v>
      </c>
      <c r="I80" s="317">
        <v>34.895214000000003</v>
      </c>
      <c r="J80" s="318">
        <f>J74+J75+J76</f>
        <v>35646.160800000012</v>
      </c>
      <c r="L80" s="473">
        <f>J80/E80</f>
        <v>8.5857547673602423E-3</v>
      </c>
      <c r="M80" s="473">
        <f>(J80-J75)/(E80-E75)</f>
        <v>1.197393551756082E-2</v>
      </c>
      <c r="N80" s="320"/>
    </row>
    <row r="81" spans="1:15" s="304" customFormat="1" x14ac:dyDescent="0.2">
      <c r="A81" s="480">
        <f>A80+1</f>
        <v>49</v>
      </c>
      <c r="C81" s="304" t="s">
        <v>626</v>
      </c>
      <c r="E81" s="310"/>
      <c r="F81" s="312"/>
      <c r="G81" s="480"/>
      <c r="H81" s="310"/>
      <c r="I81" s="312"/>
      <c r="J81" s="313"/>
      <c r="L81" s="474">
        <v>2.1690871713142938E-2</v>
      </c>
      <c r="M81" s="474">
        <v>7.607410894469066E-2</v>
      </c>
      <c r="N81" s="320"/>
    </row>
    <row r="82" spans="1:15" s="501" customFormat="1" x14ac:dyDescent="0.2">
      <c r="A82" s="480"/>
      <c r="B82" s="304"/>
      <c r="C82" s="304"/>
      <c r="D82" s="304"/>
      <c r="E82" s="304"/>
      <c r="F82" s="304"/>
      <c r="G82" s="304"/>
      <c r="H82" s="304"/>
      <c r="I82" s="304"/>
      <c r="J82" s="313"/>
      <c r="K82" s="304"/>
      <c r="L82" s="304"/>
      <c r="M82" s="304"/>
      <c r="N82" s="304"/>
      <c r="O82" s="304"/>
    </row>
    <row r="83" spans="1:15" s="501" customFormat="1" x14ac:dyDescent="0.2">
      <c r="A83" s="480"/>
      <c r="B83" s="304"/>
      <c r="C83" s="304"/>
      <c r="D83" s="304"/>
      <c r="E83" s="304"/>
      <c r="F83" s="304"/>
      <c r="G83" s="304"/>
      <c r="H83" s="304"/>
      <c r="I83" s="304"/>
      <c r="J83" s="304"/>
      <c r="K83" s="304"/>
      <c r="L83" s="333"/>
      <c r="M83" s="332"/>
      <c r="N83" s="333"/>
      <c r="O83" s="304"/>
    </row>
    <row r="84" spans="1:15" s="501" customFormat="1" x14ac:dyDescent="0.2">
      <c r="A84" s="480"/>
      <c r="B84" s="304"/>
      <c r="C84" s="304"/>
      <c r="D84" s="304"/>
      <c r="E84" s="304"/>
      <c r="F84" s="304"/>
      <c r="G84" s="304"/>
      <c r="H84" s="304"/>
      <c r="I84" s="304"/>
      <c r="J84" s="304"/>
      <c r="K84" s="304"/>
      <c r="L84" s="334"/>
      <c r="M84" s="333"/>
      <c r="N84" s="334"/>
      <c r="O84" s="304"/>
    </row>
    <row r="85" spans="1:15" s="305" customFormat="1" x14ac:dyDescent="0.2">
      <c r="A85" s="515" t="s">
        <v>881</v>
      </c>
      <c r="B85" s="515"/>
      <c r="C85" s="515"/>
      <c r="D85" s="515"/>
      <c r="E85" s="515"/>
      <c r="F85" s="515"/>
      <c r="G85" s="515"/>
      <c r="H85" s="515"/>
      <c r="I85" s="515"/>
      <c r="J85" s="515"/>
      <c r="K85" s="515"/>
      <c r="L85" s="515"/>
      <c r="M85" s="515"/>
    </row>
    <row r="86" spans="1:15" x14ac:dyDescent="0.2">
      <c r="A86" s="515" t="s">
        <v>815</v>
      </c>
      <c r="B86" s="515"/>
      <c r="C86" s="515"/>
      <c r="D86" s="515"/>
      <c r="E86" s="515"/>
      <c r="F86" s="515"/>
      <c r="G86" s="515"/>
      <c r="H86" s="515"/>
      <c r="I86" s="515"/>
      <c r="J86" s="515"/>
      <c r="K86" s="515"/>
      <c r="L86" s="515"/>
      <c r="M86" s="515"/>
    </row>
    <row r="87" spans="1:15" s="304" customFormat="1" x14ac:dyDescent="0.2">
      <c r="A87" s="492"/>
      <c r="B87" s="492"/>
      <c r="C87" s="492"/>
      <c r="D87" s="492"/>
      <c r="E87" s="492"/>
      <c r="F87" s="492"/>
      <c r="G87" s="492"/>
      <c r="H87" s="492"/>
      <c r="I87" s="492"/>
      <c r="J87" s="492"/>
      <c r="K87" s="492"/>
      <c r="L87" s="492"/>
      <c r="M87" s="492"/>
      <c r="N87" s="492"/>
    </row>
    <row r="88" spans="1:15" s="304" customFormat="1" ht="12.75" customHeight="1" x14ac:dyDescent="0.2">
      <c r="A88" s="480"/>
      <c r="E88" s="516" t="s">
        <v>812</v>
      </c>
      <c r="F88" s="516"/>
      <c r="H88" s="516" t="s">
        <v>607</v>
      </c>
      <c r="I88" s="516"/>
      <c r="J88" s="516"/>
      <c r="L88" s="516" t="s">
        <v>608</v>
      </c>
      <c r="M88" s="516"/>
      <c r="N88" s="480"/>
    </row>
    <row r="89" spans="1:15" s="304" customFormat="1" x14ac:dyDescent="0.2">
      <c r="A89" s="480"/>
      <c r="E89" s="480" t="s">
        <v>47</v>
      </c>
      <c r="F89" s="480"/>
      <c r="H89" s="480" t="s">
        <v>47</v>
      </c>
      <c r="I89" s="480"/>
      <c r="J89" s="480" t="s">
        <v>609</v>
      </c>
      <c r="L89" s="480" t="str">
        <f>'Attach 10 p.1-4'!$L$8</f>
        <v>Including Federal</v>
      </c>
      <c r="M89" s="480" t="str">
        <f>'Attach 10 p.1-4'!$M$8</f>
        <v xml:space="preserve">Excluding Federal </v>
      </c>
      <c r="N89" s="480"/>
    </row>
    <row r="90" spans="1:15" s="304" customFormat="1" x14ac:dyDescent="0.2">
      <c r="A90" s="480" t="s">
        <v>0</v>
      </c>
      <c r="E90" s="480" t="s">
        <v>612</v>
      </c>
      <c r="F90" s="480" t="s">
        <v>264</v>
      </c>
      <c r="H90" s="480" t="s">
        <v>612</v>
      </c>
      <c r="I90" s="480" t="s">
        <v>264</v>
      </c>
      <c r="J90" s="480" t="s">
        <v>613</v>
      </c>
      <c r="L90" s="480" t="str">
        <f>'Attach 10 p.1-4'!$L$9</f>
        <v>Carbon Charge</v>
      </c>
      <c r="M90" s="480" t="str">
        <f>'Attach 10 p.1-4'!$M$9</f>
        <v>Carbon Charge</v>
      </c>
      <c r="N90" s="480"/>
    </row>
    <row r="91" spans="1:15" s="304" customFormat="1" ht="14.25" x14ac:dyDescent="0.2">
      <c r="A91" s="491" t="s">
        <v>1</v>
      </c>
      <c r="C91" s="309" t="s">
        <v>9</v>
      </c>
      <c r="E91" s="491" t="s">
        <v>288</v>
      </c>
      <c r="F91" s="491" t="s">
        <v>12</v>
      </c>
      <c r="H91" s="491" t="s">
        <v>288</v>
      </c>
      <c r="I91" s="491" t="s">
        <v>12</v>
      </c>
      <c r="J91" s="491" t="s">
        <v>288</v>
      </c>
      <c r="L91" s="491" t="s">
        <v>2</v>
      </c>
      <c r="M91" s="491" t="s">
        <v>2</v>
      </c>
      <c r="N91" s="480"/>
    </row>
    <row r="92" spans="1:15" s="304" customFormat="1" x14ac:dyDescent="0.2">
      <c r="A92" s="480"/>
      <c r="E92" s="480" t="s">
        <v>3</v>
      </c>
      <c r="F92" s="480" t="s">
        <v>4</v>
      </c>
      <c r="G92" s="480"/>
      <c r="H92" s="480" t="s">
        <v>86</v>
      </c>
      <c r="I92" s="480" t="s">
        <v>133</v>
      </c>
      <c r="J92" s="480" t="s">
        <v>615</v>
      </c>
      <c r="K92" s="480"/>
      <c r="L92" s="480" t="s">
        <v>616</v>
      </c>
      <c r="M92" s="480" t="s">
        <v>15</v>
      </c>
      <c r="N92" s="480"/>
    </row>
    <row r="93" spans="1:15" s="304" customFormat="1" x14ac:dyDescent="0.2">
      <c r="A93" s="480"/>
      <c r="E93" s="480"/>
      <c r="F93" s="480"/>
      <c r="G93" s="480"/>
      <c r="H93" s="480"/>
      <c r="I93" s="480"/>
      <c r="J93" s="480"/>
      <c r="K93" s="480"/>
      <c r="L93" s="480"/>
      <c r="M93" s="480"/>
      <c r="N93" s="480"/>
    </row>
    <row r="94" spans="1:15" s="304" customFormat="1" ht="14.25" x14ac:dyDescent="0.2">
      <c r="A94" s="480"/>
      <c r="C94" s="305" t="s">
        <v>757</v>
      </c>
      <c r="E94" s="304" t="s">
        <v>652</v>
      </c>
      <c r="F94" s="312"/>
      <c r="J94" s="313"/>
    </row>
    <row r="95" spans="1:15" s="304" customFormat="1" x14ac:dyDescent="0.2">
      <c r="A95" s="480">
        <f>A81+1</f>
        <v>50</v>
      </c>
      <c r="C95" s="304" t="s">
        <v>617</v>
      </c>
      <c r="E95" s="310">
        <v>38792.834999999999</v>
      </c>
      <c r="F95" s="312">
        <v>4.7021618181818177</v>
      </c>
      <c r="G95" s="312"/>
      <c r="H95" s="310">
        <v>15242.1</v>
      </c>
      <c r="I95" s="312">
        <v>1.8475272727272729</v>
      </c>
      <c r="J95" s="313">
        <f>H95-E95</f>
        <v>-23550.735000000001</v>
      </c>
      <c r="K95" s="312"/>
      <c r="L95" s="472">
        <f>J95/E95</f>
        <v>-0.60708981439484899</v>
      </c>
      <c r="M95" s="472">
        <f>L95</f>
        <v>-0.60708981439484899</v>
      </c>
      <c r="N95" s="314"/>
    </row>
    <row r="96" spans="1:15" s="304" customFormat="1" x14ac:dyDescent="0.2">
      <c r="A96" s="480">
        <f>A95+1</f>
        <v>51</v>
      </c>
      <c r="C96" s="304" t="s">
        <v>618</v>
      </c>
      <c r="E96" s="310">
        <v>80767.499999999985</v>
      </c>
      <c r="F96" s="312">
        <v>9.7899999999999991</v>
      </c>
      <c r="G96" s="312"/>
      <c r="H96" s="310">
        <v>80767.499999999985</v>
      </c>
      <c r="I96" s="312">
        <v>9.7899999999999991</v>
      </c>
      <c r="J96" s="313">
        <f>H96-E96</f>
        <v>0</v>
      </c>
      <c r="K96" s="312"/>
      <c r="L96" s="472">
        <f>IFERROR(J96/E96,"100.0%")</f>
        <v>0</v>
      </c>
      <c r="M96" s="472">
        <v>0</v>
      </c>
      <c r="N96" s="314"/>
    </row>
    <row r="97" spans="1:14" s="304" customFormat="1" x14ac:dyDescent="0.2">
      <c r="A97" s="480">
        <f>A96+1</f>
        <v>52</v>
      </c>
      <c r="C97" s="304" t="s">
        <v>619</v>
      </c>
      <c r="E97" s="335">
        <v>0</v>
      </c>
      <c r="F97" s="312">
        <v>0</v>
      </c>
      <c r="G97" s="312"/>
      <c r="H97" s="310">
        <v>7323.5249999999996</v>
      </c>
      <c r="I97" s="312">
        <v>0.88769999999999993</v>
      </c>
      <c r="J97" s="313">
        <f>H97-E97</f>
        <v>7323.5249999999996</v>
      </c>
      <c r="K97" s="312"/>
      <c r="L97" s="472" t="str">
        <f>IFERROR(J97/E97,"100.0%")</f>
        <v>100.0%</v>
      </c>
      <c r="M97" s="472" t="str">
        <f>L97</f>
        <v>100.0%</v>
      </c>
      <c r="N97" s="314"/>
    </row>
    <row r="98" spans="1:14" s="304" customFormat="1" x14ac:dyDescent="0.2">
      <c r="A98" s="480">
        <f>A97+1</f>
        <v>53</v>
      </c>
      <c r="C98" s="304" t="s">
        <v>646</v>
      </c>
      <c r="E98" s="310">
        <v>183897.77702703766</v>
      </c>
      <c r="F98" s="312">
        <v>22.290639639640929</v>
      </c>
      <c r="H98" s="310">
        <v>172453.05</v>
      </c>
      <c r="I98" s="312">
        <v>20.903400000000001</v>
      </c>
      <c r="J98" s="313">
        <f>H98-E98</f>
        <v>-11444.727027037676</v>
      </c>
      <c r="L98" s="472">
        <f>J98/E98</f>
        <v>-6.2234178205183031E-2</v>
      </c>
      <c r="M98" s="472">
        <f>L98</f>
        <v>-6.2234178205183031E-2</v>
      </c>
      <c r="N98" s="314"/>
    </row>
    <row r="99" spans="1:14" s="304" customFormat="1" x14ac:dyDescent="0.2">
      <c r="A99" s="480">
        <f>A98+1</f>
        <v>54</v>
      </c>
      <c r="C99" s="304" t="s">
        <v>620</v>
      </c>
      <c r="E99" s="316">
        <f>SUM(E95:E98)</f>
        <v>303458.11202703766</v>
      </c>
      <c r="F99" s="317">
        <v>36.782801457822742</v>
      </c>
      <c r="H99" s="316">
        <f>SUM(H95:H98)</f>
        <v>275786.17499999999</v>
      </c>
      <c r="I99" s="317">
        <v>33.428627272727276</v>
      </c>
      <c r="J99" s="318">
        <f>SUM(J95:J98)</f>
        <v>-27671.937027037675</v>
      </c>
      <c r="L99" s="473">
        <f>J99/E99</f>
        <v>-9.1188654810361924E-2</v>
      </c>
      <c r="M99" s="473">
        <f>(J99-J96)/(E99-E96)</f>
        <v>-0.12426180329361135</v>
      </c>
      <c r="N99" s="320"/>
    </row>
    <row r="100" spans="1:14" s="304" customFormat="1" x14ac:dyDescent="0.2">
      <c r="A100" s="480"/>
      <c r="E100" s="310"/>
      <c r="F100" s="312"/>
      <c r="G100" s="480"/>
      <c r="H100" s="310"/>
      <c r="I100" s="312"/>
      <c r="J100" s="313"/>
      <c r="L100" s="320"/>
      <c r="M100" s="320"/>
      <c r="N100" s="320"/>
    </row>
    <row r="101" spans="1:14" s="304" customFormat="1" x14ac:dyDescent="0.2">
      <c r="A101" s="480">
        <f>A99+1</f>
        <v>55</v>
      </c>
      <c r="C101" s="304" t="s">
        <v>625</v>
      </c>
      <c r="E101" s="316">
        <f>SUM(E95:E97)+H98</f>
        <v>292013.38500000001</v>
      </c>
      <c r="F101" s="317">
        <v>35.395561818181818</v>
      </c>
      <c r="G101" s="480"/>
      <c r="H101" s="316">
        <f>SUM(H95:H98)</f>
        <v>275786.17499999999</v>
      </c>
      <c r="I101" s="317">
        <v>33.428627272727276</v>
      </c>
      <c r="J101" s="318">
        <f>J95+J96+J97</f>
        <v>-16227.210000000001</v>
      </c>
      <c r="L101" s="473">
        <f>J101/E101</f>
        <v>-5.5570089706675603E-2</v>
      </c>
      <c r="M101" s="473">
        <f>(J101-J96)/(E101-E96)</f>
        <v>-7.6816691600880185E-2</v>
      </c>
      <c r="N101" s="320"/>
    </row>
    <row r="102" spans="1:14" s="304" customFormat="1" x14ac:dyDescent="0.2">
      <c r="A102" s="480">
        <f>A101+1</f>
        <v>56</v>
      </c>
      <c r="C102" s="304" t="s">
        <v>626</v>
      </c>
      <c r="E102" s="310"/>
      <c r="F102" s="312"/>
      <c r="G102" s="480"/>
      <c r="H102" s="310"/>
      <c r="I102" s="312"/>
      <c r="J102" s="313"/>
      <c r="L102" s="474">
        <v>-0.13572402586526713</v>
      </c>
      <c r="M102" s="474">
        <v>-0.4183043079991447</v>
      </c>
      <c r="N102" s="320"/>
    </row>
    <row r="103" spans="1:14" s="304" customFormat="1" x14ac:dyDescent="0.2">
      <c r="A103" s="480"/>
      <c r="J103" s="313"/>
    </row>
    <row r="104" spans="1:14" s="304" customFormat="1" ht="14.25" x14ac:dyDescent="0.2">
      <c r="A104" s="480"/>
      <c r="C104" s="305" t="s">
        <v>758</v>
      </c>
      <c r="E104" s="304" t="s">
        <v>653</v>
      </c>
      <c r="F104" s="312"/>
      <c r="J104" s="313"/>
    </row>
    <row r="105" spans="1:14" s="304" customFormat="1" x14ac:dyDescent="0.2">
      <c r="A105" s="480">
        <f>A102+1</f>
        <v>57</v>
      </c>
      <c r="C105" s="304" t="s">
        <v>617</v>
      </c>
      <c r="E105" s="310">
        <v>227249.56</v>
      </c>
      <c r="F105" s="312">
        <v>3.4961470769230769</v>
      </c>
      <c r="G105" s="312"/>
      <c r="H105" s="310">
        <v>88962</v>
      </c>
      <c r="I105" s="312">
        <v>1.3686461538461538</v>
      </c>
      <c r="J105" s="313">
        <f>H105-E105</f>
        <v>-138287.56</v>
      </c>
      <c r="K105" s="312"/>
      <c r="L105" s="472">
        <f>J105/E105</f>
        <v>-0.60852729483832668</v>
      </c>
      <c r="M105" s="472">
        <f>L105</f>
        <v>-0.60852729483832668</v>
      </c>
      <c r="N105" s="314"/>
    </row>
    <row r="106" spans="1:14" s="304" customFormat="1" x14ac:dyDescent="0.2">
      <c r="A106" s="480">
        <f>A105+1</f>
        <v>58</v>
      </c>
      <c r="C106" s="304" t="s">
        <v>618</v>
      </c>
      <c r="E106" s="310">
        <v>636349.99999999988</v>
      </c>
      <c r="F106" s="312">
        <v>9.7899999999999991</v>
      </c>
      <c r="G106" s="312"/>
      <c r="H106" s="310">
        <v>636349.99999999988</v>
      </c>
      <c r="I106" s="312">
        <v>9.7899999999999991</v>
      </c>
      <c r="J106" s="313">
        <f>H106-E106</f>
        <v>0</v>
      </c>
      <c r="K106" s="312"/>
      <c r="L106" s="472">
        <f>IFERROR(J106/E106,"100.0%")</f>
        <v>0</v>
      </c>
      <c r="M106" s="472">
        <v>0</v>
      </c>
      <c r="N106" s="314"/>
    </row>
    <row r="107" spans="1:14" s="304" customFormat="1" x14ac:dyDescent="0.2">
      <c r="A107" s="480">
        <f>A106+1</f>
        <v>59</v>
      </c>
      <c r="C107" s="304" t="s">
        <v>619</v>
      </c>
      <c r="E107" s="335">
        <v>0</v>
      </c>
      <c r="F107" s="312">
        <v>0</v>
      </c>
      <c r="G107" s="312"/>
      <c r="H107" s="310">
        <v>57700.5</v>
      </c>
      <c r="I107" s="312">
        <v>0.88769999999999993</v>
      </c>
      <c r="J107" s="313">
        <f>H107-E107</f>
        <v>57700.5</v>
      </c>
      <c r="K107" s="312"/>
      <c r="L107" s="472" t="str">
        <f>IFERROR(J107/E107,"100.0%")</f>
        <v>100.0%</v>
      </c>
      <c r="M107" s="472" t="str">
        <f>L107</f>
        <v>100.0%</v>
      </c>
      <c r="N107" s="314"/>
    </row>
    <row r="108" spans="1:14" s="304" customFormat="1" x14ac:dyDescent="0.2">
      <c r="A108" s="480">
        <f>A107+1</f>
        <v>60</v>
      </c>
      <c r="C108" s="304" t="s">
        <v>646</v>
      </c>
      <c r="E108" s="310">
        <v>1448891.5765766604</v>
      </c>
      <c r="F108" s="312">
        <v>22.290639639640929</v>
      </c>
      <c r="H108" s="310">
        <v>1358721</v>
      </c>
      <c r="I108" s="312">
        <v>20.903400000000001</v>
      </c>
      <c r="J108" s="313">
        <f>H108-E108</f>
        <v>-90170.576576660387</v>
      </c>
      <c r="L108" s="472">
        <f>J108/E108</f>
        <v>-6.2234178205182969E-2</v>
      </c>
      <c r="M108" s="472">
        <f>L108</f>
        <v>-6.2234178205182969E-2</v>
      </c>
      <c r="N108" s="314"/>
    </row>
    <row r="109" spans="1:14" s="304" customFormat="1" x14ac:dyDescent="0.2">
      <c r="A109" s="480">
        <f>A108+1</f>
        <v>61</v>
      </c>
      <c r="C109" s="304" t="s">
        <v>620</v>
      </c>
      <c r="E109" s="316">
        <f>SUM(E105:E108)</f>
        <v>2312491.13657666</v>
      </c>
      <c r="F109" s="317">
        <v>35.576786716564001</v>
      </c>
      <c r="H109" s="316">
        <f>SUM(H105:H108)</f>
        <v>2141733.5</v>
      </c>
      <c r="I109" s="317">
        <v>32.949746153846156</v>
      </c>
      <c r="J109" s="318">
        <f>SUM(J105:J108)</f>
        <v>-170757.63657666038</v>
      </c>
      <c r="L109" s="473">
        <f>J109/E109</f>
        <v>-7.3841423163007097E-2</v>
      </c>
      <c r="M109" s="473">
        <f>(J109-J106)/(E109-E106)</f>
        <v>-0.10187545240099213</v>
      </c>
      <c r="N109" s="320"/>
    </row>
    <row r="110" spans="1:14" s="304" customFormat="1" x14ac:dyDescent="0.2">
      <c r="A110" s="480"/>
      <c r="E110" s="310"/>
      <c r="F110" s="312"/>
      <c r="G110" s="480"/>
      <c r="H110" s="310"/>
      <c r="I110" s="312"/>
      <c r="J110" s="313"/>
      <c r="L110" s="320"/>
      <c r="M110" s="320"/>
      <c r="N110" s="320"/>
    </row>
    <row r="111" spans="1:14" s="304" customFormat="1" x14ac:dyDescent="0.2">
      <c r="A111" s="480">
        <f>A109+1</f>
        <v>62</v>
      </c>
      <c r="C111" s="304" t="s">
        <v>625</v>
      </c>
      <c r="E111" s="316">
        <f>SUM(E105:E107)+H108</f>
        <v>2222320.5599999996</v>
      </c>
      <c r="F111" s="317">
        <v>34.18954707692307</v>
      </c>
      <c r="G111" s="480"/>
      <c r="H111" s="316">
        <f>SUM(H105:H108)</f>
        <v>2141733.5</v>
      </c>
      <c r="I111" s="317">
        <v>32.949746153846156</v>
      </c>
      <c r="J111" s="318">
        <f>J105+J106+J107</f>
        <v>-80587.06</v>
      </c>
      <c r="L111" s="473">
        <f>J111/E111</f>
        <v>-3.6262572308650202E-2</v>
      </c>
      <c r="M111" s="473">
        <f>(J111-J106)/(E111-E106)</f>
        <v>-5.0812456443075478E-2</v>
      </c>
      <c r="N111" s="320"/>
    </row>
    <row r="112" spans="1:14" s="304" customFormat="1" x14ac:dyDescent="0.2">
      <c r="A112" s="480">
        <f>A111+1</f>
        <v>63</v>
      </c>
      <c r="C112" s="304" t="s">
        <v>626</v>
      </c>
      <c r="E112" s="310"/>
      <c r="F112" s="312"/>
      <c r="G112" s="480"/>
      <c r="H112" s="310"/>
      <c r="I112" s="312"/>
      <c r="J112" s="313"/>
      <c r="L112" s="474">
        <v>-9.3315309238925517E-2</v>
      </c>
      <c r="M112" s="474">
        <v>-0.35461921246404171</v>
      </c>
      <c r="N112" s="320"/>
    </row>
    <row r="113" spans="1:14" s="304" customFormat="1" x14ac:dyDescent="0.2">
      <c r="A113" s="480"/>
      <c r="J113" s="313"/>
    </row>
    <row r="114" spans="1:14" s="304" customFormat="1" ht="14.25" x14ac:dyDescent="0.2">
      <c r="A114" s="480"/>
      <c r="C114" s="305" t="s">
        <v>759</v>
      </c>
      <c r="E114" s="304" t="s">
        <v>654</v>
      </c>
      <c r="F114" s="312"/>
      <c r="J114" s="313"/>
    </row>
    <row r="115" spans="1:14" s="304" customFormat="1" x14ac:dyDescent="0.2">
      <c r="A115" s="480">
        <f>A112+1</f>
        <v>64</v>
      </c>
      <c r="C115" s="304" t="s">
        <v>617</v>
      </c>
      <c r="E115" s="310">
        <v>842327.10000000009</v>
      </c>
      <c r="F115" s="312">
        <v>2.3397975</v>
      </c>
      <c r="G115" s="312"/>
      <c r="H115" s="310">
        <v>1003065.36</v>
      </c>
      <c r="I115" s="312">
        <v>2.7862926666666668</v>
      </c>
      <c r="J115" s="313">
        <f>H115-E115</f>
        <v>160738.25999999989</v>
      </c>
      <c r="K115" s="312"/>
      <c r="L115" s="472">
        <f>J115/E115</f>
        <v>0.19082641410919804</v>
      </c>
      <c r="M115" s="472">
        <f>L115</f>
        <v>0.19082641410919804</v>
      </c>
      <c r="N115" s="314"/>
    </row>
    <row r="116" spans="1:14" s="304" customFormat="1" x14ac:dyDescent="0.2">
      <c r="A116" s="480">
        <f>A115+1</f>
        <v>65</v>
      </c>
      <c r="C116" s="304" t="s">
        <v>618</v>
      </c>
      <c r="E116" s="310">
        <v>3524399.9999999995</v>
      </c>
      <c r="F116" s="312">
        <v>9.7899999999999991</v>
      </c>
      <c r="G116" s="312"/>
      <c r="H116" s="310">
        <v>3524399.9999999995</v>
      </c>
      <c r="I116" s="312">
        <v>9.7899999999999991</v>
      </c>
      <c r="J116" s="313">
        <f>H116-E116</f>
        <v>0</v>
      </c>
      <c r="K116" s="312"/>
      <c r="L116" s="472">
        <f>IFERROR(J116/E116,"100.0%")</f>
        <v>0</v>
      </c>
      <c r="M116" s="472">
        <v>0</v>
      </c>
      <c r="N116" s="314"/>
    </row>
    <row r="117" spans="1:14" s="304" customFormat="1" x14ac:dyDescent="0.2">
      <c r="A117" s="480">
        <f>A116+1</f>
        <v>66</v>
      </c>
      <c r="C117" s="304" t="s">
        <v>619</v>
      </c>
      <c r="E117" s="335">
        <v>0</v>
      </c>
      <c r="F117" s="312">
        <v>0</v>
      </c>
      <c r="G117" s="312"/>
      <c r="H117" s="310">
        <v>478260</v>
      </c>
      <c r="I117" s="312">
        <v>1.3285</v>
      </c>
      <c r="J117" s="313">
        <f>H117-E117</f>
        <v>478260</v>
      </c>
      <c r="K117" s="312"/>
      <c r="L117" s="472" t="str">
        <f>IFERROR(J117/E117,"100.0%")</f>
        <v>100.0%</v>
      </c>
      <c r="M117" s="472" t="str">
        <f>L117</f>
        <v>100.0%</v>
      </c>
      <c r="N117" s="314"/>
    </row>
    <row r="118" spans="1:14" s="304" customFormat="1" x14ac:dyDescent="0.2">
      <c r="A118" s="480">
        <f>A117+1</f>
        <v>67</v>
      </c>
      <c r="C118" s="304" t="s">
        <v>646</v>
      </c>
      <c r="E118" s="310">
        <v>8024630.270270735</v>
      </c>
      <c r="F118" s="312">
        <v>22.290639639640929</v>
      </c>
      <c r="H118" s="310">
        <v>7525224</v>
      </c>
      <c r="I118" s="312">
        <v>20.903400000000001</v>
      </c>
      <c r="J118" s="313">
        <f>H118-E118</f>
        <v>-499406.27027073503</v>
      </c>
      <c r="L118" s="472">
        <f>J118/E118</f>
        <v>-6.2234178205183038E-2</v>
      </c>
      <c r="M118" s="472">
        <f>L118</f>
        <v>-6.2234178205183038E-2</v>
      </c>
      <c r="N118" s="314"/>
    </row>
    <row r="119" spans="1:14" s="304" customFormat="1" x14ac:dyDescent="0.2">
      <c r="A119" s="480">
        <f>A118+1</f>
        <v>68</v>
      </c>
      <c r="C119" s="304" t="s">
        <v>620</v>
      </c>
      <c r="E119" s="316">
        <f>SUM(E115:E118)</f>
        <v>12391357.370270735</v>
      </c>
      <c r="F119" s="317">
        <v>34.420437139640931</v>
      </c>
      <c r="H119" s="316">
        <f>SUM(H115:H118)</f>
        <v>12530949.359999999</v>
      </c>
      <c r="I119" s="317">
        <v>34.808192666666663</v>
      </c>
      <c r="J119" s="318">
        <f>SUM(J115:J118)</f>
        <v>139591.98972926487</v>
      </c>
      <c r="L119" s="473">
        <f>J119/E119</f>
        <v>1.1265270265239309E-2</v>
      </c>
      <c r="M119" s="473">
        <f>(J119-J116)/(E119-E116)</f>
        <v>1.5742941338287127E-2</v>
      </c>
      <c r="N119" s="320"/>
    </row>
    <row r="120" spans="1:14" s="304" customFormat="1" x14ac:dyDescent="0.2">
      <c r="A120" s="480"/>
      <c r="E120" s="310"/>
      <c r="F120" s="312"/>
      <c r="G120" s="480"/>
      <c r="H120" s="310"/>
      <c r="I120" s="312"/>
      <c r="J120" s="313"/>
      <c r="L120" s="320"/>
      <c r="M120" s="320"/>
      <c r="N120" s="320"/>
    </row>
    <row r="121" spans="1:14" s="304" customFormat="1" x14ac:dyDescent="0.2">
      <c r="A121" s="480">
        <f>A119+1</f>
        <v>69</v>
      </c>
      <c r="C121" s="304" t="s">
        <v>625</v>
      </c>
      <c r="E121" s="316">
        <f>SUM(E115:E117)+H118</f>
        <v>11891951.1</v>
      </c>
      <c r="F121" s="317">
        <v>33.0331975</v>
      </c>
      <c r="G121" s="480"/>
      <c r="H121" s="316">
        <f>SUM(H115:H118)</f>
        <v>12530949.359999999</v>
      </c>
      <c r="I121" s="317">
        <v>34.808192666666663</v>
      </c>
      <c r="J121" s="318">
        <f>J115+J116+J117</f>
        <v>638998.25999999989</v>
      </c>
      <c r="L121" s="473">
        <f>J121/E121</f>
        <v>5.3733677058258329E-2</v>
      </c>
      <c r="M121" s="473">
        <f>(J121-J116)/(E121-E116)</f>
        <v>7.6366221414530699E-2</v>
      </c>
      <c r="N121" s="320"/>
    </row>
    <row r="122" spans="1:14" s="304" customFormat="1" x14ac:dyDescent="0.2">
      <c r="A122" s="480">
        <f>A121+1</f>
        <v>70</v>
      </c>
      <c r="C122" s="304" t="s">
        <v>626</v>
      </c>
      <c r="E122" s="310"/>
      <c r="F122" s="312"/>
      <c r="G122" s="480"/>
      <c r="H122" s="310"/>
      <c r="I122" s="312"/>
      <c r="J122" s="313"/>
      <c r="L122" s="474">
        <v>0.1463334541789891</v>
      </c>
      <c r="M122" s="474">
        <v>0.75861059201348247</v>
      </c>
      <c r="N122" s="320"/>
    </row>
    <row r="123" spans="1:14" s="304" customFormat="1" x14ac:dyDescent="0.2">
      <c r="A123" s="480"/>
      <c r="J123" s="313"/>
    </row>
    <row r="124" spans="1:14" s="304" customFormat="1" ht="14.25" x14ac:dyDescent="0.2">
      <c r="A124" s="480"/>
      <c r="C124" s="305" t="s">
        <v>760</v>
      </c>
      <c r="E124" s="304" t="s">
        <v>655</v>
      </c>
      <c r="F124" s="312"/>
      <c r="J124" s="313"/>
    </row>
    <row r="125" spans="1:14" s="304" customFormat="1" x14ac:dyDescent="0.2">
      <c r="A125" s="480">
        <f>A122+1</f>
        <v>71</v>
      </c>
      <c r="C125" s="304" t="s">
        <v>617</v>
      </c>
      <c r="E125" s="310">
        <v>3183888.8</v>
      </c>
      <c r="F125" s="312">
        <v>6.1228630769230765</v>
      </c>
      <c r="G125" s="312"/>
      <c r="H125" s="310">
        <v>3846603.1200000006</v>
      </c>
      <c r="I125" s="312">
        <v>7.3973136923076925</v>
      </c>
      <c r="J125" s="313">
        <f>H125-E125</f>
        <v>662714.32000000076</v>
      </c>
      <c r="K125" s="312"/>
      <c r="L125" s="472">
        <f>J125/E125</f>
        <v>0.20814618902519486</v>
      </c>
      <c r="M125" s="472">
        <f>L125</f>
        <v>0.20814618902519486</v>
      </c>
      <c r="N125" s="314"/>
    </row>
    <row r="126" spans="1:14" s="304" customFormat="1" x14ac:dyDescent="0.2">
      <c r="A126" s="480">
        <f>A125+1</f>
        <v>72</v>
      </c>
      <c r="C126" s="304" t="s">
        <v>618</v>
      </c>
      <c r="E126" s="310">
        <v>5090799.9999999991</v>
      </c>
      <c r="F126" s="312">
        <v>9.7899999999999991</v>
      </c>
      <c r="G126" s="312"/>
      <c r="H126" s="310">
        <v>5090799.9999999991</v>
      </c>
      <c r="I126" s="312">
        <v>9.7899999999999991</v>
      </c>
      <c r="J126" s="313">
        <f>H126-E126</f>
        <v>0</v>
      </c>
      <c r="K126" s="312"/>
      <c r="L126" s="472">
        <f>IFERROR(J126/E126,"100.0%")</f>
        <v>0</v>
      </c>
      <c r="M126" s="472">
        <v>0</v>
      </c>
      <c r="N126" s="314"/>
    </row>
    <row r="127" spans="1:14" s="304" customFormat="1" x14ac:dyDescent="0.2">
      <c r="A127" s="480">
        <f>A126+1</f>
        <v>73</v>
      </c>
      <c r="C127" s="304" t="s">
        <v>619</v>
      </c>
      <c r="E127" s="335">
        <v>0</v>
      </c>
      <c r="F127" s="312">
        <v>0</v>
      </c>
      <c r="G127" s="312"/>
      <c r="H127" s="310">
        <v>690820</v>
      </c>
      <c r="I127" s="312">
        <v>1.3285</v>
      </c>
      <c r="J127" s="313">
        <f>H127-E127</f>
        <v>690820</v>
      </c>
      <c r="K127" s="312"/>
      <c r="L127" s="472" t="str">
        <f>IFERROR(J127/E127,"100.0%")</f>
        <v>100.0%</v>
      </c>
      <c r="M127" s="472" t="str">
        <f>L127</f>
        <v>100.0%</v>
      </c>
      <c r="N127" s="314"/>
    </row>
    <row r="128" spans="1:14" s="304" customFormat="1" x14ac:dyDescent="0.2">
      <c r="A128" s="480">
        <f>A127+1</f>
        <v>74</v>
      </c>
      <c r="C128" s="304" t="s">
        <v>646</v>
      </c>
      <c r="E128" s="310">
        <v>11591132.612613283</v>
      </c>
      <c r="F128" s="312">
        <v>22.290639639640929</v>
      </c>
      <c r="H128" s="310">
        <v>10869768</v>
      </c>
      <c r="I128" s="312">
        <v>20.903400000000001</v>
      </c>
      <c r="J128" s="313">
        <f>H128-E128</f>
        <v>-721364.6126132831</v>
      </c>
      <c r="L128" s="472">
        <f>J128/E128</f>
        <v>-6.2234178205182969E-2</v>
      </c>
      <c r="M128" s="472">
        <f>L128</f>
        <v>-6.2234178205182969E-2</v>
      </c>
      <c r="N128" s="314"/>
    </row>
    <row r="129" spans="1:14" s="304" customFormat="1" x14ac:dyDescent="0.2">
      <c r="A129" s="480">
        <f>A128+1</f>
        <v>75</v>
      </c>
      <c r="C129" s="304" t="s">
        <v>620</v>
      </c>
      <c r="E129" s="316">
        <f>SUM(E125:E128)</f>
        <v>19865821.41261328</v>
      </c>
      <c r="F129" s="317">
        <v>38.203502716564003</v>
      </c>
      <c r="H129" s="316">
        <f>SUM(H125:H128)</f>
        <v>20497991.119999997</v>
      </c>
      <c r="I129" s="317">
        <v>39.419213692307686</v>
      </c>
      <c r="J129" s="318">
        <f>SUM(J125:J128)</f>
        <v>632169.70738671767</v>
      </c>
      <c r="L129" s="473">
        <f>J129/E129</f>
        <v>3.182197676383712E-2</v>
      </c>
      <c r="M129" s="473">
        <f>(J129-J126)/(E129-E126)</f>
        <v>4.2786381808356706E-2</v>
      </c>
      <c r="N129" s="320"/>
    </row>
    <row r="130" spans="1:14" s="304" customFormat="1" x14ac:dyDescent="0.2">
      <c r="A130" s="480"/>
      <c r="E130" s="310"/>
      <c r="F130" s="312"/>
      <c r="G130" s="480"/>
      <c r="H130" s="310"/>
      <c r="I130" s="312"/>
      <c r="J130" s="313"/>
      <c r="L130" s="320"/>
      <c r="M130" s="320"/>
      <c r="N130" s="320"/>
    </row>
    <row r="131" spans="1:14" s="304" customFormat="1" x14ac:dyDescent="0.2">
      <c r="A131" s="480">
        <f>A129+1</f>
        <v>76</v>
      </c>
      <c r="C131" s="304" t="s">
        <v>625</v>
      </c>
      <c r="E131" s="316">
        <f>SUM(E125:E127)+H128</f>
        <v>19144456.799999997</v>
      </c>
      <c r="F131" s="317">
        <v>36.816263076923072</v>
      </c>
      <c r="G131" s="480"/>
      <c r="H131" s="316">
        <f>SUM(H125:H128)</f>
        <v>20497991.119999997</v>
      </c>
      <c r="I131" s="317">
        <v>39.419213692307686</v>
      </c>
      <c r="J131" s="318">
        <f>J125+J126+J127</f>
        <v>1353534.3200000008</v>
      </c>
      <c r="L131" s="473">
        <f>J131/E131</f>
        <v>7.0701108636312987E-2</v>
      </c>
      <c r="M131" s="473">
        <f>(J131-J126)/(E131-E126)</f>
        <v>9.6311895136075978E-2</v>
      </c>
      <c r="N131" s="320"/>
    </row>
    <row r="132" spans="1:14" s="304" customFormat="1" x14ac:dyDescent="0.2">
      <c r="A132" s="480">
        <f>A131+1</f>
        <v>77</v>
      </c>
      <c r="C132" s="304" t="s">
        <v>626</v>
      </c>
      <c r="E132" s="310"/>
      <c r="F132" s="312"/>
      <c r="G132" s="480"/>
      <c r="H132" s="310"/>
      <c r="I132" s="312"/>
      <c r="J132" s="313"/>
      <c r="L132" s="474">
        <v>0.16357525373038814</v>
      </c>
      <c r="M132" s="474">
        <v>0.42511984715044093</v>
      </c>
      <c r="N132" s="320"/>
    </row>
    <row r="133" spans="1:14" s="304" customFormat="1" x14ac:dyDescent="0.2">
      <c r="A133" s="480"/>
      <c r="J133" s="321"/>
    </row>
    <row r="134" spans="1:14" s="304" customFormat="1" ht="14.25" x14ac:dyDescent="0.2">
      <c r="A134" s="480"/>
      <c r="C134" s="305" t="s">
        <v>761</v>
      </c>
      <c r="E134" s="304" t="s">
        <v>656</v>
      </c>
    </row>
    <row r="135" spans="1:14" s="304" customFormat="1" x14ac:dyDescent="0.2">
      <c r="A135" s="480">
        <f>1+A132</f>
        <v>78</v>
      </c>
      <c r="C135" s="304" t="s">
        <v>617</v>
      </c>
      <c r="E135" s="310">
        <v>206517.19011200004</v>
      </c>
      <c r="F135" s="312">
        <v>2.9714703613237416</v>
      </c>
      <c r="G135" s="312"/>
      <c r="H135" s="310">
        <v>235101.14696799999</v>
      </c>
      <c r="I135" s="312">
        <v>3.382750316086331</v>
      </c>
      <c r="J135" s="313">
        <f>H135-E135</f>
        <v>28583.956855999946</v>
      </c>
      <c r="K135" s="312"/>
      <c r="L135" s="325"/>
      <c r="M135" s="472">
        <f>J135/E135</f>
        <v>0.13840957665799186</v>
      </c>
      <c r="N135" s="314"/>
    </row>
    <row r="136" spans="1:14" s="304" customFormat="1" x14ac:dyDescent="0.2">
      <c r="A136" s="480">
        <f>A137+1</f>
        <v>80</v>
      </c>
      <c r="C136" s="304" t="s">
        <v>619</v>
      </c>
      <c r="E136" s="335">
        <v>0</v>
      </c>
      <c r="F136" s="312">
        <v>0</v>
      </c>
      <c r="G136" s="312"/>
      <c r="H136" s="310">
        <v>94804.95</v>
      </c>
      <c r="I136" s="312">
        <v>1.3641000000000001</v>
      </c>
      <c r="J136" s="313">
        <f>H136-E136</f>
        <v>94804.95</v>
      </c>
      <c r="L136" s="325"/>
      <c r="M136" s="472" t="str">
        <f>IFERROR(J136/E136,"100.0%")</f>
        <v>100.0%</v>
      </c>
      <c r="N136" s="314"/>
    </row>
    <row r="137" spans="1:14" s="304" customFormat="1" collapsed="1" x14ac:dyDescent="0.2">
      <c r="A137" s="480">
        <f>A135+1</f>
        <v>79</v>
      </c>
      <c r="C137" s="304" t="s">
        <v>646</v>
      </c>
      <c r="E137" s="310">
        <v>1549199.4549550447</v>
      </c>
      <c r="F137" s="312">
        <v>22.290639639640929</v>
      </c>
      <c r="H137" s="310">
        <v>1452786.3</v>
      </c>
      <c r="I137" s="312">
        <v>20.903400000000001</v>
      </c>
      <c r="J137" s="313">
        <f>H137-E137</f>
        <v>-96413.154955044622</v>
      </c>
      <c r="L137" s="325"/>
      <c r="M137" s="476">
        <f>J137/E137</f>
        <v>-6.2234178205182997E-2</v>
      </c>
      <c r="N137" s="314"/>
    </row>
    <row r="138" spans="1:14" s="304" customFormat="1" x14ac:dyDescent="0.2">
      <c r="A138" s="480">
        <f>A136+1</f>
        <v>81</v>
      </c>
      <c r="C138" s="304" t="s">
        <v>620</v>
      </c>
      <c r="E138" s="316">
        <f>SUM(E135:E137)</f>
        <v>1755716.6450670448</v>
      </c>
      <c r="F138" s="317">
        <v>25.262110000964672</v>
      </c>
      <c r="H138" s="316">
        <f>SUM(H135:H137)</f>
        <v>1782692.3969680001</v>
      </c>
      <c r="I138" s="317">
        <v>25.650250316086332</v>
      </c>
      <c r="J138" s="318">
        <f>SUM(J135:J137)</f>
        <v>26975.751900955322</v>
      </c>
      <c r="L138" s="320"/>
      <c r="M138" s="472">
        <v>1.5364524780663118E-2</v>
      </c>
      <c r="N138" s="320"/>
    </row>
    <row r="139" spans="1:14" s="304" customFormat="1" ht="8.25" customHeight="1" x14ac:dyDescent="0.2">
      <c r="A139" s="480"/>
      <c r="E139" s="310"/>
      <c r="F139" s="312"/>
      <c r="G139" s="480"/>
      <c r="H139" s="310"/>
      <c r="I139" s="312"/>
      <c r="J139" s="313"/>
      <c r="L139" s="320"/>
      <c r="M139" s="473"/>
      <c r="N139" s="320"/>
    </row>
    <row r="140" spans="1:14" s="304" customFormat="1" x14ac:dyDescent="0.2">
      <c r="A140" s="480">
        <f>A138+1</f>
        <v>82</v>
      </c>
      <c r="C140" s="304" t="s">
        <v>625</v>
      </c>
      <c r="E140" s="316">
        <f>SUM(E135:E136)+H137</f>
        <v>1659303.4901120001</v>
      </c>
      <c r="F140" s="317">
        <v>23.874870361323744</v>
      </c>
      <c r="G140" s="480"/>
      <c r="H140" s="316">
        <f>SUM(H135:H137)</f>
        <v>1782692.3969680001</v>
      </c>
      <c r="I140" s="317">
        <v>25.650250316086332</v>
      </c>
      <c r="J140" s="318">
        <f>J135+J136</f>
        <v>123388.90685599994</v>
      </c>
      <c r="L140" s="320"/>
      <c r="M140" s="319">
        <f>(J140)/(E140)</f>
        <v>7.4361867850751884E-2</v>
      </c>
      <c r="N140" s="320"/>
    </row>
    <row r="141" spans="1:14" s="304" customFormat="1" x14ac:dyDescent="0.2">
      <c r="A141" s="480">
        <f>A140+1</f>
        <v>83</v>
      </c>
      <c r="C141" s="304" t="s">
        <v>626</v>
      </c>
      <c r="E141" s="310"/>
      <c r="F141" s="312"/>
      <c r="G141" s="480"/>
      <c r="H141" s="310"/>
      <c r="I141" s="312"/>
      <c r="J141" s="313"/>
      <c r="L141" s="320"/>
      <c r="M141" s="472">
        <v>0.59747523578585726</v>
      </c>
      <c r="N141" s="320"/>
    </row>
    <row r="142" spans="1:14" s="304" customFormat="1" x14ac:dyDescent="0.2">
      <c r="A142" s="480"/>
      <c r="J142" s="313"/>
      <c r="M142" s="472"/>
    </row>
    <row r="143" spans="1:14" s="304" customFormat="1" ht="14.25" x14ac:dyDescent="0.2">
      <c r="A143" s="480"/>
      <c r="C143" s="305" t="s">
        <v>762</v>
      </c>
      <c r="E143" s="304" t="s">
        <v>657</v>
      </c>
      <c r="F143" s="312"/>
      <c r="J143" s="313"/>
    </row>
    <row r="144" spans="1:14" s="304" customFormat="1" x14ac:dyDescent="0.2">
      <c r="A144" s="480">
        <f>A141+1</f>
        <v>84</v>
      </c>
      <c r="C144" s="304" t="s">
        <v>617</v>
      </c>
      <c r="E144" s="310">
        <v>613437.50280000002</v>
      </c>
      <c r="F144" s="312">
        <v>3.0401303538507287</v>
      </c>
      <c r="G144" s="312"/>
      <c r="H144" s="310">
        <v>686595.35519999987</v>
      </c>
      <c r="I144" s="312">
        <v>3.4026928099910787</v>
      </c>
      <c r="J144" s="313">
        <f>H144-E144</f>
        <v>73157.852399999858</v>
      </c>
      <c r="K144" s="312"/>
      <c r="L144" s="325"/>
      <c r="M144" s="472">
        <f>J144/E144</f>
        <v>0.11925885206899654</v>
      </c>
      <c r="N144" s="314"/>
    </row>
    <row r="145" spans="1:14" s="304" customFormat="1" x14ac:dyDescent="0.2">
      <c r="A145" s="480">
        <f>A146+1</f>
        <v>86</v>
      </c>
      <c r="C145" s="304" t="s">
        <v>619</v>
      </c>
      <c r="E145" s="335">
        <v>0</v>
      </c>
      <c r="F145" s="312">
        <v>0</v>
      </c>
      <c r="G145" s="312"/>
      <c r="H145" s="310">
        <v>275248.098</v>
      </c>
      <c r="I145" s="312">
        <v>1.3641000000000001</v>
      </c>
      <c r="J145" s="313">
        <f>H145-E145</f>
        <v>275248.098</v>
      </c>
      <c r="L145" s="325"/>
      <c r="M145" s="472" t="str">
        <f>IFERROR(J145/E145,"100.0%")</f>
        <v>100.0%</v>
      </c>
      <c r="N145" s="314"/>
    </row>
    <row r="146" spans="1:14" s="304" customFormat="1" x14ac:dyDescent="0.2">
      <c r="A146" s="480">
        <f>A144+1</f>
        <v>85</v>
      </c>
      <c r="C146" s="304" t="s">
        <v>646</v>
      </c>
      <c r="E146" s="310">
        <v>4497805.2664867463</v>
      </c>
      <c r="F146" s="312">
        <v>22.290639639640926</v>
      </c>
      <c r="H146" s="310">
        <v>4217888.0520000001</v>
      </c>
      <c r="I146" s="312">
        <v>20.903400000000001</v>
      </c>
      <c r="J146" s="313">
        <f>H146-E146</f>
        <v>-279917.21448674612</v>
      </c>
      <c r="L146" s="325"/>
      <c r="M146" s="476">
        <f>J146/E146</f>
        <v>-6.2234178205182851E-2</v>
      </c>
      <c r="N146" s="314"/>
    </row>
    <row r="147" spans="1:14" s="304" customFormat="1" x14ac:dyDescent="0.2">
      <c r="A147" s="480">
        <f>A145+1</f>
        <v>87</v>
      </c>
      <c r="C147" s="304" t="s">
        <v>620</v>
      </c>
      <c r="E147" s="316">
        <f>SUM(E144:E146)</f>
        <v>5111242.7692867462</v>
      </c>
      <c r="F147" s="317">
        <v>25.330769993491653</v>
      </c>
      <c r="H147" s="316">
        <f>SUM(H144:H146)</f>
        <v>5179731.5052000005</v>
      </c>
      <c r="I147" s="317">
        <v>25.670192809991082</v>
      </c>
      <c r="J147" s="318">
        <f>SUM(J144:J146)</f>
        <v>68488.735913253739</v>
      </c>
      <c r="L147" s="320"/>
      <c r="M147" s="472">
        <v>0</v>
      </c>
      <c r="N147" s="320"/>
    </row>
    <row r="148" spans="1:14" s="304" customFormat="1" x14ac:dyDescent="0.2">
      <c r="A148" s="480"/>
      <c r="E148" s="310"/>
      <c r="F148" s="312"/>
      <c r="G148" s="480"/>
      <c r="H148" s="310"/>
      <c r="I148" s="312"/>
      <c r="J148" s="313"/>
      <c r="L148" s="320"/>
      <c r="M148" s="473"/>
      <c r="N148" s="320"/>
    </row>
    <row r="149" spans="1:14" s="304" customFormat="1" x14ac:dyDescent="0.2">
      <c r="A149" s="480">
        <f>A147+1</f>
        <v>88</v>
      </c>
      <c r="C149" s="304" t="s">
        <v>625</v>
      </c>
      <c r="E149" s="316">
        <f>SUM(E144:E145)+H146</f>
        <v>4831325.5548</v>
      </c>
      <c r="F149" s="317">
        <v>23.943530353850729</v>
      </c>
      <c r="G149" s="480"/>
      <c r="H149" s="316">
        <f>SUM(H144:H146)</f>
        <v>5179731.5052000005</v>
      </c>
      <c r="I149" s="317">
        <v>25.670192809991082</v>
      </c>
      <c r="J149" s="318">
        <f>J144+J145</f>
        <v>348405.95039999986</v>
      </c>
      <c r="L149" s="320"/>
      <c r="M149" s="319">
        <f>(J149)/(E149)</f>
        <v>7.211394604817159E-2</v>
      </c>
      <c r="N149" s="320"/>
    </row>
    <row r="150" spans="1:14" s="304" customFormat="1" x14ac:dyDescent="0.2">
      <c r="A150" s="480">
        <f>A149+1</f>
        <v>89</v>
      </c>
      <c r="C150" s="304" t="s">
        <v>626</v>
      </c>
      <c r="E150" s="310"/>
      <c r="F150" s="312"/>
      <c r="G150" s="480"/>
      <c r="H150" s="310"/>
      <c r="I150" s="312"/>
      <c r="J150" s="313"/>
      <c r="L150" s="320"/>
      <c r="M150" s="472">
        <v>0.56795671736684017</v>
      </c>
      <c r="N150" s="320"/>
    </row>
    <row r="151" spans="1:14" s="304" customFormat="1" ht="8.25" customHeight="1" x14ac:dyDescent="0.2">
      <c r="A151" s="480"/>
      <c r="J151" s="313"/>
    </row>
    <row r="152" spans="1:14" s="304" customFormat="1" ht="14.25" x14ac:dyDescent="0.2">
      <c r="A152" s="480"/>
      <c r="C152" s="305" t="s">
        <v>763</v>
      </c>
      <c r="E152" s="304" t="s">
        <v>658</v>
      </c>
      <c r="F152" s="312"/>
      <c r="J152" s="313"/>
    </row>
    <row r="153" spans="1:14" s="304" customFormat="1" x14ac:dyDescent="0.2">
      <c r="A153" s="480">
        <f>A150+1</f>
        <v>90</v>
      </c>
      <c r="C153" s="304" t="s">
        <v>617</v>
      </c>
      <c r="E153" s="310">
        <v>175281.62300000002</v>
      </c>
      <c r="F153" s="312">
        <v>2.3256152713281146</v>
      </c>
      <c r="G153" s="312"/>
      <c r="H153" s="310">
        <v>168735.65099999998</v>
      </c>
      <c r="I153" s="312">
        <v>2.2387641103887486</v>
      </c>
      <c r="J153" s="313">
        <f>H153-E153</f>
        <v>-6545.972000000038</v>
      </c>
      <c r="K153" s="312"/>
      <c r="L153" s="472">
        <f>J153/E153</f>
        <v>-3.734545520496485E-2</v>
      </c>
      <c r="M153" s="472">
        <f>L153</f>
        <v>-3.734545520496485E-2</v>
      </c>
      <c r="N153" s="314"/>
    </row>
    <row r="154" spans="1:14" s="304" customFormat="1" x14ac:dyDescent="0.2">
      <c r="A154" s="480">
        <f>A153+1</f>
        <v>91</v>
      </c>
      <c r="C154" s="304" t="s">
        <v>618</v>
      </c>
      <c r="E154" s="310">
        <v>737872.3</v>
      </c>
      <c r="F154" s="312">
        <v>9.7900000000000009</v>
      </c>
      <c r="G154" s="312"/>
      <c r="H154" s="310">
        <v>737872.3</v>
      </c>
      <c r="I154" s="312">
        <v>9.7900000000000009</v>
      </c>
      <c r="J154" s="313">
        <f>H154-E154</f>
        <v>0</v>
      </c>
      <c r="K154" s="312"/>
      <c r="L154" s="472">
        <f>IFERROR(J154/E154,"100.0%")</f>
        <v>0</v>
      </c>
      <c r="M154" s="472">
        <v>0</v>
      </c>
      <c r="N154" s="314"/>
    </row>
    <row r="155" spans="1:14" s="304" customFormat="1" x14ac:dyDescent="0.2">
      <c r="A155" s="480">
        <f>A154+1</f>
        <v>92</v>
      </c>
      <c r="C155" s="304" t="s">
        <v>646</v>
      </c>
      <c r="E155" s="310">
        <v>1680045.5096397367</v>
      </c>
      <c r="F155" s="312">
        <v>22.290639639640926</v>
      </c>
      <c r="H155" s="310">
        <v>1575489.2580000001</v>
      </c>
      <c r="I155" s="312">
        <v>20.903400000000001</v>
      </c>
      <c r="J155" s="313">
        <f>H155-E155</f>
        <v>-104556.25163973658</v>
      </c>
      <c r="L155" s="472">
        <f>J155/E155</f>
        <v>-6.223417820518283E-2</v>
      </c>
      <c r="M155" s="472">
        <f>L155</f>
        <v>-6.223417820518283E-2</v>
      </c>
      <c r="N155" s="314"/>
    </row>
    <row r="156" spans="1:14" s="304" customFormat="1" x14ac:dyDescent="0.2">
      <c r="A156" s="480">
        <f>A155+1</f>
        <v>93</v>
      </c>
      <c r="C156" s="304" t="s">
        <v>620</v>
      </c>
      <c r="E156" s="316">
        <f>SUM(E153:E155)</f>
        <v>2593199.4326397367</v>
      </c>
      <c r="F156" s="317">
        <v>34.406254910969039</v>
      </c>
      <c r="H156" s="316">
        <f>SUM(H153:H155)</f>
        <v>2482097.2090000003</v>
      </c>
      <c r="I156" s="317">
        <v>32.932164110388754</v>
      </c>
      <c r="J156" s="318">
        <f>SUM(J153:J155)</f>
        <v>-111102.22363973662</v>
      </c>
      <c r="L156" s="473">
        <f>J156/E156</f>
        <v>-4.2843686544632845E-2</v>
      </c>
      <c r="M156" s="473">
        <f>(J156-J154)/(E156-E154)</f>
        <v>-5.9882821571019526E-2</v>
      </c>
      <c r="N156" s="320"/>
    </row>
    <row r="157" spans="1:14" s="304" customFormat="1" x14ac:dyDescent="0.2">
      <c r="A157" s="480"/>
      <c r="E157" s="310"/>
      <c r="F157" s="312"/>
      <c r="G157" s="480"/>
      <c r="H157" s="310"/>
      <c r="I157" s="312"/>
      <c r="J157" s="313"/>
      <c r="L157" s="320"/>
      <c r="M157" s="320"/>
      <c r="N157" s="320"/>
    </row>
    <row r="158" spans="1:14" s="304" customFormat="1" x14ac:dyDescent="0.2">
      <c r="A158" s="480">
        <f>A156+1</f>
        <v>94</v>
      </c>
      <c r="C158" s="304" t="s">
        <v>625</v>
      </c>
      <c r="E158" s="316">
        <f>SUM(E153:E154)+H155</f>
        <v>2488643.1810000003</v>
      </c>
      <c r="F158" s="317">
        <v>33.019015271328115</v>
      </c>
      <c r="G158" s="480"/>
      <c r="H158" s="316">
        <f>SUM(H153:H155)</f>
        <v>2482097.2090000003</v>
      </c>
      <c r="I158" s="317">
        <v>32.932164110388754</v>
      </c>
      <c r="J158" s="318">
        <f>J153+J154</f>
        <v>-6545.972000000038</v>
      </c>
      <c r="L158" s="473">
        <f>J158/E158</f>
        <v>-2.6303377077021139E-3</v>
      </c>
      <c r="M158" s="473">
        <f>(J158-J154)/(E158-E154)</f>
        <v>-3.7389084265904218E-3</v>
      </c>
      <c r="N158" s="320"/>
    </row>
    <row r="159" spans="1:14" s="304" customFormat="1" x14ac:dyDescent="0.2">
      <c r="A159" s="480">
        <f>A158+1</f>
        <v>95</v>
      </c>
      <c r="C159" s="304" t="s">
        <v>626</v>
      </c>
      <c r="E159" s="310"/>
      <c r="F159" s="312"/>
      <c r="G159" s="480"/>
      <c r="H159" s="310"/>
      <c r="I159" s="312"/>
      <c r="J159" s="313"/>
      <c r="L159" s="474">
        <v>-7.1685307757255743E-3</v>
      </c>
      <c r="M159" s="474">
        <v>-3.7345455204964871E-2</v>
      </c>
      <c r="N159" s="320"/>
    </row>
    <row r="160" spans="1:14" s="304" customFormat="1" x14ac:dyDescent="0.2">
      <c r="A160" s="480"/>
      <c r="J160" s="313"/>
    </row>
    <row r="161" spans="1:15" s="304" customFormat="1" ht="14.25" x14ac:dyDescent="0.2">
      <c r="A161" s="480"/>
      <c r="C161" s="305" t="s">
        <v>764</v>
      </c>
      <c r="E161" s="304" t="s">
        <v>659</v>
      </c>
      <c r="F161" s="312"/>
      <c r="J161" s="313"/>
    </row>
    <row r="162" spans="1:15" s="304" customFormat="1" x14ac:dyDescent="0.2">
      <c r="A162" s="480">
        <f>A159+1</f>
        <v>96</v>
      </c>
      <c r="C162" s="304" t="s">
        <v>617</v>
      </c>
      <c r="E162" s="310">
        <v>272637.50525799999</v>
      </c>
      <c r="F162" s="312">
        <v>2.3572450868922177</v>
      </c>
      <c r="G162" s="312"/>
      <c r="H162" s="310">
        <v>254772.35725800003</v>
      </c>
      <c r="I162" s="312">
        <v>2.202781627032758</v>
      </c>
      <c r="J162" s="313">
        <f>H162-E162</f>
        <v>-17865.147999999957</v>
      </c>
      <c r="K162" s="312"/>
      <c r="L162" s="472">
        <f>J162/E162</f>
        <v>-6.5527110743967387E-2</v>
      </c>
      <c r="M162" s="472">
        <f>L162</f>
        <v>-6.5527110743967387E-2</v>
      </c>
      <c r="N162" s="314"/>
    </row>
    <row r="163" spans="1:15" s="304" customFormat="1" x14ac:dyDescent="0.2">
      <c r="A163" s="480">
        <f>A162+1</f>
        <v>97</v>
      </c>
      <c r="C163" s="304" t="s">
        <v>618</v>
      </c>
      <c r="E163" s="310">
        <v>1132305.3302</v>
      </c>
      <c r="F163" s="312">
        <v>9.7900000000000009</v>
      </c>
      <c r="G163" s="312"/>
      <c r="H163" s="310">
        <v>1132305.3302</v>
      </c>
      <c r="I163" s="312">
        <v>9.7900000000000009</v>
      </c>
      <c r="J163" s="313">
        <f>H163-E163</f>
        <v>0</v>
      </c>
      <c r="K163" s="312"/>
      <c r="L163" s="472">
        <f>IFERROR(J163/E163,"100.0%")</f>
        <v>0</v>
      </c>
      <c r="M163" s="472">
        <v>0</v>
      </c>
      <c r="N163" s="314"/>
    </row>
    <row r="164" spans="1:15" s="304" customFormat="1" x14ac:dyDescent="0.2">
      <c r="A164" s="480">
        <f>A163+1</f>
        <v>98</v>
      </c>
      <c r="C164" s="304" t="s">
        <v>646</v>
      </c>
      <c r="E164" s="310">
        <v>2578121.5605242932</v>
      </c>
      <c r="F164" s="312">
        <v>22.290639639640926</v>
      </c>
      <c r="H164" s="310">
        <v>2417674.2838920001</v>
      </c>
      <c r="I164" s="312">
        <v>20.903400000000001</v>
      </c>
      <c r="J164" s="313">
        <f>H164-E164</f>
        <v>-160447.27663229313</v>
      </c>
      <c r="L164" s="472">
        <f>J164/E164</f>
        <v>-6.2234178205182913E-2</v>
      </c>
      <c r="M164" s="472">
        <f>L164</f>
        <v>-6.2234178205182913E-2</v>
      </c>
      <c r="N164" s="314"/>
    </row>
    <row r="165" spans="1:15" s="304" customFormat="1" x14ac:dyDescent="0.2">
      <c r="A165" s="480">
        <f>A164+1</f>
        <v>99</v>
      </c>
      <c r="C165" s="304" t="s">
        <v>620</v>
      </c>
      <c r="E165" s="316">
        <f>SUM(E162:E164)</f>
        <v>3983064.3959822934</v>
      </c>
      <c r="F165" s="317">
        <v>34.437884726533149</v>
      </c>
      <c r="H165" s="316">
        <f>SUM(H162:H164)</f>
        <v>3804751.9713500002</v>
      </c>
      <c r="I165" s="317">
        <v>32.89618162703276</v>
      </c>
      <c r="J165" s="318">
        <f>SUM(J162:J164)</f>
        <v>-178312.42463229308</v>
      </c>
      <c r="L165" s="473">
        <f>J165/E165</f>
        <v>-4.4767647947684792E-2</v>
      </c>
      <c r="M165" s="473">
        <f>(J165-J163)/(E165-E163)</f>
        <v>-6.2549103771195519E-2</v>
      </c>
      <c r="N165" s="320"/>
    </row>
    <row r="166" spans="1:15" s="304" customFormat="1" x14ac:dyDescent="0.2">
      <c r="A166" s="480"/>
      <c r="E166" s="310"/>
      <c r="F166" s="312"/>
      <c r="G166" s="480"/>
      <c r="H166" s="310"/>
      <c r="I166" s="312"/>
      <c r="J166" s="313"/>
      <c r="L166" s="320"/>
      <c r="M166" s="320"/>
      <c r="N166" s="320"/>
    </row>
    <row r="167" spans="1:15" s="304" customFormat="1" x14ac:dyDescent="0.2">
      <c r="A167" s="480">
        <f>A165+1</f>
        <v>100</v>
      </c>
      <c r="C167" s="304" t="s">
        <v>625</v>
      </c>
      <c r="E167" s="316">
        <f>SUM(E162:E163)+H164</f>
        <v>3822617.1193500003</v>
      </c>
      <c r="F167" s="317">
        <v>33.050645086892224</v>
      </c>
      <c r="G167" s="480"/>
      <c r="H167" s="316">
        <f>SUM(H162:H164)</f>
        <v>3804751.9713500002</v>
      </c>
      <c r="I167" s="317">
        <v>32.89618162703276</v>
      </c>
      <c r="J167" s="318">
        <f>J162+J163</f>
        <v>-17865.147999999957</v>
      </c>
      <c r="L167" s="473">
        <f>J167/E167</f>
        <v>-4.6735384272641343E-3</v>
      </c>
      <c r="M167" s="473">
        <f>(J167-J163)/(E167-E163)</f>
        <v>-6.6405492746416652E-3</v>
      </c>
      <c r="N167" s="320"/>
    </row>
    <row r="168" spans="1:15" s="304" customFormat="1" x14ac:dyDescent="0.2">
      <c r="A168" s="480">
        <f>A167+1</f>
        <v>101</v>
      </c>
      <c r="C168" s="304" t="s">
        <v>626</v>
      </c>
      <c r="E168" s="310"/>
      <c r="F168" s="312"/>
      <c r="G168" s="480"/>
      <c r="H168" s="310"/>
      <c r="I168" s="312"/>
      <c r="J168" s="313"/>
      <c r="L168" s="474">
        <v>-1.2715925195757939E-2</v>
      </c>
      <c r="M168" s="474">
        <v>-6.5527110743967484E-2</v>
      </c>
      <c r="N168" s="320"/>
    </row>
    <row r="169" spans="1:15" s="304" customFormat="1" x14ac:dyDescent="0.2">
      <c r="A169" s="480"/>
      <c r="E169" s="480"/>
      <c r="F169" s="480"/>
      <c r="G169" s="480"/>
      <c r="H169" s="480"/>
      <c r="I169" s="480"/>
      <c r="J169" s="480"/>
      <c r="K169" s="480"/>
      <c r="L169" s="480"/>
      <c r="M169" s="480"/>
      <c r="N169" s="480"/>
    </row>
    <row r="170" spans="1:15" s="501" customFormat="1" x14ac:dyDescent="0.2">
      <c r="A170" s="480"/>
      <c r="B170" s="304"/>
      <c r="C170" s="304"/>
      <c r="D170" s="304"/>
      <c r="E170" s="304"/>
      <c r="F170" s="304"/>
      <c r="G170" s="304"/>
      <c r="H170" s="304"/>
      <c r="I170" s="304"/>
      <c r="J170" s="304"/>
      <c r="K170" s="304"/>
      <c r="L170" s="333"/>
      <c r="M170" s="332"/>
      <c r="N170" s="333"/>
      <c r="O170" s="304"/>
    </row>
    <row r="171" spans="1:15" s="501" customFormat="1" x14ac:dyDescent="0.2">
      <c r="A171" s="480"/>
      <c r="B171" s="304"/>
      <c r="C171" s="304"/>
      <c r="D171" s="304"/>
      <c r="E171" s="304"/>
      <c r="F171" s="304"/>
      <c r="G171" s="304"/>
      <c r="H171" s="304"/>
      <c r="I171" s="304"/>
      <c r="J171" s="304"/>
      <c r="K171" s="304"/>
      <c r="L171" s="334"/>
      <c r="M171" s="333"/>
      <c r="N171" s="334"/>
      <c r="O171" s="304"/>
    </row>
    <row r="172" spans="1:15" s="305" customFormat="1" x14ac:dyDescent="0.2">
      <c r="A172" s="515" t="s">
        <v>881</v>
      </c>
      <c r="B172" s="515"/>
      <c r="C172" s="515"/>
      <c r="D172" s="515"/>
      <c r="E172" s="515"/>
      <c r="F172" s="515"/>
      <c r="G172" s="515"/>
      <c r="H172" s="515"/>
      <c r="I172" s="515"/>
      <c r="J172" s="515"/>
      <c r="K172" s="515"/>
      <c r="L172" s="515"/>
      <c r="M172" s="515"/>
    </row>
    <row r="173" spans="1:15" x14ac:dyDescent="0.2">
      <c r="A173" s="515" t="s">
        <v>815</v>
      </c>
      <c r="B173" s="515"/>
      <c r="C173" s="515"/>
      <c r="D173" s="515"/>
      <c r="E173" s="515"/>
      <c r="F173" s="515"/>
      <c r="G173" s="515"/>
      <c r="H173" s="515"/>
      <c r="I173" s="515"/>
      <c r="J173" s="515"/>
      <c r="K173" s="515"/>
      <c r="L173" s="515"/>
      <c r="M173" s="515"/>
    </row>
    <row r="174" spans="1:15" s="304" customFormat="1" x14ac:dyDescent="0.2">
      <c r="A174" s="492"/>
      <c r="B174" s="492"/>
      <c r="C174" s="492"/>
      <c r="D174" s="492"/>
      <c r="E174" s="492"/>
      <c r="F174" s="492"/>
      <c r="G174" s="492"/>
      <c r="H174" s="492"/>
      <c r="I174" s="492"/>
      <c r="J174" s="492"/>
      <c r="K174" s="492"/>
      <c r="L174" s="492"/>
      <c r="M174" s="492"/>
      <c r="N174" s="492"/>
    </row>
    <row r="175" spans="1:15" s="304" customFormat="1" ht="12.75" customHeight="1" x14ac:dyDescent="0.2">
      <c r="A175" s="480"/>
      <c r="E175" s="516" t="s">
        <v>812</v>
      </c>
      <c r="F175" s="516"/>
      <c r="H175" s="516" t="s">
        <v>607</v>
      </c>
      <c r="I175" s="516"/>
      <c r="J175" s="516"/>
      <c r="L175" s="516" t="s">
        <v>608</v>
      </c>
      <c r="M175" s="516"/>
      <c r="N175" s="480"/>
    </row>
    <row r="176" spans="1:15" s="304" customFormat="1" x14ac:dyDescent="0.2">
      <c r="A176" s="480"/>
      <c r="E176" s="480" t="s">
        <v>47</v>
      </c>
      <c r="F176" s="480"/>
      <c r="H176" s="480" t="s">
        <v>47</v>
      </c>
      <c r="I176" s="480"/>
      <c r="J176" s="480" t="s">
        <v>609</v>
      </c>
      <c r="L176" s="480" t="str">
        <f>'Attach 10 p.1-4'!$L$8</f>
        <v>Including Federal</v>
      </c>
      <c r="M176" s="480" t="str">
        <f>'Attach 10 p.1-4'!$M$8</f>
        <v xml:space="preserve">Excluding Federal </v>
      </c>
      <c r="N176" s="480"/>
    </row>
    <row r="177" spans="1:14" s="304" customFormat="1" x14ac:dyDescent="0.2">
      <c r="A177" s="480" t="s">
        <v>0</v>
      </c>
      <c r="E177" s="480" t="s">
        <v>612</v>
      </c>
      <c r="F177" s="480" t="s">
        <v>264</v>
      </c>
      <c r="H177" s="480" t="s">
        <v>612</v>
      </c>
      <c r="I177" s="480" t="s">
        <v>264</v>
      </c>
      <c r="J177" s="480" t="s">
        <v>613</v>
      </c>
      <c r="L177" s="480" t="str">
        <f>'Attach 10 p.1-4'!$L$9</f>
        <v>Carbon Charge</v>
      </c>
      <c r="M177" s="480" t="str">
        <f>'Attach 10 p.1-4'!$M$9</f>
        <v>Carbon Charge</v>
      </c>
      <c r="N177" s="480"/>
    </row>
    <row r="178" spans="1:14" s="304" customFormat="1" ht="14.25" x14ac:dyDescent="0.2">
      <c r="A178" s="491" t="s">
        <v>1</v>
      </c>
      <c r="C178" s="309" t="s">
        <v>9</v>
      </c>
      <c r="E178" s="491" t="s">
        <v>288</v>
      </c>
      <c r="F178" s="491" t="s">
        <v>12</v>
      </c>
      <c r="H178" s="491" t="s">
        <v>288</v>
      </c>
      <c r="I178" s="491" t="s">
        <v>12</v>
      </c>
      <c r="J178" s="491" t="s">
        <v>288</v>
      </c>
      <c r="L178" s="491" t="s">
        <v>2</v>
      </c>
      <c r="M178" s="491" t="s">
        <v>2</v>
      </c>
      <c r="N178" s="480"/>
    </row>
    <row r="179" spans="1:14" s="304" customFormat="1" x14ac:dyDescent="0.2">
      <c r="A179" s="480"/>
      <c r="E179" s="480" t="s">
        <v>3</v>
      </c>
      <c r="F179" s="480" t="s">
        <v>4</v>
      </c>
      <c r="G179" s="480"/>
      <c r="H179" s="480" t="s">
        <v>86</v>
      </c>
      <c r="I179" s="480" t="s">
        <v>133</v>
      </c>
      <c r="J179" s="480" t="s">
        <v>615</v>
      </c>
      <c r="K179" s="480"/>
      <c r="L179" s="480" t="s">
        <v>616</v>
      </c>
      <c r="M179" s="480" t="s">
        <v>15</v>
      </c>
      <c r="N179" s="480"/>
    </row>
    <row r="180" spans="1:14" s="304" customFormat="1" x14ac:dyDescent="0.2">
      <c r="A180" s="480"/>
      <c r="E180" s="480"/>
      <c r="F180" s="480"/>
      <c r="G180" s="480"/>
      <c r="H180" s="480"/>
      <c r="I180" s="480"/>
      <c r="J180" s="480"/>
      <c r="K180" s="480"/>
      <c r="L180" s="480"/>
      <c r="M180" s="480"/>
      <c r="N180" s="480"/>
    </row>
    <row r="181" spans="1:14" s="304" customFormat="1" x14ac:dyDescent="0.2">
      <c r="A181" s="480"/>
      <c r="C181" s="305" t="s">
        <v>765</v>
      </c>
      <c r="E181" s="493" t="s">
        <v>660</v>
      </c>
      <c r="F181" s="312"/>
      <c r="J181" s="313"/>
    </row>
    <row r="182" spans="1:14" s="304" customFormat="1" x14ac:dyDescent="0.2">
      <c r="A182" s="480">
        <f>A168+1</f>
        <v>102</v>
      </c>
      <c r="C182" s="304" t="s">
        <v>617</v>
      </c>
      <c r="E182" s="310">
        <v>614548.49508000002</v>
      </c>
      <c r="F182" s="312">
        <v>2.398324135266515</v>
      </c>
      <c r="G182" s="312"/>
      <c r="H182" s="310">
        <v>543142.54728000006</v>
      </c>
      <c r="I182" s="312">
        <v>2.119656773160246</v>
      </c>
      <c r="J182" s="313">
        <f>H182-E182</f>
        <v>-71405.947799999965</v>
      </c>
      <c r="K182" s="312"/>
      <c r="L182" s="472">
        <f>J182/E182</f>
        <v>-0.11619253544946775</v>
      </c>
      <c r="M182" s="472">
        <f>L182</f>
        <v>-0.11619253544946775</v>
      </c>
      <c r="N182" s="314"/>
    </row>
    <row r="183" spans="1:14" s="304" customFormat="1" x14ac:dyDescent="0.2">
      <c r="A183" s="480">
        <f>A182+1</f>
        <v>103</v>
      </c>
      <c r="C183" s="304" t="s">
        <v>618</v>
      </c>
      <c r="E183" s="310">
        <v>2508597.432</v>
      </c>
      <c r="F183" s="312">
        <v>9.7900000000000009</v>
      </c>
      <c r="G183" s="312"/>
      <c r="H183" s="310">
        <v>2508597.432</v>
      </c>
      <c r="I183" s="312">
        <v>9.7900000000000009</v>
      </c>
      <c r="J183" s="313">
        <f>H183-E183</f>
        <v>0</v>
      </c>
      <c r="K183" s="312"/>
      <c r="L183" s="472">
        <f>IFERROR(J183/E183,"100.0%")</f>
        <v>0</v>
      </c>
      <c r="M183" s="472">
        <v>0</v>
      </c>
      <c r="N183" s="314"/>
    </row>
    <row r="184" spans="1:14" s="304" customFormat="1" x14ac:dyDescent="0.2">
      <c r="A184" s="480">
        <f>A183+1</f>
        <v>104</v>
      </c>
      <c r="C184" s="304" t="s">
        <v>646</v>
      </c>
      <c r="E184" s="310">
        <v>5711771.3337733028</v>
      </c>
      <c r="F184" s="312">
        <v>22.290639639640926</v>
      </c>
      <c r="H184" s="310">
        <v>5356303.93872</v>
      </c>
      <c r="I184" s="312">
        <v>20.903400000000001</v>
      </c>
      <c r="J184" s="313">
        <f>H184-E184</f>
        <v>-355467.39505330287</v>
      </c>
      <c r="L184" s="472">
        <f>J184/E184</f>
        <v>-6.2234178205182886E-2</v>
      </c>
      <c r="M184" s="472">
        <f>L184</f>
        <v>-6.2234178205182886E-2</v>
      </c>
      <c r="N184" s="314"/>
    </row>
    <row r="185" spans="1:14" s="304" customFormat="1" x14ac:dyDescent="0.2">
      <c r="A185" s="480">
        <f>A184+1</f>
        <v>105</v>
      </c>
      <c r="C185" s="304" t="s">
        <v>620</v>
      </c>
      <c r="E185" s="316">
        <f>SUM(E182:E184)</f>
        <v>8834917.2608533017</v>
      </c>
      <c r="F185" s="317">
        <v>34.478963774907442</v>
      </c>
      <c r="H185" s="316">
        <f>SUM(H182:H184)</f>
        <v>8408043.9179999996</v>
      </c>
      <c r="I185" s="317">
        <v>32.813056773160241</v>
      </c>
      <c r="J185" s="318">
        <f>SUM(J182:J184)</f>
        <v>-426873.34285330283</v>
      </c>
      <c r="L185" s="473">
        <f>J185/E185</f>
        <v>-4.8316620320230839E-2</v>
      </c>
      <c r="M185" s="473">
        <f>(J185-J183)/(E185-E183)</f>
        <v>-6.7475776502225498E-2</v>
      </c>
      <c r="N185" s="320"/>
    </row>
    <row r="186" spans="1:14" s="304" customFormat="1" x14ac:dyDescent="0.2">
      <c r="A186" s="480"/>
      <c r="E186" s="310"/>
      <c r="F186" s="312"/>
      <c r="G186" s="480"/>
      <c r="H186" s="310"/>
      <c r="I186" s="312"/>
      <c r="J186" s="313"/>
      <c r="L186" s="320"/>
      <c r="M186" s="320"/>
      <c r="N186" s="320"/>
    </row>
    <row r="187" spans="1:14" s="304" customFormat="1" x14ac:dyDescent="0.2">
      <c r="A187" s="480">
        <f>A185+1</f>
        <v>106</v>
      </c>
      <c r="C187" s="304" t="s">
        <v>625</v>
      </c>
      <c r="E187" s="316">
        <f>SUM(E182:E183)+H184</f>
        <v>8479449.8658000007</v>
      </c>
      <c r="F187" s="317">
        <v>33.091724135266517</v>
      </c>
      <c r="G187" s="480"/>
      <c r="H187" s="316">
        <f>SUM(H182:H184)</f>
        <v>8408043.9179999996</v>
      </c>
      <c r="I187" s="317">
        <v>32.813056773160241</v>
      </c>
      <c r="J187" s="318">
        <f>J182+J183</f>
        <v>-71405.947799999965</v>
      </c>
      <c r="L187" s="473">
        <f>J187/E187</f>
        <v>-8.4210590227085571E-3</v>
      </c>
      <c r="M187" s="473">
        <f>(J187-J183)/(E187-E183)</f>
        <v>-1.1959087683323539E-2</v>
      </c>
      <c r="N187" s="320"/>
    </row>
    <row r="188" spans="1:14" s="304" customFormat="1" x14ac:dyDescent="0.2">
      <c r="A188" s="480">
        <f>A187+1</f>
        <v>107</v>
      </c>
      <c r="C188" s="304" t="s">
        <v>626</v>
      </c>
      <c r="E188" s="310"/>
      <c r="F188" s="312"/>
      <c r="G188" s="480"/>
      <c r="H188" s="310"/>
      <c r="I188" s="312"/>
      <c r="J188" s="313"/>
      <c r="L188" s="474">
        <v>-2.2863468267959337E-2</v>
      </c>
      <c r="M188" s="474">
        <v>-0.11619253544946785</v>
      </c>
      <c r="N188" s="320"/>
    </row>
    <row r="189" spans="1:14" s="304" customFormat="1" x14ac:dyDescent="0.2">
      <c r="A189" s="480"/>
      <c r="J189" s="313"/>
    </row>
    <row r="190" spans="1:14" s="304" customFormat="1" ht="14.25" x14ac:dyDescent="0.2">
      <c r="A190" s="480"/>
      <c r="C190" s="305" t="s">
        <v>766</v>
      </c>
      <c r="E190" s="493" t="s">
        <v>661</v>
      </c>
      <c r="F190" s="312"/>
      <c r="J190" s="313"/>
    </row>
    <row r="191" spans="1:14" s="304" customFormat="1" x14ac:dyDescent="0.2">
      <c r="A191" s="480">
        <f>A188+1</f>
        <v>108</v>
      </c>
      <c r="C191" s="304" t="s">
        <v>617</v>
      </c>
      <c r="E191" s="310">
        <v>777628.5580800001</v>
      </c>
      <c r="F191" s="312">
        <v>1.312320369380316</v>
      </c>
      <c r="G191" s="312"/>
      <c r="H191" s="310">
        <v>718009.89600000007</v>
      </c>
      <c r="I191" s="312">
        <v>1.2117083434588904</v>
      </c>
      <c r="J191" s="313">
        <f>H191-E191</f>
        <v>-59618.662080000038</v>
      </c>
      <c r="K191" s="312"/>
      <c r="L191" s="472">
        <f>J191/E191</f>
        <v>-7.6667274446814551E-2</v>
      </c>
      <c r="M191" s="472">
        <f>L191</f>
        <v>-7.6667274446814551E-2</v>
      </c>
      <c r="N191" s="314"/>
    </row>
    <row r="192" spans="1:14" s="304" customFormat="1" x14ac:dyDescent="0.2">
      <c r="A192" s="480">
        <f>A191+1</f>
        <v>109</v>
      </c>
      <c r="C192" s="304" t="s">
        <v>618</v>
      </c>
      <c r="E192" s="310">
        <v>5801162.4000000004</v>
      </c>
      <c r="F192" s="312">
        <v>9.7900000000000009</v>
      </c>
      <c r="G192" s="312"/>
      <c r="H192" s="310">
        <v>5801162.4000000004</v>
      </c>
      <c r="I192" s="312">
        <v>9.7900000000000009</v>
      </c>
      <c r="J192" s="313">
        <f>H192-E192</f>
        <v>0</v>
      </c>
      <c r="K192" s="312"/>
      <c r="L192" s="472">
        <f>IFERROR(J192/E192,"100.0%")</f>
        <v>0</v>
      </c>
      <c r="M192" s="472">
        <v>0</v>
      </c>
      <c r="N192" s="314"/>
    </row>
    <row r="193" spans="1:14" s="304" customFormat="1" x14ac:dyDescent="0.2">
      <c r="A193" s="480">
        <f>A192+1</f>
        <v>110</v>
      </c>
      <c r="C193" s="304" t="s">
        <v>646</v>
      </c>
      <c r="E193" s="310">
        <v>13208541.42486563</v>
      </c>
      <c r="F193" s="312">
        <v>22.290639639640929</v>
      </c>
      <c r="H193" s="310">
        <v>12386518.704000002</v>
      </c>
      <c r="I193" s="312">
        <v>20.903400000000001</v>
      </c>
      <c r="J193" s="313">
        <f>H193-E193</f>
        <v>-822022.72086562775</v>
      </c>
      <c r="L193" s="472">
        <f>J193/E193</f>
        <v>-6.2234178205182879E-2</v>
      </c>
      <c r="M193" s="472">
        <f>L193</f>
        <v>-6.2234178205182879E-2</v>
      </c>
      <c r="N193" s="314"/>
    </row>
    <row r="194" spans="1:14" s="304" customFormat="1" x14ac:dyDescent="0.2">
      <c r="A194" s="480">
        <f>A193+1</f>
        <v>111</v>
      </c>
      <c r="C194" s="304" t="s">
        <v>620</v>
      </c>
      <c r="E194" s="316">
        <f>SUM(E191:E193)</f>
        <v>19787332.382945631</v>
      </c>
      <c r="F194" s="317">
        <v>33.392960009021252</v>
      </c>
      <c r="H194" s="316">
        <f>SUM(H191:H193)</f>
        <v>18905691</v>
      </c>
      <c r="I194" s="317">
        <v>31.905108343458888</v>
      </c>
      <c r="J194" s="318">
        <f>SUM(J191:J193)</f>
        <v>-881641.38294562779</v>
      </c>
      <c r="L194" s="473">
        <f>J194/E194</f>
        <v>-4.4555848453099199E-2</v>
      </c>
      <c r="M194" s="473">
        <f>(J194-J192)/(E194-E192)</f>
        <v>-6.3036655783583223E-2</v>
      </c>
      <c r="N194" s="320"/>
    </row>
    <row r="195" spans="1:14" s="304" customFormat="1" x14ac:dyDescent="0.2">
      <c r="A195" s="480"/>
      <c r="E195" s="310"/>
      <c r="F195" s="312"/>
      <c r="G195" s="480"/>
      <c r="H195" s="310"/>
      <c r="I195" s="312"/>
      <c r="J195" s="313"/>
      <c r="L195" s="320"/>
      <c r="M195" s="320"/>
      <c r="N195" s="320"/>
    </row>
    <row r="196" spans="1:14" s="304" customFormat="1" x14ac:dyDescent="0.2">
      <c r="A196" s="480">
        <f>A194+1</f>
        <v>112</v>
      </c>
      <c r="C196" s="304" t="s">
        <v>625</v>
      </c>
      <c r="E196" s="316">
        <f>SUM(E191:E192)+H193</f>
        <v>18965309.662080001</v>
      </c>
      <c r="F196" s="317">
        <v>32.00572036938032</v>
      </c>
      <c r="G196" s="480"/>
      <c r="H196" s="316">
        <f>SUM(H191:H193)</f>
        <v>18905691</v>
      </c>
      <c r="I196" s="317">
        <v>31.905108343458888</v>
      </c>
      <c r="J196" s="318">
        <f>J191+J192</f>
        <v>-59618.662080000038</v>
      </c>
      <c r="L196" s="473">
        <f>J196/E196</f>
        <v>-3.1435638617176905E-3</v>
      </c>
      <c r="M196" s="473">
        <f>(J196-J192)/(E196-E192)</f>
        <v>-4.5288662374459027E-3</v>
      </c>
      <c r="N196" s="320"/>
    </row>
    <row r="197" spans="1:14" s="304" customFormat="1" x14ac:dyDescent="0.2">
      <c r="A197" s="480">
        <f>A196+1</f>
        <v>113</v>
      </c>
      <c r="C197" s="304" t="s">
        <v>626</v>
      </c>
      <c r="E197" s="310"/>
      <c r="F197" s="312"/>
      <c r="G197" s="480"/>
      <c r="H197" s="310"/>
      <c r="I197" s="312"/>
      <c r="J197" s="313"/>
      <c r="L197" s="474">
        <v>-9.0622520855108083E-3</v>
      </c>
      <c r="M197" s="474">
        <v>-7.6667274446814662E-2</v>
      </c>
      <c r="N197" s="320"/>
    </row>
    <row r="198" spans="1:14" s="304" customFormat="1" x14ac:dyDescent="0.2">
      <c r="A198" s="480"/>
      <c r="J198" s="313"/>
    </row>
    <row r="199" spans="1:14" s="304" customFormat="1" ht="14.25" x14ac:dyDescent="0.2">
      <c r="A199" s="480"/>
      <c r="C199" s="305" t="s">
        <v>767</v>
      </c>
      <c r="E199" s="493" t="s">
        <v>662</v>
      </c>
      <c r="F199" s="312"/>
      <c r="J199" s="313"/>
    </row>
    <row r="200" spans="1:14" s="304" customFormat="1" x14ac:dyDescent="0.2">
      <c r="A200" s="480">
        <f>A197+1</f>
        <v>114</v>
      </c>
      <c r="C200" s="304" t="s">
        <v>617</v>
      </c>
      <c r="E200" s="310">
        <v>1901634.1410300001</v>
      </c>
      <c r="F200" s="312">
        <v>0.96144172263136862</v>
      </c>
      <c r="G200" s="312"/>
      <c r="H200" s="310">
        <v>2082787.8448500002</v>
      </c>
      <c r="I200" s="312">
        <v>1.0530307014490381</v>
      </c>
      <c r="J200" s="313">
        <f>H200-E200</f>
        <v>181153.70382000017</v>
      </c>
      <c r="K200" s="312"/>
      <c r="L200" s="472">
        <f>J200/E200</f>
        <v>9.5262122146103342E-2</v>
      </c>
      <c r="M200" s="472">
        <f>L200</f>
        <v>9.5262122146103342E-2</v>
      </c>
      <c r="N200" s="314"/>
    </row>
    <row r="201" spans="1:14" s="304" customFormat="1" x14ac:dyDescent="0.2">
      <c r="A201" s="480">
        <f>A200+1</f>
        <v>115</v>
      </c>
      <c r="C201" s="304" t="s">
        <v>618</v>
      </c>
      <c r="E201" s="310">
        <v>19363626.314999998</v>
      </c>
      <c r="F201" s="312">
        <v>9.7899999999999991</v>
      </c>
      <c r="G201" s="312"/>
      <c r="H201" s="310">
        <v>19363626.314999998</v>
      </c>
      <c r="I201" s="312">
        <v>9.7899999999999991</v>
      </c>
      <c r="J201" s="313">
        <f>H201-E201</f>
        <v>0</v>
      </c>
      <c r="K201" s="312"/>
      <c r="L201" s="472">
        <f>IFERROR(J201/E201,"100.0%")</f>
        <v>0</v>
      </c>
      <c r="M201" s="472">
        <v>0</v>
      </c>
      <c r="N201" s="314"/>
    </row>
    <row r="202" spans="1:14" s="304" customFormat="1" x14ac:dyDescent="0.2">
      <c r="A202" s="480">
        <f>A201+1</f>
        <v>116</v>
      </c>
      <c r="C202" s="304" t="s">
        <v>646</v>
      </c>
      <c r="E202" s="310">
        <v>44088622.707286336</v>
      </c>
      <c r="F202" s="312">
        <v>22.290639639640929</v>
      </c>
      <c r="H202" s="310">
        <v>41344803.504900001</v>
      </c>
      <c r="I202" s="312">
        <v>20.903400000000001</v>
      </c>
      <c r="J202" s="313">
        <f>H202-E202</f>
        <v>-2743819.2023863345</v>
      </c>
      <c r="L202" s="472">
        <f>J202/E202</f>
        <v>-6.2234178205182976E-2</v>
      </c>
      <c r="M202" s="472">
        <f>L202</f>
        <v>-6.2234178205182976E-2</v>
      </c>
      <c r="N202" s="314"/>
    </row>
    <row r="203" spans="1:14" s="304" customFormat="1" x14ac:dyDescent="0.2">
      <c r="A203" s="480">
        <f>A202+1</f>
        <v>117</v>
      </c>
      <c r="C203" s="304" t="s">
        <v>620</v>
      </c>
      <c r="E203" s="316">
        <f>SUM(E200:E202)</f>
        <v>65353883.163316332</v>
      </c>
      <c r="F203" s="317">
        <v>33.042081362272299</v>
      </c>
      <c r="H203" s="316">
        <f>SUM(H200:H202)</f>
        <v>62791217.664749995</v>
      </c>
      <c r="I203" s="317">
        <v>31.746430701449036</v>
      </c>
      <c r="J203" s="318">
        <f>SUM(J200:J202)</f>
        <v>-2562665.4985663341</v>
      </c>
      <c r="L203" s="473">
        <f>J203/E203</f>
        <v>-3.9212138200913807E-2</v>
      </c>
      <c r="M203" s="473">
        <f>(J203-J201)/(E203-E201)</f>
        <v>-5.5721921863111999E-2</v>
      </c>
      <c r="N203" s="320"/>
    </row>
    <row r="204" spans="1:14" s="304" customFormat="1" x14ac:dyDescent="0.2">
      <c r="A204" s="480"/>
      <c r="E204" s="310"/>
      <c r="F204" s="312"/>
      <c r="G204" s="480"/>
      <c r="H204" s="310"/>
      <c r="I204" s="312"/>
      <c r="J204" s="313"/>
      <c r="L204" s="320"/>
      <c r="M204" s="320"/>
      <c r="N204" s="320"/>
    </row>
    <row r="205" spans="1:14" s="304" customFormat="1" x14ac:dyDescent="0.2">
      <c r="A205" s="480">
        <f>A203+1</f>
        <v>118</v>
      </c>
      <c r="C205" s="304" t="s">
        <v>625</v>
      </c>
      <c r="E205" s="316">
        <f>SUM(E200:E201)+H202</f>
        <v>62610063.960929997</v>
      </c>
      <c r="F205" s="317">
        <v>31.654841722631367</v>
      </c>
      <c r="G205" s="480"/>
      <c r="H205" s="316">
        <f>SUM(H200:H202)</f>
        <v>62791217.664749995</v>
      </c>
      <c r="I205" s="317">
        <v>31.746430701449036</v>
      </c>
      <c r="J205" s="318">
        <f>J200+J201</f>
        <v>181153.70382000017</v>
      </c>
      <c r="L205" s="473">
        <f>J205/E205</f>
        <v>2.8933639795200323E-3</v>
      </c>
      <c r="M205" s="473">
        <f>(J205-J201)/(E205-E201)</f>
        <v>4.1888699666583719E-3</v>
      </c>
      <c r="N205" s="320"/>
    </row>
    <row r="206" spans="1:14" s="304" customFormat="1" x14ac:dyDescent="0.2">
      <c r="A206" s="480">
        <f>A205+1</f>
        <v>119</v>
      </c>
      <c r="C206" s="304" t="s">
        <v>626</v>
      </c>
      <c r="E206" s="310"/>
      <c r="F206" s="312"/>
      <c r="G206" s="480"/>
      <c r="H206" s="310"/>
      <c r="I206" s="312"/>
      <c r="J206" s="313"/>
      <c r="L206" s="474">
        <v>8.5187625232510146E-3</v>
      </c>
      <c r="M206" s="474">
        <v>9.5262122146103315E-2</v>
      </c>
      <c r="N206" s="320"/>
    </row>
    <row r="207" spans="1:14" s="304" customFormat="1" x14ac:dyDescent="0.2">
      <c r="A207" s="480"/>
      <c r="J207" s="313"/>
    </row>
    <row r="208" spans="1:14" s="304" customFormat="1" ht="14.25" x14ac:dyDescent="0.2">
      <c r="A208" s="480"/>
      <c r="C208" s="305" t="s">
        <v>768</v>
      </c>
      <c r="E208" s="493" t="s">
        <v>663</v>
      </c>
      <c r="F208" s="312"/>
      <c r="J208" s="313"/>
    </row>
    <row r="209" spans="1:14" s="304" customFormat="1" x14ac:dyDescent="0.2">
      <c r="A209" s="480">
        <f>A206+1</f>
        <v>120</v>
      </c>
      <c r="C209" s="304" t="s">
        <v>617</v>
      </c>
      <c r="E209" s="310">
        <v>3156031.7890800005</v>
      </c>
      <c r="F209" s="312">
        <v>0.85277643731102526</v>
      </c>
      <c r="G209" s="312"/>
      <c r="H209" s="310">
        <v>3598365.7890000003</v>
      </c>
      <c r="I209" s="312">
        <v>0.97229741737798214</v>
      </c>
      <c r="J209" s="313">
        <f>H209-E209</f>
        <v>442333.99991999986</v>
      </c>
      <c r="K209" s="312"/>
      <c r="L209" s="472">
        <f>J209/E209</f>
        <v>0.14015511549994319</v>
      </c>
      <c r="M209" s="472">
        <f>L209</f>
        <v>0.14015511549994319</v>
      </c>
      <c r="N209" s="314"/>
    </row>
    <row r="210" spans="1:14" s="304" customFormat="1" x14ac:dyDescent="0.2">
      <c r="A210" s="480">
        <f>A209+1</f>
        <v>121</v>
      </c>
      <c r="C210" s="304" t="s">
        <v>618</v>
      </c>
      <c r="E210" s="310">
        <v>36231713.099999994</v>
      </c>
      <c r="F210" s="312">
        <v>9.7899999999999991</v>
      </c>
      <c r="G210" s="312"/>
      <c r="H210" s="310">
        <v>36231713.099999994</v>
      </c>
      <c r="I210" s="312">
        <v>9.7899999999999991</v>
      </c>
      <c r="J210" s="313">
        <f>H210-E210</f>
        <v>0</v>
      </c>
      <c r="K210" s="312"/>
      <c r="L210" s="472">
        <f>IFERROR(J210/E210,"100.0%")</f>
        <v>0</v>
      </c>
      <c r="M210" s="472">
        <v>0</v>
      </c>
      <c r="N210" s="314"/>
    </row>
    <row r="211" spans="1:14" s="304" customFormat="1" x14ac:dyDescent="0.2">
      <c r="A211" s="480">
        <f>A210+1</f>
        <v>122</v>
      </c>
      <c r="C211" s="304" t="s">
        <v>646</v>
      </c>
      <c r="E211" s="310">
        <v>82495205.335950717</v>
      </c>
      <c r="F211" s="312">
        <v>22.290639639640929</v>
      </c>
      <c r="H211" s="310">
        <v>77361184.026000008</v>
      </c>
      <c r="I211" s="312">
        <v>20.903400000000001</v>
      </c>
      <c r="J211" s="313">
        <f>H211-E211</f>
        <v>-5134021.3099507093</v>
      </c>
      <c r="L211" s="472">
        <f>J211/E211</f>
        <v>-6.2234178205182865E-2</v>
      </c>
      <c r="M211" s="472">
        <f>L211</f>
        <v>-6.2234178205182865E-2</v>
      </c>
      <c r="N211" s="314"/>
    </row>
    <row r="212" spans="1:14" s="304" customFormat="1" x14ac:dyDescent="0.2">
      <c r="A212" s="480">
        <f>A211+1</f>
        <v>123</v>
      </c>
      <c r="C212" s="304" t="s">
        <v>620</v>
      </c>
      <c r="E212" s="316">
        <f>SUM(E209:E211)</f>
        <v>121882950.22503072</v>
      </c>
      <c r="F212" s="317">
        <v>32.933416076951957</v>
      </c>
      <c r="H212" s="316">
        <f>SUM(H209:H211)</f>
        <v>117191262.91499999</v>
      </c>
      <c r="I212" s="317">
        <v>31.665697417377981</v>
      </c>
      <c r="J212" s="318">
        <f>SUM(J209:J211)</f>
        <v>-4691687.31003071</v>
      </c>
      <c r="L212" s="473">
        <f>J212/E212</f>
        <v>-3.8493384852996387E-2</v>
      </c>
      <c r="M212" s="473">
        <f>(J212-J210)/(E212-E210)</f>
        <v>-5.4776643835067397E-2</v>
      </c>
      <c r="N212" s="320"/>
    </row>
    <row r="213" spans="1:14" s="304" customFormat="1" x14ac:dyDescent="0.2">
      <c r="A213" s="480"/>
      <c r="E213" s="310"/>
      <c r="F213" s="312"/>
      <c r="G213" s="480"/>
      <c r="H213" s="310"/>
      <c r="I213" s="312"/>
      <c r="J213" s="313"/>
      <c r="L213" s="320"/>
      <c r="M213" s="320"/>
      <c r="N213" s="320"/>
    </row>
    <row r="214" spans="1:14" s="304" customFormat="1" x14ac:dyDescent="0.2">
      <c r="A214" s="480">
        <f>A212+1</f>
        <v>124</v>
      </c>
      <c r="C214" s="304" t="s">
        <v>625</v>
      </c>
      <c r="E214" s="316">
        <f>SUM(E209:E210)+H211</f>
        <v>116748928.91508001</v>
      </c>
      <c r="F214" s="317">
        <v>31.546176437311029</v>
      </c>
      <c r="G214" s="480"/>
      <c r="H214" s="316">
        <f>SUM(H209:H211)</f>
        <v>117191262.91499999</v>
      </c>
      <c r="I214" s="317">
        <v>31.665697417377981</v>
      </c>
      <c r="J214" s="318">
        <f>J209+J210</f>
        <v>442333.99991999986</v>
      </c>
      <c r="L214" s="473">
        <f>J214/E214</f>
        <v>3.7887628094793193E-3</v>
      </c>
      <c r="M214" s="473">
        <f>(J214-J210)/(E214-E210)</f>
        <v>5.493657417761276E-3</v>
      </c>
      <c r="N214" s="320"/>
    </row>
    <row r="215" spans="1:14" s="304" customFormat="1" x14ac:dyDescent="0.2">
      <c r="A215" s="480">
        <f>A214+1</f>
        <v>125</v>
      </c>
      <c r="C215" s="304" t="s">
        <v>626</v>
      </c>
      <c r="E215" s="310"/>
      <c r="F215" s="312"/>
      <c r="G215" s="480"/>
      <c r="H215" s="310"/>
      <c r="I215" s="312"/>
      <c r="J215" s="313"/>
      <c r="L215" s="474">
        <v>1.1230244360667486E-2</v>
      </c>
      <c r="M215" s="474">
        <v>0.14015511549994331</v>
      </c>
      <c r="N215" s="320"/>
    </row>
    <row r="216" spans="1:14" s="304" customFormat="1" x14ac:dyDescent="0.2">
      <c r="A216" s="480"/>
      <c r="J216" s="313"/>
    </row>
    <row r="217" spans="1:14" s="304" customFormat="1" ht="14.25" x14ac:dyDescent="0.2">
      <c r="A217" s="480"/>
      <c r="C217" s="305" t="s">
        <v>769</v>
      </c>
      <c r="E217" s="493" t="s">
        <v>661</v>
      </c>
      <c r="F217" s="312"/>
      <c r="J217" s="313"/>
    </row>
    <row r="218" spans="1:14" s="304" customFormat="1" x14ac:dyDescent="0.2">
      <c r="A218" s="480">
        <f>A215+1</f>
        <v>126</v>
      </c>
      <c r="C218" s="304" t="s">
        <v>617</v>
      </c>
      <c r="E218" s="310">
        <v>777628.5580800001</v>
      </c>
      <c r="F218" s="312">
        <v>1.312320369380316</v>
      </c>
      <c r="G218" s="312"/>
      <c r="H218" s="310">
        <v>491491.53599999996</v>
      </c>
      <c r="I218" s="312">
        <v>0.82943758606723372</v>
      </c>
      <c r="J218" s="313">
        <f>H218-E218</f>
        <v>-286137.02208000014</v>
      </c>
      <c r="K218" s="312"/>
      <c r="L218" s="472">
        <f>J218/E218</f>
        <v>-0.36796105172176974</v>
      </c>
      <c r="M218" s="472">
        <f>L218</f>
        <v>-0.36796105172176974</v>
      </c>
      <c r="N218" s="314"/>
    </row>
    <row r="219" spans="1:14" s="304" customFormat="1" x14ac:dyDescent="0.2">
      <c r="A219" s="480">
        <f>A218+1</f>
        <v>127</v>
      </c>
      <c r="C219" s="304" t="s">
        <v>618</v>
      </c>
      <c r="E219" s="310">
        <v>5801162.4000000004</v>
      </c>
      <c r="F219" s="312">
        <v>9.7900000000000009</v>
      </c>
      <c r="G219" s="312"/>
      <c r="H219" s="310">
        <v>5801162.4000000004</v>
      </c>
      <c r="I219" s="312">
        <v>9.7900000000000009</v>
      </c>
      <c r="J219" s="313">
        <f>H219-E219</f>
        <v>0</v>
      </c>
      <c r="K219" s="312"/>
      <c r="L219" s="472">
        <f>IFERROR(J219/E219,"100.0%")</f>
        <v>0</v>
      </c>
      <c r="M219" s="472">
        <v>0</v>
      </c>
      <c r="N219" s="314"/>
    </row>
    <row r="220" spans="1:14" s="304" customFormat="1" x14ac:dyDescent="0.2">
      <c r="A220" s="480">
        <f>A219+1</f>
        <v>128</v>
      </c>
      <c r="C220" s="304" t="s">
        <v>646</v>
      </c>
      <c r="E220" s="310">
        <v>13208541.42486563</v>
      </c>
      <c r="F220" s="312">
        <v>22.290639639640929</v>
      </c>
      <c r="H220" s="310">
        <v>12386518.704000002</v>
      </c>
      <c r="I220" s="312">
        <v>20.903400000000001</v>
      </c>
      <c r="J220" s="313">
        <f>H220-E220</f>
        <v>-822022.72086562775</v>
      </c>
      <c r="L220" s="472">
        <f>J220/E220</f>
        <v>-6.2234178205182879E-2</v>
      </c>
      <c r="M220" s="472">
        <f>L220</f>
        <v>-6.2234178205182879E-2</v>
      </c>
      <c r="N220" s="314"/>
    </row>
    <row r="221" spans="1:14" s="304" customFormat="1" x14ac:dyDescent="0.2">
      <c r="A221" s="480">
        <f>A220+1</f>
        <v>129</v>
      </c>
      <c r="C221" s="304" t="s">
        <v>620</v>
      </c>
      <c r="E221" s="316">
        <f>SUM(E218:E220)</f>
        <v>19787332.382945631</v>
      </c>
      <c r="F221" s="317">
        <v>33.392960009021252</v>
      </c>
      <c r="H221" s="316">
        <f>SUM(H218:H220)</f>
        <v>18679172.640000001</v>
      </c>
      <c r="I221" s="317">
        <v>31.522837586067237</v>
      </c>
      <c r="J221" s="318">
        <f>SUM(J218:J220)</f>
        <v>-1108159.7429456278</v>
      </c>
      <c r="L221" s="473">
        <f>J221/E221</f>
        <v>-5.6003493624068902E-2</v>
      </c>
      <c r="M221" s="473">
        <f>(J221-J219)/(E221-E219)</f>
        <v>-7.923253787826752E-2</v>
      </c>
      <c r="N221" s="320"/>
    </row>
    <row r="222" spans="1:14" s="304" customFormat="1" x14ac:dyDescent="0.2">
      <c r="A222" s="480"/>
      <c r="E222" s="310"/>
      <c r="F222" s="312"/>
      <c r="G222" s="480"/>
      <c r="H222" s="310"/>
      <c r="I222" s="312"/>
      <c r="J222" s="313"/>
      <c r="L222" s="320"/>
      <c r="M222" s="320"/>
      <c r="N222" s="320"/>
    </row>
    <row r="223" spans="1:14" s="304" customFormat="1" x14ac:dyDescent="0.2">
      <c r="A223" s="480">
        <f>A221+1</f>
        <v>130</v>
      </c>
      <c r="C223" s="304" t="s">
        <v>625</v>
      </c>
      <c r="E223" s="316">
        <f>SUM(E218:E219)+H220</f>
        <v>18965309.662080001</v>
      </c>
      <c r="F223" s="317">
        <v>32.00572036938032</v>
      </c>
      <c r="G223" s="480"/>
      <c r="H223" s="316">
        <f>SUM(H218:H220)</f>
        <v>18679172.640000001</v>
      </c>
      <c r="I223" s="317">
        <v>31.522837586067237</v>
      </c>
      <c r="J223" s="318">
        <f>J218+J219</f>
        <v>-286137.02208000014</v>
      </c>
      <c r="L223" s="473">
        <f>J223/E223</f>
        <v>-1.508738993342745E-2</v>
      </c>
      <c r="M223" s="473">
        <f>(J223-J219)/(E223-E219)</f>
        <v>-2.1736084866220879E-2</v>
      </c>
      <c r="N223" s="320"/>
    </row>
    <row r="224" spans="1:14" s="304" customFormat="1" x14ac:dyDescent="0.2">
      <c r="A224" s="480">
        <f>A223+1</f>
        <v>131</v>
      </c>
      <c r="C224" s="304" t="s">
        <v>626</v>
      </c>
      <c r="E224" s="310"/>
      <c r="F224" s="312"/>
      <c r="G224" s="480"/>
      <c r="H224" s="310"/>
      <c r="I224" s="312"/>
      <c r="J224" s="313"/>
      <c r="L224" s="474">
        <v>-4.3493861395393581E-2</v>
      </c>
      <c r="M224" s="474">
        <v>-0.36796105172176968</v>
      </c>
      <c r="N224" s="320"/>
    </row>
    <row r="225" spans="1:14" s="304" customFormat="1" x14ac:dyDescent="0.2">
      <c r="A225" s="480"/>
      <c r="J225" s="313"/>
    </row>
    <row r="226" spans="1:14" s="304" customFormat="1" ht="14.25" x14ac:dyDescent="0.2">
      <c r="A226" s="480"/>
      <c r="C226" s="305" t="s">
        <v>770</v>
      </c>
      <c r="E226" s="493" t="s">
        <v>662</v>
      </c>
      <c r="F226" s="312"/>
      <c r="J226" s="313"/>
    </row>
    <row r="227" spans="1:14" s="304" customFormat="1" x14ac:dyDescent="0.2">
      <c r="A227" s="480">
        <f>A224+1</f>
        <v>132</v>
      </c>
      <c r="C227" s="304" t="s">
        <v>617</v>
      </c>
      <c r="E227" s="310">
        <v>1901634.1410300001</v>
      </c>
      <c r="F227" s="312">
        <v>0.96144172263136862</v>
      </c>
      <c r="G227" s="312"/>
      <c r="H227" s="310">
        <v>1274295.9808500002</v>
      </c>
      <c r="I227" s="312">
        <v>0.64426763094769535</v>
      </c>
      <c r="J227" s="313">
        <f>H227-E227</f>
        <v>-627338.16017999989</v>
      </c>
      <c r="K227" s="312"/>
      <c r="L227" s="472">
        <f>J227/E227</f>
        <v>-0.32989424550413721</v>
      </c>
      <c r="M227" s="472">
        <f>L227</f>
        <v>-0.32989424550413721</v>
      </c>
      <c r="N227" s="314"/>
    </row>
    <row r="228" spans="1:14" s="304" customFormat="1" x14ac:dyDescent="0.2">
      <c r="A228" s="480">
        <f>A227+1</f>
        <v>133</v>
      </c>
      <c r="C228" s="304" t="s">
        <v>618</v>
      </c>
      <c r="E228" s="310">
        <v>19363626.314999998</v>
      </c>
      <c r="F228" s="312">
        <v>9.7899999999999991</v>
      </c>
      <c r="G228" s="312"/>
      <c r="H228" s="310">
        <v>19363626.314999998</v>
      </c>
      <c r="I228" s="312">
        <v>9.7899999999999991</v>
      </c>
      <c r="J228" s="313">
        <f>H228-E228</f>
        <v>0</v>
      </c>
      <c r="K228" s="312"/>
      <c r="L228" s="472">
        <f>IFERROR(J228/E228,"100.0%")</f>
        <v>0</v>
      </c>
      <c r="M228" s="472">
        <v>0</v>
      </c>
      <c r="N228" s="314"/>
    </row>
    <row r="229" spans="1:14" s="304" customFormat="1" x14ac:dyDescent="0.2">
      <c r="A229" s="480">
        <f>A228+1</f>
        <v>134</v>
      </c>
      <c r="C229" s="304" t="s">
        <v>646</v>
      </c>
      <c r="E229" s="310">
        <v>44088622.707286336</v>
      </c>
      <c r="F229" s="312">
        <v>22.290639639640929</v>
      </c>
      <c r="H229" s="310">
        <v>41344803.504900001</v>
      </c>
      <c r="I229" s="312">
        <v>20.903400000000001</v>
      </c>
      <c r="J229" s="313">
        <f>H229-E229</f>
        <v>-2743819.2023863345</v>
      </c>
      <c r="L229" s="472">
        <f>J229/E229</f>
        <v>-6.2234178205182976E-2</v>
      </c>
      <c r="M229" s="472">
        <f>L229</f>
        <v>-6.2234178205182976E-2</v>
      </c>
      <c r="N229" s="314"/>
    </row>
    <row r="230" spans="1:14" s="304" customFormat="1" x14ac:dyDescent="0.2">
      <c r="A230" s="480">
        <f>A229+1</f>
        <v>135</v>
      </c>
      <c r="C230" s="304" t="s">
        <v>620</v>
      </c>
      <c r="E230" s="316">
        <f>SUM(E227:E229)</f>
        <v>65353883.163316332</v>
      </c>
      <c r="F230" s="317">
        <v>33.042081362272299</v>
      </c>
      <c r="H230" s="316">
        <f>SUM(H227:H229)</f>
        <v>61982725.800750002</v>
      </c>
      <c r="I230" s="317">
        <v>31.337667630947696</v>
      </c>
      <c r="J230" s="318">
        <f>SUM(J227:J229)</f>
        <v>-3371157.3625663342</v>
      </c>
      <c r="L230" s="473">
        <f>J230/E230</f>
        <v>-5.1583122522987163E-2</v>
      </c>
      <c r="M230" s="473">
        <f>(J230-J228)/(E230-E228)</f>
        <v>-7.330155545086392E-2</v>
      </c>
      <c r="N230" s="320"/>
    </row>
    <row r="231" spans="1:14" s="304" customFormat="1" x14ac:dyDescent="0.2">
      <c r="A231" s="480"/>
      <c r="E231" s="310"/>
      <c r="F231" s="312"/>
      <c r="G231" s="480"/>
      <c r="H231" s="310"/>
      <c r="I231" s="312"/>
      <c r="J231" s="313"/>
      <c r="L231" s="320"/>
      <c r="M231" s="320"/>
      <c r="N231" s="320"/>
    </row>
    <row r="232" spans="1:14" s="304" customFormat="1" x14ac:dyDescent="0.2">
      <c r="A232" s="480">
        <f>A230+1</f>
        <v>136</v>
      </c>
      <c r="C232" s="304" t="s">
        <v>625</v>
      </c>
      <c r="E232" s="316">
        <f>SUM(E227:E228)+H229</f>
        <v>62610063.960929997</v>
      </c>
      <c r="F232" s="317">
        <v>31.654841722631367</v>
      </c>
      <c r="G232" s="480"/>
      <c r="H232" s="316">
        <f>SUM(H227:H229)</f>
        <v>61982725.800750002</v>
      </c>
      <c r="I232" s="317">
        <v>31.337667630947696</v>
      </c>
      <c r="J232" s="318">
        <f>J227+J228</f>
        <v>-627338.16017999989</v>
      </c>
      <c r="L232" s="473">
        <f>J232/E232</f>
        <v>-1.001976552158567E-2</v>
      </c>
      <c r="M232" s="473">
        <f>(J232-J228)/(E232-E228)</f>
        <v>-1.4506123378674169E-2</v>
      </c>
      <c r="N232" s="320"/>
    </row>
    <row r="233" spans="1:14" s="304" customFormat="1" x14ac:dyDescent="0.2">
      <c r="A233" s="480">
        <f>A232+1</f>
        <v>137</v>
      </c>
      <c r="C233" s="304" t="s">
        <v>626</v>
      </c>
      <c r="E233" s="310"/>
      <c r="F233" s="312"/>
      <c r="G233" s="480"/>
      <c r="H233" s="310"/>
      <c r="I233" s="312"/>
      <c r="J233" s="313"/>
      <c r="L233" s="474">
        <v>-2.9500610231280359E-2</v>
      </c>
      <c r="M233" s="474">
        <v>-0.32989424550413732</v>
      </c>
      <c r="N233" s="320"/>
    </row>
    <row r="234" spans="1:14" s="304" customFormat="1" x14ac:dyDescent="0.2">
      <c r="A234" s="480"/>
      <c r="J234" s="313"/>
    </row>
    <row r="235" spans="1:14" s="304" customFormat="1" ht="14.25" x14ac:dyDescent="0.2">
      <c r="A235" s="480"/>
      <c r="C235" s="305" t="s">
        <v>771</v>
      </c>
      <c r="E235" s="493" t="s">
        <v>663</v>
      </c>
      <c r="F235" s="312"/>
      <c r="J235" s="313"/>
    </row>
    <row r="236" spans="1:14" s="304" customFormat="1" x14ac:dyDescent="0.2">
      <c r="A236" s="480">
        <f>A233+1</f>
        <v>138</v>
      </c>
      <c r="C236" s="304" t="s">
        <v>617</v>
      </c>
      <c r="E236" s="310">
        <v>3156031.7890800005</v>
      </c>
      <c r="F236" s="312">
        <v>0.85277643731102526</v>
      </c>
      <c r="G236" s="312"/>
      <c r="H236" s="310">
        <v>2144721.6690000002</v>
      </c>
      <c r="I236" s="312">
        <v>0.57951510825774344</v>
      </c>
      <c r="J236" s="313">
        <f>H236-E236</f>
        <v>-1011310.1200800003</v>
      </c>
      <c r="K236" s="312"/>
      <c r="L236" s="472">
        <f>J236/E236</f>
        <v>-0.3204372413418568</v>
      </c>
      <c r="M236" s="472">
        <f>L236</f>
        <v>-0.3204372413418568</v>
      </c>
      <c r="N236" s="314"/>
    </row>
    <row r="237" spans="1:14" s="304" customFormat="1" x14ac:dyDescent="0.2">
      <c r="A237" s="480">
        <f>A236+1</f>
        <v>139</v>
      </c>
      <c r="C237" s="304" t="s">
        <v>618</v>
      </c>
      <c r="E237" s="310">
        <v>36231713.099999994</v>
      </c>
      <c r="F237" s="312">
        <v>9.7899999999999991</v>
      </c>
      <c r="G237" s="312"/>
      <c r="H237" s="310">
        <v>36231713.099999994</v>
      </c>
      <c r="I237" s="312">
        <v>9.7899999999999991</v>
      </c>
      <c r="J237" s="313">
        <f>H237-E237</f>
        <v>0</v>
      </c>
      <c r="K237" s="312"/>
      <c r="L237" s="472">
        <f>IFERROR(J237/E237,"100.0%")</f>
        <v>0</v>
      </c>
      <c r="M237" s="472">
        <v>0</v>
      </c>
      <c r="N237" s="314"/>
    </row>
    <row r="238" spans="1:14" s="304" customFormat="1" x14ac:dyDescent="0.2">
      <c r="A238" s="480">
        <f>A237+1</f>
        <v>140</v>
      </c>
      <c r="C238" s="304" t="s">
        <v>646</v>
      </c>
      <c r="E238" s="310">
        <v>82495205.335950717</v>
      </c>
      <c r="F238" s="312">
        <v>22.290639639640929</v>
      </c>
      <c r="H238" s="310">
        <v>77361184.026000008</v>
      </c>
      <c r="I238" s="312">
        <v>20.903400000000001</v>
      </c>
      <c r="J238" s="313">
        <f>H238-E238</f>
        <v>-5134021.3099507093</v>
      </c>
      <c r="L238" s="472">
        <f>J238/E238</f>
        <v>-6.2234178205182865E-2</v>
      </c>
      <c r="M238" s="472">
        <f>L238</f>
        <v>-6.2234178205182865E-2</v>
      </c>
      <c r="N238" s="314"/>
    </row>
    <row r="239" spans="1:14" s="304" customFormat="1" x14ac:dyDescent="0.2">
      <c r="A239" s="480">
        <f>A238+1</f>
        <v>141</v>
      </c>
      <c r="C239" s="304" t="s">
        <v>620</v>
      </c>
      <c r="E239" s="316">
        <f>SUM(E236:E238)</f>
        <v>121882950.22503072</v>
      </c>
      <c r="F239" s="317">
        <v>32.933416076951957</v>
      </c>
      <c r="H239" s="316">
        <f>SUM(H236:H238)</f>
        <v>115737618.795</v>
      </c>
      <c r="I239" s="317">
        <v>31.272915108257742</v>
      </c>
      <c r="J239" s="318">
        <f>SUM(J236:J238)</f>
        <v>-6145331.4300307091</v>
      </c>
      <c r="L239" s="473">
        <f>J239/E239</f>
        <v>-5.0419943221629217E-2</v>
      </c>
      <c r="M239" s="473">
        <f>(J239-J237)/(E239-E237)</f>
        <v>-7.1748309029792137E-2</v>
      </c>
      <c r="N239" s="320"/>
    </row>
    <row r="240" spans="1:14" s="304" customFormat="1" x14ac:dyDescent="0.2">
      <c r="A240" s="480"/>
      <c r="E240" s="310"/>
      <c r="F240" s="312"/>
      <c r="G240" s="480"/>
      <c r="H240" s="310"/>
      <c r="I240" s="312"/>
      <c r="J240" s="313"/>
      <c r="L240" s="320"/>
      <c r="M240" s="320"/>
      <c r="N240" s="320"/>
    </row>
    <row r="241" spans="1:14" s="304" customFormat="1" x14ac:dyDescent="0.2">
      <c r="A241" s="480">
        <f>A239+1</f>
        <v>142</v>
      </c>
      <c r="C241" s="304" t="s">
        <v>625</v>
      </c>
      <c r="E241" s="316">
        <f>SUM(E236:E237)+H238</f>
        <v>116748928.91508001</v>
      </c>
      <c r="F241" s="317">
        <v>31.546176437311029</v>
      </c>
      <c r="G241" s="480"/>
      <c r="H241" s="316">
        <f>SUM(H236:H238)</f>
        <v>115737618.795</v>
      </c>
      <c r="I241" s="317">
        <v>31.272915108257742</v>
      </c>
      <c r="J241" s="318">
        <f>J236+J237</f>
        <v>-1011310.1200800003</v>
      </c>
      <c r="L241" s="473">
        <f>J241/E241</f>
        <v>-8.6622646518290519E-3</v>
      </c>
      <c r="M241" s="473">
        <f>(J241-J237)/(E241-E237)</f>
        <v>-1.2560172502767943E-2</v>
      </c>
      <c r="N241" s="320"/>
    </row>
    <row r="242" spans="1:14" s="304" customFormat="1" x14ac:dyDescent="0.2">
      <c r="A242" s="480">
        <f>A241+1</f>
        <v>143</v>
      </c>
      <c r="C242" s="304" t="s">
        <v>626</v>
      </c>
      <c r="E242" s="310"/>
      <c r="F242" s="312"/>
      <c r="G242" s="480"/>
      <c r="H242" s="310"/>
      <c r="I242" s="312"/>
      <c r="J242" s="313"/>
      <c r="L242" s="474">
        <v>-2.5675755820191146E-2</v>
      </c>
      <c r="M242" s="474">
        <v>-0.32043724134185669</v>
      </c>
      <c r="N242" s="320"/>
    </row>
    <row r="243" spans="1:14" s="304" customFormat="1" x14ac:dyDescent="0.2">
      <c r="A243" s="480"/>
      <c r="J243" s="313"/>
    </row>
    <row r="244" spans="1:14" s="304" customFormat="1" ht="14.25" x14ac:dyDescent="0.2">
      <c r="A244" s="480"/>
      <c r="C244" s="305" t="s">
        <v>772</v>
      </c>
      <c r="E244" s="493" t="s">
        <v>664</v>
      </c>
      <c r="F244" s="312"/>
      <c r="J244" s="313"/>
    </row>
    <row r="245" spans="1:14" s="304" customFormat="1" x14ac:dyDescent="0.2">
      <c r="A245" s="480">
        <f>A242+1</f>
        <v>144</v>
      </c>
      <c r="C245" s="304" t="s">
        <v>617</v>
      </c>
      <c r="E245" s="310">
        <v>6375944.3039999995</v>
      </c>
      <c r="F245" s="312">
        <v>2.3379771715216049</v>
      </c>
      <c r="G245" s="312"/>
      <c r="H245" s="310">
        <v>7549407.1919999998</v>
      </c>
      <c r="I245" s="312">
        <v>2.7682709935756402</v>
      </c>
      <c r="J245" s="313">
        <f>H245-E245</f>
        <v>1173462.8880000003</v>
      </c>
      <c r="K245" s="312"/>
      <c r="L245" s="314"/>
      <c r="M245" s="472">
        <f>J245/E245</f>
        <v>0.18404534795948876</v>
      </c>
      <c r="N245" s="314"/>
    </row>
    <row r="246" spans="1:14" s="304" customFormat="1" x14ac:dyDescent="0.2">
      <c r="A246" s="480">
        <f>A245+1</f>
        <v>145</v>
      </c>
      <c r="C246" s="304" t="s">
        <v>646</v>
      </c>
      <c r="E246" s="310">
        <v>60789249.174057573</v>
      </c>
      <c r="F246" s="312">
        <v>22.290639639640929</v>
      </c>
      <c r="G246" s="312"/>
      <c r="H246" s="310">
        <v>57006080.208000004</v>
      </c>
      <c r="I246" s="312">
        <v>20.903400000000001</v>
      </c>
      <c r="J246" s="313">
        <f>H246-E246</f>
        <v>-3783168.9660575688</v>
      </c>
      <c r="K246" s="312"/>
      <c r="L246" s="315"/>
      <c r="M246" s="472">
        <f>IFERROR(J246/E246,"100.0%")</f>
        <v>-6.2234178205182941E-2</v>
      </c>
      <c r="N246" s="314"/>
    </row>
    <row r="247" spans="1:14" s="304" customFormat="1" x14ac:dyDescent="0.2">
      <c r="A247" s="480">
        <f>A246+1</f>
        <v>146</v>
      </c>
      <c r="C247" s="304" t="s">
        <v>620</v>
      </c>
      <c r="E247" s="316">
        <f>SUM(E245:E246)</f>
        <v>67165193.478057578</v>
      </c>
      <c r="F247" s="317">
        <v>24.628616811162537</v>
      </c>
      <c r="H247" s="316">
        <f>SUM(H245:H246)</f>
        <v>64555487.400000006</v>
      </c>
      <c r="I247" s="317">
        <v>23.671670993575642</v>
      </c>
      <c r="J247" s="318">
        <f>SUM(J245:J246)</f>
        <v>-2609706.0780575685</v>
      </c>
      <c r="L247" s="315"/>
      <c r="M247" s="472">
        <f>(J247)/(E247)</f>
        <v>-3.8855037005292664E-2</v>
      </c>
      <c r="N247" s="320"/>
    </row>
    <row r="248" spans="1:14" s="304" customFormat="1" x14ac:dyDescent="0.2">
      <c r="A248" s="480"/>
      <c r="E248" s="310"/>
      <c r="F248" s="312"/>
      <c r="G248" s="480"/>
      <c r="H248" s="310"/>
      <c r="I248" s="312"/>
      <c r="J248" s="313"/>
      <c r="L248" s="315"/>
      <c r="M248" s="473"/>
      <c r="N248" s="320"/>
    </row>
    <row r="249" spans="1:14" s="304" customFormat="1" x14ac:dyDescent="0.2">
      <c r="A249" s="480">
        <f>A247+1</f>
        <v>147</v>
      </c>
      <c r="C249" s="304" t="s">
        <v>625</v>
      </c>
      <c r="E249" s="316">
        <f>SUM(E245:E245)+H246</f>
        <v>63382024.512000002</v>
      </c>
      <c r="F249" s="317">
        <v>23.241377171521606</v>
      </c>
      <c r="G249" s="480"/>
      <c r="H249" s="316">
        <f>SUM(H245:H246)</f>
        <v>64555487.400000006</v>
      </c>
      <c r="I249" s="317">
        <v>23.671670993575642</v>
      </c>
      <c r="J249" s="318">
        <f>H249-E249</f>
        <v>1173462.888000004</v>
      </c>
      <c r="L249" s="315"/>
      <c r="M249" s="320">
        <f>(J249)/(E249)</f>
        <v>1.8514127578519276E-2</v>
      </c>
      <c r="N249" s="320"/>
    </row>
    <row r="250" spans="1:14" s="304" customFormat="1" x14ac:dyDescent="0.2">
      <c r="A250" s="480">
        <f>A249+1</f>
        <v>148</v>
      </c>
      <c r="C250" s="304" t="s">
        <v>626</v>
      </c>
      <c r="E250" s="310"/>
      <c r="F250" s="312"/>
      <c r="G250" s="480"/>
      <c r="H250" s="310"/>
      <c r="I250" s="312"/>
      <c r="J250" s="313"/>
      <c r="L250" s="315"/>
      <c r="M250" s="473">
        <v>0.18404534795948876</v>
      </c>
      <c r="N250" s="320"/>
    </row>
    <row r="251" spans="1:14" s="304" customFormat="1" x14ac:dyDescent="0.2">
      <c r="A251" s="480"/>
      <c r="J251" s="321"/>
      <c r="L251" s="315"/>
      <c r="M251" s="474"/>
    </row>
    <row r="252" spans="1:14" s="304" customFormat="1" x14ac:dyDescent="0.2">
      <c r="A252" s="305" t="s">
        <v>5</v>
      </c>
      <c r="B252" s="305"/>
      <c r="F252" s="312"/>
      <c r="J252" s="321"/>
      <c r="L252" s="315"/>
    </row>
    <row r="253" spans="1:14" s="304" customFormat="1" x14ac:dyDescent="0.2">
      <c r="A253" s="481" t="s">
        <v>189</v>
      </c>
      <c r="B253" s="326"/>
      <c r="C253" s="327" t="s">
        <v>814</v>
      </c>
      <c r="E253" s="310"/>
      <c r="F253" s="312"/>
      <c r="H253" s="310"/>
      <c r="I253" s="312"/>
      <c r="J253" s="313"/>
      <c r="L253" s="320"/>
      <c r="M253" s="320"/>
      <c r="N253" s="320"/>
    </row>
    <row r="254" spans="1:14" s="304" customFormat="1" ht="13.35" customHeight="1" x14ac:dyDescent="0.2">
      <c r="A254" s="481" t="s">
        <v>190</v>
      </c>
      <c r="B254" s="331"/>
      <c r="C254" s="513" t="s">
        <v>831</v>
      </c>
      <c r="D254" s="514"/>
      <c r="E254" s="514"/>
      <c r="F254" s="514"/>
      <c r="G254" s="514"/>
      <c r="H254" s="514"/>
      <c r="I254" s="514"/>
      <c r="J254" s="514"/>
      <c r="K254" s="514"/>
      <c r="L254" s="514"/>
      <c r="M254" s="514"/>
    </row>
  </sheetData>
  <mergeCells count="16">
    <mergeCell ref="E175:F175"/>
    <mergeCell ref="H175:J175"/>
    <mergeCell ref="L175:M175"/>
    <mergeCell ref="C254:M254"/>
    <mergeCell ref="A4:M4"/>
    <mergeCell ref="A5:M5"/>
    <mergeCell ref="E7:F7"/>
    <mergeCell ref="H7:J7"/>
    <mergeCell ref="L7:M7"/>
    <mergeCell ref="A85:M85"/>
    <mergeCell ref="A86:M86"/>
    <mergeCell ref="E88:F88"/>
    <mergeCell ref="H88:J88"/>
    <mergeCell ref="L88:M88"/>
    <mergeCell ref="A172:M172"/>
    <mergeCell ref="A173:M173"/>
  </mergeCells>
  <pageMargins left="0.7" right="0.82152777777777797" top="0.75" bottom="0.75" header="0.3" footer="0.3"/>
  <pageSetup scale="63" firstPageNumber="7" fitToHeight="0" orientation="portrait" useFirstPageNumber="1" r:id="rId1"/>
  <headerFooter>
    <oddHeader>&amp;R&amp;"Arial,Regular"&amp;10Filed: 2022-11-30
EB-2022-0200
Exhibit 8
Tab 2
Schedule 9
Attachment 10
Page &amp;P of 9</oddHeader>
  </headerFooter>
  <rowBreaks count="2" manualBreakCount="2">
    <brk id="81" max="16383" man="1"/>
    <brk id="168" max="16383" man="1"/>
  </rowBreaks>
  <colBreaks count="1" manualBreakCount="1">
    <brk id="1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9DE69-5469-4DAD-8800-39025A8CC9AC}">
  <sheetPr>
    <pageSetUpPr fitToPage="1"/>
  </sheetPr>
  <dimension ref="A1:J37"/>
  <sheetViews>
    <sheetView view="pageLayout" zoomScaleNormal="85" zoomScaleSheetLayoutView="100" workbookViewId="0"/>
  </sheetViews>
  <sheetFormatPr defaultColWidth="9.140625" defaultRowHeight="12.75" x14ac:dyDescent="0.2"/>
  <cols>
    <col min="1" max="1" width="5.5703125" style="66" customWidth="1"/>
    <col min="2" max="2" width="1.7109375" style="64" customWidth="1"/>
    <col min="3" max="3" width="53.7109375" style="64" customWidth="1"/>
    <col min="4" max="4" width="1.7109375" style="64" customWidth="1"/>
    <col min="5" max="5" width="12.28515625" style="64" customWidth="1"/>
    <col min="6" max="6" width="1.7109375" style="64" customWidth="1"/>
    <col min="7" max="7" width="12.28515625" style="64" customWidth="1"/>
    <col min="8" max="8" width="1.7109375" style="64" customWidth="1"/>
    <col min="9" max="9" width="12.28515625" style="64" customWidth="1"/>
    <col min="10" max="16384" width="9.140625" style="64"/>
  </cols>
  <sheetData>
    <row r="1" spans="1:10" x14ac:dyDescent="0.2">
      <c r="J1" s="89"/>
    </row>
    <row r="2" spans="1:10" x14ac:dyDescent="0.2">
      <c r="J2" s="89"/>
    </row>
    <row r="3" spans="1:10" x14ac:dyDescent="0.2">
      <c r="J3" s="89"/>
    </row>
    <row r="4" spans="1:10" x14ac:dyDescent="0.2">
      <c r="J4" s="89"/>
    </row>
    <row r="5" spans="1:10" x14ac:dyDescent="0.2">
      <c r="J5" s="89"/>
    </row>
    <row r="6" spans="1:10" x14ac:dyDescent="0.2">
      <c r="A6" s="68" t="s">
        <v>350</v>
      </c>
      <c r="B6" s="78"/>
      <c r="C6" s="78"/>
      <c r="D6" s="78"/>
      <c r="E6" s="78"/>
      <c r="F6" s="78"/>
      <c r="G6" s="78"/>
      <c r="H6" s="78"/>
      <c r="I6" s="78"/>
      <c r="J6" s="89"/>
    </row>
    <row r="7" spans="1:10" x14ac:dyDescent="0.2">
      <c r="J7" s="89"/>
    </row>
    <row r="8" spans="1:10" ht="25.5" x14ac:dyDescent="0.2">
      <c r="A8" s="365" t="s">
        <v>173</v>
      </c>
      <c r="B8" s="7"/>
      <c r="C8" s="9" t="s">
        <v>224</v>
      </c>
      <c r="E8" s="87" t="s">
        <v>225</v>
      </c>
      <c r="F8" s="214"/>
      <c r="G8" s="87" t="s">
        <v>354</v>
      </c>
      <c r="H8" s="214"/>
      <c r="I8" s="87" t="s">
        <v>355</v>
      </c>
    </row>
    <row r="9" spans="1:10" x14ac:dyDescent="0.2">
      <c r="A9" s="252"/>
      <c r="B9" s="7"/>
      <c r="C9" s="7"/>
      <c r="E9" s="252" t="s">
        <v>3</v>
      </c>
      <c r="G9" s="252" t="s">
        <v>4</v>
      </c>
      <c r="I9" s="252" t="s">
        <v>226</v>
      </c>
    </row>
    <row r="10" spans="1:10" x14ac:dyDescent="0.2">
      <c r="A10" s="252"/>
      <c r="B10" s="7"/>
      <c r="C10" s="7"/>
      <c r="E10" s="252"/>
      <c r="G10" s="252"/>
      <c r="I10" s="252"/>
    </row>
    <row r="11" spans="1:10" x14ac:dyDescent="0.2">
      <c r="A11" s="252"/>
      <c r="B11" s="7"/>
      <c r="C11" s="52" t="s">
        <v>358</v>
      </c>
      <c r="E11" s="252"/>
      <c r="G11" s="252"/>
      <c r="I11" s="252"/>
    </row>
    <row r="12" spans="1:10" x14ac:dyDescent="0.2">
      <c r="A12" s="66">
        <v>1</v>
      </c>
      <c r="C12" s="90" t="s">
        <v>524</v>
      </c>
      <c r="E12" s="215">
        <v>169.00033449599997</v>
      </c>
      <c r="G12" s="215">
        <v>5.5698105570283136</v>
      </c>
      <c r="I12" s="216">
        <f>E12-G12</f>
        <v>163.43052393897165</v>
      </c>
    </row>
    <row r="13" spans="1:10" x14ac:dyDescent="0.2">
      <c r="A13" s="66" cm="1">
        <f t="array" ref="A13">MAX($A$12:A12+1)</f>
        <v>2</v>
      </c>
      <c r="C13" s="90" t="s">
        <v>298</v>
      </c>
      <c r="E13" s="216">
        <v>806.13845295288763</v>
      </c>
      <c r="G13" s="217">
        <v>0</v>
      </c>
      <c r="I13" s="216">
        <v>806.13845295288763</v>
      </c>
    </row>
    <row r="14" spans="1:10" x14ac:dyDescent="0.2">
      <c r="A14" s="66" cm="1">
        <f t="array" ref="A14">MAX($A$12:A13+1)</f>
        <v>3</v>
      </c>
      <c r="C14" s="84" t="s">
        <v>356</v>
      </c>
      <c r="E14" s="216">
        <v>38.879567507855178</v>
      </c>
      <c r="G14" s="217">
        <v>0</v>
      </c>
      <c r="I14" s="216">
        <f t="shared" ref="I14:I15" si="0">E14-G14</f>
        <v>38.879567507855178</v>
      </c>
    </row>
    <row r="15" spans="1:10" x14ac:dyDescent="0.2">
      <c r="A15" s="66" cm="1">
        <f t="array" ref="A15">MAX($A$12:A14+1)</f>
        <v>4</v>
      </c>
      <c r="C15" s="84" t="s">
        <v>357</v>
      </c>
      <c r="E15" s="216">
        <v>159.11347072514798</v>
      </c>
      <c r="G15" s="217">
        <v>0</v>
      </c>
      <c r="I15" s="216">
        <f t="shared" si="0"/>
        <v>159.11347072514798</v>
      </c>
    </row>
    <row r="16" spans="1:10" x14ac:dyDescent="0.2">
      <c r="A16" s="66" cm="1">
        <f t="array" ref="A16">MAX($A$12:A15+1)</f>
        <v>5</v>
      </c>
      <c r="C16" s="90" t="s">
        <v>299</v>
      </c>
      <c r="E16" s="91">
        <v>212.1950275601626</v>
      </c>
      <c r="F16" s="91"/>
      <c r="G16" s="91">
        <v>0</v>
      </c>
      <c r="H16" s="91"/>
      <c r="I16" s="216">
        <f>E16-G16</f>
        <v>212.1950275601626</v>
      </c>
    </row>
    <row r="17" spans="1:9" x14ac:dyDescent="0.2">
      <c r="A17" s="66" cm="1">
        <f t="array" ref="A17">MAX($A$12:A16+1)</f>
        <v>6</v>
      </c>
      <c r="C17" s="90" t="s">
        <v>353</v>
      </c>
      <c r="E17" s="215">
        <v>390.31690013829234</v>
      </c>
      <c r="F17" s="215"/>
      <c r="G17" s="215">
        <v>4.9841416623716226</v>
      </c>
      <c r="H17" s="215"/>
      <c r="I17" s="216">
        <f>E17-G17</f>
        <v>385.33275847592074</v>
      </c>
    </row>
    <row r="18" spans="1:9" x14ac:dyDescent="0.2">
      <c r="A18" s="66" cm="1">
        <f t="array" ref="A18">MAX($A$12:A17+1)</f>
        <v>7</v>
      </c>
      <c r="C18" s="64" t="str">
        <f>"Total " &amp;C11</f>
        <v>Total Firm Transportation Charges</v>
      </c>
      <c r="E18" s="218">
        <f>SUM(E12:E17)</f>
        <v>1775.6437533803457</v>
      </c>
      <c r="G18" s="218">
        <f>SUM(G12:G17)</f>
        <v>10.553952219399935</v>
      </c>
      <c r="I18" s="218">
        <f>SUM(I12:I17)</f>
        <v>1765.0898011609456</v>
      </c>
    </row>
    <row r="20" spans="1:9" x14ac:dyDescent="0.2">
      <c r="A20" s="66" cm="1">
        <f t="array" ref="A20">MAX($A$12:A19+1)</f>
        <v>8</v>
      </c>
      <c r="C20" s="7" t="s">
        <v>227</v>
      </c>
      <c r="E20" s="221">
        <v>12138.692302499876</v>
      </c>
      <c r="F20" s="215"/>
      <c r="G20" s="221">
        <v>20.916562424892923</v>
      </c>
      <c r="I20" s="218">
        <f>E20-G20</f>
        <v>12117.775740074983</v>
      </c>
    </row>
    <row r="21" spans="1:9" x14ac:dyDescent="0.2">
      <c r="C21" s="90"/>
    </row>
    <row r="22" spans="1:9" x14ac:dyDescent="0.2">
      <c r="C22" s="92" t="s">
        <v>352</v>
      </c>
    </row>
    <row r="23" spans="1:9" x14ac:dyDescent="0.2">
      <c r="A23" s="66" cm="1">
        <f t="array" ref="A23">MAX($A$12:A22+1)</f>
        <v>9</v>
      </c>
      <c r="C23" s="90" t="s">
        <v>228</v>
      </c>
      <c r="E23" s="215"/>
      <c r="G23" s="215"/>
      <c r="I23" s="216"/>
    </row>
    <row r="24" spans="1:9" x14ac:dyDescent="0.2">
      <c r="A24" s="66" cm="1">
        <f t="array" ref="A24">MAX($A$12:A23+1)</f>
        <v>10</v>
      </c>
      <c r="C24" s="203" t="s">
        <v>132</v>
      </c>
      <c r="E24" s="219">
        <v>3560.977942268019</v>
      </c>
      <c r="G24" s="219">
        <v>0</v>
      </c>
      <c r="I24" s="216">
        <f t="shared" ref="I24:I28" si="1">E24-G24</f>
        <v>3560.977942268019</v>
      </c>
    </row>
    <row r="25" spans="1:9" x14ac:dyDescent="0.2">
      <c r="A25" s="66" cm="1">
        <f t="array" ref="A25">MAX($A$12:A24+1)</f>
        <v>11</v>
      </c>
      <c r="C25" s="203" t="s">
        <v>103</v>
      </c>
      <c r="E25" s="215">
        <v>483.06818513860026</v>
      </c>
      <c r="G25" s="215">
        <v>2.1945384149512162</v>
      </c>
      <c r="I25" s="216">
        <f t="shared" si="1"/>
        <v>480.87364672364902</v>
      </c>
    </row>
    <row r="26" spans="1:9" x14ac:dyDescent="0.2">
      <c r="A26" s="66" cm="1">
        <f t="array" ref="A26">MAX($A$12:A25+1)</f>
        <v>12</v>
      </c>
      <c r="C26" s="203" t="s">
        <v>102</v>
      </c>
      <c r="E26" s="219">
        <v>40.058490161305784</v>
      </c>
      <c r="G26" s="219">
        <v>3.577267145735545E-3</v>
      </c>
      <c r="I26" s="216">
        <f t="shared" si="1"/>
        <v>40.054912894160047</v>
      </c>
    </row>
    <row r="27" spans="1:9" x14ac:dyDescent="0.2">
      <c r="A27" s="66" cm="1">
        <f t="array" ref="A27">MAX($A$12:A26+1)</f>
        <v>13</v>
      </c>
      <c r="C27" s="203" t="s">
        <v>100</v>
      </c>
      <c r="E27" s="219">
        <v>25.345637999999994</v>
      </c>
      <c r="G27" s="219">
        <v>0</v>
      </c>
      <c r="I27" s="216">
        <f t="shared" si="1"/>
        <v>25.345637999999994</v>
      </c>
    </row>
    <row r="28" spans="1:9" x14ac:dyDescent="0.2">
      <c r="A28" s="66" cm="1">
        <f t="array" ref="A28">MAX($A$12:A27+1)</f>
        <v>14</v>
      </c>
      <c r="C28" s="90" t="s">
        <v>320</v>
      </c>
      <c r="E28" s="219">
        <v>77.5</v>
      </c>
      <c r="G28" s="219">
        <v>0</v>
      </c>
      <c r="I28" s="216">
        <f t="shared" si="1"/>
        <v>77.5</v>
      </c>
    </row>
    <row r="29" spans="1:9" x14ac:dyDescent="0.2">
      <c r="A29" s="66" cm="1">
        <f t="array" ref="A29">MAX($A$12:A28+1)</f>
        <v>15</v>
      </c>
      <c r="C29" s="64" t="str">
        <f>"Total " &amp;C22</f>
        <v>Total Other Charges</v>
      </c>
      <c r="E29" s="218">
        <f>SUM(E24:E28)</f>
        <v>4186.9502555679246</v>
      </c>
      <c r="G29" s="218">
        <f>SUM(G24:G28)</f>
        <v>2.1981156820969519</v>
      </c>
      <c r="I29" s="218">
        <f>SUM(I24:I28)</f>
        <v>4184.752139885828</v>
      </c>
    </row>
    <row r="31" spans="1:9" x14ac:dyDescent="0.2">
      <c r="A31" s="66" cm="1">
        <f t="array" ref="A31">MAX($A$12:A30+1)</f>
        <v>16</v>
      </c>
      <c r="C31" s="64" t="s">
        <v>525</v>
      </c>
      <c r="E31" s="221">
        <v>1718.0114299177626</v>
      </c>
      <c r="G31" s="221">
        <v>0</v>
      </c>
      <c r="I31" s="218">
        <f t="shared" ref="I31" si="2">E31-G31</f>
        <v>1718.0114299177626</v>
      </c>
    </row>
    <row r="33" spans="1:9" ht="13.5" thickBot="1" x14ac:dyDescent="0.25">
      <c r="A33" s="66" cm="1">
        <f t="array" ref="A33">MAX($A$12:A32+1)</f>
        <v>17</v>
      </c>
      <c r="C33" s="89" t="s">
        <v>351</v>
      </c>
      <c r="E33" s="220">
        <f>E18+E20+E29+E31</f>
        <v>19819.297741365906</v>
      </c>
      <c r="G33" s="220">
        <f>G18+G20+G29+G31</f>
        <v>33.66863032638981</v>
      </c>
      <c r="I33" s="220">
        <f>I18+I20+I29+I31</f>
        <v>19785.629111039521</v>
      </c>
    </row>
    <row r="34" spans="1:9" ht="13.5" thickTop="1" x14ac:dyDescent="0.2">
      <c r="A34" s="210"/>
    </row>
    <row r="35" spans="1:9" x14ac:dyDescent="0.2">
      <c r="A35" s="92" t="s">
        <v>808</v>
      </c>
      <c r="B35" s="88"/>
      <c r="D35" s="139"/>
      <c r="E35" s="139"/>
      <c r="F35" s="139"/>
      <c r="G35" s="139"/>
      <c r="H35" s="139"/>
      <c r="I35" s="139"/>
    </row>
    <row r="36" spans="1:9" x14ac:dyDescent="0.2">
      <c r="A36" s="75" t="s">
        <v>189</v>
      </c>
      <c r="C36" s="485" t="s">
        <v>817</v>
      </c>
      <c r="D36" s="139"/>
      <c r="E36" s="139"/>
      <c r="F36" s="139"/>
      <c r="G36" s="139"/>
      <c r="H36" s="139"/>
      <c r="I36" s="139"/>
    </row>
    <row r="37" spans="1:9" ht="15" customHeight="1" x14ac:dyDescent="0.2"/>
  </sheetData>
  <conditionalFormatting sqref="J7">
    <cfRule type="containsText" dxfId="1" priority="1" operator="containsText" text="X">
      <formula>NOT(ISERROR(SEARCH("X",J7)))</formula>
    </cfRule>
  </conditionalFormatting>
  <pageMargins left="0.7" right="0.7" top="0.75" bottom="0.75" header="0.3" footer="0.3"/>
  <pageSetup scale="87" fitToHeight="0" orientation="portrait" r:id="rId1"/>
  <headerFooter>
    <oddHeader>&amp;R&amp;"Arial,Regular"&amp;10Filed: 2022-11-30
EB-2022-0200
Exhibit 8
Tab 2
Schedule 9
Attachment 11
Page &amp;P of &amp;N</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2CB77-A7E1-421B-868B-22C13F06EA09}">
  <sheetPr>
    <pageSetUpPr fitToPage="1"/>
  </sheetPr>
  <dimension ref="A1:AC120"/>
  <sheetViews>
    <sheetView view="pageLayout" zoomScaleNormal="70" zoomScaleSheetLayoutView="80" workbookViewId="0"/>
  </sheetViews>
  <sheetFormatPr defaultColWidth="9.140625" defaultRowHeight="12.75" x14ac:dyDescent="0.2"/>
  <cols>
    <col min="1" max="1" width="3.7109375" style="83" customWidth="1"/>
    <col min="2" max="2" width="1.28515625" style="83" customWidth="1"/>
    <col min="3" max="3" width="3.42578125" style="83" customWidth="1"/>
    <col min="4" max="4" width="51.42578125" style="83" customWidth="1"/>
    <col min="5" max="5" width="1.28515625" style="83" customWidth="1"/>
    <col min="6" max="6" width="9.85546875" style="83" bestFit="1" customWidth="1"/>
    <col min="7" max="7" width="1.28515625" style="83" customWidth="1"/>
    <col min="8" max="8" width="11.5703125" style="83" bestFit="1" customWidth="1"/>
    <col min="9" max="9" width="9.140625" style="83" bestFit="1" customWidth="1"/>
    <col min="10" max="10" width="10.42578125" style="83" bestFit="1" customWidth="1"/>
    <col min="11" max="11" width="1.28515625" style="83" customWidth="1"/>
    <col min="12" max="12" width="11.5703125" style="83" bestFit="1" customWidth="1"/>
    <col min="13" max="13" width="1.28515625" style="83" customWidth="1"/>
    <col min="14" max="14" width="11.85546875" style="83" customWidth="1"/>
    <col min="15" max="15" width="11.7109375" style="83" bestFit="1" customWidth="1"/>
    <col min="16" max="16" width="10.5703125" style="83" bestFit="1" customWidth="1"/>
    <col min="17" max="16384" width="9.140625" style="83"/>
  </cols>
  <sheetData>
    <row r="1" spans="1:17" x14ac:dyDescent="0.2">
      <c r="Q1" s="250"/>
    </row>
    <row r="2" spans="1:17" x14ac:dyDescent="0.2">
      <c r="Q2" s="250"/>
    </row>
    <row r="3" spans="1:17" x14ac:dyDescent="0.2">
      <c r="Q3" s="250"/>
    </row>
    <row r="4" spans="1:17" x14ac:dyDescent="0.2">
      <c r="Q4" s="250"/>
    </row>
    <row r="5" spans="1:17" x14ac:dyDescent="0.2">
      <c r="Q5" s="250"/>
    </row>
    <row r="6" spans="1:17" x14ac:dyDescent="0.2">
      <c r="A6" s="520" t="s">
        <v>526</v>
      </c>
      <c r="B6" s="520"/>
      <c r="C6" s="520"/>
      <c r="D6" s="520"/>
      <c r="E6" s="520"/>
      <c r="F6" s="520"/>
      <c r="G6" s="520"/>
      <c r="H6" s="520"/>
      <c r="I6" s="520"/>
      <c r="J6" s="520"/>
      <c r="K6" s="520"/>
      <c r="L6" s="520"/>
      <c r="M6" s="520"/>
      <c r="N6" s="520"/>
      <c r="O6" s="520"/>
      <c r="P6" s="520"/>
      <c r="Q6" s="250"/>
    </row>
    <row r="7" spans="1:17" x14ac:dyDescent="0.2">
      <c r="A7" s="519" t="s">
        <v>234</v>
      </c>
      <c r="B7" s="520"/>
      <c r="C7" s="520"/>
      <c r="D7" s="520"/>
      <c r="E7" s="520"/>
      <c r="F7" s="520"/>
      <c r="G7" s="520"/>
      <c r="H7" s="520"/>
      <c r="I7" s="520"/>
      <c r="J7" s="520"/>
      <c r="K7" s="520"/>
      <c r="L7" s="520"/>
      <c r="M7" s="520"/>
      <c r="N7" s="520"/>
      <c r="O7" s="520"/>
      <c r="P7" s="520"/>
      <c r="Q7" s="250"/>
    </row>
    <row r="8" spans="1:17" x14ac:dyDescent="0.2">
      <c r="A8" s="495"/>
      <c r="B8" s="496"/>
      <c r="C8" s="496"/>
      <c r="D8" s="496"/>
      <c r="E8" s="496"/>
      <c r="F8" s="496"/>
      <c r="G8" s="496"/>
      <c r="H8" s="496"/>
      <c r="I8" s="496"/>
      <c r="J8" s="496"/>
      <c r="K8" s="496"/>
      <c r="L8" s="496"/>
      <c r="M8" s="496"/>
      <c r="N8" s="496"/>
      <c r="O8" s="496"/>
      <c r="P8" s="496"/>
    </row>
    <row r="9" spans="1:17" x14ac:dyDescent="0.2">
      <c r="H9" s="508" t="s">
        <v>370</v>
      </c>
      <c r="I9" s="508"/>
      <c r="J9" s="508"/>
      <c r="L9" s="494" t="s">
        <v>47</v>
      </c>
      <c r="N9" s="508" t="s">
        <v>235</v>
      </c>
      <c r="O9" s="508"/>
      <c r="P9" s="508"/>
    </row>
    <row r="10" spans="1:17" x14ac:dyDescent="0.2">
      <c r="A10" s="494" t="s">
        <v>0</v>
      </c>
      <c r="H10" s="494" t="s">
        <v>236</v>
      </c>
      <c r="I10" s="494" t="s">
        <v>236</v>
      </c>
      <c r="J10" s="494" t="s">
        <v>237</v>
      </c>
      <c r="L10" s="494" t="s">
        <v>238</v>
      </c>
      <c r="N10" s="494" t="s">
        <v>238</v>
      </c>
      <c r="O10" s="494" t="s">
        <v>239</v>
      </c>
      <c r="P10" s="494" t="s">
        <v>240</v>
      </c>
    </row>
    <row r="11" spans="1:17" x14ac:dyDescent="0.2">
      <c r="A11" s="488" t="s">
        <v>1</v>
      </c>
      <c r="C11" s="94" t="s">
        <v>9</v>
      </c>
      <c r="D11" s="94"/>
      <c r="F11" s="488" t="s">
        <v>223</v>
      </c>
      <c r="H11" s="488" t="s">
        <v>239</v>
      </c>
      <c r="I11" s="488" t="s">
        <v>240</v>
      </c>
      <c r="J11" s="488" t="s">
        <v>239</v>
      </c>
      <c r="K11" s="494"/>
      <c r="L11" s="488" t="s">
        <v>239</v>
      </c>
      <c r="N11" s="488" t="s">
        <v>241</v>
      </c>
      <c r="O11" s="488" t="s">
        <v>241</v>
      </c>
      <c r="P11" s="488" t="s">
        <v>241</v>
      </c>
    </row>
    <row r="12" spans="1:17" x14ac:dyDescent="0.2">
      <c r="H12" s="494" t="s">
        <v>3</v>
      </c>
      <c r="I12" s="494" t="s">
        <v>4</v>
      </c>
      <c r="J12" s="494" t="s">
        <v>86</v>
      </c>
      <c r="K12" s="494"/>
      <c r="L12" s="494" t="s">
        <v>133</v>
      </c>
      <c r="M12" s="494"/>
      <c r="N12" s="494" t="s">
        <v>32</v>
      </c>
      <c r="O12" s="494" t="s">
        <v>135</v>
      </c>
      <c r="P12" s="494" t="s">
        <v>15</v>
      </c>
    </row>
    <row r="14" spans="1:17" x14ac:dyDescent="0.2">
      <c r="A14" s="494">
        <v>1</v>
      </c>
      <c r="C14" s="95" t="s">
        <v>359</v>
      </c>
      <c r="F14" s="96" t="s">
        <v>368</v>
      </c>
      <c r="G14" s="96"/>
      <c r="H14" s="97"/>
      <c r="I14" s="97"/>
      <c r="J14" s="97"/>
      <c r="K14" s="97"/>
      <c r="L14" s="97">
        <v>64347.797048921806</v>
      </c>
      <c r="M14" s="97"/>
      <c r="N14" s="97">
        <v>11686.613343952569</v>
      </c>
      <c r="O14" s="97">
        <v>24151.420593155999</v>
      </c>
      <c r="P14" s="97">
        <v>1220.5433684981467</v>
      </c>
    </row>
    <row r="15" spans="1:17" x14ac:dyDescent="0.2">
      <c r="A15" s="494"/>
      <c r="F15" s="494"/>
      <c r="G15" s="494"/>
    </row>
    <row r="16" spans="1:17" x14ac:dyDescent="0.2">
      <c r="A16" s="494"/>
      <c r="C16" s="95" t="s">
        <v>242</v>
      </c>
      <c r="F16" s="494"/>
      <c r="G16" s="96"/>
    </row>
    <row r="17" spans="1:16" x14ac:dyDescent="0.2">
      <c r="A17" s="494">
        <f>A14+1</f>
        <v>2</v>
      </c>
      <c r="D17" s="83" t="s">
        <v>243</v>
      </c>
      <c r="F17" s="494" t="s">
        <v>369</v>
      </c>
      <c r="G17" s="96"/>
      <c r="H17" s="97">
        <v>1922374</v>
      </c>
      <c r="I17" s="97">
        <v>49500</v>
      </c>
      <c r="J17" s="97">
        <v>383738.83333333331</v>
      </c>
      <c r="L17" s="97">
        <f>SUM(H17:J17)</f>
        <v>2355612.8333333335</v>
      </c>
      <c r="M17" s="98"/>
      <c r="N17" s="98"/>
      <c r="O17" s="98"/>
      <c r="P17" s="98"/>
    </row>
    <row r="18" spans="1:16" x14ac:dyDescent="0.2">
      <c r="A18" s="494">
        <f>A17+1</f>
        <v>3</v>
      </c>
      <c r="D18" s="83" t="s">
        <v>244</v>
      </c>
      <c r="F18" s="494"/>
      <c r="G18" s="494"/>
      <c r="H18" s="99">
        <v>228.94</v>
      </c>
      <c r="I18" s="99">
        <v>188.67</v>
      </c>
      <c r="J18" s="99">
        <v>40.27000000000001</v>
      </c>
      <c r="O18" s="100"/>
    </row>
    <row r="19" spans="1:16" x14ac:dyDescent="0.2">
      <c r="A19" s="494">
        <f>A18+1</f>
        <v>4</v>
      </c>
      <c r="D19" s="83" t="s">
        <v>842</v>
      </c>
      <c r="F19" s="494"/>
      <c r="G19" s="494"/>
      <c r="H19" s="97">
        <f>H17*H18/1000</f>
        <v>440108.30356000003</v>
      </c>
      <c r="I19" s="97">
        <f>I17*I18/1000</f>
        <v>9339.1650000000009</v>
      </c>
      <c r="J19" s="97">
        <f>J17*J18/1000</f>
        <v>15453.162818333338</v>
      </c>
      <c r="K19" s="97"/>
      <c r="L19" s="97">
        <f>SUM(H19:J19)</f>
        <v>464900.63137833332</v>
      </c>
    </row>
    <row r="20" spans="1:16" x14ac:dyDescent="0.2">
      <c r="A20" s="494"/>
      <c r="F20" s="494"/>
      <c r="G20" s="494"/>
    </row>
    <row r="21" spans="1:16" x14ac:dyDescent="0.2">
      <c r="A21" s="494">
        <f>A19+1</f>
        <v>5</v>
      </c>
      <c r="D21" s="83" t="s">
        <v>360</v>
      </c>
      <c r="F21" s="494"/>
      <c r="G21" s="494"/>
      <c r="H21" s="97">
        <f>H19/L19*L21</f>
        <v>60916.242924990802</v>
      </c>
      <c r="I21" s="97">
        <f>I19/L19*L21</f>
        <v>1292.6519205721202</v>
      </c>
      <c r="J21" s="97">
        <f>J19/L19*L21</f>
        <v>2138.902203358894</v>
      </c>
      <c r="K21" s="97"/>
      <c r="L21" s="101">
        <f>L14</f>
        <v>64347.797048921806</v>
      </c>
    </row>
    <row r="22" spans="1:16" x14ac:dyDescent="0.2">
      <c r="A22" s="494"/>
      <c r="F22" s="494"/>
      <c r="G22" s="494"/>
      <c r="H22" s="97"/>
      <c r="I22" s="97"/>
      <c r="J22" s="97"/>
      <c r="K22" s="97"/>
      <c r="L22" s="101"/>
    </row>
    <row r="23" spans="1:16" x14ac:dyDescent="0.2">
      <c r="A23" s="494"/>
      <c r="C23" s="83" t="s">
        <v>245</v>
      </c>
      <c r="F23" s="494"/>
      <c r="H23" s="97"/>
      <c r="I23" s="97"/>
      <c r="J23" s="97"/>
      <c r="K23" s="97"/>
      <c r="L23" s="101"/>
    </row>
    <row r="24" spans="1:16" x14ac:dyDescent="0.2">
      <c r="A24" s="494">
        <f>A21+1</f>
        <v>6</v>
      </c>
      <c r="D24" s="83" t="s">
        <v>246</v>
      </c>
      <c r="F24" s="494"/>
      <c r="H24" s="97">
        <f>H17*12</f>
        <v>23068488</v>
      </c>
      <c r="I24" s="97">
        <f>I17*12</f>
        <v>594000</v>
      </c>
      <c r="J24" s="97">
        <f>J17*12</f>
        <v>4604866</v>
      </c>
      <c r="K24" s="97"/>
      <c r="L24" s="97">
        <f>L17*12</f>
        <v>28267354</v>
      </c>
    </row>
    <row r="25" spans="1:16" x14ac:dyDescent="0.2">
      <c r="A25" s="494">
        <v>7</v>
      </c>
      <c r="D25" s="83" t="s">
        <v>247</v>
      </c>
      <c r="F25" s="494"/>
      <c r="H25" s="97"/>
      <c r="I25" s="97"/>
      <c r="J25" s="97"/>
      <c r="K25" s="97"/>
      <c r="L25" s="97"/>
      <c r="N25" s="101">
        <f>I24+H24</f>
        <v>23662488</v>
      </c>
      <c r="O25" s="101">
        <f>H24+J24</f>
        <v>27673354</v>
      </c>
      <c r="P25" s="101">
        <f>I24+J24</f>
        <v>5198866</v>
      </c>
    </row>
    <row r="26" spans="1:16" x14ac:dyDescent="0.2">
      <c r="A26" s="494"/>
      <c r="F26" s="494"/>
      <c r="H26" s="97"/>
      <c r="I26" s="97"/>
      <c r="J26" s="97"/>
      <c r="K26" s="97"/>
      <c r="L26" s="97"/>
      <c r="N26" s="101"/>
      <c r="O26" s="101"/>
      <c r="P26" s="101"/>
    </row>
    <row r="27" spans="1:16" x14ac:dyDescent="0.2">
      <c r="A27" s="494">
        <v>8</v>
      </c>
      <c r="C27" s="83" t="s">
        <v>361</v>
      </c>
      <c r="F27" s="494"/>
      <c r="H27" s="102">
        <f>H21*1000/H24</f>
        <v>2.6406690774441222</v>
      </c>
      <c r="I27" s="102">
        <f>I21*1000/I24</f>
        <v>2.1761816844648489</v>
      </c>
      <c r="J27" s="102">
        <f>J21*1000/J24</f>
        <v>0.46448739297927327</v>
      </c>
      <c r="K27" s="97"/>
      <c r="L27" s="101"/>
    </row>
    <row r="28" spans="1:16" x14ac:dyDescent="0.2">
      <c r="A28" s="494"/>
      <c r="F28" s="494"/>
      <c r="H28" s="97"/>
      <c r="I28" s="97"/>
      <c r="J28" s="97"/>
      <c r="K28" s="97"/>
      <c r="L28" s="97"/>
      <c r="N28" s="101"/>
      <c r="O28" s="101"/>
      <c r="P28" s="101"/>
    </row>
    <row r="29" spans="1:16" x14ac:dyDescent="0.2">
      <c r="A29" s="494">
        <f>A27+1</f>
        <v>9</v>
      </c>
      <c r="D29" s="83" t="s">
        <v>248</v>
      </c>
      <c r="F29" s="494" t="s">
        <v>249</v>
      </c>
      <c r="G29" s="96"/>
      <c r="H29" s="103">
        <f>$L$29*H19/$L$19</f>
        <v>3428883.5363711012</v>
      </c>
      <c r="I29" s="103">
        <f>$L$29*I19/$L$19</f>
        <v>72761.429068532743</v>
      </c>
      <c r="J29" s="103">
        <f>$L$29*J19/$L$19</f>
        <v>120395.58250557183</v>
      </c>
      <c r="K29" s="97"/>
      <c r="L29" s="97">
        <v>3622040.5479452056</v>
      </c>
      <c r="N29" s="97">
        <v>3830245.4794520549</v>
      </c>
      <c r="O29" s="97">
        <v>3622040.5479452056</v>
      </c>
    </row>
    <row r="30" spans="1:16" x14ac:dyDescent="0.2">
      <c r="A30" s="494">
        <v>10</v>
      </c>
      <c r="D30" s="83" t="s">
        <v>250</v>
      </c>
      <c r="F30" s="96" t="s">
        <v>367</v>
      </c>
      <c r="G30" s="96"/>
      <c r="H30" s="99">
        <f>$L$30*H19/$L$19</f>
        <v>347604.49413414433</v>
      </c>
      <c r="I30" s="99">
        <f>$L$30*I19/$L$19</f>
        <v>7376.2201240034838</v>
      </c>
      <c r="J30" s="99">
        <f>$L$30*J19/$L$19</f>
        <v>12205.152233641098</v>
      </c>
      <c r="K30" s="97"/>
      <c r="L30" s="99">
        <v>367185.86649178888</v>
      </c>
      <c r="N30" s="104"/>
      <c r="O30" s="99"/>
      <c r="P30" s="99">
        <v>445558.55342465756</v>
      </c>
    </row>
    <row r="31" spans="1:16" x14ac:dyDescent="0.2">
      <c r="A31" s="494">
        <v>11</v>
      </c>
      <c r="D31" s="83" t="s">
        <v>251</v>
      </c>
      <c r="F31" s="494"/>
      <c r="H31" s="97">
        <f>H24+H29+H30</f>
        <v>26844976.030505244</v>
      </c>
      <c r="I31" s="97">
        <f>I24+I29+I30</f>
        <v>674137.64919253625</v>
      </c>
      <c r="J31" s="97">
        <f>J24+J29+J30</f>
        <v>4737466.7347392123</v>
      </c>
      <c r="K31" s="97"/>
      <c r="L31" s="97">
        <f>L24+L29+L30</f>
        <v>32256580.414436992</v>
      </c>
      <c r="N31" s="101">
        <f>N25+N29</f>
        <v>27492733.479452055</v>
      </c>
      <c r="O31" s="101">
        <f>O25+O29</f>
        <v>31295394.547945205</v>
      </c>
      <c r="P31" s="101">
        <f>P25+P30</f>
        <v>5644424.5534246573</v>
      </c>
    </row>
    <row r="32" spans="1:16" x14ac:dyDescent="0.2">
      <c r="A32" s="494"/>
      <c r="F32" s="494"/>
      <c r="H32" s="97"/>
      <c r="I32" s="97"/>
      <c r="J32" s="97"/>
      <c r="K32" s="97"/>
      <c r="L32" s="101"/>
    </row>
    <row r="33" spans="1:16" ht="29.25" customHeight="1" thickBot="1" x14ac:dyDescent="0.25">
      <c r="A33" s="105">
        <f>A31+1</f>
        <v>12</v>
      </c>
      <c r="D33" s="106" t="s">
        <v>843</v>
      </c>
      <c r="E33" s="106"/>
      <c r="F33" s="494"/>
      <c r="H33" s="97"/>
      <c r="I33" s="97"/>
      <c r="J33" s="97"/>
      <c r="K33" s="97"/>
      <c r="L33" s="101"/>
      <c r="N33" s="107">
        <f>N14*1000/N31</f>
        <v>0.42508007989409607</v>
      </c>
      <c r="O33" s="107">
        <f>O14*1000/O31</f>
        <v>0.77172443236513644</v>
      </c>
      <c r="P33" s="107">
        <f>P14*1000/P31</f>
        <v>0.21623876038126918</v>
      </c>
    </row>
    <row r="34" spans="1:16" ht="13.5" thickTop="1" x14ac:dyDescent="0.2">
      <c r="A34" s="494"/>
      <c r="H34" s="97"/>
      <c r="I34" s="97"/>
      <c r="J34" s="97"/>
      <c r="K34" s="97"/>
      <c r="L34" s="101"/>
      <c r="N34" s="108"/>
      <c r="O34" s="108"/>
      <c r="P34" s="108"/>
    </row>
    <row r="35" spans="1:16" x14ac:dyDescent="0.2">
      <c r="A35" s="494">
        <f>A33+1</f>
        <v>13</v>
      </c>
      <c r="C35" s="83" t="s">
        <v>841</v>
      </c>
      <c r="H35" s="102">
        <f>H21*1000/H31</f>
        <v>2.2691859681963855</v>
      </c>
      <c r="I35" s="108"/>
      <c r="J35" s="108"/>
      <c r="K35" s="97"/>
      <c r="L35" s="109"/>
    </row>
    <row r="36" spans="1:16" x14ac:dyDescent="0.2">
      <c r="A36" s="494"/>
      <c r="H36" s="108"/>
      <c r="I36" s="108"/>
      <c r="J36" s="108"/>
      <c r="K36" s="97"/>
      <c r="L36" s="110"/>
    </row>
    <row r="37" spans="1:16" x14ac:dyDescent="0.2">
      <c r="A37" s="494">
        <f>A35+1</f>
        <v>14</v>
      </c>
      <c r="C37" s="83" t="s">
        <v>844</v>
      </c>
      <c r="F37" s="96"/>
      <c r="G37" s="96"/>
      <c r="H37" s="103">
        <f>(H29+H30)*$H$35/1000</f>
        <v>8569.5536478841059</v>
      </c>
      <c r="I37" s="103">
        <f>(I29+I30)*$H$35/1000</f>
        <v>181.8472290719476</v>
      </c>
      <c r="J37" s="103">
        <f>(J29+J30)*$H$35/1000</f>
        <v>300.895726642753</v>
      </c>
      <c r="K37" s="97"/>
      <c r="L37" s="111"/>
    </row>
    <row r="38" spans="1:16" x14ac:dyDescent="0.2">
      <c r="A38" s="494"/>
      <c r="H38" s="97"/>
      <c r="I38" s="97"/>
      <c r="J38" s="97"/>
      <c r="K38" s="97"/>
      <c r="L38" s="101"/>
    </row>
    <row r="39" spans="1:16" x14ac:dyDescent="0.2">
      <c r="A39" s="494">
        <f>A37+1</f>
        <v>15</v>
      </c>
      <c r="C39" s="83" t="s">
        <v>252</v>
      </c>
      <c r="H39" s="97"/>
      <c r="I39" s="112">
        <f>(I21-I37)*1000/I24</f>
        <v>1.8700415681821085</v>
      </c>
      <c r="J39" s="112">
        <f>(J21-J37)*1000/J24</f>
        <v>0.39914440001427642</v>
      </c>
      <c r="K39" s="97"/>
      <c r="L39" s="101"/>
    </row>
    <row r="40" spans="1:16" x14ac:dyDescent="0.2">
      <c r="A40" s="494"/>
      <c r="H40" s="97"/>
      <c r="I40" s="97"/>
      <c r="J40" s="97"/>
      <c r="K40" s="97"/>
      <c r="L40" s="101"/>
    </row>
    <row r="41" spans="1:16" x14ac:dyDescent="0.2">
      <c r="A41" s="494"/>
      <c r="C41" s="95" t="s">
        <v>362</v>
      </c>
      <c r="F41" s="494"/>
      <c r="G41" s="494"/>
      <c r="H41" s="113"/>
      <c r="K41" s="113"/>
      <c r="L41" s="101"/>
    </row>
    <row r="42" spans="1:16" x14ac:dyDescent="0.2">
      <c r="C42" s="83" t="s">
        <v>363</v>
      </c>
    </row>
    <row r="43" spans="1:16" x14ac:dyDescent="0.2">
      <c r="A43" s="494">
        <v>16</v>
      </c>
      <c r="D43" s="83" t="s">
        <v>527</v>
      </c>
      <c r="H43" s="114">
        <f>H35</f>
        <v>2.2691859681963855</v>
      </c>
      <c r="I43" s="114">
        <f>I39</f>
        <v>1.8700415681821085</v>
      </c>
      <c r="J43" s="114">
        <f>J39</f>
        <v>0.39914440001427642</v>
      </c>
    </row>
    <row r="44" spans="1:16" x14ac:dyDescent="0.2">
      <c r="A44" s="494">
        <v>17</v>
      </c>
      <c r="D44" s="83" t="s">
        <v>364</v>
      </c>
      <c r="H44" s="114"/>
      <c r="I44" s="114"/>
      <c r="J44" s="114"/>
    </row>
    <row r="45" spans="1:16" x14ac:dyDescent="0.2">
      <c r="A45" s="494">
        <v>18</v>
      </c>
      <c r="D45" s="84" t="s">
        <v>253</v>
      </c>
      <c r="H45" s="108">
        <f>N33</f>
        <v>0.42508007989409607</v>
      </c>
      <c r="I45" s="108">
        <f>N33</f>
        <v>0.42508007989409607</v>
      </c>
      <c r="J45" s="108">
        <v>0</v>
      </c>
      <c r="K45" s="97"/>
      <c r="L45" s="101"/>
      <c r="N45" s="108"/>
      <c r="O45" s="108"/>
      <c r="P45" s="108"/>
    </row>
    <row r="46" spans="1:16" x14ac:dyDescent="0.2">
      <c r="A46" s="494">
        <v>19</v>
      </c>
      <c r="D46" s="84" t="s">
        <v>254</v>
      </c>
      <c r="H46" s="108">
        <v>0</v>
      </c>
      <c r="I46" s="108">
        <f>P33</f>
        <v>0.21623876038126918</v>
      </c>
      <c r="J46" s="108">
        <f>P33</f>
        <v>0.21623876038126918</v>
      </c>
      <c r="K46" s="97"/>
      <c r="L46" s="101"/>
      <c r="N46" s="108"/>
      <c r="O46" s="108"/>
      <c r="P46" s="108"/>
    </row>
    <row r="47" spans="1:16" x14ac:dyDescent="0.2">
      <c r="A47" s="494">
        <v>20</v>
      </c>
      <c r="D47" s="84" t="s">
        <v>255</v>
      </c>
      <c r="H47" s="108">
        <f>O33</f>
        <v>0.77172443236513644</v>
      </c>
      <c r="I47" s="108">
        <v>0</v>
      </c>
      <c r="J47" s="108">
        <f>O33</f>
        <v>0.77172443236513644</v>
      </c>
      <c r="K47" s="97"/>
      <c r="L47" s="101"/>
      <c r="N47" s="108"/>
      <c r="O47" s="108"/>
      <c r="P47" s="108"/>
    </row>
    <row r="48" spans="1:16" ht="13.5" thickBot="1" x14ac:dyDescent="0.25">
      <c r="A48" s="494">
        <v>21</v>
      </c>
      <c r="C48" s="83" t="s">
        <v>365</v>
      </c>
      <c r="H48" s="107">
        <f>SUM(H43:H47)</f>
        <v>3.4659904804556181</v>
      </c>
      <c r="I48" s="107">
        <f>SUM(I43:I47)</f>
        <v>2.5113604084574739</v>
      </c>
      <c r="J48" s="107">
        <f>SUM(J43:J47)</f>
        <v>1.3871075927606822</v>
      </c>
      <c r="K48" s="97"/>
      <c r="L48" s="114"/>
      <c r="N48" s="108"/>
      <c r="O48" s="108"/>
      <c r="P48" s="108"/>
    </row>
    <row r="49" spans="1:29" ht="13.5" thickTop="1" x14ac:dyDescent="0.2">
      <c r="A49" s="494"/>
      <c r="H49" s="108"/>
      <c r="I49" s="108"/>
      <c r="J49" s="108"/>
      <c r="K49" s="97"/>
      <c r="L49" s="101"/>
      <c r="N49" s="108"/>
      <c r="O49" s="108"/>
      <c r="P49" s="108"/>
    </row>
    <row r="50" spans="1:29" ht="13.5" thickBot="1" x14ac:dyDescent="0.25">
      <c r="A50" s="494">
        <v>22</v>
      </c>
      <c r="C50" s="83" t="s">
        <v>885</v>
      </c>
      <c r="H50" s="115">
        <f>(H48)*100/365</f>
        <v>0.94958643300153922</v>
      </c>
      <c r="J50" s="115">
        <f>H50</f>
        <v>0.94958643300153922</v>
      </c>
      <c r="N50" s="109"/>
      <c r="O50" s="109"/>
      <c r="P50" s="109"/>
    </row>
    <row r="51" spans="1:29" ht="14.25" thickTop="1" thickBot="1" x14ac:dyDescent="0.25">
      <c r="A51" s="494">
        <v>23</v>
      </c>
      <c r="C51" s="83" t="s">
        <v>884</v>
      </c>
      <c r="I51" s="115">
        <f>(I43*214/365)+((I45+I47)*100/365)+(I46*214/365)</f>
        <v>1.3396493104163629</v>
      </c>
      <c r="N51" s="109"/>
      <c r="O51" s="109"/>
      <c r="P51" s="109"/>
    </row>
    <row r="52" spans="1:29" ht="13.5" thickTop="1" x14ac:dyDescent="0.2">
      <c r="A52" s="494"/>
      <c r="H52" s="114"/>
      <c r="I52" s="114"/>
      <c r="J52" s="114"/>
      <c r="N52" s="109"/>
      <c r="O52" s="109"/>
      <c r="P52" s="109"/>
    </row>
    <row r="53" spans="1:29" x14ac:dyDescent="0.2">
      <c r="A53" s="494"/>
      <c r="C53" s="95"/>
      <c r="I53" s="109"/>
    </row>
    <row r="54" spans="1:29" x14ac:dyDescent="0.2">
      <c r="A54" s="95" t="s">
        <v>5</v>
      </c>
    </row>
    <row r="55" spans="1:29" x14ac:dyDescent="0.2">
      <c r="A55" s="96" t="s">
        <v>189</v>
      </c>
      <c r="C55" s="83" t="s">
        <v>833</v>
      </c>
      <c r="F55" s="494"/>
      <c r="G55" s="494"/>
    </row>
    <row r="56" spans="1:29" x14ac:dyDescent="0.2">
      <c r="A56" s="96" t="s">
        <v>190</v>
      </c>
      <c r="C56" s="83" t="s">
        <v>774</v>
      </c>
      <c r="F56" s="494"/>
      <c r="G56" s="494"/>
    </row>
    <row r="57" spans="1:29" x14ac:dyDescent="0.2">
      <c r="A57" s="96" t="s">
        <v>191</v>
      </c>
      <c r="C57" s="83" t="s">
        <v>775</v>
      </c>
      <c r="F57" s="494"/>
      <c r="G57" s="494"/>
    </row>
    <row r="58" spans="1:29" x14ac:dyDescent="0.2">
      <c r="A58" s="96" t="s">
        <v>192</v>
      </c>
      <c r="C58" s="83" t="s">
        <v>776</v>
      </c>
      <c r="F58" s="494"/>
      <c r="G58" s="494"/>
    </row>
    <row r="59" spans="1:29" x14ac:dyDescent="0.2">
      <c r="A59" s="96" t="s">
        <v>194</v>
      </c>
      <c r="C59" s="498" t="s">
        <v>836</v>
      </c>
      <c r="D59" s="223"/>
      <c r="E59" s="223"/>
      <c r="F59" s="224"/>
      <c r="G59" s="224"/>
      <c r="H59" s="223"/>
      <c r="I59" s="223"/>
      <c r="J59" s="223"/>
      <c r="K59" s="223"/>
      <c r="L59" s="223"/>
      <c r="M59" s="223"/>
      <c r="N59" s="223"/>
    </row>
    <row r="60" spans="1:29" x14ac:dyDescent="0.2">
      <c r="A60" s="96" t="s">
        <v>195</v>
      </c>
      <c r="C60" s="498" t="s">
        <v>837</v>
      </c>
      <c r="D60" s="223"/>
      <c r="E60" s="223"/>
      <c r="F60" s="224"/>
      <c r="G60" s="224"/>
      <c r="H60" s="223"/>
      <c r="I60" s="223"/>
      <c r="J60" s="223"/>
      <c r="K60" s="223"/>
      <c r="L60" s="223"/>
      <c r="M60" s="223"/>
      <c r="N60" s="223"/>
    </row>
    <row r="61" spans="1:29" x14ac:dyDescent="0.2">
      <c r="A61" s="96" t="s">
        <v>366</v>
      </c>
      <c r="C61" s="498" t="s">
        <v>838</v>
      </c>
      <c r="D61" s="223"/>
      <c r="E61" s="223"/>
      <c r="F61" s="224"/>
      <c r="G61" s="224"/>
      <c r="H61" s="223"/>
      <c r="I61" s="223"/>
      <c r="J61" s="223"/>
      <c r="K61" s="223"/>
      <c r="L61" s="223"/>
      <c r="M61" s="223"/>
      <c r="N61" s="223"/>
    </row>
    <row r="62" spans="1:29" ht="15" customHeight="1" x14ac:dyDescent="0.2">
      <c r="A62" s="96" t="s">
        <v>249</v>
      </c>
      <c r="C62" s="223" t="s">
        <v>839</v>
      </c>
      <c r="D62" s="223"/>
      <c r="E62" s="223"/>
      <c r="F62" s="223"/>
      <c r="G62" s="223"/>
      <c r="H62" s="223"/>
      <c r="I62" s="223"/>
      <c r="J62" s="223"/>
      <c r="K62" s="223"/>
      <c r="L62" s="223"/>
      <c r="M62" s="223"/>
      <c r="N62" s="223"/>
      <c r="R62" s="352"/>
      <c r="S62" s="352"/>
      <c r="T62" s="352"/>
      <c r="U62" s="352"/>
      <c r="V62" s="352"/>
      <c r="W62" s="352"/>
      <c r="X62" s="352"/>
      <c r="Y62" s="352"/>
      <c r="Z62" s="352"/>
      <c r="AA62" s="352"/>
      <c r="AB62" s="352"/>
      <c r="AC62" s="352"/>
    </row>
    <row r="63" spans="1:29" ht="15" customHeight="1" x14ac:dyDescent="0.2">
      <c r="A63" s="96" t="s">
        <v>367</v>
      </c>
      <c r="C63" s="223" t="s">
        <v>840</v>
      </c>
      <c r="D63" s="223"/>
      <c r="E63" s="223"/>
      <c r="F63" s="223"/>
      <c r="G63" s="223"/>
      <c r="H63" s="223"/>
      <c r="I63" s="223"/>
      <c r="J63" s="223"/>
      <c r="K63" s="223"/>
      <c r="L63" s="223"/>
      <c r="M63" s="223"/>
      <c r="N63" s="223"/>
    </row>
    <row r="64" spans="1:29" x14ac:dyDescent="0.2">
      <c r="A64" s="278"/>
      <c r="B64" s="279"/>
      <c r="C64" s="280"/>
      <c r="D64" s="278"/>
      <c r="E64" s="278"/>
      <c r="F64" s="278"/>
      <c r="G64" s="278"/>
      <c r="H64" s="278"/>
      <c r="I64" s="278"/>
      <c r="J64" s="278"/>
    </row>
    <row r="65" spans="1:16" x14ac:dyDescent="0.2">
      <c r="A65" s="278"/>
      <c r="B65" s="279"/>
      <c r="C65" s="280"/>
      <c r="D65" s="278"/>
      <c r="E65" s="278"/>
      <c r="F65" s="278"/>
      <c r="G65" s="278"/>
      <c r="H65" s="278"/>
      <c r="I65" s="278"/>
      <c r="J65" s="278"/>
    </row>
    <row r="66" spans="1:16" x14ac:dyDescent="0.2">
      <c r="A66" s="278"/>
      <c r="B66" s="279"/>
      <c r="C66" s="280"/>
      <c r="D66" s="278"/>
      <c r="E66" s="278"/>
      <c r="F66" s="278"/>
      <c r="G66" s="278"/>
      <c r="H66" s="278"/>
      <c r="I66" s="278"/>
      <c r="J66" s="278"/>
    </row>
    <row r="67" spans="1:16" x14ac:dyDescent="0.2">
      <c r="A67" s="278"/>
      <c r="B67" s="279"/>
      <c r="C67" s="280"/>
      <c r="D67" s="278"/>
      <c r="E67" s="278"/>
      <c r="F67" s="278"/>
      <c r="G67" s="278"/>
      <c r="H67" s="278"/>
      <c r="I67" s="278"/>
      <c r="J67" s="278"/>
    </row>
    <row r="68" spans="1:16" x14ac:dyDescent="0.2">
      <c r="A68" s="278"/>
      <c r="B68" s="279"/>
      <c r="C68" s="280"/>
      <c r="D68" s="278"/>
      <c r="E68" s="278"/>
      <c r="F68" s="278"/>
      <c r="G68" s="278"/>
      <c r="H68" s="278"/>
      <c r="I68" s="278"/>
      <c r="J68" s="278"/>
    </row>
    <row r="69" spans="1:16" x14ac:dyDescent="0.2">
      <c r="A69" s="518" t="s">
        <v>528</v>
      </c>
      <c r="B69" s="518"/>
      <c r="C69" s="518"/>
      <c r="D69" s="518"/>
      <c r="E69" s="518"/>
      <c r="F69" s="518"/>
      <c r="G69" s="518"/>
      <c r="H69" s="518"/>
      <c r="I69" s="518"/>
      <c r="J69" s="518"/>
      <c r="K69" s="518"/>
      <c r="L69" s="518"/>
      <c r="M69" s="518"/>
      <c r="N69" s="518"/>
    </row>
    <row r="70" spans="1:16" x14ac:dyDescent="0.2">
      <c r="A70" s="519" t="s">
        <v>529</v>
      </c>
      <c r="B70" s="519"/>
      <c r="C70" s="519"/>
      <c r="D70" s="519"/>
      <c r="E70" s="519"/>
      <c r="F70" s="519"/>
      <c r="G70" s="519"/>
      <c r="H70" s="519"/>
      <c r="I70" s="519"/>
      <c r="J70" s="519"/>
      <c r="K70" s="519"/>
      <c r="L70" s="519"/>
      <c r="M70" s="519"/>
      <c r="N70" s="519"/>
      <c r="O70" s="95"/>
      <c r="P70" s="95"/>
    </row>
    <row r="72" spans="1:16" x14ac:dyDescent="0.2">
      <c r="H72" s="508" t="s">
        <v>370</v>
      </c>
      <c r="I72" s="508"/>
      <c r="J72" s="508"/>
      <c r="L72" s="494" t="s">
        <v>47</v>
      </c>
      <c r="N72" s="494" t="s">
        <v>47</v>
      </c>
    </row>
    <row r="73" spans="1:16" x14ac:dyDescent="0.2">
      <c r="A73" s="83" t="s">
        <v>0</v>
      </c>
      <c r="F73" s="494"/>
      <c r="G73" s="494"/>
      <c r="H73" s="494" t="s">
        <v>236</v>
      </c>
      <c r="I73" s="494" t="s">
        <v>236</v>
      </c>
      <c r="J73" s="494" t="s">
        <v>237</v>
      </c>
      <c r="L73" s="494" t="s">
        <v>238</v>
      </c>
      <c r="N73" s="494" t="s">
        <v>238</v>
      </c>
      <c r="O73" s="494"/>
    </row>
    <row r="74" spans="1:16" x14ac:dyDescent="0.2">
      <c r="A74" s="94" t="s">
        <v>1</v>
      </c>
      <c r="C74" s="94" t="s">
        <v>9</v>
      </c>
      <c r="D74" s="94"/>
      <c r="F74" s="488" t="s">
        <v>223</v>
      </c>
      <c r="G74" s="494"/>
      <c r="H74" s="488" t="s">
        <v>239</v>
      </c>
      <c r="I74" s="488" t="s">
        <v>240</v>
      </c>
      <c r="J74" s="488" t="s">
        <v>239</v>
      </c>
      <c r="K74" s="494"/>
      <c r="L74" s="488" t="s">
        <v>239</v>
      </c>
      <c r="N74" s="488" t="s">
        <v>241</v>
      </c>
      <c r="O74" s="494"/>
    </row>
    <row r="75" spans="1:16" x14ac:dyDescent="0.2">
      <c r="F75" s="494"/>
      <c r="G75" s="494"/>
      <c r="H75" s="494" t="s">
        <v>3</v>
      </c>
      <c r="I75" s="494" t="s">
        <v>4</v>
      </c>
      <c r="J75" s="494" t="s">
        <v>86</v>
      </c>
      <c r="K75" s="494"/>
      <c r="L75" s="494" t="s">
        <v>133</v>
      </c>
      <c r="M75" s="494"/>
      <c r="N75" s="96" t="s">
        <v>32</v>
      </c>
      <c r="O75" s="494"/>
    </row>
    <row r="76" spans="1:16" x14ac:dyDescent="0.2">
      <c r="F76" s="494"/>
      <c r="G76" s="494"/>
    </row>
    <row r="77" spans="1:16" x14ac:dyDescent="0.2">
      <c r="A77" s="494">
        <v>1</v>
      </c>
      <c r="C77" s="95" t="s">
        <v>359</v>
      </c>
      <c r="F77" s="96" t="s">
        <v>530</v>
      </c>
      <c r="G77" s="96"/>
      <c r="H77" s="113"/>
      <c r="I77" s="113"/>
      <c r="J77" s="113"/>
      <c r="K77" s="113"/>
      <c r="L77" s="113">
        <f>+L14+O14+P14</f>
        <v>89719.761010575938</v>
      </c>
      <c r="M77" s="113"/>
      <c r="N77" s="113">
        <f>+N14</f>
        <v>11686.613343952569</v>
      </c>
    </row>
    <row r="78" spans="1:16" x14ac:dyDescent="0.2">
      <c r="A78" s="494"/>
      <c r="F78" s="494"/>
      <c r="G78" s="494"/>
    </row>
    <row r="79" spans="1:16" x14ac:dyDescent="0.2">
      <c r="A79" s="494"/>
      <c r="C79" s="95" t="s">
        <v>242</v>
      </c>
      <c r="F79" s="494"/>
      <c r="G79" s="96"/>
    </row>
    <row r="80" spans="1:16" x14ac:dyDescent="0.2">
      <c r="A80" s="494">
        <f>A77+1</f>
        <v>2</v>
      </c>
      <c r="D80" s="83" t="s">
        <v>865</v>
      </c>
      <c r="F80" s="96"/>
      <c r="G80" s="96"/>
      <c r="H80" s="285">
        <f t="shared" ref="H80:J81" si="0">+H17</f>
        <v>1922374</v>
      </c>
      <c r="I80" s="285">
        <f t="shared" si="0"/>
        <v>49500</v>
      </c>
      <c r="J80" s="285">
        <f t="shared" si="0"/>
        <v>383738.83333333331</v>
      </c>
      <c r="L80" s="113">
        <f>SUM(H80:J80)</f>
        <v>2355612.8333333335</v>
      </c>
      <c r="M80" s="281"/>
      <c r="N80" s="281"/>
      <c r="O80" s="281"/>
    </row>
    <row r="81" spans="1:16" x14ac:dyDescent="0.2">
      <c r="A81" s="494">
        <f>A80+1</f>
        <v>3</v>
      </c>
      <c r="D81" s="83" t="s">
        <v>244</v>
      </c>
      <c r="F81" s="494"/>
      <c r="G81" s="494"/>
      <c r="H81" s="456">
        <f t="shared" si="0"/>
        <v>228.94</v>
      </c>
      <c r="I81" s="456">
        <f t="shared" si="0"/>
        <v>188.67</v>
      </c>
      <c r="J81" s="456">
        <f t="shared" si="0"/>
        <v>40.27000000000001</v>
      </c>
    </row>
    <row r="82" spans="1:16" x14ac:dyDescent="0.2">
      <c r="A82" s="494">
        <f>A81+1</f>
        <v>4</v>
      </c>
      <c r="D82" s="83" t="s">
        <v>842</v>
      </c>
      <c r="F82" s="494"/>
      <c r="G82" s="494"/>
      <c r="H82" s="113">
        <f>H80*H81/1000</f>
        <v>440108.30356000003</v>
      </c>
      <c r="I82" s="113">
        <f>I80*I81/1000</f>
        <v>9339.1650000000009</v>
      </c>
      <c r="J82" s="113">
        <f>J80*J81/1000</f>
        <v>15453.162818333338</v>
      </c>
      <c r="K82" s="113"/>
      <c r="L82" s="113">
        <f>SUM(H82:J82)</f>
        <v>464900.63137833332</v>
      </c>
    </row>
    <row r="83" spans="1:16" x14ac:dyDescent="0.2">
      <c r="A83" s="494"/>
      <c r="F83" s="494"/>
      <c r="G83" s="494"/>
    </row>
    <row r="84" spans="1:16" x14ac:dyDescent="0.2">
      <c r="A84" s="494">
        <f>A82+1</f>
        <v>5</v>
      </c>
      <c r="D84" s="83" t="s">
        <v>360</v>
      </c>
      <c r="F84" s="494"/>
      <c r="G84" s="494"/>
      <c r="H84" s="97">
        <f>H82/$L$82*$L$77</f>
        <v>84935.164955797634</v>
      </c>
      <c r="I84" s="97">
        <f>I82/$L$82*$L$77</f>
        <v>1802.3370915933458</v>
      </c>
      <c r="J84" s="97">
        <f>J82/$L$82*$L$77</f>
        <v>2982.2589631849678</v>
      </c>
      <c r="K84" s="113"/>
      <c r="L84" s="101">
        <f>SUM(H84:J84)</f>
        <v>89719.761010575952</v>
      </c>
    </row>
    <row r="85" spans="1:16" x14ac:dyDescent="0.2">
      <c r="A85" s="494"/>
      <c r="F85" s="494"/>
      <c r="G85" s="494"/>
      <c r="H85" s="113"/>
      <c r="I85" s="113"/>
      <c r="J85" s="113"/>
      <c r="K85" s="113"/>
      <c r="L85" s="101"/>
    </row>
    <row r="86" spans="1:16" x14ac:dyDescent="0.2">
      <c r="A86" s="494"/>
      <c r="C86" s="83" t="s">
        <v>245</v>
      </c>
      <c r="F86" s="494"/>
      <c r="G86" s="494"/>
      <c r="H86" s="113"/>
      <c r="I86" s="113"/>
      <c r="J86" s="113"/>
      <c r="K86" s="113"/>
      <c r="L86" s="101"/>
    </row>
    <row r="87" spans="1:16" x14ac:dyDescent="0.2">
      <c r="A87" s="494">
        <f>A84+1</f>
        <v>6</v>
      </c>
      <c r="D87" s="83" t="s">
        <v>246</v>
      </c>
      <c r="F87" s="494"/>
      <c r="G87" s="494"/>
      <c r="H87" s="113">
        <f>H80*12</f>
        <v>23068488</v>
      </c>
      <c r="I87" s="113">
        <f>I80*12</f>
        <v>594000</v>
      </c>
      <c r="J87" s="113">
        <f>J80*12</f>
        <v>4604866</v>
      </c>
      <c r="K87" s="113"/>
      <c r="L87" s="113">
        <f>L80*12</f>
        <v>28267354</v>
      </c>
    </row>
    <row r="88" spans="1:16" x14ac:dyDescent="0.2">
      <c r="A88" s="494">
        <v>7</v>
      </c>
      <c r="D88" s="83" t="s">
        <v>247</v>
      </c>
      <c r="F88" s="494"/>
      <c r="G88" s="494"/>
      <c r="H88" s="113"/>
      <c r="I88" s="113"/>
      <c r="J88" s="113"/>
      <c r="K88" s="113"/>
      <c r="L88" s="113"/>
      <c r="N88" s="101">
        <f>I87+H87</f>
        <v>23662488</v>
      </c>
    </row>
    <row r="89" spans="1:16" x14ac:dyDescent="0.2">
      <c r="A89" s="494"/>
      <c r="F89" s="494"/>
      <c r="G89" s="494"/>
      <c r="H89" s="113"/>
      <c r="I89" s="113"/>
      <c r="J89" s="113"/>
      <c r="K89" s="113"/>
      <c r="L89" s="113"/>
      <c r="N89" s="101"/>
    </row>
    <row r="90" spans="1:16" x14ac:dyDescent="0.2">
      <c r="A90" s="494">
        <v>8</v>
      </c>
      <c r="C90" s="83" t="s">
        <v>361</v>
      </c>
      <c r="F90" s="494"/>
      <c r="G90" s="494"/>
      <c r="H90" s="282">
        <f>H84*1000/H87</f>
        <v>3.6818696117317109</v>
      </c>
      <c r="I90" s="282">
        <f>I84*1000/I87</f>
        <v>3.0342375279349256</v>
      </c>
      <c r="J90" s="282">
        <f>J84*1000/J87</f>
        <v>0.64763208379678527</v>
      </c>
      <c r="K90" s="113"/>
      <c r="L90" s="101"/>
    </row>
    <row r="91" spans="1:16" x14ac:dyDescent="0.2">
      <c r="A91" s="494"/>
      <c r="F91" s="494"/>
      <c r="G91" s="494"/>
      <c r="H91" s="113"/>
      <c r="I91" s="113"/>
      <c r="J91" s="113"/>
      <c r="K91" s="113"/>
      <c r="L91" s="113"/>
      <c r="N91" s="101"/>
    </row>
    <row r="92" spans="1:16" x14ac:dyDescent="0.2">
      <c r="A92" s="494">
        <f>A90+1</f>
        <v>9</v>
      </c>
      <c r="D92" s="83" t="s">
        <v>866</v>
      </c>
      <c r="F92" s="96"/>
      <c r="G92" s="96"/>
      <c r="H92" s="97">
        <f>H82/$L$82 * $L$92</f>
        <v>3428883.5363711016</v>
      </c>
      <c r="I92" s="97">
        <f t="shared" ref="I92:J92" si="1">I82/$L$82 * $L$92</f>
        <v>72761.429068532743</v>
      </c>
      <c r="J92" s="97">
        <f t="shared" si="1"/>
        <v>120395.58250557182</v>
      </c>
      <c r="K92" s="113"/>
      <c r="L92" s="285">
        <v>3622040.5479452056</v>
      </c>
      <c r="N92" s="101">
        <f>L92</f>
        <v>3622040.5479452056</v>
      </c>
      <c r="P92" s="101"/>
    </row>
    <row r="93" spans="1:16" x14ac:dyDescent="0.2">
      <c r="A93" s="494">
        <f>A92+1</f>
        <v>10</v>
      </c>
      <c r="D93" s="83" t="s">
        <v>867</v>
      </c>
      <c r="F93" s="96"/>
      <c r="G93" s="96"/>
      <c r="H93" s="97">
        <f>H82/$L$82 * $L$93</f>
        <v>347604.49413414428</v>
      </c>
      <c r="I93" s="97">
        <f t="shared" ref="I93:J93" si="2">I82/$L$82 * $L$93</f>
        <v>7376.2201240034819</v>
      </c>
      <c r="J93" s="97">
        <f t="shared" si="2"/>
        <v>12205.152233641094</v>
      </c>
      <c r="K93" s="113"/>
      <c r="L93" s="456">
        <v>367185.86649178882</v>
      </c>
      <c r="N93" s="104">
        <f>L93*H81/I81</f>
        <v>445558.5534246575</v>
      </c>
    </row>
    <row r="94" spans="1:16" x14ac:dyDescent="0.2">
      <c r="A94" s="494">
        <f>A93+1</f>
        <v>11</v>
      </c>
      <c r="D94" s="83" t="s">
        <v>251</v>
      </c>
      <c r="F94" s="494"/>
      <c r="G94" s="494"/>
      <c r="H94" s="283">
        <f>H87+H92+H93</f>
        <v>26844976.030505244</v>
      </c>
      <c r="I94" s="283">
        <f>I87+I92+I93</f>
        <v>674137.64919253625</v>
      </c>
      <c r="J94" s="283">
        <f>J87+J92+J93</f>
        <v>4737466.7347392123</v>
      </c>
      <c r="K94" s="113"/>
      <c r="L94" s="283">
        <f>L87+L92+L93</f>
        <v>32256580.414436992</v>
      </c>
      <c r="N94" s="283">
        <f>N88+N92+N93</f>
        <v>27730087.101369862</v>
      </c>
    </row>
    <row r="95" spans="1:16" x14ac:dyDescent="0.2">
      <c r="A95" s="494"/>
      <c r="F95" s="494"/>
      <c r="G95" s="494"/>
      <c r="H95" s="113"/>
      <c r="I95" s="113"/>
      <c r="J95" s="113"/>
      <c r="K95" s="113"/>
      <c r="L95" s="101"/>
    </row>
    <row r="96" spans="1:16" ht="13.5" thickBot="1" x14ac:dyDescent="0.25">
      <c r="A96" s="494">
        <f>A94+1</f>
        <v>12</v>
      </c>
      <c r="C96" s="83" t="s">
        <v>893</v>
      </c>
      <c r="F96" s="494"/>
      <c r="G96" s="494"/>
      <c r="H96" s="113"/>
      <c r="I96" s="113"/>
      <c r="J96" s="113"/>
      <c r="K96" s="113"/>
      <c r="L96" s="101"/>
      <c r="N96" s="284">
        <f>N77*1000/N94</f>
        <v>0.42144163850734007</v>
      </c>
    </row>
    <row r="97" spans="1:14" ht="13.5" thickTop="1" x14ac:dyDescent="0.2">
      <c r="A97" s="494"/>
      <c r="F97" s="494"/>
      <c r="G97" s="494"/>
      <c r="H97" s="113"/>
      <c r="I97" s="285"/>
      <c r="J97" s="285"/>
      <c r="K97" s="113"/>
      <c r="L97" s="101"/>
      <c r="N97" s="286"/>
    </row>
    <row r="98" spans="1:14" x14ac:dyDescent="0.2">
      <c r="A98" s="494">
        <f>A96+1</f>
        <v>13</v>
      </c>
      <c r="C98" s="83" t="s">
        <v>531</v>
      </c>
      <c r="F98" s="494"/>
      <c r="G98" s="494"/>
      <c r="H98" s="282">
        <f>H84*1000/H94</f>
        <v>3.1639128624768258</v>
      </c>
      <c r="I98" s="286"/>
      <c r="J98" s="286"/>
      <c r="K98" s="113"/>
      <c r="L98" s="109"/>
    </row>
    <row r="99" spans="1:14" x14ac:dyDescent="0.2">
      <c r="A99" s="494"/>
      <c r="F99" s="494"/>
      <c r="G99" s="494"/>
      <c r="H99" s="286"/>
      <c r="I99" s="286"/>
      <c r="J99" s="286"/>
      <c r="K99" s="113"/>
      <c r="L99" s="101"/>
    </row>
    <row r="100" spans="1:14" x14ac:dyDescent="0.2">
      <c r="A100" s="494">
        <f>A98+1</f>
        <v>14</v>
      </c>
      <c r="C100" s="83" t="s">
        <v>844</v>
      </c>
      <c r="F100" s="96"/>
      <c r="G100" s="96"/>
      <c r="H100" s="285">
        <f>(H92+H93)*$H$98/1000</f>
        <v>11948.479054705324</v>
      </c>
      <c r="I100" s="285">
        <f>(I92+I93)*$H$98/1000</f>
        <v>253.54853904892096</v>
      </c>
      <c r="J100" s="285">
        <f>(J92+J93)*$H$98/1000</f>
        <v>419.53717021527342</v>
      </c>
      <c r="K100" s="113"/>
      <c r="L100" s="285"/>
    </row>
    <row r="101" spans="1:14" x14ac:dyDescent="0.2">
      <c r="A101" s="494"/>
      <c r="F101" s="96"/>
      <c r="G101" s="96"/>
      <c r="H101" s="285"/>
      <c r="I101" s="285"/>
      <c r="J101" s="285"/>
      <c r="K101" s="113"/>
      <c r="L101" s="285"/>
    </row>
    <row r="102" spans="1:14" x14ac:dyDescent="0.2">
      <c r="A102" s="494">
        <f>A100+1</f>
        <v>15</v>
      </c>
      <c r="C102" s="83" t="s">
        <v>252</v>
      </c>
      <c r="H102" s="97"/>
      <c r="I102" s="112">
        <f>(I84-I100)*1000/I87</f>
        <v>2.6073881355966746</v>
      </c>
      <c r="J102" s="112">
        <f>(J84-J100)*1000/J87</f>
        <v>0.5565247268801512</v>
      </c>
      <c r="K102" s="97"/>
      <c r="L102" s="101"/>
    </row>
    <row r="103" spans="1:14" x14ac:dyDescent="0.2">
      <c r="A103" s="494"/>
      <c r="F103" s="494"/>
      <c r="G103" s="494"/>
      <c r="H103" s="113"/>
      <c r="I103" s="113"/>
      <c r="J103" s="113"/>
      <c r="K103" s="113"/>
      <c r="L103" s="101"/>
    </row>
    <row r="104" spans="1:14" x14ac:dyDescent="0.2">
      <c r="C104" s="95" t="s">
        <v>362</v>
      </c>
      <c r="F104" s="494"/>
      <c r="G104" s="494"/>
      <c r="H104" s="113"/>
      <c r="K104" s="113"/>
      <c r="L104" s="101"/>
    </row>
    <row r="105" spans="1:14" x14ac:dyDescent="0.2">
      <c r="A105" s="494"/>
      <c r="C105" s="83" t="s">
        <v>363</v>
      </c>
      <c r="F105" s="494"/>
      <c r="G105" s="494"/>
      <c r="H105" s="113"/>
      <c r="K105" s="113"/>
      <c r="L105" s="101"/>
    </row>
    <row r="106" spans="1:14" x14ac:dyDescent="0.2">
      <c r="A106" s="494">
        <f>A102+1</f>
        <v>16</v>
      </c>
      <c r="D106" s="83" t="s">
        <v>527</v>
      </c>
      <c r="F106" s="494"/>
      <c r="G106" s="494"/>
      <c r="H106" s="287">
        <f>H98</f>
        <v>3.1639128624768258</v>
      </c>
      <c r="I106" s="287">
        <f>I102</f>
        <v>2.6073881355966746</v>
      </c>
      <c r="J106" s="287">
        <f>J102</f>
        <v>0.5565247268801512</v>
      </c>
      <c r="K106" s="113"/>
      <c r="L106" s="101"/>
    </row>
    <row r="107" spans="1:14" x14ac:dyDescent="0.2">
      <c r="A107" s="494">
        <f>A106+1</f>
        <v>17</v>
      </c>
      <c r="D107" s="83" t="s">
        <v>532</v>
      </c>
      <c r="F107" s="494"/>
      <c r="G107" s="494"/>
      <c r="H107" s="286">
        <f>N96</f>
        <v>0.42144163850734007</v>
      </c>
      <c r="I107" s="286">
        <f>N96</f>
        <v>0.42144163850734007</v>
      </c>
      <c r="J107" s="286">
        <v>0</v>
      </c>
      <c r="K107" s="113"/>
      <c r="L107" s="101"/>
      <c r="N107" s="286"/>
    </row>
    <row r="108" spans="1:14" ht="13.5" thickBot="1" x14ac:dyDescent="0.25">
      <c r="A108" s="494">
        <f>A107+1</f>
        <v>18</v>
      </c>
      <c r="C108" s="83" t="s">
        <v>886</v>
      </c>
      <c r="D108" s="288"/>
      <c r="F108" s="494"/>
      <c r="G108" s="494"/>
      <c r="H108" s="284">
        <f>SUM(H106:H107)</f>
        <v>3.5853545009841659</v>
      </c>
      <c r="I108" s="284">
        <f>SUM(I106:I107)</f>
        <v>3.0288297741040147</v>
      </c>
      <c r="J108" s="284">
        <f>SUM(J106:J107)</f>
        <v>0.5565247268801512</v>
      </c>
      <c r="K108" s="113"/>
      <c r="L108" s="101" t="s">
        <v>139</v>
      </c>
      <c r="N108" s="286"/>
    </row>
    <row r="109" spans="1:14" ht="13.5" thickTop="1" x14ac:dyDescent="0.2">
      <c r="A109" s="494"/>
      <c r="D109" s="288"/>
      <c r="F109" s="494"/>
      <c r="G109" s="494"/>
      <c r="H109" s="286"/>
      <c r="I109" s="286"/>
      <c r="J109" s="286"/>
      <c r="K109" s="113"/>
      <c r="L109" s="101"/>
      <c r="N109" s="286"/>
    </row>
    <row r="110" spans="1:14" ht="13.5" thickBot="1" x14ac:dyDescent="0.25">
      <c r="A110" s="494">
        <f>A108+1</f>
        <v>19</v>
      </c>
      <c r="C110" s="83" t="s">
        <v>894</v>
      </c>
      <c r="D110" s="288"/>
      <c r="F110" s="494"/>
      <c r="G110" s="494"/>
      <c r="H110" s="115">
        <f>(H108)*100/365</f>
        <v>0.98228890437922345</v>
      </c>
      <c r="I110" s="114"/>
      <c r="J110" s="115">
        <f>H110</f>
        <v>0.98228890437922345</v>
      </c>
      <c r="N110" s="109"/>
    </row>
    <row r="111" spans="1:14" ht="14.25" thickTop="1" thickBot="1" x14ac:dyDescent="0.25">
      <c r="A111" s="494">
        <f>A110+1</f>
        <v>20</v>
      </c>
      <c r="C111" s="83" t="s">
        <v>895</v>
      </c>
      <c r="D111" s="288"/>
      <c r="F111" s="494"/>
      <c r="G111" s="494"/>
      <c r="H111" s="114"/>
      <c r="I111" s="115">
        <f>(I108)*214/365</f>
        <v>1.775807045639066</v>
      </c>
      <c r="J111" s="114"/>
      <c r="N111" s="109"/>
    </row>
    <row r="112" spans="1:14" ht="13.5" thickTop="1" x14ac:dyDescent="0.2">
      <c r="A112" s="494"/>
      <c r="F112" s="494"/>
      <c r="G112" s="494"/>
      <c r="I112" s="109"/>
    </row>
    <row r="113" spans="1:16" x14ac:dyDescent="0.2">
      <c r="A113" s="494"/>
      <c r="C113" s="95"/>
      <c r="F113" s="494"/>
      <c r="G113" s="494"/>
    </row>
    <row r="114" spans="1:16" x14ac:dyDescent="0.2">
      <c r="A114" s="95" t="s">
        <v>5</v>
      </c>
      <c r="C114" s="95"/>
      <c r="F114" s="494"/>
      <c r="G114" s="494"/>
    </row>
    <row r="115" spans="1:16" x14ac:dyDescent="0.2">
      <c r="A115" s="96" t="s">
        <v>189</v>
      </c>
      <c r="C115" s="83" t="s">
        <v>873</v>
      </c>
    </row>
    <row r="116" spans="1:16" x14ac:dyDescent="0.2">
      <c r="A116" s="96" t="s">
        <v>190</v>
      </c>
      <c r="C116" s="83" t="s">
        <v>874</v>
      </c>
      <c r="F116" s="494"/>
      <c r="G116" s="494"/>
    </row>
    <row r="117" spans="1:16" x14ac:dyDescent="0.2">
      <c r="A117" s="96"/>
      <c r="C117" s="222"/>
      <c r="F117" s="106"/>
      <c r="G117" s="106"/>
      <c r="H117" s="106"/>
      <c r="I117" s="106"/>
      <c r="J117" s="106"/>
      <c r="K117" s="106"/>
      <c r="L117" s="106"/>
      <c r="M117" s="106"/>
      <c r="N117" s="106"/>
      <c r="O117" s="106"/>
      <c r="P117" s="106"/>
    </row>
    <row r="118" spans="1:16" x14ac:dyDescent="0.2">
      <c r="A118" s="96"/>
      <c r="C118" s="222"/>
    </row>
    <row r="119" spans="1:16" x14ac:dyDescent="0.2">
      <c r="A119" s="96"/>
    </row>
    <row r="120" spans="1:16" x14ac:dyDescent="0.2">
      <c r="A120" s="96"/>
    </row>
  </sheetData>
  <mergeCells count="7">
    <mergeCell ref="A69:N69"/>
    <mergeCell ref="A70:N70"/>
    <mergeCell ref="H72:J72"/>
    <mergeCell ref="A6:P6"/>
    <mergeCell ref="A7:P7"/>
    <mergeCell ref="H9:J9"/>
    <mergeCell ref="N9:P9"/>
  </mergeCells>
  <conditionalFormatting sqref="Q7">
    <cfRule type="containsText" dxfId="0" priority="1" operator="containsText" text="X">
      <formula>NOT(ISERROR(SEARCH("X",Q7)))</formula>
    </cfRule>
  </conditionalFormatting>
  <printOptions horizontalCentered="1"/>
  <pageMargins left="0.7" right="0.7" top="0.75" bottom="0.75" header="0.3" footer="0.3"/>
  <pageSetup scale="60" fitToHeight="0" orientation="portrait" r:id="rId1"/>
  <headerFooter>
    <oddHeader>&amp;R&amp;"Arial,Regular"&amp;10Filed: 2022-11-30
EB-2022-0200
Exhibit 8
Tab 2
Schedule 9
Attachment 12
Page &amp;P of 3</oddHeader>
  </headerFooter>
  <rowBreaks count="1" manualBreakCount="1">
    <brk id="63" max="15"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670A3-BC35-453F-BDC8-C7268B1CE53F}">
  <dimension ref="A1:F27"/>
  <sheetViews>
    <sheetView view="pageLayout" zoomScaleNormal="85" zoomScaleSheetLayoutView="70" workbookViewId="0"/>
  </sheetViews>
  <sheetFormatPr defaultColWidth="9.140625" defaultRowHeight="12.75" x14ac:dyDescent="0.2"/>
  <cols>
    <col min="1" max="1" width="4.7109375" style="223" customWidth="1"/>
    <col min="2" max="2" width="1.7109375" style="223" customWidth="1"/>
    <col min="3" max="3" width="65" style="223" customWidth="1"/>
    <col min="4" max="4" width="1.7109375" style="223" customWidth="1"/>
    <col min="5" max="5" width="11.7109375" style="223" customWidth="1"/>
    <col min="6" max="16384" width="9.140625" style="223"/>
  </cols>
  <sheetData>
    <row r="1" spans="1:6" x14ac:dyDescent="0.2">
      <c r="F1" s="263"/>
    </row>
    <row r="2" spans="1:6" x14ac:dyDescent="0.2">
      <c r="F2" s="263"/>
    </row>
    <row r="3" spans="1:6" x14ac:dyDescent="0.2">
      <c r="F3" s="263"/>
    </row>
    <row r="4" spans="1:6" x14ac:dyDescent="0.2">
      <c r="F4" s="263"/>
    </row>
    <row r="5" spans="1:6" x14ac:dyDescent="0.2">
      <c r="F5" s="263"/>
    </row>
    <row r="6" spans="1:6" x14ac:dyDescent="0.2">
      <c r="A6" s="353" t="s">
        <v>533</v>
      </c>
      <c r="B6" s="353"/>
      <c r="C6" s="353"/>
      <c r="D6" s="353"/>
      <c r="E6" s="353"/>
      <c r="F6" s="263"/>
    </row>
    <row r="7" spans="1:6" x14ac:dyDescent="0.2">
      <c r="F7" s="263"/>
    </row>
    <row r="8" spans="1:6" x14ac:dyDescent="0.2">
      <c r="A8" s="268" t="s">
        <v>0</v>
      </c>
      <c r="B8" s="268"/>
      <c r="C8" s="268"/>
      <c r="D8" s="268"/>
      <c r="E8" s="224" t="s">
        <v>101</v>
      </c>
    </row>
    <row r="9" spans="1:6" x14ac:dyDescent="0.2">
      <c r="A9" s="256" t="s">
        <v>1</v>
      </c>
      <c r="B9" s="46"/>
      <c r="C9" s="257" t="s">
        <v>373</v>
      </c>
      <c r="D9" s="46"/>
      <c r="E9" s="256" t="s">
        <v>375</v>
      </c>
    </row>
    <row r="10" spans="1:6" x14ac:dyDescent="0.2">
      <c r="E10" s="383" t="s">
        <v>3</v>
      </c>
    </row>
    <row r="11" spans="1:6" x14ac:dyDescent="0.2">
      <c r="E11" s="368"/>
    </row>
    <row r="12" spans="1:6" x14ac:dyDescent="0.2">
      <c r="A12" s="224"/>
      <c r="C12" s="423" t="s">
        <v>371</v>
      </c>
      <c r="D12" s="423"/>
      <c r="E12" s="368"/>
    </row>
    <row r="13" spans="1:6" x14ac:dyDescent="0.2">
      <c r="A13" s="224">
        <v>1</v>
      </c>
      <c r="C13" s="424" t="s">
        <v>869</v>
      </c>
      <c r="D13" s="424"/>
      <c r="E13" s="227">
        <v>3.4659904804556181</v>
      </c>
    </row>
    <row r="14" spans="1:6" x14ac:dyDescent="0.2">
      <c r="A14" s="224" cm="1">
        <f t="array" ref="A14">MAX($A$12:A13+1)</f>
        <v>2</v>
      </c>
      <c r="C14" s="424" t="s">
        <v>870</v>
      </c>
      <c r="D14" s="424"/>
      <c r="E14" s="425">
        <v>0.94958643300153922</v>
      </c>
    </row>
    <row r="15" spans="1:6" ht="13.5" thickBot="1" x14ac:dyDescent="0.25">
      <c r="A15" s="224" cm="1">
        <f t="array" ref="A15">MAX($A$12:A14+1)</f>
        <v>3</v>
      </c>
      <c r="C15" s="426" t="s">
        <v>534</v>
      </c>
      <c r="D15" s="426"/>
      <c r="E15" s="226">
        <f>E13+E14</f>
        <v>4.4155769134571576</v>
      </c>
    </row>
    <row r="16" spans="1:6" ht="13.5" thickTop="1" x14ac:dyDescent="0.2">
      <c r="A16" s="224"/>
      <c r="C16" s="424" t="s">
        <v>256</v>
      </c>
      <c r="D16" s="424"/>
      <c r="E16" s="368"/>
    </row>
    <row r="17" spans="1:5" x14ac:dyDescent="0.2">
      <c r="A17" s="224"/>
      <c r="C17" s="423" t="s">
        <v>372</v>
      </c>
      <c r="D17" s="423"/>
      <c r="E17" s="227"/>
    </row>
    <row r="18" spans="1:5" x14ac:dyDescent="0.2">
      <c r="A18" s="224"/>
      <c r="C18" s="424" t="s">
        <v>294</v>
      </c>
      <c r="D18" s="424"/>
      <c r="E18" s="227"/>
    </row>
    <row r="19" spans="1:5" x14ac:dyDescent="0.2">
      <c r="A19" s="224" cm="1">
        <f t="array" ref="A19">MAX($A$12:A18+1)</f>
        <v>4</v>
      </c>
      <c r="C19" s="270" t="s">
        <v>871</v>
      </c>
      <c r="D19" s="270"/>
      <c r="E19" s="141">
        <v>373.64678317513233</v>
      </c>
    </row>
    <row r="20" spans="1:5" x14ac:dyDescent="0.2">
      <c r="A20" s="224" cm="1">
        <f t="array" ref="A20">MAX($A$12:A19+1)</f>
        <v>5</v>
      </c>
      <c r="C20" s="223" t="s">
        <v>872</v>
      </c>
      <c r="E20" s="141">
        <v>611710</v>
      </c>
    </row>
    <row r="21" spans="1:5" ht="13.5" thickBot="1" x14ac:dyDescent="0.25">
      <c r="A21" s="224" cm="1">
        <f t="array" ref="A21">MAX($A$12:A20+1)</f>
        <v>6</v>
      </c>
      <c r="C21" s="223" t="s">
        <v>848</v>
      </c>
      <c r="E21" s="226">
        <f>E19*1000 / (E20 * 12)</f>
        <v>5.0901950158181213E-2</v>
      </c>
    </row>
    <row r="22" spans="1:5" ht="13.5" thickTop="1" x14ac:dyDescent="0.2">
      <c r="A22" s="224"/>
      <c r="E22" s="368"/>
    </row>
    <row r="23" spans="1:5" x14ac:dyDescent="0.2">
      <c r="A23" s="354" t="s">
        <v>5</v>
      </c>
      <c r="B23" s="354"/>
    </row>
    <row r="24" spans="1:5" x14ac:dyDescent="0.2">
      <c r="A24" s="383" t="s">
        <v>189</v>
      </c>
      <c r="C24" s="428" t="s">
        <v>677</v>
      </c>
      <c r="D24" s="427"/>
    </row>
    <row r="25" spans="1:5" x14ac:dyDescent="0.2">
      <c r="A25" s="383" t="s">
        <v>190</v>
      </c>
      <c r="C25" s="429" t="s">
        <v>849</v>
      </c>
      <c r="D25" s="427"/>
    </row>
    <row r="26" spans="1:5" x14ac:dyDescent="0.2">
      <c r="A26" s="430"/>
      <c r="B26" s="428"/>
      <c r="C26" s="431"/>
      <c r="D26" s="431"/>
      <c r="E26" s="431"/>
    </row>
    <row r="27" spans="1:5" x14ac:dyDescent="0.2">
      <c r="A27" s="383"/>
      <c r="B27" s="428"/>
      <c r="C27" s="431"/>
      <c r="D27" s="431"/>
      <c r="E27" s="431"/>
    </row>
  </sheetData>
  <pageMargins left="0.7" right="0.7" top="0.75" bottom="0.75" header="0.3" footer="0.3"/>
  <pageSetup scale="90" firstPageNumber="3" orientation="portrait" useFirstPageNumber="1" r:id="rId1"/>
  <headerFooter>
    <oddHeader>&amp;R&amp;"Arial,Regular"&amp;10Filed: 2022-11-30
EB-2022-0200
Exhibit 8
Tab 2
Schedule 9
Attachment 12
Page &amp;P of 3</oddHeader>
  </headerFooter>
  <colBreaks count="1" manualBreakCount="1">
    <brk id="5"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F750F-9E1D-4C7D-BC73-B1825EDB99F8}">
  <sheetPr>
    <pageSetUpPr fitToPage="1"/>
  </sheetPr>
  <dimension ref="A1:F48"/>
  <sheetViews>
    <sheetView view="pageLayout" zoomScaleNormal="85" zoomScaleSheetLayoutView="100" workbookViewId="0"/>
  </sheetViews>
  <sheetFormatPr defaultColWidth="9.140625" defaultRowHeight="12.75" x14ac:dyDescent="0.2"/>
  <cols>
    <col min="1" max="1" width="4.7109375" style="83" customWidth="1"/>
    <col min="2" max="2" width="1.7109375" style="83" customWidth="1"/>
    <col min="3" max="3" width="80.7109375" style="83" customWidth="1"/>
    <col min="4" max="4" width="1.7109375" style="83" customWidth="1"/>
    <col min="5" max="5" width="13.5703125" style="83" customWidth="1"/>
    <col min="6" max="16384" width="9.140625" style="83"/>
  </cols>
  <sheetData>
    <row r="1" spans="1:6" x14ac:dyDescent="0.2">
      <c r="F1" s="250"/>
    </row>
    <row r="2" spans="1:6" x14ac:dyDescent="0.2">
      <c r="F2" s="250"/>
    </row>
    <row r="3" spans="1:6" x14ac:dyDescent="0.2">
      <c r="F3" s="250"/>
    </row>
    <row r="4" spans="1:6" x14ac:dyDescent="0.2">
      <c r="F4" s="250"/>
    </row>
    <row r="5" spans="1:6" x14ac:dyDescent="0.2">
      <c r="F5" s="250"/>
    </row>
    <row r="6" spans="1:6" x14ac:dyDescent="0.2">
      <c r="A6" s="225" t="s">
        <v>257</v>
      </c>
      <c r="B6" s="236"/>
      <c r="C6" s="236"/>
      <c r="D6" s="236"/>
      <c r="E6" s="236"/>
      <c r="F6" s="250"/>
    </row>
    <row r="7" spans="1:6" x14ac:dyDescent="0.2">
      <c r="A7" s="236"/>
      <c r="B7" s="236"/>
      <c r="C7" s="236"/>
      <c r="D7" s="236"/>
      <c r="E7" s="236"/>
    </row>
    <row r="8" spans="1:6" x14ac:dyDescent="0.2">
      <c r="A8" s="25" t="s">
        <v>0</v>
      </c>
      <c r="B8" s="25"/>
      <c r="C8" s="25"/>
      <c r="D8" s="25"/>
      <c r="E8" s="494" t="s">
        <v>101</v>
      </c>
    </row>
    <row r="9" spans="1:6" x14ac:dyDescent="0.2">
      <c r="A9" s="8" t="s">
        <v>1</v>
      </c>
      <c r="B9" s="7"/>
      <c r="C9" s="9" t="s">
        <v>9</v>
      </c>
      <c r="D9" s="7"/>
      <c r="E9" s="8" t="s">
        <v>375</v>
      </c>
    </row>
    <row r="10" spans="1:6" x14ac:dyDescent="0.2">
      <c r="A10" s="494"/>
      <c r="E10" s="96" t="s">
        <v>3</v>
      </c>
    </row>
    <row r="11" spans="1:6" x14ac:dyDescent="0.2">
      <c r="A11" s="494"/>
    </row>
    <row r="12" spans="1:6" x14ac:dyDescent="0.2">
      <c r="A12" s="494"/>
      <c r="C12" s="432" t="s">
        <v>326</v>
      </c>
      <c r="D12" s="432"/>
    </row>
    <row r="13" spans="1:6" x14ac:dyDescent="0.2">
      <c r="A13" s="494"/>
      <c r="C13" s="433" t="s">
        <v>374</v>
      </c>
      <c r="D13" s="433"/>
    </row>
    <row r="14" spans="1:6" x14ac:dyDescent="0.2">
      <c r="A14" s="494" cm="1">
        <f t="array" ref="A14">MAX($A$10:A13+1)</f>
        <v>1</v>
      </c>
      <c r="C14" s="84" t="s">
        <v>229</v>
      </c>
      <c r="D14" s="84"/>
      <c r="E14" s="141">
        <v>704215.48447547131</v>
      </c>
    </row>
    <row r="15" spans="1:6" x14ac:dyDescent="0.2">
      <c r="A15" s="494" cm="1">
        <f t="array" ref="A15">MAX($A$10:A14+1)</f>
        <v>2</v>
      </c>
      <c r="C15" s="228" t="s">
        <v>230</v>
      </c>
      <c r="D15" s="228"/>
      <c r="E15" s="141">
        <v>41368.708649630033</v>
      </c>
    </row>
    <row r="16" spans="1:6" x14ac:dyDescent="0.2">
      <c r="A16" s="494" cm="1">
        <f t="array" ref="A16">MAX($A$10:A15+1)</f>
        <v>3</v>
      </c>
      <c r="C16" s="84" t="s">
        <v>231</v>
      </c>
      <c r="D16" s="84"/>
      <c r="E16" s="141">
        <v>13711.276357269971</v>
      </c>
    </row>
    <row r="17" spans="1:5" x14ac:dyDescent="0.2">
      <c r="A17" s="494" cm="1">
        <f t="array" ref="A17">MAX($A$10:A16+1)</f>
        <v>4</v>
      </c>
      <c r="C17" s="228" t="s">
        <v>232</v>
      </c>
      <c r="D17" s="228"/>
      <c r="E17" s="141">
        <v>20356.49701259605</v>
      </c>
    </row>
    <row r="18" spans="1:5" x14ac:dyDescent="0.2">
      <c r="A18" s="494" cm="1">
        <f t="array" ref="A18">MAX($A$10:A17+1)</f>
        <v>5</v>
      </c>
      <c r="C18" s="228" t="s">
        <v>233</v>
      </c>
      <c r="D18" s="228"/>
      <c r="E18" s="141">
        <v>8725.5754482525481</v>
      </c>
    </row>
    <row r="19" spans="1:5" x14ac:dyDescent="0.2">
      <c r="A19" s="494" cm="1">
        <f t="array" ref="A19">MAX($A$10:A18+1)</f>
        <v>6</v>
      </c>
      <c r="C19" s="229" t="s">
        <v>875</v>
      </c>
      <c r="D19" s="229"/>
      <c r="E19" s="434">
        <f>SUM(E15:E18)</f>
        <v>84162.0574677486</v>
      </c>
    </row>
    <row r="20" spans="1:5" x14ac:dyDescent="0.2">
      <c r="A20" s="494"/>
    </row>
    <row r="21" spans="1:5" x14ac:dyDescent="0.2">
      <c r="A21" s="494" cm="1">
        <f t="array" ref="A21">MAX($A$10:A20+1)</f>
        <v>7</v>
      </c>
      <c r="C21" s="250" t="s">
        <v>327</v>
      </c>
      <c r="D21" s="84"/>
      <c r="E21" s="141">
        <v>1056228.4671787973</v>
      </c>
    </row>
    <row r="22" spans="1:5" x14ac:dyDescent="0.2">
      <c r="C22" s="117"/>
      <c r="D22" s="117"/>
      <c r="E22" s="237"/>
    </row>
    <row r="23" spans="1:5" ht="13.5" thickBot="1" x14ac:dyDescent="0.25">
      <c r="A23" s="494" cm="1">
        <f t="array" ref="A23">MAX($A$10:A22+1)</f>
        <v>8</v>
      </c>
      <c r="C23" s="250" t="s">
        <v>850</v>
      </c>
      <c r="D23" s="84"/>
      <c r="E23" s="226">
        <f xml:space="preserve"> (E19*1000) / (E21*12)</f>
        <v>6.6401399005200359</v>
      </c>
    </row>
    <row r="24" spans="1:5" ht="13.5" thickTop="1" x14ac:dyDescent="0.2">
      <c r="C24" s="250"/>
      <c r="D24" s="84"/>
      <c r="E24" s="227"/>
    </row>
    <row r="25" spans="1:5" ht="13.5" thickBot="1" x14ac:dyDescent="0.25">
      <c r="A25" s="494" cm="1">
        <f t="array" ref="A25">MAX($A$10:A24+1)</f>
        <v>9</v>
      </c>
      <c r="C25" s="250" t="s">
        <v>851</v>
      </c>
      <c r="D25" s="84"/>
      <c r="E25" s="226">
        <f>$E$23 * (100/365)</f>
        <v>1.8192164111013795</v>
      </c>
    </row>
    <row r="26" spans="1:5" ht="13.5" thickTop="1" x14ac:dyDescent="0.2">
      <c r="C26" s="250"/>
      <c r="D26" s="84"/>
      <c r="E26" s="237"/>
    </row>
    <row r="27" spans="1:5" x14ac:dyDescent="0.2">
      <c r="A27" s="494"/>
      <c r="C27" s="120" t="s">
        <v>535</v>
      </c>
      <c r="D27" s="120"/>
      <c r="E27" s="237"/>
    </row>
    <row r="28" spans="1:5" x14ac:dyDescent="0.2">
      <c r="A28" s="494">
        <v>10</v>
      </c>
      <c r="C28" s="229" t="s">
        <v>536</v>
      </c>
      <c r="D28" s="229"/>
      <c r="E28" s="141">
        <v>1226.8392942281198</v>
      </c>
    </row>
    <row r="29" spans="1:5" x14ac:dyDescent="0.2">
      <c r="A29" s="494" cm="1">
        <f t="array" ref="A29">MAX($A$27:A28+1)</f>
        <v>11</v>
      </c>
      <c r="C29" s="229" t="s">
        <v>327</v>
      </c>
      <c r="D29" s="229"/>
      <c r="E29" s="141">
        <v>1056228.4671787973</v>
      </c>
    </row>
    <row r="30" spans="1:5" x14ac:dyDescent="0.2">
      <c r="A30" s="494" cm="1">
        <f t="array" ref="A30">MAX($A$27:A29+1)</f>
        <v>12</v>
      </c>
      <c r="C30" s="229" t="s">
        <v>896</v>
      </c>
      <c r="D30" s="229"/>
      <c r="E30" s="435">
        <f>(E28*1000)/(E29*12)</f>
        <v>9.6794028024466031E-2</v>
      </c>
    </row>
    <row r="31" spans="1:5" ht="12.95" customHeight="1" x14ac:dyDescent="0.2">
      <c r="A31" s="494"/>
      <c r="C31" s="229"/>
      <c r="D31" s="229"/>
      <c r="E31" s="302"/>
    </row>
    <row r="32" spans="1:5" ht="13.5" thickBot="1" x14ac:dyDescent="0.25">
      <c r="A32" s="494" cm="1">
        <f t="array" ref="A32">MAX($A$27:A30+1)</f>
        <v>13</v>
      </c>
      <c r="C32" s="229" t="s">
        <v>852</v>
      </c>
      <c r="D32" s="229"/>
      <c r="E32" s="226">
        <f>E30*(60/365)</f>
        <v>1.5911347072514962E-2</v>
      </c>
    </row>
    <row r="33" spans="1:5" ht="12.95" customHeight="1" thickTop="1" x14ac:dyDescent="0.2">
      <c r="A33" s="494"/>
      <c r="E33" s="436"/>
    </row>
    <row r="34" spans="1:5" ht="13.5" thickBot="1" x14ac:dyDescent="0.25">
      <c r="A34" s="494" cm="1">
        <f t="array" ref="A34">MAX($A$27:A33+1)</f>
        <v>14</v>
      </c>
      <c r="C34" s="229" t="s">
        <v>853</v>
      </c>
      <c r="D34" s="229"/>
      <c r="E34" s="226">
        <f>E30*(90/365)</f>
        <v>2.3867020608772445E-2</v>
      </c>
    </row>
    <row r="35" spans="1:5" ht="13.5" thickTop="1" x14ac:dyDescent="0.2"/>
    <row r="36" spans="1:5" x14ac:dyDescent="0.2">
      <c r="A36" s="23" t="s">
        <v>5</v>
      </c>
    </row>
    <row r="37" spans="1:5" x14ac:dyDescent="0.2">
      <c r="A37" s="96" t="s">
        <v>189</v>
      </c>
      <c r="C37" s="250" t="s">
        <v>778</v>
      </c>
    </row>
    <row r="38" spans="1:5" ht="15" customHeight="1" x14ac:dyDescent="0.2">
      <c r="A38" s="96" t="s">
        <v>190</v>
      </c>
      <c r="C38" s="250" t="s">
        <v>777</v>
      </c>
    </row>
    <row r="39" spans="1:5" x14ac:dyDescent="0.2">
      <c r="A39" s="96" t="s">
        <v>191</v>
      </c>
      <c r="C39" s="250" t="s">
        <v>537</v>
      </c>
    </row>
    <row r="40" spans="1:5" x14ac:dyDescent="0.2">
      <c r="A40" s="494"/>
    </row>
    <row r="42" spans="1:5" x14ac:dyDescent="0.2">
      <c r="E42" s="237"/>
    </row>
    <row r="43" spans="1:5" x14ac:dyDescent="0.2">
      <c r="C43" s="83" t="s">
        <v>139</v>
      </c>
      <c r="E43" s="437"/>
    </row>
    <row r="44" spans="1:5" x14ac:dyDescent="0.2">
      <c r="E44" s="437"/>
    </row>
    <row r="45" spans="1:5" x14ac:dyDescent="0.2">
      <c r="E45" s="237"/>
    </row>
    <row r="46" spans="1:5" x14ac:dyDescent="0.2">
      <c r="A46" s="23"/>
    </row>
    <row r="47" spans="1:5" x14ac:dyDescent="0.2">
      <c r="A47" s="105"/>
      <c r="B47" s="521"/>
      <c r="C47" s="521"/>
      <c r="D47" s="497"/>
    </row>
    <row r="48" spans="1:5" x14ac:dyDescent="0.2">
      <c r="A48" s="105"/>
      <c r="B48" s="438"/>
      <c r="C48" s="439"/>
      <c r="D48" s="439"/>
    </row>
  </sheetData>
  <mergeCells count="1">
    <mergeCell ref="B47:C47"/>
  </mergeCells>
  <pageMargins left="0.7" right="0.7" top="0.75" bottom="0.75" header="0.3" footer="0.3"/>
  <pageSetup scale="88" fitToHeight="0" orientation="portrait" r:id="rId1"/>
  <headerFooter>
    <oddHeader>&amp;R&amp;"Arial,Regular"&amp;10Filed: 2022-11-30
EB-2022-0200
Exhibit 8
Tab 2
Schedule 9
Attachment 13
Page &amp;P of &amp;N</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AC289-5A1A-48E4-953D-12F6D2DED5D0}">
  <sheetPr>
    <pageSetUpPr fitToPage="1"/>
  </sheetPr>
  <dimension ref="A1:F41"/>
  <sheetViews>
    <sheetView view="pageLayout" zoomScaleNormal="85" zoomScaleSheetLayoutView="90" workbookViewId="0"/>
  </sheetViews>
  <sheetFormatPr defaultColWidth="9.140625" defaultRowHeight="12.75" x14ac:dyDescent="0.2"/>
  <cols>
    <col min="1" max="1" width="4.7109375" style="83" customWidth="1"/>
    <col min="2" max="2" width="1.7109375" style="83" customWidth="1"/>
    <col min="3" max="3" width="69" style="83" customWidth="1"/>
    <col min="4" max="4" width="1.7109375" style="83" customWidth="1"/>
    <col min="5" max="5" width="13.5703125" style="83" customWidth="1"/>
    <col min="6" max="16384" width="9.140625" style="83"/>
  </cols>
  <sheetData>
    <row r="1" spans="1:6" x14ac:dyDescent="0.2">
      <c r="F1" s="250"/>
    </row>
    <row r="2" spans="1:6" x14ac:dyDescent="0.2">
      <c r="F2" s="250"/>
    </row>
    <row r="3" spans="1:6" x14ac:dyDescent="0.2">
      <c r="F3" s="250"/>
    </row>
    <row r="4" spans="1:6" x14ac:dyDescent="0.2">
      <c r="F4" s="250"/>
    </row>
    <row r="5" spans="1:6" x14ac:dyDescent="0.2">
      <c r="F5" s="250"/>
    </row>
    <row r="6" spans="1:6" x14ac:dyDescent="0.2">
      <c r="A6" s="373" t="s">
        <v>300</v>
      </c>
      <c r="B6" s="373"/>
      <c r="C6" s="373"/>
      <c r="D6" s="373"/>
      <c r="E6" s="373"/>
      <c r="F6" s="250"/>
    </row>
    <row r="7" spans="1:6" x14ac:dyDescent="0.2">
      <c r="F7" s="250"/>
    </row>
    <row r="8" spans="1:6" x14ac:dyDescent="0.2">
      <c r="A8" s="25" t="s">
        <v>0</v>
      </c>
      <c r="B8" s="25"/>
      <c r="C8" s="25"/>
      <c r="D8" s="25"/>
      <c r="E8" s="494" t="s">
        <v>103</v>
      </c>
    </row>
    <row r="9" spans="1:6" x14ac:dyDescent="0.2">
      <c r="A9" s="8" t="s">
        <v>1</v>
      </c>
      <c r="B9" s="7"/>
      <c r="C9" s="9" t="s">
        <v>9</v>
      </c>
      <c r="D9" s="7"/>
      <c r="E9" s="8" t="s">
        <v>375</v>
      </c>
    </row>
    <row r="10" spans="1:6" x14ac:dyDescent="0.2">
      <c r="E10" s="10" t="s">
        <v>3</v>
      </c>
    </row>
    <row r="11" spans="1:6" x14ac:dyDescent="0.2">
      <c r="E11" s="10"/>
    </row>
    <row r="12" spans="1:6" x14ac:dyDescent="0.2">
      <c r="C12" s="95" t="s">
        <v>378</v>
      </c>
      <c r="D12" s="95"/>
    </row>
    <row r="13" spans="1:6" x14ac:dyDescent="0.2">
      <c r="A13" s="494"/>
      <c r="C13" s="83" t="s">
        <v>258</v>
      </c>
    </row>
    <row r="14" spans="1:6" x14ac:dyDescent="0.2">
      <c r="A14" s="494">
        <v>1</v>
      </c>
      <c r="C14" s="84" t="s">
        <v>376</v>
      </c>
      <c r="D14" s="84"/>
      <c r="E14" s="141">
        <v>371.60237375436066</v>
      </c>
    </row>
    <row r="15" spans="1:6" x14ac:dyDescent="0.2">
      <c r="A15" s="494" cm="1">
        <f t="array" ref="A15">MAX($A$13:A14+1)</f>
        <v>2</v>
      </c>
      <c r="C15" s="84" t="s">
        <v>538</v>
      </c>
      <c r="D15" s="84"/>
      <c r="E15" s="141">
        <v>66</v>
      </c>
    </row>
    <row r="16" spans="1:6" x14ac:dyDescent="0.2">
      <c r="A16" s="494" cm="1">
        <f t="array" ref="A16">MAX($A$13:A15+1)</f>
        <v>3</v>
      </c>
      <c r="C16" s="250" t="s">
        <v>854</v>
      </c>
      <c r="D16" s="205"/>
      <c r="E16" s="440">
        <f>((E14) / (E15*12)) * 1000</f>
        <v>469.19491635651599</v>
      </c>
    </row>
    <row r="17" spans="1:5" x14ac:dyDescent="0.2">
      <c r="C17" s="84"/>
      <c r="D17" s="84"/>
    </row>
    <row r="18" spans="1:5" x14ac:dyDescent="0.2">
      <c r="A18" s="494"/>
      <c r="C18" s="83" t="s">
        <v>260</v>
      </c>
      <c r="E18" s="237"/>
    </row>
    <row r="19" spans="1:5" x14ac:dyDescent="0.2">
      <c r="A19" s="494" cm="1">
        <f t="array" ref="A19">MAX($A$13:A18+1)</f>
        <v>4</v>
      </c>
      <c r="C19" s="84" t="s">
        <v>377</v>
      </c>
      <c r="D19" s="84"/>
      <c r="E19" s="141">
        <v>111.46581138423954</v>
      </c>
    </row>
    <row r="20" spans="1:5" x14ac:dyDescent="0.2">
      <c r="A20" s="494" cm="1">
        <f t="array" ref="A20">MAX($A$13:A19+1)</f>
        <v>5</v>
      </c>
      <c r="C20" s="84" t="s">
        <v>379</v>
      </c>
      <c r="D20" s="84"/>
      <c r="E20" s="141">
        <v>8.75</v>
      </c>
    </row>
    <row r="21" spans="1:5" x14ac:dyDescent="0.2">
      <c r="A21" s="494" cm="1">
        <f t="array" ref="A21">MAX($A$13:A20+1)</f>
        <v>6</v>
      </c>
      <c r="C21" s="250" t="s">
        <v>855</v>
      </c>
      <c r="D21" s="205"/>
      <c r="E21" s="440">
        <f>((E19) / (E20*12)) * 1000</f>
        <v>1061.5791560403766</v>
      </c>
    </row>
    <row r="22" spans="1:5" x14ac:dyDescent="0.2">
      <c r="A22" s="494"/>
    </row>
    <row r="23" spans="1:5" x14ac:dyDescent="0.2">
      <c r="C23" s="95" t="s">
        <v>126</v>
      </c>
      <c r="D23" s="95"/>
      <c r="E23" s="237"/>
    </row>
    <row r="24" spans="1:5" x14ac:dyDescent="0.2">
      <c r="A24" s="494" cm="1">
        <f t="array" ref="A24">MAX($A$13:A23+1)</f>
        <v>7</v>
      </c>
      <c r="C24" s="84" t="s">
        <v>539</v>
      </c>
      <c r="D24" s="84"/>
      <c r="E24" s="141">
        <v>77.5</v>
      </c>
    </row>
    <row r="25" spans="1:5" x14ac:dyDescent="0.2">
      <c r="A25" s="494" cm="1">
        <f t="array" ref="A25">MAX($A$13:A24+1)</f>
        <v>8</v>
      </c>
      <c r="C25" s="84" t="s">
        <v>381</v>
      </c>
      <c r="D25" s="84"/>
      <c r="E25" s="141">
        <v>7.75</v>
      </c>
    </row>
    <row r="26" spans="1:5" x14ac:dyDescent="0.2">
      <c r="A26" s="494" cm="1">
        <f t="array" ref="A26">MAX($A$13:A25+1)</f>
        <v>9</v>
      </c>
      <c r="C26" s="250" t="s">
        <v>856</v>
      </c>
      <c r="D26" s="205"/>
      <c r="E26" s="441">
        <f>(E24/E25) * 1000</f>
        <v>10000</v>
      </c>
    </row>
    <row r="27" spans="1:5" x14ac:dyDescent="0.2">
      <c r="A27" s="494"/>
      <c r="C27" s="84"/>
      <c r="D27" s="84"/>
    </row>
    <row r="28" spans="1:5" x14ac:dyDescent="0.2">
      <c r="A28" s="494"/>
      <c r="C28" s="95" t="s">
        <v>380</v>
      </c>
      <c r="D28" s="95"/>
    </row>
    <row r="29" spans="1:5" x14ac:dyDescent="0.2">
      <c r="A29" s="494" cm="1">
        <f t="array" ref="A29">MAX($A$14:A28+1)</f>
        <v>10</v>
      </c>
      <c r="C29" s="250" t="s">
        <v>540</v>
      </c>
      <c r="D29" s="250"/>
      <c r="E29" s="292">
        <v>3.4659904804556181</v>
      </c>
    </row>
    <row r="30" spans="1:5" x14ac:dyDescent="0.2">
      <c r="A30" s="494" cm="1">
        <f t="array" ref="A30">MAX($A$29:A29+1)</f>
        <v>11</v>
      </c>
      <c r="C30" s="250" t="s">
        <v>541</v>
      </c>
      <c r="D30" s="250"/>
      <c r="E30" s="379">
        <v>0.77172443236513644</v>
      </c>
    </row>
    <row r="31" spans="1:5" x14ac:dyDescent="0.2">
      <c r="A31" s="494" cm="1">
        <f t="array" ref="A31">MAX($A$29:A30+1)</f>
        <v>12</v>
      </c>
      <c r="C31" s="250" t="s">
        <v>542</v>
      </c>
      <c r="D31" s="250"/>
      <c r="E31" s="230">
        <f>E29-E30</f>
        <v>2.6942660480904816</v>
      </c>
    </row>
    <row r="32" spans="1:5" x14ac:dyDescent="0.2">
      <c r="A32" s="494"/>
      <c r="E32" s="442"/>
    </row>
    <row r="33" spans="1:5" ht="13.5" thickBot="1" x14ac:dyDescent="0.25">
      <c r="A33" s="494" cm="1">
        <f t="array" ref="A33">MAX($A$29:A32+1)</f>
        <v>13</v>
      </c>
      <c r="C33" s="83" t="s">
        <v>857</v>
      </c>
      <c r="E33" s="443">
        <f>E31*12/365*0.5</f>
        <v>4.428930490011751E-2</v>
      </c>
    </row>
    <row r="34" spans="1:5" ht="13.5" thickTop="1" x14ac:dyDescent="0.2"/>
    <row r="35" spans="1:5" x14ac:dyDescent="0.2">
      <c r="A35" s="95" t="s">
        <v>5</v>
      </c>
      <c r="B35" s="95"/>
    </row>
    <row r="36" spans="1:5" x14ac:dyDescent="0.2">
      <c r="A36" s="96" t="s">
        <v>189</v>
      </c>
      <c r="C36" s="83" t="s">
        <v>887</v>
      </c>
    </row>
    <row r="37" spans="1:5" x14ac:dyDescent="0.2">
      <c r="A37" s="96" t="s">
        <v>190</v>
      </c>
      <c r="C37" s="83" t="s">
        <v>779</v>
      </c>
    </row>
    <row r="38" spans="1:5" x14ac:dyDescent="0.2">
      <c r="A38" s="96" t="s">
        <v>191</v>
      </c>
      <c r="C38" s="83" t="s">
        <v>888</v>
      </c>
    </row>
    <row r="39" spans="1:5" x14ac:dyDescent="0.2">
      <c r="A39" s="96" t="s">
        <v>192</v>
      </c>
      <c r="C39" s="404" t="s">
        <v>889</v>
      </c>
    </row>
    <row r="40" spans="1:5" x14ac:dyDescent="0.2">
      <c r="A40" s="96" t="s">
        <v>194</v>
      </c>
      <c r="C40" s="83" t="s">
        <v>676</v>
      </c>
    </row>
    <row r="41" spans="1:5" x14ac:dyDescent="0.2">
      <c r="A41" s="96" t="s">
        <v>195</v>
      </c>
      <c r="C41" s="83" t="s">
        <v>818</v>
      </c>
    </row>
  </sheetData>
  <pageMargins left="0.7" right="0.7" top="0.75" bottom="0.75" header="0.3" footer="0.3"/>
  <pageSetup scale="99" fitToHeight="0" orientation="portrait" r:id="rId1"/>
  <headerFooter>
    <oddHeader>&amp;R&amp;"Arial,Regular"&amp;10Filed: 2022-11-30
EB-2022-0200
Exhibit 8
Tab 2
Schedule 9
Attachment 14
Page &amp;P of &amp;N</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B3C3A-6900-4E13-9A77-BC8A82CB3F0A}">
  <sheetPr>
    <pageSetUpPr fitToPage="1"/>
  </sheetPr>
  <dimension ref="A1:G30"/>
  <sheetViews>
    <sheetView view="pageLayout" zoomScaleNormal="85" zoomScaleSheetLayoutView="90" workbookViewId="0"/>
  </sheetViews>
  <sheetFormatPr defaultColWidth="9.140625" defaultRowHeight="12.75" x14ac:dyDescent="0.2"/>
  <cols>
    <col min="1" max="1" width="4.7109375" style="83" customWidth="1"/>
    <col min="2" max="2" width="1.7109375" style="83" customWidth="1"/>
    <col min="3" max="3" width="69" style="83" customWidth="1"/>
    <col min="4" max="4" width="1.7109375" style="83" customWidth="1"/>
    <col min="5" max="5" width="11.140625" style="83" bestFit="1" customWidth="1"/>
    <col min="6" max="16384" width="9.140625" style="83"/>
  </cols>
  <sheetData>
    <row r="1" spans="1:7" x14ac:dyDescent="0.2">
      <c r="F1" s="250"/>
    </row>
    <row r="2" spans="1:7" x14ac:dyDescent="0.2">
      <c r="F2" s="250"/>
    </row>
    <row r="3" spans="1:7" x14ac:dyDescent="0.2">
      <c r="F3" s="250"/>
    </row>
    <row r="4" spans="1:7" x14ac:dyDescent="0.2">
      <c r="F4" s="250"/>
    </row>
    <row r="5" spans="1:7" x14ac:dyDescent="0.2">
      <c r="F5" s="250"/>
    </row>
    <row r="6" spans="1:7" x14ac:dyDescent="0.2">
      <c r="A6" s="373" t="s">
        <v>382</v>
      </c>
      <c r="B6" s="236"/>
      <c r="C6" s="236"/>
      <c r="D6" s="236"/>
      <c r="E6" s="236"/>
      <c r="F6" s="250"/>
    </row>
    <row r="7" spans="1:7" x14ac:dyDescent="0.2">
      <c r="F7" s="250"/>
    </row>
    <row r="8" spans="1:7" x14ac:dyDescent="0.2">
      <c r="A8" s="25" t="s">
        <v>0</v>
      </c>
      <c r="B8" s="25"/>
      <c r="C8" s="25"/>
      <c r="D8" s="25"/>
      <c r="E8" s="494" t="s">
        <v>102</v>
      </c>
    </row>
    <row r="9" spans="1:7" x14ac:dyDescent="0.2">
      <c r="A9" s="8" t="s">
        <v>1</v>
      </c>
      <c r="B9" s="7"/>
      <c r="C9" s="9" t="s">
        <v>9</v>
      </c>
      <c r="D9" s="7"/>
      <c r="E9" s="8" t="s">
        <v>375</v>
      </c>
    </row>
    <row r="10" spans="1:7" x14ac:dyDescent="0.2">
      <c r="E10" s="96" t="s">
        <v>3</v>
      </c>
    </row>
    <row r="12" spans="1:7" x14ac:dyDescent="0.2">
      <c r="C12" s="95" t="s">
        <v>105</v>
      </c>
      <c r="D12" s="95"/>
      <c r="E12" s="237"/>
    </row>
    <row r="13" spans="1:7" x14ac:dyDescent="0.2">
      <c r="A13" s="494">
        <v>1</v>
      </c>
      <c r="C13" s="84" t="s">
        <v>543</v>
      </c>
      <c r="D13" s="84"/>
      <c r="E13" s="141">
        <v>40.058490161305784</v>
      </c>
    </row>
    <row r="14" spans="1:7" x14ac:dyDescent="0.2">
      <c r="A14" s="494" cm="1">
        <f t="array" ref="A14">MAX($A$13:A13+1)</f>
        <v>2</v>
      </c>
      <c r="C14" s="84" t="s">
        <v>259</v>
      </c>
      <c r="D14" s="84"/>
      <c r="E14" s="444">
        <v>2</v>
      </c>
    </row>
    <row r="15" spans="1:7" ht="13.5" thickBot="1" x14ac:dyDescent="0.25">
      <c r="A15" s="494" cm="1">
        <f t="array" ref="A15">MAX($A$13:A14+1)</f>
        <v>3</v>
      </c>
      <c r="C15" s="250" t="s">
        <v>858</v>
      </c>
      <c r="D15" s="205"/>
      <c r="E15" s="445">
        <f>E13/(E14*12) *1000</f>
        <v>1669.1037567210742</v>
      </c>
      <c r="G15" s="250"/>
    </row>
    <row r="16" spans="1:7" ht="13.5" thickTop="1" x14ac:dyDescent="0.2"/>
    <row r="17" spans="1:5" x14ac:dyDescent="0.2">
      <c r="C17" s="95" t="s">
        <v>261</v>
      </c>
      <c r="D17" s="95"/>
      <c r="E17" s="237"/>
    </row>
    <row r="18" spans="1:5" x14ac:dyDescent="0.2">
      <c r="A18" s="494" cm="1">
        <f t="array" ref="A18">MAX($A$10:A17+1)</f>
        <v>4</v>
      </c>
      <c r="C18" s="250" t="s">
        <v>383</v>
      </c>
      <c r="D18" s="84"/>
      <c r="E18" s="302">
        <f>'Attach 12 p.1-2'!H48</f>
        <v>3.4659904804556181</v>
      </c>
    </row>
    <row r="19" spans="1:5" x14ac:dyDescent="0.2">
      <c r="A19" s="494"/>
      <c r="C19" s="84"/>
      <c r="D19" s="84"/>
      <c r="E19" s="446"/>
    </row>
    <row r="20" spans="1:5" x14ac:dyDescent="0.2">
      <c r="A20" s="494" cm="1">
        <f t="array" ref="A20">MAX($A$10:A19+1)</f>
        <v>5</v>
      </c>
      <c r="C20" s="83" t="s">
        <v>262</v>
      </c>
      <c r="E20" s="447">
        <v>121.45</v>
      </c>
    </row>
    <row r="21" spans="1:5" x14ac:dyDescent="0.2">
      <c r="A21" s="494" cm="1">
        <f t="array" ref="A21">MAX($A$10:A20+1)</f>
        <v>6</v>
      </c>
      <c r="C21" s="83" t="s">
        <v>263</v>
      </c>
      <c r="E21" s="447">
        <v>228.94</v>
      </c>
    </row>
    <row r="22" spans="1:5" x14ac:dyDescent="0.2">
      <c r="A22" s="494"/>
      <c r="E22" s="448"/>
    </row>
    <row r="23" spans="1:5" x14ac:dyDescent="0.2">
      <c r="A23" s="494" cm="1">
        <f t="array" ref="A23">MAX($A$10:A21+1)</f>
        <v>7</v>
      </c>
      <c r="C23" s="83" t="s">
        <v>859</v>
      </c>
      <c r="E23" s="449">
        <f>E18*E20/E21</f>
        <v>1.8386675279607529</v>
      </c>
    </row>
    <row r="24" spans="1:5" x14ac:dyDescent="0.2">
      <c r="A24" s="494"/>
    </row>
    <row r="25" spans="1:5" ht="13.5" thickBot="1" x14ac:dyDescent="0.25">
      <c r="A25" s="494" cm="1">
        <f t="array" ref="A25">MAX($A$10:A24+1)</f>
        <v>8</v>
      </c>
      <c r="C25" s="83" t="s">
        <v>860</v>
      </c>
      <c r="E25" s="450">
        <f>E23*214/365</f>
        <v>1.0780132903660304</v>
      </c>
    </row>
    <row r="26" spans="1:5" ht="13.5" thickTop="1" x14ac:dyDescent="0.2">
      <c r="A26" s="494"/>
    </row>
    <row r="27" spans="1:5" x14ac:dyDescent="0.2">
      <c r="A27" s="95" t="s">
        <v>5</v>
      </c>
      <c r="B27" s="95"/>
      <c r="E27" s="451"/>
    </row>
    <row r="28" spans="1:5" x14ac:dyDescent="0.2">
      <c r="A28" s="96" t="s">
        <v>189</v>
      </c>
      <c r="C28" s="83" t="s">
        <v>678</v>
      </c>
      <c r="E28" s="451"/>
    </row>
    <row r="29" spans="1:5" x14ac:dyDescent="0.2">
      <c r="A29" s="96" t="s">
        <v>190</v>
      </c>
      <c r="C29" s="83" t="s">
        <v>676</v>
      </c>
    </row>
    <row r="30" spans="1:5" x14ac:dyDescent="0.2">
      <c r="A30" s="96"/>
    </row>
  </sheetData>
  <pageMargins left="0.7" right="0.7" top="0.75" bottom="0.75" header="0.3" footer="0.3"/>
  <pageSetup fitToHeight="0" orientation="portrait" r:id="rId1"/>
  <headerFooter>
    <oddHeader>&amp;R&amp;"Arial,Regular"&amp;10Filed: 2022-11-30
EB-2022-0200
Exhibit 8
Tab 2
Schedule 9
Attachment 15
Page &amp;P of &amp;N</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6565-87D1-439F-9B64-4B02553F4D1B}">
  <sheetPr>
    <pageSetUpPr fitToPage="1"/>
  </sheetPr>
  <dimension ref="A1:O41"/>
  <sheetViews>
    <sheetView view="pageLayout" zoomScale="90" zoomScaleNormal="85" zoomScaleSheetLayoutView="80" zoomScalePageLayoutView="90" workbookViewId="0"/>
  </sheetViews>
  <sheetFormatPr defaultColWidth="9.140625" defaultRowHeight="12.75" x14ac:dyDescent="0.2"/>
  <cols>
    <col min="1" max="1" width="4.140625" style="83" customWidth="1"/>
    <col min="2" max="2" width="1.7109375" style="83" customWidth="1"/>
    <col min="3" max="3" width="71.42578125" style="83" customWidth="1"/>
    <col min="4" max="4" width="1.7109375" style="83" customWidth="1"/>
    <col min="5" max="5" width="14.140625" style="83" customWidth="1"/>
    <col min="6" max="16384" width="9.140625" style="83"/>
  </cols>
  <sheetData>
    <row r="1" spans="1:6" x14ac:dyDescent="0.2">
      <c r="A1" s="452"/>
      <c r="B1" s="452"/>
      <c r="C1" s="452"/>
      <c r="D1" s="452"/>
      <c r="E1" s="452"/>
      <c r="F1" s="250"/>
    </row>
    <row r="2" spans="1:6" x14ac:dyDescent="0.2">
      <c r="A2" s="453"/>
      <c r="B2" s="453"/>
      <c r="C2" s="453"/>
      <c r="D2" s="453"/>
      <c r="E2" s="453"/>
      <c r="F2" s="250"/>
    </row>
    <row r="3" spans="1:6" x14ac:dyDescent="0.2">
      <c r="A3" s="453"/>
      <c r="B3" s="453"/>
      <c r="C3" s="453"/>
      <c r="D3" s="453"/>
      <c r="E3" s="453"/>
      <c r="F3" s="250"/>
    </row>
    <row r="4" spans="1:6" x14ac:dyDescent="0.2">
      <c r="A4" s="453"/>
      <c r="B4" s="453"/>
      <c r="C4" s="453"/>
      <c r="D4" s="453"/>
      <c r="E4" s="453"/>
      <c r="F4" s="250"/>
    </row>
    <row r="5" spans="1:6" x14ac:dyDescent="0.2">
      <c r="A5" s="453"/>
      <c r="B5" s="453"/>
      <c r="C5" s="453"/>
      <c r="D5" s="453"/>
      <c r="E5" s="453"/>
      <c r="F5" s="250"/>
    </row>
    <row r="6" spans="1:6" x14ac:dyDescent="0.2">
      <c r="A6" s="522" t="s">
        <v>544</v>
      </c>
      <c r="B6" s="522"/>
      <c r="C6" s="522"/>
      <c r="D6" s="522"/>
      <c r="E6" s="522"/>
      <c r="F6" s="250"/>
    </row>
    <row r="7" spans="1:6" x14ac:dyDescent="0.2">
      <c r="A7" s="289"/>
      <c r="B7" s="290"/>
      <c r="C7" s="290"/>
      <c r="D7" s="290"/>
      <c r="E7" s="453" t="s">
        <v>221</v>
      </c>
      <c r="F7" s="250"/>
    </row>
    <row r="8" spans="1:6" x14ac:dyDescent="0.2">
      <c r="A8" s="231" t="s">
        <v>0</v>
      </c>
      <c r="B8" s="122"/>
      <c r="C8" s="122"/>
      <c r="D8" s="122"/>
      <c r="E8" s="453" t="s">
        <v>154</v>
      </c>
    </row>
    <row r="9" spans="1:6" x14ac:dyDescent="0.2">
      <c r="A9" s="232" t="s">
        <v>1</v>
      </c>
      <c r="B9" s="122"/>
      <c r="C9" s="233" t="s">
        <v>301</v>
      </c>
      <c r="D9" s="122"/>
      <c r="E9" s="488" t="s">
        <v>375</v>
      </c>
    </row>
    <row r="10" spans="1:6" x14ac:dyDescent="0.2">
      <c r="A10" s="452"/>
      <c r="B10" s="452"/>
      <c r="C10" s="452"/>
      <c r="D10" s="452"/>
      <c r="E10" s="454" t="s">
        <v>3</v>
      </c>
    </row>
    <row r="11" spans="1:6" x14ac:dyDescent="0.2">
      <c r="A11" s="452"/>
      <c r="B11" s="452"/>
      <c r="C11" s="452"/>
      <c r="D11" s="452"/>
      <c r="E11" s="454"/>
    </row>
    <row r="12" spans="1:6" x14ac:dyDescent="0.2">
      <c r="A12" s="452"/>
      <c r="B12" s="452"/>
      <c r="C12" s="290" t="s">
        <v>100</v>
      </c>
      <c r="D12" s="290"/>
      <c r="E12" s="452"/>
    </row>
    <row r="13" spans="1:6" x14ac:dyDescent="0.2">
      <c r="A13" s="452"/>
      <c r="B13" s="452"/>
      <c r="C13" s="452" t="s">
        <v>105</v>
      </c>
      <c r="D13" s="452"/>
      <c r="E13" s="452"/>
    </row>
    <row r="14" spans="1:6" x14ac:dyDescent="0.2">
      <c r="A14" s="453">
        <v>1</v>
      </c>
      <c r="B14" s="452"/>
      <c r="C14" s="84" t="s">
        <v>376</v>
      </c>
      <c r="D14" s="455"/>
      <c r="E14" s="456">
        <v>25.345637999999997</v>
      </c>
    </row>
    <row r="15" spans="1:6" ht="13.5" thickBot="1" x14ac:dyDescent="0.25">
      <c r="A15" s="453">
        <f>MAX($A$14:A14)+1</f>
        <v>2</v>
      </c>
      <c r="B15" s="452"/>
      <c r="C15" s="452" t="s">
        <v>545</v>
      </c>
      <c r="D15" s="457"/>
      <c r="E15" s="458">
        <f>E14/12*1000</f>
        <v>2112.1364999999996</v>
      </c>
    </row>
    <row r="16" spans="1:6" ht="13.5" thickTop="1" x14ac:dyDescent="0.2">
      <c r="C16" s="95"/>
      <c r="D16" s="95"/>
    </row>
    <row r="17" spans="1:15" x14ac:dyDescent="0.2">
      <c r="A17" s="453"/>
      <c r="B17" s="452"/>
      <c r="C17" s="452" t="s">
        <v>302</v>
      </c>
      <c r="D17" s="452"/>
    </row>
    <row r="18" spans="1:15" x14ac:dyDescent="0.2">
      <c r="A18" s="453">
        <f>MAX($A$14:A17)+1</f>
        <v>3</v>
      </c>
      <c r="B18" s="452"/>
      <c r="C18" s="455" t="s">
        <v>665</v>
      </c>
      <c r="D18" s="455"/>
      <c r="E18" s="234">
        <v>1.2130938541655143</v>
      </c>
    </row>
    <row r="19" spans="1:15" x14ac:dyDescent="0.2">
      <c r="A19" s="453">
        <f>MAX($A$14:A18)+1</f>
        <v>4</v>
      </c>
      <c r="B19" s="452"/>
      <c r="C19" s="455" t="s">
        <v>804</v>
      </c>
      <c r="D19" s="455"/>
      <c r="E19" s="459">
        <v>269.3793289788822</v>
      </c>
    </row>
    <row r="20" spans="1:15" x14ac:dyDescent="0.2">
      <c r="A20" s="453">
        <f>MAX($A$14:A19)+1</f>
        <v>5</v>
      </c>
      <c r="B20" s="452"/>
      <c r="C20" s="455" t="s">
        <v>546</v>
      </c>
      <c r="D20" s="455"/>
      <c r="E20" s="234">
        <f>E18+E19</f>
        <v>270.59242283304769</v>
      </c>
    </row>
    <row r="21" spans="1:15" x14ac:dyDescent="0.2">
      <c r="A21" s="453">
        <f>MAX($A$14:A20)+1</f>
        <v>6</v>
      </c>
      <c r="B21" s="452"/>
      <c r="C21" s="455" t="s">
        <v>323</v>
      </c>
      <c r="D21" s="455"/>
      <c r="E21" s="459">
        <v>106356</v>
      </c>
    </row>
    <row r="22" spans="1:15" ht="13.5" thickBot="1" x14ac:dyDescent="0.25">
      <c r="A22" s="453">
        <f>MAX($A$14:A21)+1</f>
        <v>7</v>
      </c>
      <c r="B22" s="452"/>
      <c r="C22" s="457" t="s">
        <v>324</v>
      </c>
      <c r="D22" s="457"/>
      <c r="E22" s="460">
        <f>(E20*1000) / (E21)</f>
        <v>2.5442139872978271</v>
      </c>
    </row>
    <row r="23" spans="1:15" ht="13.5" thickTop="1" x14ac:dyDescent="0.2"/>
    <row r="24" spans="1:15" x14ac:dyDescent="0.2">
      <c r="A24" s="453"/>
      <c r="C24" s="290" t="s">
        <v>321</v>
      </c>
      <c r="D24" s="290"/>
    </row>
    <row r="25" spans="1:15" x14ac:dyDescent="0.2">
      <c r="A25" s="453"/>
      <c r="C25" s="457" t="s">
        <v>322</v>
      </c>
      <c r="D25" s="457"/>
      <c r="I25" s="455"/>
      <c r="J25" s="455"/>
      <c r="K25" s="455"/>
      <c r="L25" s="455"/>
      <c r="M25" s="455"/>
      <c r="N25" s="455"/>
      <c r="O25" s="455"/>
    </row>
    <row r="26" spans="1:15" x14ac:dyDescent="0.2">
      <c r="A26" s="453">
        <f>MAX($A$14:A25)+1</f>
        <v>8</v>
      </c>
      <c r="C26" s="455" t="s">
        <v>547</v>
      </c>
      <c r="D26" s="455"/>
      <c r="E26" s="461">
        <v>227.56202369152254</v>
      </c>
      <c r="I26" s="455"/>
      <c r="K26" s="455"/>
      <c r="L26" s="455"/>
      <c r="M26" s="455"/>
      <c r="N26" s="455"/>
      <c r="O26" s="455"/>
    </row>
    <row r="27" spans="1:15" x14ac:dyDescent="0.2">
      <c r="A27" s="453">
        <f>MAX($A$14:A26)+1</f>
        <v>9</v>
      </c>
      <c r="C27" s="455" t="s">
        <v>323</v>
      </c>
      <c r="D27" s="455"/>
      <c r="E27" s="462">
        <f>E21</f>
        <v>106356</v>
      </c>
      <c r="I27" s="455"/>
      <c r="J27" s="455"/>
      <c r="K27" s="455"/>
      <c r="L27" s="455"/>
      <c r="M27" s="455"/>
      <c r="N27" s="455"/>
      <c r="O27" s="455"/>
    </row>
    <row r="28" spans="1:15" ht="13.5" thickBot="1" x14ac:dyDescent="0.25">
      <c r="A28" s="453">
        <f>MAX($A$14:A27)+1</f>
        <v>10</v>
      </c>
      <c r="C28" s="457" t="s">
        <v>861</v>
      </c>
      <c r="D28" s="457"/>
      <c r="E28" s="463">
        <f>(E26*1000)/E27</f>
        <v>2.1396256317605262</v>
      </c>
      <c r="I28" s="455"/>
      <c r="J28" s="455"/>
      <c r="K28" s="455"/>
      <c r="L28" s="455"/>
      <c r="M28" s="455"/>
      <c r="N28" s="455"/>
      <c r="O28" s="455"/>
    </row>
    <row r="29" spans="1:15" ht="13.5" thickTop="1" x14ac:dyDescent="0.2">
      <c r="A29" s="453"/>
      <c r="E29" s="235"/>
      <c r="I29" s="455"/>
      <c r="J29" s="455"/>
      <c r="K29" s="455"/>
      <c r="L29" s="455"/>
      <c r="M29" s="455"/>
      <c r="N29" s="455"/>
      <c r="O29" s="455"/>
    </row>
    <row r="30" spans="1:15" x14ac:dyDescent="0.2">
      <c r="A30" s="453"/>
      <c r="C30" s="457" t="s">
        <v>548</v>
      </c>
      <c r="D30" s="457"/>
      <c r="E30" s="451"/>
      <c r="I30" s="455"/>
      <c r="J30" s="455"/>
      <c r="K30" s="455"/>
      <c r="L30" s="455"/>
      <c r="M30" s="455"/>
      <c r="N30" s="455"/>
      <c r="O30" s="455"/>
    </row>
    <row r="31" spans="1:15" x14ac:dyDescent="0.2">
      <c r="A31" s="453">
        <f>MAX($A$14:A30)+1</f>
        <v>11</v>
      </c>
      <c r="C31" s="455" t="s">
        <v>325</v>
      </c>
      <c r="D31" s="455"/>
      <c r="E31" s="464">
        <v>0.94958643300153922</v>
      </c>
      <c r="I31" s="455"/>
      <c r="J31" s="455"/>
      <c r="K31" s="455"/>
      <c r="L31" s="455"/>
      <c r="M31" s="455"/>
      <c r="N31" s="455"/>
      <c r="O31" s="455"/>
    </row>
    <row r="32" spans="1:15" ht="13.5" thickBot="1" x14ac:dyDescent="0.25">
      <c r="A32" s="453">
        <f>MAX($A$14:A31)+1</f>
        <v>12</v>
      </c>
      <c r="C32" s="457" t="s">
        <v>549</v>
      </c>
      <c r="D32" s="457"/>
      <c r="E32" s="465">
        <f>E31</f>
        <v>0.94958643300153922</v>
      </c>
      <c r="I32" s="455"/>
      <c r="J32" s="455"/>
      <c r="K32" s="455"/>
      <c r="L32" s="455"/>
      <c r="M32" s="455"/>
      <c r="N32" s="455"/>
      <c r="O32" s="455"/>
    </row>
    <row r="33" spans="1:15" ht="13.5" thickTop="1" x14ac:dyDescent="0.2">
      <c r="I33" s="455"/>
      <c r="J33" s="455"/>
      <c r="K33" s="455"/>
      <c r="L33" s="455"/>
      <c r="M33" s="455"/>
      <c r="N33" s="455"/>
      <c r="O33" s="455"/>
    </row>
    <row r="34" spans="1:15" x14ac:dyDescent="0.2">
      <c r="A34" s="466" t="s">
        <v>5</v>
      </c>
      <c r="I34" s="455"/>
      <c r="J34" s="455"/>
      <c r="K34" s="455"/>
      <c r="L34" s="455"/>
      <c r="M34" s="455"/>
      <c r="N34" s="455"/>
      <c r="O34" s="455"/>
    </row>
    <row r="35" spans="1:15" x14ac:dyDescent="0.2">
      <c r="A35" s="96" t="s">
        <v>189</v>
      </c>
      <c r="C35" s="83" t="s">
        <v>890</v>
      </c>
      <c r="I35" s="455"/>
      <c r="J35" s="455"/>
      <c r="K35" s="455"/>
      <c r="L35" s="455"/>
      <c r="M35" s="455"/>
      <c r="N35" s="455"/>
      <c r="O35" s="455"/>
    </row>
    <row r="36" spans="1:15" x14ac:dyDescent="0.2">
      <c r="A36" s="96" t="s">
        <v>190</v>
      </c>
      <c r="C36" s="467" t="s">
        <v>680</v>
      </c>
      <c r="I36" s="455"/>
      <c r="J36" s="455"/>
      <c r="K36" s="455"/>
      <c r="L36" s="455"/>
      <c r="M36" s="455"/>
      <c r="N36" s="455"/>
      <c r="O36" s="455"/>
    </row>
    <row r="37" spans="1:15" x14ac:dyDescent="0.2">
      <c r="A37" s="96" t="s">
        <v>191</v>
      </c>
      <c r="C37" s="467" t="s">
        <v>819</v>
      </c>
      <c r="I37" s="455"/>
      <c r="J37" s="455"/>
      <c r="K37" s="455"/>
      <c r="L37" s="455"/>
      <c r="M37" s="455"/>
      <c r="N37" s="455"/>
      <c r="O37" s="455"/>
    </row>
    <row r="38" spans="1:15" x14ac:dyDescent="0.2">
      <c r="A38" s="96" t="s">
        <v>192</v>
      </c>
      <c r="C38" s="427" t="s">
        <v>862</v>
      </c>
      <c r="G38" s="467"/>
    </row>
    <row r="39" spans="1:15" x14ac:dyDescent="0.2">
      <c r="A39" s="96" t="s">
        <v>194</v>
      </c>
      <c r="C39" s="467" t="s">
        <v>681</v>
      </c>
    </row>
    <row r="40" spans="1:15" x14ac:dyDescent="0.2">
      <c r="A40" s="96" t="s">
        <v>195</v>
      </c>
      <c r="C40" s="467" t="s">
        <v>863</v>
      </c>
    </row>
    <row r="41" spans="1:15" x14ac:dyDescent="0.2">
      <c r="B41" s="467"/>
    </row>
  </sheetData>
  <mergeCells count="1">
    <mergeCell ref="A6:E6"/>
  </mergeCells>
  <pageMargins left="0.7" right="0.7" top="0.75" bottom="0.75" header="0.3" footer="0.3"/>
  <pageSetup scale="97" fitToHeight="0" orientation="portrait" horizontalDpi="1200" verticalDpi="1200" r:id="rId1"/>
  <headerFooter>
    <oddHeader>&amp;R&amp;"Arial,Regular"&amp;10Filed: 2022-11-30
EB-2022-0200
Exhibit 8
Tab 2
Schedule 9
Attachment 16
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4EABC-A26C-42D2-9DE6-94F2139BFF6D}">
  <dimension ref="B1:U368"/>
  <sheetViews>
    <sheetView view="pageLayout" zoomScale="80" zoomScaleNormal="70" zoomScaleSheetLayoutView="80" zoomScalePageLayoutView="80" workbookViewId="0"/>
  </sheetViews>
  <sheetFormatPr defaultRowHeight="12.75" x14ac:dyDescent="0.2"/>
  <cols>
    <col min="1" max="1" width="1.5703125" style="1" customWidth="1"/>
    <col min="2" max="2" width="5.5703125" style="254" customWidth="1"/>
    <col min="3" max="3" width="1.5703125" style="1" customWidth="1"/>
    <col min="4" max="4" width="48.7109375" style="1" customWidth="1"/>
    <col min="5" max="5" width="1.5703125" style="1" customWidth="1"/>
    <col min="6" max="6" width="8.7109375" style="1" bestFit="1" customWidth="1"/>
    <col min="7" max="7" width="1.5703125" style="1" customWidth="1"/>
    <col min="8" max="8" width="14.42578125" style="1" customWidth="1"/>
    <col min="9" max="9" width="1.5703125" style="1" customWidth="1"/>
    <col min="10" max="10" width="10.5703125" style="1" bestFit="1" customWidth="1"/>
    <col min="11" max="11" width="10.140625" style="1" bestFit="1" customWidth="1"/>
    <col min="12" max="12" width="1.5703125" style="1" customWidth="1"/>
    <col min="13" max="13" width="14.42578125" style="1" customWidth="1"/>
    <col min="14" max="14" width="1.5703125" style="1" customWidth="1"/>
    <col min="15" max="15" width="15.42578125" style="1" customWidth="1"/>
    <col min="16" max="18" width="14.42578125" style="1" customWidth="1"/>
    <col min="19" max="19" width="14.5703125" style="1" customWidth="1"/>
    <col min="20" max="20" width="14.42578125" style="1" customWidth="1"/>
    <col min="21" max="21" width="3.42578125" style="1" customWidth="1"/>
    <col min="22" max="225" width="8.85546875" style="1"/>
    <col min="226" max="226" width="4.5703125" style="1" customWidth="1"/>
    <col min="227" max="227" width="1" style="1" customWidth="1"/>
    <col min="228" max="228" width="18" style="1" customWidth="1"/>
    <col min="229" max="229" width="1.85546875" style="1" customWidth="1"/>
    <col min="230" max="230" width="12.5703125" style="1" customWidth="1"/>
    <col min="231" max="231" width="1.5703125" style="1" customWidth="1"/>
    <col min="232" max="232" width="9.5703125" style="1" customWidth="1"/>
    <col min="233" max="233" width="1.85546875" style="1" customWidth="1"/>
    <col min="234" max="234" width="11.85546875" style="1" customWidth="1"/>
    <col min="235" max="235" width="1.5703125" style="1" customWidth="1"/>
    <col min="236" max="236" width="10.140625" style="1" customWidth="1"/>
    <col min="237" max="237" width="2" style="1" customWidth="1"/>
    <col min="238" max="238" width="9.5703125" style="1" customWidth="1"/>
    <col min="239" max="481" width="8.85546875" style="1"/>
    <col min="482" max="482" width="4.5703125" style="1" customWidth="1"/>
    <col min="483" max="483" width="1" style="1" customWidth="1"/>
    <col min="484" max="484" width="18" style="1" customWidth="1"/>
    <col min="485" max="485" width="1.85546875" style="1" customWidth="1"/>
    <col min="486" max="486" width="12.5703125" style="1" customWidth="1"/>
    <col min="487" max="487" width="1.5703125" style="1" customWidth="1"/>
    <col min="488" max="488" width="9.5703125" style="1" customWidth="1"/>
    <col min="489" max="489" width="1.85546875" style="1" customWidth="1"/>
    <col min="490" max="490" width="11.85546875" style="1" customWidth="1"/>
    <col min="491" max="491" width="1.5703125" style="1" customWidth="1"/>
    <col min="492" max="492" width="10.140625" style="1" customWidth="1"/>
    <col min="493" max="493" width="2" style="1" customWidth="1"/>
    <col min="494" max="494" width="9.5703125" style="1" customWidth="1"/>
    <col min="495" max="737" width="8.85546875" style="1"/>
    <col min="738" max="738" width="4.5703125" style="1" customWidth="1"/>
    <col min="739" max="739" width="1" style="1" customWidth="1"/>
    <col min="740" max="740" width="18" style="1" customWidth="1"/>
    <col min="741" max="741" width="1.85546875" style="1" customWidth="1"/>
    <col min="742" max="742" width="12.5703125" style="1" customWidth="1"/>
    <col min="743" max="743" width="1.5703125" style="1" customWidth="1"/>
    <col min="744" max="744" width="9.5703125" style="1" customWidth="1"/>
    <col min="745" max="745" width="1.85546875" style="1" customWidth="1"/>
    <col min="746" max="746" width="11.85546875" style="1" customWidth="1"/>
    <col min="747" max="747" width="1.5703125" style="1" customWidth="1"/>
    <col min="748" max="748" width="10.140625" style="1" customWidth="1"/>
    <col min="749" max="749" width="2" style="1" customWidth="1"/>
    <col min="750" max="750" width="9.5703125" style="1" customWidth="1"/>
    <col min="751" max="993" width="8.85546875" style="1"/>
    <col min="994" max="994" width="4.5703125" style="1" customWidth="1"/>
    <col min="995" max="995" width="1" style="1" customWidth="1"/>
    <col min="996" max="996" width="18" style="1" customWidth="1"/>
    <col min="997" max="997" width="1.85546875" style="1" customWidth="1"/>
    <col min="998" max="998" width="12.5703125" style="1" customWidth="1"/>
    <col min="999" max="999" width="1.5703125" style="1" customWidth="1"/>
    <col min="1000" max="1000" width="9.5703125" style="1" customWidth="1"/>
    <col min="1001" max="1001" width="1.85546875" style="1" customWidth="1"/>
    <col min="1002" max="1002" width="11.85546875" style="1" customWidth="1"/>
    <col min="1003" max="1003" width="1.5703125" style="1" customWidth="1"/>
    <col min="1004" max="1004" width="10.140625" style="1" customWidth="1"/>
    <col min="1005" max="1005" width="2" style="1" customWidth="1"/>
    <col min="1006" max="1006" width="9.5703125" style="1" customWidth="1"/>
    <col min="1007" max="1249" width="8.85546875" style="1"/>
    <col min="1250" max="1250" width="4.5703125" style="1" customWidth="1"/>
    <col min="1251" max="1251" width="1" style="1" customWidth="1"/>
    <col min="1252" max="1252" width="18" style="1" customWidth="1"/>
    <col min="1253" max="1253" width="1.85546875" style="1" customWidth="1"/>
    <col min="1254" max="1254" width="12.5703125" style="1" customWidth="1"/>
    <col min="1255" max="1255" width="1.5703125" style="1" customWidth="1"/>
    <col min="1256" max="1256" width="9.5703125" style="1" customWidth="1"/>
    <col min="1257" max="1257" width="1.85546875" style="1" customWidth="1"/>
    <col min="1258" max="1258" width="11.85546875" style="1" customWidth="1"/>
    <col min="1259" max="1259" width="1.5703125" style="1" customWidth="1"/>
    <col min="1260" max="1260" width="10.140625" style="1" customWidth="1"/>
    <col min="1261" max="1261" width="2" style="1" customWidth="1"/>
    <col min="1262" max="1262" width="9.5703125" style="1" customWidth="1"/>
    <col min="1263" max="1505" width="8.85546875" style="1"/>
    <col min="1506" max="1506" width="4.5703125" style="1" customWidth="1"/>
    <col min="1507" max="1507" width="1" style="1" customWidth="1"/>
    <col min="1508" max="1508" width="18" style="1" customWidth="1"/>
    <col min="1509" max="1509" width="1.85546875" style="1" customWidth="1"/>
    <col min="1510" max="1510" width="12.5703125" style="1" customWidth="1"/>
    <col min="1511" max="1511" width="1.5703125" style="1" customWidth="1"/>
    <col min="1512" max="1512" width="9.5703125" style="1" customWidth="1"/>
    <col min="1513" max="1513" width="1.85546875" style="1" customWidth="1"/>
    <col min="1514" max="1514" width="11.85546875" style="1" customWidth="1"/>
    <col min="1515" max="1515" width="1.5703125" style="1" customWidth="1"/>
    <col min="1516" max="1516" width="10.140625" style="1" customWidth="1"/>
    <col min="1517" max="1517" width="2" style="1" customWidth="1"/>
    <col min="1518" max="1518" width="9.5703125" style="1" customWidth="1"/>
    <col min="1519" max="1761" width="8.85546875" style="1"/>
    <col min="1762" max="1762" width="4.5703125" style="1" customWidth="1"/>
    <col min="1763" max="1763" width="1" style="1" customWidth="1"/>
    <col min="1764" max="1764" width="18" style="1" customWidth="1"/>
    <col min="1765" max="1765" width="1.85546875" style="1" customWidth="1"/>
    <col min="1766" max="1766" width="12.5703125" style="1" customWidth="1"/>
    <col min="1767" max="1767" width="1.5703125" style="1" customWidth="1"/>
    <col min="1768" max="1768" width="9.5703125" style="1" customWidth="1"/>
    <col min="1769" max="1769" width="1.85546875" style="1" customWidth="1"/>
    <col min="1770" max="1770" width="11.85546875" style="1" customWidth="1"/>
    <col min="1771" max="1771" width="1.5703125" style="1" customWidth="1"/>
    <col min="1772" max="1772" width="10.140625" style="1" customWidth="1"/>
    <col min="1773" max="1773" width="2" style="1" customWidth="1"/>
    <col min="1774" max="1774" width="9.5703125" style="1" customWidth="1"/>
    <col min="1775" max="2017" width="8.85546875" style="1"/>
    <col min="2018" max="2018" width="4.5703125" style="1" customWidth="1"/>
    <col min="2019" max="2019" width="1" style="1" customWidth="1"/>
    <col min="2020" max="2020" width="18" style="1" customWidth="1"/>
    <col min="2021" max="2021" width="1.85546875" style="1" customWidth="1"/>
    <col min="2022" max="2022" width="12.5703125" style="1" customWidth="1"/>
    <col min="2023" max="2023" width="1.5703125" style="1" customWidth="1"/>
    <col min="2024" max="2024" width="9.5703125" style="1" customWidth="1"/>
    <col min="2025" max="2025" width="1.85546875" style="1" customWidth="1"/>
    <col min="2026" max="2026" width="11.85546875" style="1" customWidth="1"/>
    <col min="2027" max="2027" width="1.5703125" style="1" customWidth="1"/>
    <col min="2028" max="2028" width="10.140625" style="1" customWidth="1"/>
    <col min="2029" max="2029" width="2" style="1" customWidth="1"/>
    <col min="2030" max="2030" width="9.5703125" style="1" customWidth="1"/>
    <col min="2031" max="2273" width="8.85546875" style="1"/>
    <col min="2274" max="2274" width="4.5703125" style="1" customWidth="1"/>
    <col min="2275" max="2275" width="1" style="1" customWidth="1"/>
    <col min="2276" max="2276" width="18" style="1" customWidth="1"/>
    <col min="2277" max="2277" width="1.85546875" style="1" customWidth="1"/>
    <col min="2278" max="2278" width="12.5703125" style="1" customWidth="1"/>
    <col min="2279" max="2279" width="1.5703125" style="1" customWidth="1"/>
    <col min="2280" max="2280" width="9.5703125" style="1" customWidth="1"/>
    <col min="2281" max="2281" width="1.85546875" style="1" customWidth="1"/>
    <col min="2282" max="2282" width="11.85546875" style="1" customWidth="1"/>
    <col min="2283" max="2283" width="1.5703125" style="1" customWidth="1"/>
    <col min="2284" max="2284" width="10.140625" style="1" customWidth="1"/>
    <col min="2285" max="2285" width="2" style="1" customWidth="1"/>
    <col min="2286" max="2286" width="9.5703125" style="1" customWidth="1"/>
    <col min="2287" max="2529" width="8.85546875" style="1"/>
    <col min="2530" max="2530" width="4.5703125" style="1" customWidth="1"/>
    <col min="2531" max="2531" width="1" style="1" customWidth="1"/>
    <col min="2532" max="2532" width="18" style="1" customWidth="1"/>
    <col min="2533" max="2533" width="1.85546875" style="1" customWidth="1"/>
    <col min="2534" max="2534" width="12.5703125" style="1" customWidth="1"/>
    <col min="2535" max="2535" width="1.5703125" style="1" customWidth="1"/>
    <col min="2536" max="2536" width="9.5703125" style="1" customWidth="1"/>
    <col min="2537" max="2537" width="1.85546875" style="1" customWidth="1"/>
    <col min="2538" max="2538" width="11.85546875" style="1" customWidth="1"/>
    <col min="2539" max="2539" width="1.5703125" style="1" customWidth="1"/>
    <col min="2540" max="2540" width="10.140625" style="1" customWidth="1"/>
    <col min="2541" max="2541" width="2" style="1" customWidth="1"/>
    <col min="2542" max="2542" width="9.5703125" style="1" customWidth="1"/>
    <col min="2543" max="2785" width="8.85546875" style="1"/>
    <col min="2786" max="2786" width="4.5703125" style="1" customWidth="1"/>
    <col min="2787" max="2787" width="1" style="1" customWidth="1"/>
    <col min="2788" max="2788" width="18" style="1" customWidth="1"/>
    <col min="2789" max="2789" width="1.85546875" style="1" customWidth="1"/>
    <col min="2790" max="2790" width="12.5703125" style="1" customWidth="1"/>
    <col min="2791" max="2791" width="1.5703125" style="1" customWidth="1"/>
    <col min="2792" max="2792" width="9.5703125" style="1" customWidth="1"/>
    <col min="2793" max="2793" width="1.85546875" style="1" customWidth="1"/>
    <col min="2794" max="2794" width="11.85546875" style="1" customWidth="1"/>
    <col min="2795" max="2795" width="1.5703125" style="1" customWidth="1"/>
    <col min="2796" max="2796" width="10.140625" style="1" customWidth="1"/>
    <col min="2797" max="2797" width="2" style="1" customWidth="1"/>
    <col min="2798" max="2798" width="9.5703125" style="1" customWidth="1"/>
    <col min="2799" max="3041" width="8.85546875" style="1"/>
    <col min="3042" max="3042" width="4.5703125" style="1" customWidth="1"/>
    <col min="3043" max="3043" width="1" style="1" customWidth="1"/>
    <col min="3044" max="3044" width="18" style="1" customWidth="1"/>
    <col min="3045" max="3045" width="1.85546875" style="1" customWidth="1"/>
    <col min="3046" max="3046" width="12.5703125" style="1" customWidth="1"/>
    <col min="3047" max="3047" width="1.5703125" style="1" customWidth="1"/>
    <col min="3048" max="3048" width="9.5703125" style="1" customWidth="1"/>
    <col min="3049" max="3049" width="1.85546875" style="1" customWidth="1"/>
    <col min="3050" max="3050" width="11.85546875" style="1" customWidth="1"/>
    <col min="3051" max="3051" width="1.5703125" style="1" customWidth="1"/>
    <col min="3052" max="3052" width="10.140625" style="1" customWidth="1"/>
    <col min="3053" max="3053" width="2" style="1" customWidth="1"/>
    <col min="3054" max="3054" width="9.5703125" style="1" customWidth="1"/>
    <col min="3055" max="3297" width="8.85546875" style="1"/>
    <col min="3298" max="3298" width="4.5703125" style="1" customWidth="1"/>
    <col min="3299" max="3299" width="1" style="1" customWidth="1"/>
    <col min="3300" max="3300" width="18" style="1" customWidth="1"/>
    <col min="3301" max="3301" width="1.85546875" style="1" customWidth="1"/>
    <col min="3302" max="3302" width="12.5703125" style="1" customWidth="1"/>
    <col min="3303" max="3303" width="1.5703125" style="1" customWidth="1"/>
    <col min="3304" max="3304" width="9.5703125" style="1" customWidth="1"/>
    <col min="3305" max="3305" width="1.85546875" style="1" customWidth="1"/>
    <col min="3306" max="3306" width="11.85546875" style="1" customWidth="1"/>
    <col min="3307" max="3307" width="1.5703125" style="1" customWidth="1"/>
    <col min="3308" max="3308" width="10.140625" style="1" customWidth="1"/>
    <col min="3309" max="3309" width="2" style="1" customWidth="1"/>
    <col min="3310" max="3310" width="9.5703125" style="1" customWidth="1"/>
    <col min="3311" max="3553" width="8.85546875" style="1"/>
    <col min="3554" max="3554" width="4.5703125" style="1" customWidth="1"/>
    <col min="3555" max="3555" width="1" style="1" customWidth="1"/>
    <col min="3556" max="3556" width="18" style="1" customWidth="1"/>
    <col min="3557" max="3557" width="1.85546875" style="1" customWidth="1"/>
    <col min="3558" max="3558" width="12.5703125" style="1" customWidth="1"/>
    <col min="3559" max="3559" width="1.5703125" style="1" customWidth="1"/>
    <col min="3560" max="3560" width="9.5703125" style="1" customWidth="1"/>
    <col min="3561" max="3561" width="1.85546875" style="1" customWidth="1"/>
    <col min="3562" max="3562" width="11.85546875" style="1" customWidth="1"/>
    <col min="3563" max="3563" width="1.5703125" style="1" customWidth="1"/>
    <col min="3564" max="3564" width="10.140625" style="1" customWidth="1"/>
    <col min="3565" max="3565" width="2" style="1" customWidth="1"/>
    <col min="3566" max="3566" width="9.5703125" style="1" customWidth="1"/>
    <col min="3567" max="3809" width="8.85546875" style="1"/>
    <col min="3810" max="3810" width="4.5703125" style="1" customWidth="1"/>
    <col min="3811" max="3811" width="1" style="1" customWidth="1"/>
    <col min="3812" max="3812" width="18" style="1" customWidth="1"/>
    <col min="3813" max="3813" width="1.85546875" style="1" customWidth="1"/>
    <col min="3814" max="3814" width="12.5703125" style="1" customWidth="1"/>
    <col min="3815" max="3815" width="1.5703125" style="1" customWidth="1"/>
    <col min="3816" max="3816" width="9.5703125" style="1" customWidth="1"/>
    <col min="3817" max="3817" width="1.85546875" style="1" customWidth="1"/>
    <col min="3818" max="3818" width="11.85546875" style="1" customWidth="1"/>
    <col min="3819" max="3819" width="1.5703125" style="1" customWidth="1"/>
    <col min="3820" max="3820" width="10.140625" style="1" customWidth="1"/>
    <col min="3821" max="3821" width="2" style="1" customWidth="1"/>
    <col min="3822" max="3822" width="9.5703125" style="1" customWidth="1"/>
    <col min="3823" max="4065" width="8.85546875" style="1"/>
    <col min="4066" max="4066" width="4.5703125" style="1" customWidth="1"/>
    <col min="4067" max="4067" width="1" style="1" customWidth="1"/>
    <col min="4068" max="4068" width="18" style="1" customWidth="1"/>
    <col min="4069" max="4069" width="1.85546875" style="1" customWidth="1"/>
    <col min="4070" max="4070" width="12.5703125" style="1" customWidth="1"/>
    <col min="4071" max="4071" width="1.5703125" style="1" customWidth="1"/>
    <col min="4072" max="4072" width="9.5703125" style="1" customWidth="1"/>
    <col min="4073" max="4073" width="1.85546875" style="1" customWidth="1"/>
    <col min="4074" max="4074" width="11.85546875" style="1" customWidth="1"/>
    <col min="4075" max="4075" width="1.5703125" style="1" customWidth="1"/>
    <col min="4076" max="4076" width="10.140625" style="1" customWidth="1"/>
    <col min="4077" max="4077" width="2" style="1" customWidth="1"/>
    <col min="4078" max="4078" width="9.5703125" style="1" customWidth="1"/>
    <col min="4079" max="4321" width="8.85546875" style="1"/>
    <col min="4322" max="4322" width="4.5703125" style="1" customWidth="1"/>
    <col min="4323" max="4323" width="1" style="1" customWidth="1"/>
    <col min="4324" max="4324" width="18" style="1" customWidth="1"/>
    <col min="4325" max="4325" width="1.85546875" style="1" customWidth="1"/>
    <col min="4326" max="4326" width="12.5703125" style="1" customWidth="1"/>
    <col min="4327" max="4327" width="1.5703125" style="1" customWidth="1"/>
    <col min="4328" max="4328" width="9.5703125" style="1" customWidth="1"/>
    <col min="4329" max="4329" width="1.85546875" style="1" customWidth="1"/>
    <col min="4330" max="4330" width="11.85546875" style="1" customWidth="1"/>
    <col min="4331" max="4331" width="1.5703125" style="1" customWidth="1"/>
    <col min="4332" max="4332" width="10.140625" style="1" customWidth="1"/>
    <col min="4333" max="4333" width="2" style="1" customWidth="1"/>
    <col min="4334" max="4334" width="9.5703125" style="1" customWidth="1"/>
    <col min="4335" max="4577" width="8.85546875" style="1"/>
    <col min="4578" max="4578" width="4.5703125" style="1" customWidth="1"/>
    <col min="4579" max="4579" width="1" style="1" customWidth="1"/>
    <col min="4580" max="4580" width="18" style="1" customWidth="1"/>
    <col min="4581" max="4581" width="1.85546875" style="1" customWidth="1"/>
    <col min="4582" max="4582" width="12.5703125" style="1" customWidth="1"/>
    <col min="4583" max="4583" width="1.5703125" style="1" customWidth="1"/>
    <col min="4584" max="4584" width="9.5703125" style="1" customWidth="1"/>
    <col min="4585" max="4585" width="1.85546875" style="1" customWidth="1"/>
    <col min="4586" max="4586" width="11.85546875" style="1" customWidth="1"/>
    <col min="4587" max="4587" width="1.5703125" style="1" customWidth="1"/>
    <col min="4588" max="4588" width="10.140625" style="1" customWidth="1"/>
    <col min="4589" max="4589" width="2" style="1" customWidth="1"/>
    <col min="4590" max="4590" width="9.5703125" style="1" customWidth="1"/>
    <col min="4591" max="4833" width="8.85546875" style="1"/>
    <col min="4834" max="4834" width="4.5703125" style="1" customWidth="1"/>
    <col min="4835" max="4835" width="1" style="1" customWidth="1"/>
    <col min="4836" max="4836" width="18" style="1" customWidth="1"/>
    <col min="4837" max="4837" width="1.85546875" style="1" customWidth="1"/>
    <col min="4838" max="4838" width="12.5703125" style="1" customWidth="1"/>
    <col min="4839" max="4839" width="1.5703125" style="1" customWidth="1"/>
    <col min="4840" max="4840" width="9.5703125" style="1" customWidth="1"/>
    <col min="4841" max="4841" width="1.85546875" style="1" customWidth="1"/>
    <col min="4842" max="4842" width="11.85546875" style="1" customWidth="1"/>
    <col min="4843" max="4843" width="1.5703125" style="1" customWidth="1"/>
    <col min="4844" max="4844" width="10.140625" style="1" customWidth="1"/>
    <col min="4845" max="4845" width="2" style="1" customWidth="1"/>
    <col min="4846" max="4846" width="9.5703125" style="1" customWidth="1"/>
    <col min="4847" max="5089" width="8.85546875" style="1"/>
    <col min="5090" max="5090" width="4.5703125" style="1" customWidth="1"/>
    <col min="5091" max="5091" width="1" style="1" customWidth="1"/>
    <col min="5092" max="5092" width="18" style="1" customWidth="1"/>
    <col min="5093" max="5093" width="1.85546875" style="1" customWidth="1"/>
    <col min="5094" max="5094" width="12.5703125" style="1" customWidth="1"/>
    <col min="5095" max="5095" width="1.5703125" style="1" customWidth="1"/>
    <col min="5096" max="5096" width="9.5703125" style="1" customWidth="1"/>
    <col min="5097" max="5097" width="1.85546875" style="1" customWidth="1"/>
    <col min="5098" max="5098" width="11.85546875" style="1" customWidth="1"/>
    <col min="5099" max="5099" width="1.5703125" style="1" customWidth="1"/>
    <col min="5100" max="5100" width="10.140625" style="1" customWidth="1"/>
    <col min="5101" max="5101" width="2" style="1" customWidth="1"/>
    <col min="5102" max="5102" width="9.5703125" style="1" customWidth="1"/>
    <col min="5103" max="5345" width="8.85546875" style="1"/>
    <col min="5346" max="5346" width="4.5703125" style="1" customWidth="1"/>
    <col min="5347" max="5347" width="1" style="1" customWidth="1"/>
    <col min="5348" max="5348" width="18" style="1" customWidth="1"/>
    <col min="5349" max="5349" width="1.85546875" style="1" customWidth="1"/>
    <col min="5350" max="5350" width="12.5703125" style="1" customWidth="1"/>
    <col min="5351" max="5351" width="1.5703125" style="1" customWidth="1"/>
    <col min="5352" max="5352" width="9.5703125" style="1" customWidth="1"/>
    <col min="5353" max="5353" width="1.85546875" style="1" customWidth="1"/>
    <col min="5354" max="5354" width="11.85546875" style="1" customWidth="1"/>
    <col min="5355" max="5355" width="1.5703125" style="1" customWidth="1"/>
    <col min="5356" max="5356" width="10.140625" style="1" customWidth="1"/>
    <col min="5357" max="5357" width="2" style="1" customWidth="1"/>
    <col min="5358" max="5358" width="9.5703125" style="1" customWidth="1"/>
    <col min="5359" max="5601" width="8.85546875" style="1"/>
    <col min="5602" max="5602" width="4.5703125" style="1" customWidth="1"/>
    <col min="5603" max="5603" width="1" style="1" customWidth="1"/>
    <col min="5604" max="5604" width="18" style="1" customWidth="1"/>
    <col min="5605" max="5605" width="1.85546875" style="1" customWidth="1"/>
    <col min="5606" max="5606" width="12.5703125" style="1" customWidth="1"/>
    <col min="5607" max="5607" width="1.5703125" style="1" customWidth="1"/>
    <col min="5608" max="5608" width="9.5703125" style="1" customWidth="1"/>
    <col min="5609" max="5609" width="1.85546875" style="1" customWidth="1"/>
    <col min="5610" max="5610" width="11.85546875" style="1" customWidth="1"/>
    <col min="5611" max="5611" width="1.5703125" style="1" customWidth="1"/>
    <col min="5612" max="5612" width="10.140625" style="1" customWidth="1"/>
    <col min="5613" max="5613" width="2" style="1" customWidth="1"/>
    <col min="5614" max="5614" width="9.5703125" style="1" customWidth="1"/>
    <col min="5615" max="5857" width="8.85546875" style="1"/>
    <col min="5858" max="5858" width="4.5703125" style="1" customWidth="1"/>
    <col min="5859" max="5859" width="1" style="1" customWidth="1"/>
    <col min="5860" max="5860" width="18" style="1" customWidth="1"/>
    <col min="5861" max="5861" width="1.85546875" style="1" customWidth="1"/>
    <col min="5862" max="5862" width="12.5703125" style="1" customWidth="1"/>
    <col min="5863" max="5863" width="1.5703125" style="1" customWidth="1"/>
    <col min="5864" max="5864" width="9.5703125" style="1" customWidth="1"/>
    <col min="5865" max="5865" width="1.85546875" style="1" customWidth="1"/>
    <col min="5866" max="5866" width="11.85546875" style="1" customWidth="1"/>
    <col min="5867" max="5867" width="1.5703125" style="1" customWidth="1"/>
    <col min="5868" max="5868" width="10.140625" style="1" customWidth="1"/>
    <col min="5869" max="5869" width="2" style="1" customWidth="1"/>
    <col min="5870" max="5870" width="9.5703125" style="1" customWidth="1"/>
    <col min="5871" max="6113" width="8.85546875" style="1"/>
    <col min="6114" max="6114" width="4.5703125" style="1" customWidth="1"/>
    <col min="6115" max="6115" width="1" style="1" customWidth="1"/>
    <col min="6116" max="6116" width="18" style="1" customWidth="1"/>
    <col min="6117" max="6117" width="1.85546875" style="1" customWidth="1"/>
    <col min="6118" max="6118" width="12.5703125" style="1" customWidth="1"/>
    <col min="6119" max="6119" width="1.5703125" style="1" customWidth="1"/>
    <col min="6120" max="6120" width="9.5703125" style="1" customWidth="1"/>
    <col min="6121" max="6121" width="1.85546875" style="1" customWidth="1"/>
    <col min="6122" max="6122" width="11.85546875" style="1" customWidth="1"/>
    <col min="6123" max="6123" width="1.5703125" style="1" customWidth="1"/>
    <col min="6124" max="6124" width="10.140625" style="1" customWidth="1"/>
    <col min="6125" max="6125" width="2" style="1" customWidth="1"/>
    <col min="6126" max="6126" width="9.5703125" style="1" customWidth="1"/>
    <col min="6127" max="6369" width="8.85546875" style="1"/>
    <col min="6370" max="6370" width="4.5703125" style="1" customWidth="1"/>
    <col min="6371" max="6371" width="1" style="1" customWidth="1"/>
    <col min="6372" max="6372" width="18" style="1" customWidth="1"/>
    <col min="6373" max="6373" width="1.85546875" style="1" customWidth="1"/>
    <col min="6374" max="6374" width="12.5703125" style="1" customWidth="1"/>
    <col min="6375" max="6375" width="1.5703125" style="1" customWidth="1"/>
    <col min="6376" max="6376" width="9.5703125" style="1" customWidth="1"/>
    <col min="6377" max="6377" width="1.85546875" style="1" customWidth="1"/>
    <col min="6378" max="6378" width="11.85546875" style="1" customWidth="1"/>
    <col min="6379" max="6379" width="1.5703125" style="1" customWidth="1"/>
    <col min="6380" max="6380" width="10.140625" style="1" customWidth="1"/>
    <col min="6381" max="6381" width="2" style="1" customWidth="1"/>
    <col min="6382" max="6382" width="9.5703125" style="1" customWidth="1"/>
    <col min="6383" max="6625" width="8.85546875" style="1"/>
    <col min="6626" max="6626" width="4.5703125" style="1" customWidth="1"/>
    <col min="6627" max="6627" width="1" style="1" customWidth="1"/>
    <col min="6628" max="6628" width="18" style="1" customWidth="1"/>
    <col min="6629" max="6629" width="1.85546875" style="1" customWidth="1"/>
    <col min="6630" max="6630" width="12.5703125" style="1" customWidth="1"/>
    <col min="6631" max="6631" width="1.5703125" style="1" customWidth="1"/>
    <col min="6632" max="6632" width="9.5703125" style="1" customWidth="1"/>
    <col min="6633" max="6633" width="1.85546875" style="1" customWidth="1"/>
    <col min="6634" max="6634" width="11.85546875" style="1" customWidth="1"/>
    <col min="6635" max="6635" width="1.5703125" style="1" customWidth="1"/>
    <col min="6636" max="6636" width="10.140625" style="1" customWidth="1"/>
    <col min="6637" max="6637" width="2" style="1" customWidth="1"/>
    <col min="6638" max="6638" width="9.5703125" style="1" customWidth="1"/>
    <col min="6639" max="6881" width="8.85546875" style="1"/>
    <col min="6882" max="6882" width="4.5703125" style="1" customWidth="1"/>
    <col min="6883" max="6883" width="1" style="1" customWidth="1"/>
    <col min="6884" max="6884" width="18" style="1" customWidth="1"/>
    <col min="6885" max="6885" width="1.85546875" style="1" customWidth="1"/>
    <col min="6886" max="6886" width="12.5703125" style="1" customWidth="1"/>
    <col min="6887" max="6887" width="1.5703125" style="1" customWidth="1"/>
    <col min="6888" max="6888" width="9.5703125" style="1" customWidth="1"/>
    <col min="6889" max="6889" width="1.85546875" style="1" customWidth="1"/>
    <col min="6890" max="6890" width="11.85546875" style="1" customWidth="1"/>
    <col min="6891" max="6891" width="1.5703125" style="1" customWidth="1"/>
    <col min="6892" max="6892" width="10.140625" style="1" customWidth="1"/>
    <col min="6893" max="6893" width="2" style="1" customWidth="1"/>
    <col min="6894" max="6894" width="9.5703125" style="1" customWidth="1"/>
    <col min="6895" max="7137" width="8.85546875" style="1"/>
    <col min="7138" max="7138" width="4.5703125" style="1" customWidth="1"/>
    <col min="7139" max="7139" width="1" style="1" customWidth="1"/>
    <col min="7140" max="7140" width="18" style="1" customWidth="1"/>
    <col min="7141" max="7141" width="1.85546875" style="1" customWidth="1"/>
    <col min="7142" max="7142" width="12.5703125" style="1" customWidth="1"/>
    <col min="7143" max="7143" width="1.5703125" style="1" customWidth="1"/>
    <col min="7144" max="7144" width="9.5703125" style="1" customWidth="1"/>
    <col min="7145" max="7145" width="1.85546875" style="1" customWidth="1"/>
    <col min="7146" max="7146" width="11.85546875" style="1" customWidth="1"/>
    <col min="7147" max="7147" width="1.5703125" style="1" customWidth="1"/>
    <col min="7148" max="7148" width="10.140625" style="1" customWidth="1"/>
    <col min="7149" max="7149" width="2" style="1" customWidth="1"/>
    <col min="7150" max="7150" width="9.5703125" style="1" customWidth="1"/>
    <col min="7151" max="7393" width="8.85546875" style="1"/>
    <col min="7394" max="7394" width="4.5703125" style="1" customWidth="1"/>
    <col min="7395" max="7395" width="1" style="1" customWidth="1"/>
    <col min="7396" max="7396" width="18" style="1" customWidth="1"/>
    <col min="7397" max="7397" width="1.85546875" style="1" customWidth="1"/>
    <col min="7398" max="7398" width="12.5703125" style="1" customWidth="1"/>
    <col min="7399" max="7399" width="1.5703125" style="1" customWidth="1"/>
    <col min="7400" max="7400" width="9.5703125" style="1" customWidth="1"/>
    <col min="7401" max="7401" width="1.85546875" style="1" customWidth="1"/>
    <col min="7402" max="7402" width="11.85546875" style="1" customWidth="1"/>
    <col min="7403" max="7403" width="1.5703125" style="1" customWidth="1"/>
    <col min="7404" max="7404" width="10.140625" style="1" customWidth="1"/>
    <col min="7405" max="7405" width="2" style="1" customWidth="1"/>
    <col min="7406" max="7406" width="9.5703125" style="1" customWidth="1"/>
    <col min="7407" max="7649" width="8.85546875" style="1"/>
    <col min="7650" max="7650" width="4.5703125" style="1" customWidth="1"/>
    <col min="7651" max="7651" width="1" style="1" customWidth="1"/>
    <col min="7652" max="7652" width="18" style="1" customWidth="1"/>
    <col min="7653" max="7653" width="1.85546875" style="1" customWidth="1"/>
    <col min="7654" max="7654" width="12.5703125" style="1" customWidth="1"/>
    <col min="7655" max="7655" width="1.5703125" style="1" customWidth="1"/>
    <col min="7656" max="7656" width="9.5703125" style="1" customWidth="1"/>
    <col min="7657" max="7657" width="1.85546875" style="1" customWidth="1"/>
    <col min="7658" max="7658" width="11.85546875" style="1" customWidth="1"/>
    <col min="7659" max="7659" width="1.5703125" style="1" customWidth="1"/>
    <col min="7660" max="7660" width="10.140625" style="1" customWidth="1"/>
    <col min="7661" max="7661" width="2" style="1" customWidth="1"/>
    <col min="7662" max="7662" width="9.5703125" style="1" customWidth="1"/>
    <col min="7663" max="7905" width="8.85546875" style="1"/>
    <col min="7906" max="7906" width="4.5703125" style="1" customWidth="1"/>
    <col min="7907" max="7907" width="1" style="1" customWidth="1"/>
    <col min="7908" max="7908" width="18" style="1" customWidth="1"/>
    <col min="7909" max="7909" width="1.85546875" style="1" customWidth="1"/>
    <col min="7910" max="7910" width="12.5703125" style="1" customWidth="1"/>
    <col min="7911" max="7911" width="1.5703125" style="1" customWidth="1"/>
    <col min="7912" max="7912" width="9.5703125" style="1" customWidth="1"/>
    <col min="7913" max="7913" width="1.85546875" style="1" customWidth="1"/>
    <col min="7914" max="7914" width="11.85546875" style="1" customWidth="1"/>
    <col min="7915" max="7915" width="1.5703125" style="1" customWidth="1"/>
    <col min="7916" max="7916" width="10.140625" style="1" customWidth="1"/>
    <col min="7917" max="7917" width="2" style="1" customWidth="1"/>
    <col min="7918" max="7918" width="9.5703125" style="1" customWidth="1"/>
    <col min="7919" max="8161" width="8.85546875" style="1"/>
    <col min="8162" max="8162" width="4.5703125" style="1" customWidth="1"/>
    <col min="8163" max="8163" width="1" style="1" customWidth="1"/>
    <col min="8164" max="8164" width="18" style="1" customWidth="1"/>
    <col min="8165" max="8165" width="1.85546875" style="1" customWidth="1"/>
    <col min="8166" max="8166" width="12.5703125" style="1" customWidth="1"/>
    <col min="8167" max="8167" width="1.5703125" style="1" customWidth="1"/>
    <col min="8168" max="8168" width="9.5703125" style="1" customWidth="1"/>
    <col min="8169" max="8169" width="1.85546875" style="1" customWidth="1"/>
    <col min="8170" max="8170" width="11.85546875" style="1" customWidth="1"/>
    <col min="8171" max="8171" width="1.5703125" style="1" customWidth="1"/>
    <col min="8172" max="8172" width="10.140625" style="1" customWidth="1"/>
    <col min="8173" max="8173" width="2" style="1" customWidth="1"/>
    <col min="8174" max="8174" width="9.5703125" style="1" customWidth="1"/>
    <col min="8175" max="8417" width="8.85546875" style="1"/>
    <col min="8418" max="8418" width="4.5703125" style="1" customWidth="1"/>
    <col min="8419" max="8419" width="1" style="1" customWidth="1"/>
    <col min="8420" max="8420" width="18" style="1" customWidth="1"/>
    <col min="8421" max="8421" width="1.85546875" style="1" customWidth="1"/>
    <col min="8422" max="8422" width="12.5703125" style="1" customWidth="1"/>
    <col min="8423" max="8423" width="1.5703125" style="1" customWidth="1"/>
    <col min="8424" max="8424" width="9.5703125" style="1" customWidth="1"/>
    <col min="8425" max="8425" width="1.85546875" style="1" customWidth="1"/>
    <col min="8426" max="8426" width="11.85546875" style="1" customWidth="1"/>
    <col min="8427" max="8427" width="1.5703125" style="1" customWidth="1"/>
    <col min="8428" max="8428" width="10.140625" style="1" customWidth="1"/>
    <col min="8429" max="8429" width="2" style="1" customWidth="1"/>
    <col min="8430" max="8430" width="9.5703125" style="1" customWidth="1"/>
    <col min="8431" max="8673" width="8.85546875" style="1"/>
    <col min="8674" max="8674" width="4.5703125" style="1" customWidth="1"/>
    <col min="8675" max="8675" width="1" style="1" customWidth="1"/>
    <col min="8676" max="8676" width="18" style="1" customWidth="1"/>
    <col min="8677" max="8677" width="1.85546875" style="1" customWidth="1"/>
    <col min="8678" max="8678" width="12.5703125" style="1" customWidth="1"/>
    <col min="8679" max="8679" width="1.5703125" style="1" customWidth="1"/>
    <col min="8680" max="8680" width="9.5703125" style="1" customWidth="1"/>
    <col min="8681" max="8681" width="1.85546875" style="1" customWidth="1"/>
    <col min="8682" max="8682" width="11.85546875" style="1" customWidth="1"/>
    <col min="8683" max="8683" width="1.5703125" style="1" customWidth="1"/>
    <col min="8684" max="8684" width="10.140625" style="1" customWidth="1"/>
    <col min="8685" max="8685" width="2" style="1" customWidth="1"/>
    <col min="8686" max="8686" width="9.5703125" style="1" customWidth="1"/>
    <col min="8687" max="8929" width="8.85546875" style="1"/>
    <col min="8930" max="8930" width="4.5703125" style="1" customWidth="1"/>
    <col min="8931" max="8931" width="1" style="1" customWidth="1"/>
    <col min="8932" max="8932" width="18" style="1" customWidth="1"/>
    <col min="8933" max="8933" width="1.85546875" style="1" customWidth="1"/>
    <col min="8934" max="8934" width="12.5703125" style="1" customWidth="1"/>
    <col min="8935" max="8935" width="1.5703125" style="1" customWidth="1"/>
    <col min="8936" max="8936" width="9.5703125" style="1" customWidth="1"/>
    <col min="8937" max="8937" width="1.85546875" style="1" customWidth="1"/>
    <col min="8938" max="8938" width="11.85546875" style="1" customWidth="1"/>
    <col min="8939" max="8939" width="1.5703125" style="1" customWidth="1"/>
    <col min="8940" max="8940" width="10.140625" style="1" customWidth="1"/>
    <col min="8941" max="8941" width="2" style="1" customWidth="1"/>
    <col min="8942" max="8942" width="9.5703125" style="1" customWidth="1"/>
    <col min="8943" max="9185" width="8.85546875" style="1"/>
    <col min="9186" max="9186" width="4.5703125" style="1" customWidth="1"/>
    <col min="9187" max="9187" width="1" style="1" customWidth="1"/>
    <col min="9188" max="9188" width="18" style="1" customWidth="1"/>
    <col min="9189" max="9189" width="1.85546875" style="1" customWidth="1"/>
    <col min="9190" max="9190" width="12.5703125" style="1" customWidth="1"/>
    <col min="9191" max="9191" width="1.5703125" style="1" customWidth="1"/>
    <col min="9192" max="9192" width="9.5703125" style="1" customWidth="1"/>
    <col min="9193" max="9193" width="1.85546875" style="1" customWidth="1"/>
    <col min="9194" max="9194" width="11.85546875" style="1" customWidth="1"/>
    <col min="9195" max="9195" width="1.5703125" style="1" customWidth="1"/>
    <col min="9196" max="9196" width="10.140625" style="1" customWidth="1"/>
    <col min="9197" max="9197" width="2" style="1" customWidth="1"/>
    <col min="9198" max="9198" width="9.5703125" style="1" customWidth="1"/>
    <col min="9199" max="9441" width="8.85546875" style="1"/>
    <col min="9442" max="9442" width="4.5703125" style="1" customWidth="1"/>
    <col min="9443" max="9443" width="1" style="1" customWidth="1"/>
    <col min="9444" max="9444" width="18" style="1" customWidth="1"/>
    <col min="9445" max="9445" width="1.85546875" style="1" customWidth="1"/>
    <col min="9446" max="9446" width="12.5703125" style="1" customWidth="1"/>
    <col min="9447" max="9447" width="1.5703125" style="1" customWidth="1"/>
    <col min="9448" max="9448" width="9.5703125" style="1" customWidth="1"/>
    <col min="9449" max="9449" width="1.85546875" style="1" customWidth="1"/>
    <col min="9450" max="9450" width="11.85546875" style="1" customWidth="1"/>
    <col min="9451" max="9451" width="1.5703125" style="1" customWidth="1"/>
    <col min="9452" max="9452" width="10.140625" style="1" customWidth="1"/>
    <col min="9453" max="9453" width="2" style="1" customWidth="1"/>
    <col min="9454" max="9454" width="9.5703125" style="1" customWidth="1"/>
    <col min="9455" max="9697" width="8.85546875" style="1"/>
    <col min="9698" max="9698" width="4.5703125" style="1" customWidth="1"/>
    <col min="9699" max="9699" width="1" style="1" customWidth="1"/>
    <col min="9700" max="9700" width="18" style="1" customWidth="1"/>
    <col min="9701" max="9701" width="1.85546875" style="1" customWidth="1"/>
    <col min="9702" max="9702" width="12.5703125" style="1" customWidth="1"/>
    <col min="9703" max="9703" width="1.5703125" style="1" customWidth="1"/>
    <col min="9704" max="9704" width="9.5703125" style="1" customWidth="1"/>
    <col min="9705" max="9705" width="1.85546875" style="1" customWidth="1"/>
    <col min="9706" max="9706" width="11.85546875" style="1" customWidth="1"/>
    <col min="9707" max="9707" width="1.5703125" style="1" customWidth="1"/>
    <col min="9708" max="9708" width="10.140625" style="1" customWidth="1"/>
    <col min="9709" max="9709" width="2" style="1" customWidth="1"/>
    <col min="9710" max="9710" width="9.5703125" style="1" customWidth="1"/>
    <col min="9711" max="9953" width="8.85546875" style="1"/>
    <col min="9954" max="9954" width="4.5703125" style="1" customWidth="1"/>
    <col min="9955" max="9955" width="1" style="1" customWidth="1"/>
    <col min="9956" max="9956" width="18" style="1" customWidth="1"/>
    <col min="9957" max="9957" width="1.85546875" style="1" customWidth="1"/>
    <col min="9958" max="9958" width="12.5703125" style="1" customWidth="1"/>
    <col min="9959" max="9959" width="1.5703125" style="1" customWidth="1"/>
    <col min="9960" max="9960" width="9.5703125" style="1" customWidth="1"/>
    <col min="9961" max="9961" width="1.85546875" style="1" customWidth="1"/>
    <col min="9962" max="9962" width="11.85546875" style="1" customWidth="1"/>
    <col min="9963" max="9963" width="1.5703125" style="1" customWidth="1"/>
    <col min="9964" max="9964" width="10.140625" style="1" customWidth="1"/>
    <col min="9965" max="9965" width="2" style="1" customWidth="1"/>
    <col min="9966" max="9966" width="9.5703125" style="1" customWidth="1"/>
    <col min="9967" max="10209" width="8.85546875" style="1"/>
    <col min="10210" max="10210" width="4.5703125" style="1" customWidth="1"/>
    <col min="10211" max="10211" width="1" style="1" customWidth="1"/>
    <col min="10212" max="10212" width="18" style="1" customWidth="1"/>
    <col min="10213" max="10213" width="1.85546875" style="1" customWidth="1"/>
    <col min="10214" max="10214" width="12.5703125" style="1" customWidth="1"/>
    <col min="10215" max="10215" width="1.5703125" style="1" customWidth="1"/>
    <col min="10216" max="10216" width="9.5703125" style="1" customWidth="1"/>
    <col min="10217" max="10217" width="1.85546875" style="1" customWidth="1"/>
    <col min="10218" max="10218" width="11.85546875" style="1" customWidth="1"/>
    <col min="10219" max="10219" width="1.5703125" style="1" customWidth="1"/>
    <col min="10220" max="10220" width="10.140625" style="1" customWidth="1"/>
    <col min="10221" max="10221" width="2" style="1" customWidth="1"/>
    <col min="10222" max="10222" width="9.5703125" style="1" customWidth="1"/>
    <col min="10223" max="10465" width="8.85546875" style="1"/>
    <col min="10466" max="10466" width="4.5703125" style="1" customWidth="1"/>
    <col min="10467" max="10467" width="1" style="1" customWidth="1"/>
    <col min="10468" max="10468" width="18" style="1" customWidth="1"/>
    <col min="10469" max="10469" width="1.85546875" style="1" customWidth="1"/>
    <col min="10470" max="10470" width="12.5703125" style="1" customWidth="1"/>
    <col min="10471" max="10471" width="1.5703125" style="1" customWidth="1"/>
    <col min="10472" max="10472" width="9.5703125" style="1" customWidth="1"/>
    <col min="10473" max="10473" width="1.85546875" style="1" customWidth="1"/>
    <col min="10474" max="10474" width="11.85546875" style="1" customWidth="1"/>
    <col min="10475" max="10475" width="1.5703125" style="1" customWidth="1"/>
    <col min="10476" max="10476" width="10.140625" style="1" customWidth="1"/>
    <col min="10477" max="10477" width="2" style="1" customWidth="1"/>
    <col min="10478" max="10478" width="9.5703125" style="1" customWidth="1"/>
    <col min="10479" max="10721" width="8.85546875" style="1"/>
    <col min="10722" max="10722" width="4.5703125" style="1" customWidth="1"/>
    <col min="10723" max="10723" width="1" style="1" customWidth="1"/>
    <col min="10724" max="10724" width="18" style="1" customWidth="1"/>
    <col min="10725" max="10725" width="1.85546875" style="1" customWidth="1"/>
    <col min="10726" max="10726" width="12.5703125" style="1" customWidth="1"/>
    <col min="10727" max="10727" width="1.5703125" style="1" customWidth="1"/>
    <col min="10728" max="10728" width="9.5703125" style="1" customWidth="1"/>
    <col min="10729" max="10729" width="1.85546875" style="1" customWidth="1"/>
    <col min="10730" max="10730" width="11.85546875" style="1" customWidth="1"/>
    <col min="10731" max="10731" width="1.5703125" style="1" customWidth="1"/>
    <col min="10732" max="10732" width="10.140625" style="1" customWidth="1"/>
    <col min="10733" max="10733" width="2" style="1" customWidth="1"/>
    <col min="10734" max="10734" width="9.5703125" style="1" customWidth="1"/>
    <col min="10735" max="10977" width="8.85546875" style="1"/>
    <col min="10978" max="10978" width="4.5703125" style="1" customWidth="1"/>
    <col min="10979" max="10979" width="1" style="1" customWidth="1"/>
    <col min="10980" max="10980" width="18" style="1" customWidth="1"/>
    <col min="10981" max="10981" width="1.85546875" style="1" customWidth="1"/>
    <col min="10982" max="10982" width="12.5703125" style="1" customWidth="1"/>
    <col min="10983" max="10983" width="1.5703125" style="1" customWidth="1"/>
    <col min="10984" max="10984" width="9.5703125" style="1" customWidth="1"/>
    <col min="10985" max="10985" width="1.85546875" style="1" customWidth="1"/>
    <col min="10986" max="10986" width="11.85546875" style="1" customWidth="1"/>
    <col min="10987" max="10987" width="1.5703125" style="1" customWidth="1"/>
    <col min="10988" max="10988" width="10.140625" style="1" customWidth="1"/>
    <col min="10989" max="10989" width="2" style="1" customWidth="1"/>
    <col min="10990" max="10990" width="9.5703125" style="1" customWidth="1"/>
    <col min="10991" max="11233" width="8.85546875" style="1"/>
    <col min="11234" max="11234" width="4.5703125" style="1" customWidth="1"/>
    <col min="11235" max="11235" width="1" style="1" customWidth="1"/>
    <col min="11236" max="11236" width="18" style="1" customWidth="1"/>
    <col min="11237" max="11237" width="1.85546875" style="1" customWidth="1"/>
    <col min="11238" max="11238" width="12.5703125" style="1" customWidth="1"/>
    <col min="11239" max="11239" width="1.5703125" style="1" customWidth="1"/>
    <col min="11240" max="11240" width="9.5703125" style="1" customWidth="1"/>
    <col min="11241" max="11241" width="1.85546875" style="1" customWidth="1"/>
    <col min="11242" max="11242" width="11.85546875" style="1" customWidth="1"/>
    <col min="11243" max="11243" width="1.5703125" style="1" customWidth="1"/>
    <col min="11244" max="11244" width="10.140625" style="1" customWidth="1"/>
    <col min="11245" max="11245" width="2" style="1" customWidth="1"/>
    <col min="11246" max="11246" width="9.5703125" style="1" customWidth="1"/>
    <col min="11247" max="11489" width="8.85546875" style="1"/>
    <col min="11490" max="11490" width="4.5703125" style="1" customWidth="1"/>
    <col min="11491" max="11491" width="1" style="1" customWidth="1"/>
    <col min="11492" max="11492" width="18" style="1" customWidth="1"/>
    <col min="11493" max="11493" width="1.85546875" style="1" customWidth="1"/>
    <col min="11494" max="11494" width="12.5703125" style="1" customWidth="1"/>
    <col min="11495" max="11495" width="1.5703125" style="1" customWidth="1"/>
    <col min="11496" max="11496" width="9.5703125" style="1" customWidth="1"/>
    <col min="11497" max="11497" width="1.85546875" style="1" customWidth="1"/>
    <col min="11498" max="11498" width="11.85546875" style="1" customWidth="1"/>
    <col min="11499" max="11499" width="1.5703125" style="1" customWidth="1"/>
    <col min="11500" max="11500" width="10.140625" style="1" customWidth="1"/>
    <col min="11501" max="11501" width="2" style="1" customWidth="1"/>
    <col min="11502" max="11502" width="9.5703125" style="1" customWidth="1"/>
    <col min="11503" max="11745" width="8.85546875" style="1"/>
    <col min="11746" max="11746" width="4.5703125" style="1" customWidth="1"/>
    <col min="11747" max="11747" width="1" style="1" customWidth="1"/>
    <col min="11748" max="11748" width="18" style="1" customWidth="1"/>
    <col min="11749" max="11749" width="1.85546875" style="1" customWidth="1"/>
    <col min="11750" max="11750" width="12.5703125" style="1" customWidth="1"/>
    <col min="11751" max="11751" width="1.5703125" style="1" customWidth="1"/>
    <col min="11752" max="11752" width="9.5703125" style="1" customWidth="1"/>
    <col min="11753" max="11753" width="1.85546875" style="1" customWidth="1"/>
    <col min="11754" max="11754" width="11.85546875" style="1" customWidth="1"/>
    <col min="11755" max="11755" width="1.5703125" style="1" customWidth="1"/>
    <col min="11756" max="11756" width="10.140625" style="1" customWidth="1"/>
    <col min="11757" max="11757" width="2" style="1" customWidth="1"/>
    <col min="11758" max="11758" width="9.5703125" style="1" customWidth="1"/>
    <col min="11759" max="12001" width="8.85546875" style="1"/>
    <col min="12002" max="12002" width="4.5703125" style="1" customWidth="1"/>
    <col min="12003" max="12003" width="1" style="1" customWidth="1"/>
    <col min="12004" max="12004" width="18" style="1" customWidth="1"/>
    <col min="12005" max="12005" width="1.85546875" style="1" customWidth="1"/>
    <col min="12006" max="12006" width="12.5703125" style="1" customWidth="1"/>
    <col min="12007" max="12007" width="1.5703125" style="1" customWidth="1"/>
    <col min="12008" max="12008" width="9.5703125" style="1" customWidth="1"/>
    <col min="12009" max="12009" width="1.85546875" style="1" customWidth="1"/>
    <col min="12010" max="12010" width="11.85546875" style="1" customWidth="1"/>
    <col min="12011" max="12011" width="1.5703125" style="1" customWidth="1"/>
    <col min="12012" max="12012" width="10.140625" style="1" customWidth="1"/>
    <col min="12013" max="12013" width="2" style="1" customWidth="1"/>
    <col min="12014" max="12014" width="9.5703125" style="1" customWidth="1"/>
    <col min="12015" max="12257" width="8.85546875" style="1"/>
    <col min="12258" max="12258" width="4.5703125" style="1" customWidth="1"/>
    <col min="12259" max="12259" width="1" style="1" customWidth="1"/>
    <col min="12260" max="12260" width="18" style="1" customWidth="1"/>
    <col min="12261" max="12261" width="1.85546875" style="1" customWidth="1"/>
    <col min="12262" max="12262" width="12.5703125" style="1" customWidth="1"/>
    <col min="12263" max="12263" width="1.5703125" style="1" customWidth="1"/>
    <col min="12264" max="12264" width="9.5703125" style="1" customWidth="1"/>
    <col min="12265" max="12265" width="1.85546875" style="1" customWidth="1"/>
    <col min="12266" max="12266" width="11.85546875" style="1" customWidth="1"/>
    <col min="12267" max="12267" width="1.5703125" style="1" customWidth="1"/>
    <col min="12268" max="12268" width="10.140625" style="1" customWidth="1"/>
    <col min="12269" max="12269" width="2" style="1" customWidth="1"/>
    <col min="12270" max="12270" width="9.5703125" style="1" customWidth="1"/>
    <col min="12271" max="12513" width="8.85546875" style="1"/>
    <col min="12514" max="12514" width="4.5703125" style="1" customWidth="1"/>
    <col min="12515" max="12515" width="1" style="1" customWidth="1"/>
    <col min="12516" max="12516" width="18" style="1" customWidth="1"/>
    <col min="12517" max="12517" width="1.85546875" style="1" customWidth="1"/>
    <col min="12518" max="12518" width="12.5703125" style="1" customWidth="1"/>
    <col min="12519" max="12519" width="1.5703125" style="1" customWidth="1"/>
    <col min="12520" max="12520" width="9.5703125" style="1" customWidth="1"/>
    <col min="12521" max="12521" width="1.85546875" style="1" customWidth="1"/>
    <col min="12522" max="12522" width="11.85546875" style="1" customWidth="1"/>
    <col min="12523" max="12523" width="1.5703125" style="1" customWidth="1"/>
    <col min="12524" max="12524" width="10.140625" style="1" customWidth="1"/>
    <col min="12525" max="12525" width="2" style="1" customWidth="1"/>
    <col min="12526" max="12526" width="9.5703125" style="1" customWidth="1"/>
    <col min="12527" max="12769" width="8.85546875" style="1"/>
    <col min="12770" max="12770" width="4.5703125" style="1" customWidth="1"/>
    <col min="12771" max="12771" width="1" style="1" customWidth="1"/>
    <col min="12772" max="12772" width="18" style="1" customWidth="1"/>
    <col min="12773" max="12773" width="1.85546875" style="1" customWidth="1"/>
    <col min="12774" max="12774" width="12.5703125" style="1" customWidth="1"/>
    <col min="12775" max="12775" width="1.5703125" style="1" customWidth="1"/>
    <col min="12776" max="12776" width="9.5703125" style="1" customWidth="1"/>
    <col min="12777" max="12777" width="1.85546875" style="1" customWidth="1"/>
    <col min="12778" max="12778" width="11.85546875" style="1" customWidth="1"/>
    <col min="12779" max="12779" width="1.5703125" style="1" customWidth="1"/>
    <col min="12780" max="12780" width="10.140625" style="1" customWidth="1"/>
    <col min="12781" max="12781" width="2" style="1" customWidth="1"/>
    <col min="12782" max="12782" width="9.5703125" style="1" customWidth="1"/>
    <col min="12783" max="13025" width="8.85546875" style="1"/>
    <col min="13026" max="13026" width="4.5703125" style="1" customWidth="1"/>
    <col min="13027" max="13027" width="1" style="1" customWidth="1"/>
    <col min="13028" max="13028" width="18" style="1" customWidth="1"/>
    <col min="13029" max="13029" width="1.85546875" style="1" customWidth="1"/>
    <col min="13030" max="13030" width="12.5703125" style="1" customWidth="1"/>
    <col min="13031" max="13031" width="1.5703125" style="1" customWidth="1"/>
    <col min="13032" max="13032" width="9.5703125" style="1" customWidth="1"/>
    <col min="13033" max="13033" width="1.85546875" style="1" customWidth="1"/>
    <col min="13034" max="13034" width="11.85546875" style="1" customWidth="1"/>
    <col min="13035" max="13035" width="1.5703125" style="1" customWidth="1"/>
    <col min="13036" max="13036" width="10.140625" style="1" customWidth="1"/>
    <col min="13037" max="13037" width="2" style="1" customWidth="1"/>
    <col min="13038" max="13038" width="9.5703125" style="1" customWidth="1"/>
    <col min="13039" max="13281" width="8.85546875" style="1"/>
    <col min="13282" max="13282" width="4.5703125" style="1" customWidth="1"/>
    <col min="13283" max="13283" width="1" style="1" customWidth="1"/>
    <col min="13284" max="13284" width="18" style="1" customWidth="1"/>
    <col min="13285" max="13285" width="1.85546875" style="1" customWidth="1"/>
    <col min="13286" max="13286" width="12.5703125" style="1" customWidth="1"/>
    <col min="13287" max="13287" width="1.5703125" style="1" customWidth="1"/>
    <col min="13288" max="13288" width="9.5703125" style="1" customWidth="1"/>
    <col min="13289" max="13289" width="1.85546875" style="1" customWidth="1"/>
    <col min="13290" max="13290" width="11.85546875" style="1" customWidth="1"/>
    <col min="13291" max="13291" width="1.5703125" style="1" customWidth="1"/>
    <col min="13292" max="13292" width="10.140625" style="1" customWidth="1"/>
    <col min="13293" max="13293" width="2" style="1" customWidth="1"/>
    <col min="13294" max="13294" width="9.5703125" style="1" customWidth="1"/>
    <col min="13295" max="13537" width="8.85546875" style="1"/>
    <col min="13538" max="13538" width="4.5703125" style="1" customWidth="1"/>
    <col min="13539" max="13539" width="1" style="1" customWidth="1"/>
    <col min="13540" max="13540" width="18" style="1" customWidth="1"/>
    <col min="13541" max="13541" width="1.85546875" style="1" customWidth="1"/>
    <col min="13542" max="13542" width="12.5703125" style="1" customWidth="1"/>
    <col min="13543" max="13543" width="1.5703125" style="1" customWidth="1"/>
    <col min="13544" max="13544" width="9.5703125" style="1" customWidth="1"/>
    <col min="13545" max="13545" width="1.85546875" style="1" customWidth="1"/>
    <col min="13546" max="13546" width="11.85546875" style="1" customWidth="1"/>
    <col min="13547" max="13547" width="1.5703125" style="1" customWidth="1"/>
    <col min="13548" max="13548" width="10.140625" style="1" customWidth="1"/>
    <col min="13549" max="13549" width="2" style="1" customWidth="1"/>
    <col min="13550" max="13550" width="9.5703125" style="1" customWidth="1"/>
    <col min="13551" max="13793" width="8.85546875" style="1"/>
    <col min="13794" max="13794" width="4.5703125" style="1" customWidth="1"/>
    <col min="13795" max="13795" width="1" style="1" customWidth="1"/>
    <col min="13796" max="13796" width="18" style="1" customWidth="1"/>
    <col min="13797" max="13797" width="1.85546875" style="1" customWidth="1"/>
    <col min="13798" max="13798" width="12.5703125" style="1" customWidth="1"/>
    <col min="13799" max="13799" width="1.5703125" style="1" customWidth="1"/>
    <col min="13800" max="13800" width="9.5703125" style="1" customWidth="1"/>
    <col min="13801" max="13801" width="1.85546875" style="1" customWidth="1"/>
    <col min="13802" max="13802" width="11.85546875" style="1" customWidth="1"/>
    <col min="13803" max="13803" width="1.5703125" style="1" customWidth="1"/>
    <col min="13804" max="13804" width="10.140625" style="1" customWidth="1"/>
    <col min="13805" max="13805" width="2" style="1" customWidth="1"/>
    <col min="13806" max="13806" width="9.5703125" style="1" customWidth="1"/>
    <col min="13807" max="14049" width="8.85546875" style="1"/>
    <col min="14050" max="14050" width="4.5703125" style="1" customWidth="1"/>
    <col min="14051" max="14051" width="1" style="1" customWidth="1"/>
    <col min="14052" max="14052" width="18" style="1" customWidth="1"/>
    <col min="14053" max="14053" width="1.85546875" style="1" customWidth="1"/>
    <col min="14054" max="14054" width="12.5703125" style="1" customWidth="1"/>
    <col min="14055" max="14055" width="1.5703125" style="1" customWidth="1"/>
    <col min="14056" max="14056" width="9.5703125" style="1" customWidth="1"/>
    <col min="14057" max="14057" width="1.85546875" style="1" customWidth="1"/>
    <col min="14058" max="14058" width="11.85546875" style="1" customWidth="1"/>
    <col min="14059" max="14059" width="1.5703125" style="1" customWidth="1"/>
    <col min="14060" max="14060" width="10.140625" style="1" customWidth="1"/>
    <col min="14061" max="14061" width="2" style="1" customWidth="1"/>
    <col min="14062" max="14062" width="9.5703125" style="1" customWidth="1"/>
    <col min="14063" max="14305" width="8.85546875" style="1"/>
    <col min="14306" max="14306" width="4.5703125" style="1" customWidth="1"/>
    <col min="14307" max="14307" width="1" style="1" customWidth="1"/>
    <col min="14308" max="14308" width="18" style="1" customWidth="1"/>
    <col min="14309" max="14309" width="1.85546875" style="1" customWidth="1"/>
    <col min="14310" max="14310" width="12.5703125" style="1" customWidth="1"/>
    <col min="14311" max="14311" width="1.5703125" style="1" customWidth="1"/>
    <col min="14312" max="14312" width="9.5703125" style="1" customWidth="1"/>
    <col min="14313" max="14313" width="1.85546875" style="1" customWidth="1"/>
    <col min="14314" max="14314" width="11.85546875" style="1" customWidth="1"/>
    <col min="14315" max="14315" width="1.5703125" style="1" customWidth="1"/>
    <col min="14316" max="14316" width="10.140625" style="1" customWidth="1"/>
    <col min="14317" max="14317" width="2" style="1" customWidth="1"/>
    <col min="14318" max="14318" width="9.5703125" style="1" customWidth="1"/>
    <col min="14319" max="14561" width="8.85546875" style="1"/>
    <col min="14562" max="14562" width="4.5703125" style="1" customWidth="1"/>
    <col min="14563" max="14563" width="1" style="1" customWidth="1"/>
    <col min="14564" max="14564" width="18" style="1" customWidth="1"/>
    <col min="14565" max="14565" width="1.85546875" style="1" customWidth="1"/>
    <col min="14566" max="14566" width="12.5703125" style="1" customWidth="1"/>
    <col min="14567" max="14567" width="1.5703125" style="1" customWidth="1"/>
    <col min="14568" max="14568" width="9.5703125" style="1" customWidth="1"/>
    <col min="14569" max="14569" width="1.85546875" style="1" customWidth="1"/>
    <col min="14570" max="14570" width="11.85546875" style="1" customWidth="1"/>
    <col min="14571" max="14571" width="1.5703125" style="1" customWidth="1"/>
    <col min="14572" max="14572" width="10.140625" style="1" customWidth="1"/>
    <col min="14573" max="14573" width="2" style="1" customWidth="1"/>
    <col min="14574" max="14574" width="9.5703125" style="1" customWidth="1"/>
    <col min="14575" max="14817" width="8.85546875" style="1"/>
    <col min="14818" max="14818" width="4.5703125" style="1" customWidth="1"/>
    <col min="14819" max="14819" width="1" style="1" customWidth="1"/>
    <col min="14820" max="14820" width="18" style="1" customWidth="1"/>
    <col min="14821" max="14821" width="1.85546875" style="1" customWidth="1"/>
    <col min="14822" max="14822" width="12.5703125" style="1" customWidth="1"/>
    <col min="14823" max="14823" width="1.5703125" style="1" customWidth="1"/>
    <col min="14824" max="14824" width="9.5703125" style="1" customWidth="1"/>
    <col min="14825" max="14825" width="1.85546875" style="1" customWidth="1"/>
    <col min="14826" max="14826" width="11.85546875" style="1" customWidth="1"/>
    <col min="14827" max="14827" width="1.5703125" style="1" customWidth="1"/>
    <col min="14828" max="14828" width="10.140625" style="1" customWidth="1"/>
    <col min="14829" max="14829" width="2" style="1" customWidth="1"/>
    <col min="14830" max="14830" width="9.5703125" style="1" customWidth="1"/>
    <col min="14831" max="15073" width="8.85546875" style="1"/>
    <col min="15074" max="15074" width="4.5703125" style="1" customWidth="1"/>
    <col min="15075" max="15075" width="1" style="1" customWidth="1"/>
    <col min="15076" max="15076" width="18" style="1" customWidth="1"/>
    <col min="15077" max="15077" width="1.85546875" style="1" customWidth="1"/>
    <col min="15078" max="15078" width="12.5703125" style="1" customWidth="1"/>
    <col min="15079" max="15079" width="1.5703125" style="1" customWidth="1"/>
    <col min="15080" max="15080" width="9.5703125" style="1" customWidth="1"/>
    <col min="15081" max="15081" width="1.85546875" style="1" customWidth="1"/>
    <col min="15082" max="15082" width="11.85546875" style="1" customWidth="1"/>
    <col min="15083" max="15083" width="1.5703125" style="1" customWidth="1"/>
    <col min="15084" max="15084" width="10.140625" style="1" customWidth="1"/>
    <col min="15085" max="15085" width="2" style="1" customWidth="1"/>
    <col min="15086" max="15086" width="9.5703125" style="1" customWidth="1"/>
    <col min="15087" max="15329" width="8.85546875" style="1"/>
    <col min="15330" max="15330" width="4.5703125" style="1" customWidth="1"/>
    <col min="15331" max="15331" width="1" style="1" customWidth="1"/>
    <col min="15332" max="15332" width="18" style="1" customWidth="1"/>
    <col min="15333" max="15333" width="1.85546875" style="1" customWidth="1"/>
    <col min="15334" max="15334" width="12.5703125" style="1" customWidth="1"/>
    <col min="15335" max="15335" width="1.5703125" style="1" customWidth="1"/>
    <col min="15336" max="15336" width="9.5703125" style="1" customWidth="1"/>
    <col min="15337" max="15337" width="1.85546875" style="1" customWidth="1"/>
    <col min="15338" max="15338" width="11.85546875" style="1" customWidth="1"/>
    <col min="15339" max="15339" width="1.5703125" style="1" customWidth="1"/>
    <col min="15340" max="15340" width="10.140625" style="1" customWidth="1"/>
    <col min="15341" max="15341" width="2" style="1" customWidth="1"/>
    <col min="15342" max="15342" width="9.5703125" style="1" customWidth="1"/>
    <col min="15343" max="15585" width="8.85546875" style="1"/>
    <col min="15586" max="15586" width="4.5703125" style="1" customWidth="1"/>
    <col min="15587" max="15587" width="1" style="1" customWidth="1"/>
    <col min="15588" max="15588" width="18" style="1" customWidth="1"/>
    <col min="15589" max="15589" width="1.85546875" style="1" customWidth="1"/>
    <col min="15590" max="15590" width="12.5703125" style="1" customWidth="1"/>
    <col min="15591" max="15591" width="1.5703125" style="1" customWidth="1"/>
    <col min="15592" max="15592" width="9.5703125" style="1" customWidth="1"/>
    <col min="15593" max="15593" width="1.85546875" style="1" customWidth="1"/>
    <col min="15594" max="15594" width="11.85546875" style="1" customWidth="1"/>
    <col min="15595" max="15595" width="1.5703125" style="1" customWidth="1"/>
    <col min="15596" max="15596" width="10.140625" style="1" customWidth="1"/>
    <col min="15597" max="15597" width="2" style="1" customWidth="1"/>
    <col min="15598" max="15598" width="9.5703125" style="1" customWidth="1"/>
    <col min="15599" max="15841" width="8.85546875" style="1"/>
    <col min="15842" max="15842" width="4.5703125" style="1" customWidth="1"/>
    <col min="15843" max="15843" width="1" style="1" customWidth="1"/>
    <col min="15844" max="15844" width="18" style="1" customWidth="1"/>
    <col min="15845" max="15845" width="1.85546875" style="1" customWidth="1"/>
    <col min="15846" max="15846" width="12.5703125" style="1" customWidth="1"/>
    <col min="15847" max="15847" width="1.5703125" style="1" customWidth="1"/>
    <col min="15848" max="15848" width="9.5703125" style="1" customWidth="1"/>
    <col min="15849" max="15849" width="1.85546875" style="1" customWidth="1"/>
    <col min="15850" max="15850" width="11.85546875" style="1" customWidth="1"/>
    <col min="15851" max="15851" width="1.5703125" style="1" customWidth="1"/>
    <col min="15852" max="15852" width="10.140625" style="1" customWidth="1"/>
    <col min="15853" max="15853" width="2" style="1" customWidth="1"/>
    <col min="15854" max="15854" width="9.5703125" style="1" customWidth="1"/>
    <col min="15855" max="16097" width="8.85546875" style="1"/>
    <col min="16098" max="16098" width="4.5703125" style="1" customWidth="1"/>
    <col min="16099" max="16099" width="1" style="1" customWidth="1"/>
    <col min="16100" max="16100" width="18" style="1" customWidth="1"/>
    <col min="16101" max="16101" width="1.85546875" style="1" customWidth="1"/>
    <col min="16102" max="16102" width="12.5703125" style="1" customWidth="1"/>
    <col min="16103" max="16103" width="1.5703125" style="1" customWidth="1"/>
    <col min="16104" max="16104" width="9.5703125" style="1" customWidth="1"/>
    <col min="16105" max="16105" width="1.85546875" style="1" customWidth="1"/>
    <col min="16106" max="16106" width="11.85546875" style="1" customWidth="1"/>
    <col min="16107" max="16107" width="1.5703125" style="1" customWidth="1"/>
    <col min="16108" max="16108" width="10.140625" style="1" customWidth="1"/>
    <col min="16109" max="16109" width="2" style="1" customWidth="1"/>
    <col min="16110" max="16110" width="9.5703125" style="1" customWidth="1"/>
    <col min="16111" max="16368" width="8.85546875" style="1"/>
    <col min="16369" max="16384" width="8.85546875" style="1" customWidth="1"/>
  </cols>
  <sheetData>
    <row r="1" spans="2:21" x14ac:dyDescent="0.2">
      <c r="T1" s="237"/>
    </row>
    <row r="2" spans="2:21" x14ac:dyDescent="0.2">
      <c r="T2" s="237"/>
    </row>
    <row r="3" spans="2:21" x14ac:dyDescent="0.2">
      <c r="T3" s="237"/>
    </row>
    <row r="4" spans="2:21" x14ac:dyDescent="0.2">
      <c r="T4" s="237"/>
    </row>
    <row r="5" spans="2:21" x14ac:dyDescent="0.2">
      <c r="T5" s="237"/>
      <c r="U5" s="35"/>
    </row>
    <row r="6" spans="2:21" x14ac:dyDescent="0.2">
      <c r="B6" s="505" t="s">
        <v>296</v>
      </c>
      <c r="C6" s="505"/>
      <c r="D6" s="505"/>
      <c r="E6" s="505"/>
      <c r="F6" s="505"/>
      <c r="G6" s="505"/>
      <c r="H6" s="505"/>
      <c r="I6" s="505"/>
      <c r="J6" s="505"/>
      <c r="K6" s="505"/>
      <c r="L6" s="505"/>
      <c r="M6" s="505"/>
      <c r="N6" s="505"/>
      <c r="O6" s="505"/>
      <c r="P6" s="505"/>
      <c r="Q6" s="505"/>
      <c r="R6" s="505"/>
      <c r="S6" s="505"/>
      <c r="T6" s="505"/>
      <c r="U6" s="35"/>
    </row>
    <row r="7" spans="2:21" x14ac:dyDescent="0.2">
      <c r="B7" s="505" t="s">
        <v>48</v>
      </c>
      <c r="C7" s="505"/>
      <c r="D7" s="505"/>
      <c r="E7" s="505"/>
      <c r="F7" s="505"/>
      <c r="G7" s="505"/>
      <c r="H7" s="505"/>
      <c r="I7" s="505"/>
      <c r="J7" s="505"/>
      <c r="K7" s="505"/>
      <c r="L7" s="505"/>
      <c r="M7" s="505"/>
      <c r="N7" s="505"/>
      <c r="O7" s="505"/>
      <c r="P7" s="505"/>
      <c r="Q7" s="505"/>
      <c r="R7" s="505"/>
      <c r="S7" s="505"/>
      <c r="T7" s="505"/>
      <c r="U7" s="35"/>
    </row>
    <row r="8" spans="2:21" x14ac:dyDescent="0.2">
      <c r="B8" s="2"/>
      <c r="C8" s="2"/>
      <c r="D8" s="2"/>
      <c r="E8" s="2"/>
      <c r="F8" s="21"/>
      <c r="G8" s="2"/>
      <c r="H8" s="21"/>
      <c r="I8" s="2"/>
      <c r="J8" s="21"/>
      <c r="K8" s="21"/>
      <c r="L8" s="21"/>
      <c r="M8" s="21"/>
      <c r="N8" s="2"/>
      <c r="O8" s="2"/>
      <c r="P8" s="2"/>
      <c r="Q8" s="2"/>
      <c r="R8" s="2"/>
      <c r="S8" s="3"/>
      <c r="T8" s="3"/>
      <c r="U8" s="35"/>
    </row>
    <row r="9" spans="2:21" x14ac:dyDescent="0.2">
      <c r="B9" s="21"/>
      <c r="C9" s="21"/>
      <c r="D9" s="21"/>
      <c r="E9" s="21"/>
      <c r="F9" s="31"/>
      <c r="G9" s="21"/>
      <c r="H9" s="31"/>
      <c r="I9" s="21"/>
      <c r="J9" s="27" t="s">
        <v>26</v>
      </c>
      <c r="K9" s="27"/>
      <c r="L9" s="21"/>
      <c r="M9" s="21"/>
      <c r="N9" s="21"/>
      <c r="O9" s="27" t="s">
        <v>29</v>
      </c>
      <c r="P9" s="27"/>
      <c r="Q9" s="27"/>
      <c r="R9" s="27"/>
      <c r="S9" s="29"/>
      <c r="T9" s="29"/>
      <c r="U9" s="35"/>
    </row>
    <row r="10" spans="2:21" s="26" customFormat="1" ht="38.25" x14ac:dyDescent="0.2">
      <c r="B10" s="25" t="s">
        <v>0</v>
      </c>
      <c r="C10" s="25"/>
      <c r="D10" s="25"/>
      <c r="E10" s="25"/>
      <c r="F10" s="32" t="s">
        <v>20</v>
      </c>
      <c r="G10" s="25"/>
      <c r="H10" s="26" t="s">
        <v>499</v>
      </c>
      <c r="I10" s="25"/>
      <c r="J10" s="26" t="s">
        <v>30</v>
      </c>
      <c r="K10" s="26" t="s">
        <v>35</v>
      </c>
      <c r="L10" s="25"/>
      <c r="M10" s="26" t="s">
        <v>11</v>
      </c>
      <c r="N10" s="25"/>
      <c r="O10" s="25" t="s">
        <v>495</v>
      </c>
      <c r="P10" s="26" t="s">
        <v>11</v>
      </c>
      <c r="Q10" s="26" t="s">
        <v>30</v>
      </c>
      <c r="R10" s="26" t="s">
        <v>35</v>
      </c>
      <c r="S10" s="25" t="s">
        <v>500</v>
      </c>
      <c r="T10" s="25" t="s">
        <v>501</v>
      </c>
      <c r="U10" s="336"/>
    </row>
    <row r="11" spans="2:21" ht="14.25" x14ac:dyDescent="0.2">
      <c r="B11" s="8" t="s">
        <v>1</v>
      </c>
      <c r="C11" s="7"/>
      <c r="D11" s="9" t="s">
        <v>9</v>
      </c>
      <c r="E11" s="252"/>
      <c r="F11" s="8" t="s">
        <v>21</v>
      </c>
      <c r="G11" s="252"/>
      <c r="H11" s="8" t="s">
        <v>494</v>
      </c>
      <c r="I11" s="252"/>
      <c r="J11" s="8" t="s">
        <v>140</v>
      </c>
      <c r="K11" s="8" t="s">
        <v>12</v>
      </c>
      <c r="L11" s="252"/>
      <c r="M11" s="8" t="s">
        <v>140</v>
      </c>
      <c r="N11" s="252"/>
      <c r="O11" s="8" t="s">
        <v>140</v>
      </c>
      <c r="P11" s="8" t="s">
        <v>140</v>
      </c>
      <c r="Q11" s="8" t="s">
        <v>140</v>
      </c>
      <c r="R11" s="8" t="s">
        <v>12</v>
      </c>
      <c r="S11" s="8" t="s">
        <v>13</v>
      </c>
      <c r="T11" s="8" t="s">
        <v>2</v>
      </c>
      <c r="U11" s="35"/>
    </row>
    <row r="12" spans="2:21" x14ac:dyDescent="0.2">
      <c r="B12" s="252"/>
      <c r="C12" s="7"/>
      <c r="D12" s="7"/>
      <c r="E12" s="252"/>
      <c r="F12" s="252"/>
      <c r="G12" s="252"/>
      <c r="H12" s="252" t="s">
        <v>3</v>
      </c>
      <c r="I12" s="252"/>
      <c r="J12" s="252" t="s">
        <v>4</v>
      </c>
      <c r="K12" s="252" t="s">
        <v>27</v>
      </c>
      <c r="L12" s="252"/>
      <c r="M12" s="252" t="s">
        <v>28</v>
      </c>
      <c r="N12" s="252"/>
      <c r="O12" s="252" t="s">
        <v>32</v>
      </c>
      <c r="P12" s="252" t="s">
        <v>502</v>
      </c>
      <c r="Q12" s="10" t="s">
        <v>15</v>
      </c>
      <c r="R12" s="10" t="s">
        <v>37</v>
      </c>
      <c r="S12" s="10" t="s">
        <v>503</v>
      </c>
      <c r="T12" s="10" t="s">
        <v>38</v>
      </c>
      <c r="U12" s="35"/>
    </row>
    <row r="13" spans="2:21" x14ac:dyDescent="0.2">
      <c r="B13" s="252"/>
      <c r="C13" s="7"/>
      <c r="D13" s="7"/>
      <c r="E13" s="252"/>
      <c r="F13" s="6"/>
      <c r="G13" s="252"/>
      <c r="H13" s="6"/>
      <c r="I13" s="252"/>
      <c r="J13" s="6"/>
      <c r="K13" s="252"/>
      <c r="L13" s="252"/>
      <c r="M13" s="6"/>
      <c r="N13" s="252"/>
      <c r="O13" s="252"/>
      <c r="P13" s="252"/>
      <c r="Q13" s="252"/>
      <c r="R13" s="252"/>
      <c r="S13" s="252"/>
      <c r="T13" s="252"/>
      <c r="U13" s="35"/>
    </row>
    <row r="14" spans="2:21" x14ac:dyDescent="0.2">
      <c r="B14" s="252"/>
      <c r="C14" s="7"/>
      <c r="D14" s="5" t="s">
        <v>49</v>
      </c>
      <c r="E14" s="252"/>
      <c r="F14" s="6"/>
      <c r="G14" s="252"/>
      <c r="H14" s="6"/>
      <c r="I14" s="252"/>
      <c r="J14" s="6"/>
      <c r="K14" s="252"/>
      <c r="L14" s="252"/>
      <c r="M14" s="12"/>
      <c r="N14" s="252"/>
      <c r="O14" s="11"/>
      <c r="P14" s="252"/>
      <c r="Q14" s="252"/>
      <c r="R14" s="252"/>
      <c r="S14" s="252"/>
      <c r="T14" s="252"/>
      <c r="U14" s="35"/>
    </row>
    <row r="15" spans="2:21" x14ac:dyDescent="0.2">
      <c r="B15" s="252">
        <v>1</v>
      </c>
      <c r="C15" s="7"/>
      <c r="D15" s="38" t="s">
        <v>41</v>
      </c>
      <c r="E15" s="252"/>
      <c r="F15" s="15" t="s">
        <v>24</v>
      </c>
      <c r="G15" s="252"/>
      <c r="H15" s="141">
        <v>45917581.278477773</v>
      </c>
      <c r="I15" s="151"/>
      <c r="J15" s="141"/>
      <c r="K15" s="141"/>
      <c r="L15" s="140"/>
      <c r="M15" s="141"/>
      <c r="N15" s="142"/>
      <c r="O15" s="141">
        <v>1302883.1207552108</v>
      </c>
      <c r="P15" s="141">
        <f>Q15-O15</f>
        <v>0</v>
      </c>
      <c r="Q15" s="141">
        <f>$H15*R15/1000</f>
        <v>1302883.120755211</v>
      </c>
      <c r="R15" s="361">
        <v>28.374384810331698</v>
      </c>
      <c r="S15" s="143">
        <f>Q15/O15</f>
        <v>1.0000000000000002</v>
      </c>
      <c r="T15" s="145"/>
      <c r="U15" s="35"/>
    </row>
    <row r="16" spans="2:21" x14ac:dyDescent="0.2">
      <c r="B16" s="252">
        <f>MAX(B$15:B15)+1</f>
        <v>2</v>
      </c>
      <c r="C16" s="7"/>
      <c r="D16" s="38" t="s">
        <v>42</v>
      </c>
      <c r="E16" s="252"/>
      <c r="F16" s="15" t="s">
        <v>25</v>
      </c>
      <c r="G16" s="252"/>
      <c r="H16" s="141">
        <v>9184422.4003957659</v>
      </c>
      <c r="I16" s="151"/>
      <c r="J16" s="141"/>
      <c r="K16" s="141"/>
      <c r="L16" s="140"/>
      <c r="M16" s="141"/>
      <c r="N16" s="142"/>
      <c r="O16" s="141">
        <v>36158.061220238422</v>
      </c>
      <c r="P16" s="141">
        <f>Q16-O16</f>
        <v>0</v>
      </c>
      <c r="Q16" s="141">
        <f>$H16*R16/100</f>
        <v>36158.061220238422</v>
      </c>
      <c r="R16" s="170">
        <v>0.39368900562195763</v>
      </c>
      <c r="S16" s="143">
        <f>Q16/O16</f>
        <v>1</v>
      </c>
      <c r="T16" s="145"/>
      <c r="U16" s="35"/>
    </row>
    <row r="17" spans="2:21" x14ac:dyDescent="0.2">
      <c r="B17" s="252">
        <f>MAX(B$15:B16)+1</f>
        <v>3</v>
      </c>
      <c r="C17" s="7"/>
      <c r="D17" s="38" t="s">
        <v>61</v>
      </c>
      <c r="E17" s="252"/>
      <c r="F17" s="15" t="s">
        <v>40</v>
      </c>
      <c r="G17" s="252"/>
      <c r="H17" s="141">
        <v>1112158.9379832712</v>
      </c>
      <c r="I17" s="151"/>
      <c r="J17" s="141"/>
      <c r="K17" s="141"/>
      <c r="L17" s="140"/>
      <c r="M17" s="141"/>
      <c r="N17" s="142"/>
      <c r="O17" s="141">
        <v>769466.39166149031</v>
      </c>
      <c r="P17" s="141">
        <f>Q17-O17</f>
        <v>-9434.0253676172579</v>
      </c>
      <c r="Q17" s="141">
        <f>$H17*R17/100</f>
        <v>760032.36629387306</v>
      </c>
      <c r="R17" s="170">
        <v>68.338466772750536</v>
      </c>
      <c r="S17" s="143">
        <f>Q17/O17</f>
        <v>0.98773952251865527</v>
      </c>
      <c r="T17" s="145"/>
      <c r="U17" s="35"/>
    </row>
    <row r="18" spans="2:21" x14ac:dyDescent="0.2">
      <c r="B18" s="252"/>
      <c r="C18" s="7"/>
      <c r="D18" s="38"/>
      <c r="E18" s="252"/>
      <c r="F18" s="15"/>
      <c r="G18" s="252"/>
      <c r="H18" s="141"/>
      <c r="I18" s="151"/>
      <c r="J18" s="150"/>
      <c r="K18" s="151"/>
      <c r="L18" s="140"/>
      <c r="M18" s="152"/>
      <c r="N18" s="142"/>
      <c r="O18" s="141"/>
      <c r="P18" s="141"/>
      <c r="Q18" s="141"/>
      <c r="R18" s="170"/>
      <c r="S18" s="143"/>
      <c r="T18" s="145"/>
    </row>
    <row r="19" spans="2:21" x14ac:dyDescent="0.2">
      <c r="B19" s="252">
        <f>MAX(B$15:B18)+1</f>
        <v>4</v>
      </c>
      <c r="C19" s="7"/>
      <c r="D19" s="38" t="s">
        <v>34</v>
      </c>
      <c r="E19" s="252"/>
      <c r="F19" s="15"/>
      <c r="G19" s="252"/>
      <c r="H19" s="146">
        <f>H16</f>
        <v>9184422.4003957659</v>
      </c>
      <c r="I19" s="151"/>
      <c r="J19" s="150"/>
      <c r="K19" s="151"/>
      <c r="L19" s="140"/>
      <c r="M19" s="152"/>
      <c r="N19" s="142"/>
      <c r="O19" s="146">
        <f>SUM(O15:O17)</f>
        <v>2108507.5736369397</v>
      </c>
      <c r="P19" s="146">
        <f>SUM(P15:P17)</f>
        <v>-9434.0253676172579</v>
      </c>
      <c r="Q19" s="146">
        <f>SUM(Q15:Q17)</f>
        <v>2099073.5482693226</v>
      </c>
      <c r="R19" s="154">
        <f>Q19/$H19*100</f>
        <v>22.854714828652387</v>
      </c>
      <c r="S19" s="155">
        <f>Q19/O19</f>
        <v>0.99552573323161253</v>
      </c>
      <c r="T19" s="145"/>
    </row>
    <row r="20" spans="2:21" x14ac:dyDescent="0.2">
      <c r="D20" s="40"/>
      <c r="E20" s="252"/>
      <c r="F20" s="15"/>
      <c r="G20" s="252"/>
      <c r="H20" s="141"/>
      <c r="I20" s="151"/>
      <c r="J20" s="150"/>
      <c r="K20" s="151"/>
      <c r="L20" s="140"/>
      <c r="M20" s="152"/>
      <c r="N20" s="142"/>
      <c r="O20" s="141"/>
      <c r="P20" s="141"/>
      <c r="Q20" s="141"/>
      <c r="R20" s="170"/>
      <c r="S20" s="143"/>
      <c r="T20" s="145"/>
    </row>
    <row r="21" spans="2:21" x14ac:dyDescent="0.2">
      <c r="B21" s="252"/>
      <c r="C21" s="7"/>
      <c r="D21" s="38" t="s">
        <v>43</v>
      </c>
      <c r="E21" s="252"/>
      <c r="F21" s="33"/>
      <c r="G21" s="252"/>
      <c r="H21" s="141"/>
      <c r="I21" s="151"/>
      <c r="J21" s="150"/>
      <c r="K21" s="151"/>
      <c r="L21" s="140"/>
      <c r="M21" s="152"/>
      <c r="N21" s="142"/>
      <c r="O21" s="141"/>
      <c r="P21" s="141"/>
      <c r="Q21" s="141"/>
      <c r="R21" s="147"/>
      <c r="S21" s="143"/>
      <c r="T21" s="145"/>
    </row>
    <row r="22" spans="2:21" x14ac:dyDescent="0.2">
      <c r="B22" s="252">
        <f>MAX(B$15:B21)+1</f>
        <v>5</v>
      </c>
      <c r="C22" s="7"/>
      <c r="D22" s="39" t="s">
        <v>154</v>
      </c>
      <c r="E22" s="252"/>
      <c r="F22" s="33" t="s">
        <v>25</v>
      </c>
      <c r="G22" s="252"/>
      <c r="H22" s="141">
        <v>9139633.2673529088</v>
      </c>
      <c r="I22" s="151"/>
      <c r="J22" s="141"/>
      <c r="K22" s="141"/>
      <c r="L22" s="140"/>
      <c r="M22" s="141"/>
      <c r="N22" s="140"/>
      <c r="O22" s="141">
        <f t="shared" ref="O22:O23" si="0">Q22</f>
        <v>171909.83867253654</v>
      </c>
      <c r="P22" s="141">
        <f>Q22-O22</f>
        <v>0</v>
      </c>
      <c r="Q22" s="141">
        <f>$H22*R22/100</f>
        <v>171909.83867253654</v>
      </c>
      <c r="R22" s="170">
        <v>1.8809270967863068</v>
      </c>
      <c r="S22" s="141">
        <v>0</v>
      </c>
      <c r="T22" s="141"/>
    </row>
    <row r="23" spans="2:21" x14ac:dyDescent="0.2">
      <c r="B23" s="252">
        <f>MAX(B$15:B22)+1</f>
        <v>6</v>
      </c>
      <c r="C23" s="7"/>
      <c r="D23" s="39" t="s">
        <v>33</v>
      </c>
      <c r="E23" s="252"/>
      <c r="F23" s="33" t="s">
        <v>25</v>
      </c>
      <c r="G23" s="252"/>
      <c r="H23" s="141">
        <v>44789.133042856862</v>
      </c>
      <c r="I23" s="151"/>
      <c r="J23" s="141"/>
      <c r="K23" s="141"/>
      <c r="L23" s="140"/>
      <c r="M23" s="141"/>
      <c r="N23" s="140"/>
      <c r="O23" s="141">
        <f t="shared" si="0"/>
        <v>1676.4097743339926</v>
      </c>
      <c r="P23" s="141">
        <f>Q23-O23</f>
        <v>0</v>
      </c>
      <c r="Q23" s="141">
        <f>$H23*R23/100</f>
        <v>1676.4097743339926</v>
      </c>
      <c r="R23" s="170">
        <v>3.742894002279316</v>
      </c>
      <c r="S23" s="141">
        <v>0</v>
      </c>
      <c r="T23" s="141"/>
    </row>
    <row r="24" spans="2:21" x14ac:dyDescent="0.2">
      <c r="B24" s="252">
        <f>MAX(B$15:B23)+1</f>
        <v>7</v>
      </c>
      <c r="C24" s="7"/>
      <c r="D24" s="13" t="s">
        <v>43</v>
      </c>
      <c r="E24" s="252"/>
      <c r="F24" s="15"/>
      <c r="G24" s="252"/>
      <c r="H24" s="146">
        <f>SUM(H22:H23)</f>
        <v>9184422.4003957659</v>
      </c>
      <c r="I24" s="151"/>
      <c r="J24" s="150"/>
      <c r="K24" s="151"/>
      <c r="L24" s="140"/>
      <c r="M24" s="152"/>
      <c r="N24" s="142"/>
      <c r="O24" s="146">
        <f>SUM(O22:O23)</f>
        <v>173586.24844687054</v>
      </c>
      <c r="P24" s="146">
        <f>SUM(P22:P23)</f>
        <v>0</v>
      </c>
      <c r="Q24" s="146">
        <f>SUM(Q22:Q23)</f>
        <v>173586.24844687054</v>
      </c>
      <c r="R24" s="154">
        <f>Q24/$H24*100</f>
        <v>1.8900072413850493</v>
      </c>
      <c r="S24" s="155">
        <f>Q24/O24</f>
        <v>1</v>
      </c>
      <c r="T24" s="145"/>
    </row>
    <row r="25" spans="2:21" x14ac:dyDescent="0.2">
      <c r="D25" s="40"/>
      <c r="H25" s="144"/>
      <c r="I25" s="144"/>
      <c r="J25" s="150"/>
      <c r="K25" s="151"/>
      <c r="L25" s="144"/>
      <c r="M25" s="152"/>
      <c r="N25" s="144"/>
      <c r="O25" s="144"/>
      <c r="P25" s="144"/>
      <c r="Q25" s="144"/>
      <c r="R25" s="144"/>
      <c r="S25" s="144"/>
      <c r="T25" s="145"/>
    </row>
    <row r="26" spans="2:21" x14ac:dyDescent="0.2">
      <c r="B26" s="252">
        <f>MAX(B$15:B25)+1</f>
        <v>8</v>
      </c>
      <c r="C26" s="7"/>
      <c r="D26" s="38" t="s">
        <v>44</v>
      </c>
      <c r="E26" s="252"/>
      <c r="F26" s="15" t="s">
        <v>25</v>
      </c>
      <c r="G26" s="252"/>
      <c r="H26" s="141">
        <v>8697052.4855121206</v>
      </c>
      <c r="I26" s="151"/>
      <c r="J26" s="150"/>
      <c r="K26" s="151"/>
      <c r="L26" s="140"/>
      <c r="M26" s="152"/>
      <c r="N26" s="142"/>
      <c r="O26" s="141">
        <f>Q26</f>
        <v>1817979.8589462831</v>
      </c>
      <c r="P26" s="141">
        <f>Q26-O26</f>
        <v>0</v>
      </c>
      <c r="Q26" s="141">
        <f>$H26*R26/100</f>
        <v>1817979.8589462831</v>
      </c>
      <c r="R26" s="170">
        <v>20.903402181080807</v>
      </c>
      <c r="S26" s="143">
        <f>Q26/O26</f>
        <v>1</v>
      </c>
      <c r="T26" s="145"/>
    </row>
    <row r="27" spans="2:21" x14ac:dyDescent="0.2">
      <c r="B27" s="252"/>
      <c r="C27" s="7"/>
      <c r="D27" s="38"/>
      <c r="E27" s="252"/>
      <c r="F27" s="15"/>
      <c r="G27" s="252"/>
      <c r="H27" s="141"/>
      <c r="I27" s="151"/>
      <c r="J27" s="141"/>
      <c r="K27" s="170"/>
      <c r="L27" s="140"/>
      <c r="M27" s="152"/>
      <c r="N27" s="142"/>
      <c r="O27" s="141"/>
      <c r="P27" s="141"/>
      <c r="Q27" s="141"/>
      <c r="R27" s="170"/>
      <c r="S27" s="143"/>
      <c r="T27" s="145"/>
    </row>
    <row r="28" spans="2:21" ht="13.5" thickBot="1" x14ac:dyDescent="0.25">
      <c r="B28" s="252">
        <f>MAX(B$15:B27)+1</f>
        <v>9</v>
      </c>
      <c r="C28" s="7"/>
      <c r="D28" s="86" t="s">
        <v>62</v>
      </c>
      <c r="E28" s="252"/>
      <c r="F28" s="15"/>
      <c r="G28" s="252"/>
      <c r="H28" s="168">
        <f>H19</f>
        <v>9184422.4003957659</v>
      </c>
      <c r="I28" s="160"/>
      <c r="J28" s="168">
        <f>'Attach 1'!F15</f>
        <v>3968036.2288163425</v>
      </c>
      <c r="K28" s="156">
        <f>J28/$H28*100</f>
        <v>43.20398230644701</v>
      </c>
      <c r="L28" s="161"/>
      <c r="M28" s="168">
        <f>J28-O28</f>
        <v>-132037.45221375115</v>
      </c>
      <c r="N28" s="162"/>
      <c r="O28" s="168">
        <f>O19+O24+O26</f>
        <v>4100073.6810300937</v>
      </c>
      <c r="P28" s="168">
        <f>P19+P24+P26</f>
        <v>-9434.0253676172579</v>
      </c>
      <c r="Q28" s="168">
        <f>Q19+Q24+Q26</f>
        <v>4090639.6556624761</v>
      </c>
      <c r="R28" s="156">
        <f>Q28/$H28*100</f>
        <v>44.538888536814319</v>
      </c>
      <c r="S28" s="157">
        <f>Q28/O28</f>
        <v>0.99769905955318161</v>
      </c>
      <c r="T28" s="190">
        <f>R28/K28-1</f>
        <v>3.0897758935710673E-2</v>
      </c>
    </row>
    <row r="29" spans="2:21" ht="13.5" thickTop="1" x14ac:dyDescent="0.2">
      <c r="B29" s="32"/>
      <c r="C29" s="30"/>
      <c r="D29" s="41"/>
      <c r="E29" s="32"/>
      <c r="F29" s="33"/>
      <c r="G29" s="32"/>
      <c r="H29" s="33"/>
      <c r="I29" s="32"/>
      <c r="J29" s="33"/>
      <c r="K29" s="36"/>
      <c r="L29" s="33"/>
      <c r="M29" s="33"/>
      <c r="N29" s="34"/>
      <c r="O29" s="33"/>
      <c r="P29" s="33"/>
      <c r="Q29" s="33"/>
      <c r="R29" s="36"/>
      <c r="S29" s="37"/>
      <c r="T29" s="36"/>
    </row>
    <row r="30" spans="2:21" x14ac:dyDescent="0.2">
      <c r="B30" s="252"/>
      <c r="C30" s="7"/>
      <c r="D30" s="5" t="s">
        <v>50</v>
      </c>
      <c r="E30" s="252"/>
      <c r="F30" s="6"/>
      <c r="G30" s="252"/>
      <c r="H30" s="150"/>
      <c r="I30" s="151"/>
      <c r="J30" s="158"/>
      <c r="K30" s="158"/>
      <c r="L30" s="151"/>
      <c r="M30" s="158"/>
      <c r="N30" s="151"/>
      <c r="O30" s="153"/>
      <c r="P30" s="151"/>
      <c r="Q30" s="151"/>
      <c r="R30" s="151"/>
      <c r="S30" s="151"/>
      <c r="T30" s="151"/>
    </row>
    <row r="31" spans="2:21" x14ac:dyDescent="0.2">
      <c r="B31" s="252">
        <f>MAX(B$15:B30)+1</f>
        <v>10</v>
      </c>
      <c r="C31" s="7"/>
      <c r="D31" s="38" t="s">
        <v>41</v>
      </c>
      <c r="E31" s="252"/>
      <c r="F31" s="15" t="s">
        <v>24</v>
      </c>
      <c r="G31" s="252"/>
      <c r="H31" s="141">
        <v>1046623.8738502022</v>
      </c>
      <c r="I31" s="151"/>
      <c r="J31" s="141"/>
      <c r="K31" s="141"/>
      <c r="L31" s="140"/>
      <c r="M31" s="141"/>
      <c r="N31" s="142"/>
      <c r="O31" s="141">
        <v>119717.39154006066</v>
      </c>
      <c r="P31" s="141">
        <f>Q31-O31</f>
        <v>-90020.082991754971</v>
      </c>
      <c r="Q31" s="141">
        <f>$H31*R31/1000</f>
        <v>29697.308548305697</v>
      </c>
      <c r="R31" s="361">
        <v>28.374384810331698</v>
      </c>
      <c r="S31" s="143">
        <f>Q31/O31</f>
        <v>0.24806177420235703</v>
      </c>
      <c r="T31" s="141"/>
    </row>
    <row r="32" spans="2:21" x14ac:dyDescent="0.2">
      <c r="B32" s="252">
        <f>MAX(B$15:B31)+1</f>
        <v>11</v>
      </c>
      <c r="C32" s="7"/>
      <c r="D32" s="38" t="s">
        <v>42</v>
      </c>
      <c r="E32" s="252"/>
      <c r="F32" s="15" t="s">
        <v>25</v>
      </c>
      <c r="G32" s="252"/>
      <c r="H32" s="141">
        <v>6503784.9864946781</v>
      </c>
      <c r="I32" s="151"/>
      <c r="J32" s="141"/>
      <c r="K32" s="141"/>
      <c r="L32" s="140"/>
      <c r="M32" s="141"/>
      <c r="N32" s="142"/>
      <c r="O32" s="141">
        <v>24993.083716380374</v>
      </c>
      <c r="P32" s="141">
        <f>Q32-O32</f>
        <v>0</v>
      </c>
      <c r="Q32" s="141">
        <f>$H32*R32/100</f>
        <v>24993.083716380374</v>
      </c>
      <c r="R32" s="170">
        <v>0.38428520881731681</v>
      </c>
      <c r="S32" s="143">
        <f>Q32/O32</f>
        <v>1</v>
      </c>
      <c r="T32" s="141"/>
    </row>
    <row r="33" spans="2:20" x14ac:dyDescent="0.2">
      <c r="B33" s="252">
        <f>MAX(B$15:B32)+1</f>
        <v>12</v>
      </c>
      <c r="C33" s="7"/>
      <c r="D33" s="38" t="s">
        <v>61</v>
      </c>
      <c r="E33" s="252"/>
      <c r="F33" s="15" t="s">
        <v>40</v>
      </c>
      <c r="G33" s="252"/>
      <c r="H33" s="141">
        <v>747567</v>
      </c>
      <c r="I33" s="151"/>
      <c r="J33" s="141"/>
      <c r="K33" s="141"/>
      <c r="L33" s="140"/>
      <c r="M33" s="141"/>
      <c r="N33" s="142"/>
      <c r="O33" s="141">
        <v>476100.56675013504</v>
      </c>
      <c r="P33" s="141">
        <f>Q33-O33</f>
        <v>83681.857237787102</v>
      </c>
      <c r="Q33" s="141">
        <f>$H33*R33/100</f>
        <v>559782.42398792214</v>
      </c>
      <c r="R33" s="170">
        <v>74.88056909787646</v>
      </c>
      <c r="S33" s="143">
        <f>Q33/O33</f>
        <v>1.1757650863745026</v>
      </c>
      <c r="T33" s="141"/>
    </row>
    <row r="34" spans="2:20" x14ac:dyDescent="0.2">
      <c r="B34" s="252"/>
      <c r="C34" s="7"/>
      <c r="D34" s="38"/>
      <c r="E34" s="252"/>
      <c r="F34" s="15"/>
      <c r="G34" s="252"/>
      <c r="H34" s="141"/>
      <c r="I34" s="151"/>
      <c r="J34" s="158"/>
      <c r="K34" s="158"/>
      <c r="L34" s="140"/>
      <c r="M34" s="158"/>
      <c r="N34" s="142"/>
      <c r="O34" s="141"/>
      <c r="P34" s="141"/>
      <c r="Q34" s="141"/>
      <c r="R34" s="170"/>
      <c r="S34" s="143"/>
      <c r="T34" s="158"/>
    </row>
    <row r="35" spans="2:20" x14ac:dyDescent="0.2">
      <c r="B35" s="252">
        <f>MAX(B$15:B34)+1</f>
        <v>13</v>
      </c>
      <c r="C35" s="7"/>
      <c r="D35" s="38" t="s">
        <v>34</v>
      </c>
      <c r="E35" s="252"/>
      <c r="F35" s="15"/>
      <c r="G35" s="252"/>
      <c r="H35" s="146">
        <f>H32</f>
        <v>6503784.9864946781</v>
      </c>
      <c r="I35" s="151"/>
      <c r="J35" s="141"/>
      <c r="K35" s="141"/>
      <c r="L35" s="140"/>
      <c r="M35" s="141"/>
      <c r="N35" s="142"/>
      <c r="O35" s="146">
        <f>SUM(O31:O33)</f>
        <v>620811.04200657608</v>
      </c>
      <c r="P35" s="146">
        <f>SUM(P31:P33)</f>
        <v>-6338.2257539678685</v>
      </c>
      <c r="Q35" s="146">
        <f>SUM(Q31:Q33)</f>
        <v>614472.8162526082</v>
      </c>
      <c r="R35" s="154">
        <f>Q35/$H35*100</f>
        <v>9.4479263617813487</v>
      </c>
      <c r="S35" s="155">
        <f>Q35/O35</f>
        <v>0.98979041072871132</v>
      </c>
      <c r="T35" s="141"/>
    </row>
    <row r="36" spans="2:20" x14ac:dyDescent="0.2">
      <c r="D36" s="40"/>
      <c r="E36" s="252"/>
      <c r="F36" s="15"/>
      <c r="G36" s="252"/>
      <c r="H36" s="141"/>
      <c r="I36" s="151"/>
      <c r="J36" s="158"/>
      <c r="K36" s="158"/>
      <c r="L36" s="140"/>
      <c r="M36" s="158"/>
      <c r="N36" s="142"/>
      <c r="O36" s="141"/>
      <c r="P36" s="141"/>
      <c r="Q36" s="141"/>
      <c r="R36" s="170"/>
      <c r="S36" s="143"/>
      <c r="T36" s="151"/>
    </row>
    <row r="37" spans="2:20" x14ac:dyDescent="0.2">
      <c r="B37" s="252"/>
      <c r="C37" s="7"/>
      <c r="D37" s="38" t="s">
        <v>43</v>
      </c>
      <c r="E37" s="252"/>
      <c r="F37" s="33"/>
      <c r="G37" s="252"/>
      <c r="H37" s="141"/>
      <c r="I37" s="151"/>
      <c r="J37" s="158"/>
      <c r="K37" s="158"/>
      <c r="L37" s="140"/>
      <c r="M37" s="158"/>
      <c r="N37" s="142"/>
      <c r="O37" s="141"/>
      <c r="P37" s="141"/>
      <c r="Q37" s="141"/>
      <c r="R37" s="147"/>
      <c r="S37" s="143"/>
      <c r="T37" s="151"/>
    </row>
    <row r="38" spans="2:20" x14ac:dyDescent="0.2">
      <c r="B38" s="252">
        <f>MAX(B$15:B37)+1</f>
        <v>14</v>
      </c>
      <c r="C38" s="7"/>
      <c r="D38" s="39" t="s">
        <v>154</v>
      </c>
      <c r="E38" s="45"/>
      <c r="F38" s="49" t="s">
        <v>25</v>
      </c>
      <c r="G38" s="45"/>
      <c r="H38" s="141">
        <v>6304258.3193573309</v>
      </c>
      <c r="I38" s="160"/>
      <c r="J38" s="141"/>
      <c r="K38" s="141"/>
      <c r="L38" s="161"/>
      <c r="M38" s="141"/>
      <c r="N38" s="161"/>
      <c r="O38" s="141">
        <f t="shared" ref="O38:O39" si="1">Q38</f>
        <v>114226.42796946321</v>
      </c>
      <c r="P38" s="141">
        <f>Q38-O38</f>
        <v>0</v>
      </c>
      <c r="Q38" s="141">
        <f>$H38*R38/100</f>
        <v>114226.42796946321</v>
      </c>
      <c r="R38" s="170">
        <v>1.8118932027060035</v>
      </c>
      <c r="S38" s="141">
        <v>0</v>
      </c>
      <c r="T38" s="141"/>
    </row>
    <row r="39" spans="2:20" x14ac:dyDescent="0.2">
      <c r="B39" s="252">
        <f>MAX(B$15:B38)+1</f>
        <v>15</v>
      </c>
      <c r="C39" s="7"/>
      <c r="D39" s="39" t="s">
        <v>33</v>
      </c>
      <c r="E39" s="45"/>
      <c r="F39" s="49" t="s">
        <v>25</v>
      </c>
      <c r="G39" s="45"/>
      <c r="H39" s="141">
        <v>195645.6577683214</v>
      </c>
      <c r="I39" s="160"/>
      <c r="J39" s="141"/>
      <c r="K39" s="141"/>
      <c r="L39" s="161"/>
      <c r="M39" s="141"/>
      <c r="N39" s="161"/>
      <c r="O39" s="141">
        <f t="shared" si="1"/>
        <v>7187.7477741739222</v>
      </c>
      <c r="P39" s="141">
        <f>Q39-O39</f>
        <v>0</v>
      </c>
      <c r="Q39" s="141">
        <f>$H39*R39/100</f>
        <v>7187.7477741739222</v>
      </c>
      <c r="R39" s="170">
        <v>3.6738601081990123</v>
      </c>
      <c r="S39" s="141">
        <v>0</v>
      </c>
      <c r="T39" s="141"/>
    </row>
    <row r="40" spans="2:20" x14ac:dyDescent="0.2">
      <c r="B40" s="252">
        <f>MAX(B$15:B39)+1</f>
        <v>16</v>
      </c>
      <c r="C40" s="7"/>
      <c r="D40" s="13" t="s">
        <v>43</v>
      </c>
      <c r="E40" s="252"/>
      <c r="F40" s="15"/>
      <c r="G40" s="252"/>
      <c r="H40" s="146">
        <f>SUM(H38:H39)</f>
        <v>6499903.9771256521</v>
      </c>
      <c r="I40" s="151"/>
      <c r="J40" s="141"/>
      <c r="K40" s="141"/>
      <c r="L40" s="140"/>
      <c r="M40" s="141"/>
      <c r="N40" s="142"/>
      <c r="O40" s="146">
        <f>SUM(O38:O39)</f>
        <v>121414.17574363714</v>
      </c>
      <c r="P40" s="146">
        <f>SUM(P38:P39)</f>
        <v>0</v>
      </c>
      <c r="Q40" s="146">
        <f>SUM(Q38:Q39)</f>
        <v>121414.17574363714</v>
      </c>
      <c r="R40" s="154">
        <f>Q40/$H40*100</f>
        <v>1.8679379906367199</v>
      </c>
      <c r="S40" s="155">
        <f>Q40/O40</f>
        <v>1</v>
      </c>
      <c r="T40" s="141"/>
    </row>
    <row r="41" spans="2:20" x14ac:dyDescent="0.2">
      <c r="D41" s="40"/>
      <c r="H41" s="144"/>
      <c r="I41" s="144"/>
      <c r="J41" s="158"/>
      <c r="K41" s="158"/>
      <c r="L41" s="144"/>
      <c r="M41" s="158"/>
      <c r="N41" s="144"/>
      <c r="O41" s="144"/>
      <c r="P41" s="144"/>
      <c r="Q41" s="144"/>
      <c r="R41" s="144"/>
      <c r="S41" s="144"/>
      <c r="T41" s="151"/>
    </row>
    <row r="42" spans="2:20" x14ac:dyDescent="0.2">
      <c r="B42" s="252">
        <f>MAX(B$15:B41)+1</f>
        <v>17</v>
      </c>
      <c r="C42" s="7"/>
      <c r="D42" s="38" t="s">
        <v>44</v>
      </c>
      <c r="E42" s="252"/>
      <c r="F42" s="15" t="s">
        <v>25</v>
      </c>
      <c r="G42" s="252"/>
      <c r="H42" s="141">
        <v>4047052.5188270635</v>
      </c>
      <c r="I42" s="151"/>
      <c r="J42" s="141"/>
      <c r="K42" s="141"/>
      <c r="L42" s="140"/>
      <c r="M42" s="141"/>
      <c r="N42" s="142"/>
      <c r="O42" s="141">
        <f t="shared" ref="O42" si="2">Q42</f>
        <v>845971.66448998218</v>
      </c>
      <c r="P42" s="141">
        <f>Q42-O42</f>
        <v>0</v>
      </c>
      <c r="Q42" s="141">
        <f>$H42*R42/100</f>
        <v>845971.66448998218</v>
      </c>
      <c r="R42" s="170">
        <v>20.903402181080807</v>
      </c>
      <c r="S42" s="143">
        <f>Q42/O42</f>
        <v>1</v>
      </c>
      <c r="T42" s="141"/>
    </row>
    <row r="43" spans="2:20" x14ac:dyDescent="0.2">
      <c r="B43" s="252"/>
      <c r="C43" s="7"/>
      <c r="D43" s="38"/>
      <c r="E43" s="252"/>
      <c r="F43" s="15"/>
      <c r="G43" s="252"/>
      <c r="H43" s="141"/>
      <c r="I43" s="151"/>
      <c r="J43" s="141"/>
      <c r="K43" s="170"/>
      <c r="L43" s="140"/>
      <c r="M43" s="141"/>
      <c r="N43" s="142"/>
      <c r="O43" s="141"/>
      <c r="P43" s="141"/>
      <c r="Q43" s="141"/>
      <c r="R43" s="170"/>
      <c r="S43" s="143"/>
      <c r="T43" s="145"/>
    </row>
    <row r="44" spans="2:20" ht="13.5" thickBot="1" x14ac:dyDescent="0.25">
      <c r="B44" s="252">
        <f>MAX(B$15:B43)+1</f>
        <v>18</v>
      </c>
      <c r="C44" s="7"/>
      <c r="D44" s="86" t="s">
        <v>63</v>
      </c>
      <c r="E44" s="252"/>
      <c r="F44" s="15"/>
      <c r="G44" s="252"/>
      <c r="H44" s="168">
        <f>H35</f>
        <v>6503784.9864946781</v>
      </c>
      <c r="I44" s="151"/>
      <c r="J44" s="168">
        <f>'Attach 1'!F16</f>
        <v>1483158.815870154</v>
      </c>
      <c r="K44" s="156">
        <f>J44/$H44*100</f>
        <v>22.80454871970678</v>
      </c>
      <c r="L44" s="140"/>
      <c r="M44" s="149">
        <f>J44-O44</f>
        <v>-105038.06637004134</v>
      </c>
      <c r="N44" s="142"/>
      <c r="O44" s="168">
        <f>O35+O40+O42</f>
        <v>1588196.8822401953</v>
      </c>
      <c r="P44" s="168">
        <f>P35+P40+P42</f>
        <v>-6338.2257539678685</v>
      </c>
      <c r="Q44" s="168">
        <f>Q35+Q40+Q42</f>
        <v>1581858.6564862276</v>
      </c>
      <c r="R44" s="156">
        <f>Q44/$H44*100</f>
        <v>24.322124113435621</v>
      </c>
      <c r="S44" s="194">
        <f>Q44/O44</f>
        <v>0.99600916874674417</v>
      </c>
      <c r="T44" s="190">
        <f>R44/K44-1</f>
        <v>6.6547047800924686E-2</v>
      </c>
    </row>
    <row r="45" spans="2:20" ht="13.5" thickTop="1" x14ac:dyDescent="0.2">
      <c r="B45" s="32"/>
      <c r="C45" s="30"/>
      <c r="D45" s="44"/>
      <c r="E45" s="35"/>
      <c r="F45" s="33"/>
      <c r="G45" s="35"/>
      <c r="H45" s="159"/>
      <c r="I45" s="165"/>
      <c r="J45" s="159"/>
      <c r="K45" s="158"/>
      <c r="L45" s="159"/>
      <c r="M45" s="159"/>
      <c r="N45" s="159"/>
      <c r="O45" s="159"/>
      <c r="P45" s="159"/>
      <c r="Q45" s="159"/>
      <c r="R45" s="158"/>
      <c r="S45" s="166"/>
      <c r="T45" s="158"/>
    </row>
    <row r="46" spans="2:20" x14ac:dyDescent="0.2">
      <c r="B46" s="252"/>
      <c r="C46" s="7"/>
      <c r="D46" s="43" t="s">
        <v>51</v>
      </c>
      <c r="E46" s="252"/>
      <c r="F46" s="6"/>
      <c r="G46" s="252"/>
      <c r="H46" s="150"/>
      <c r="I46" s="151"/>
      <c r="J46" s="150"/>
      <c r="K46" s="151"/>
      <c r="L46" s="151"/>
      <c r="M46" s="152"/>
      <c r="N46" s="151"/>
      <c r="O46" s="153"/>
      <c r="P46" s="151"/>
      <c r="Q46" s="151"/>
      <c r="R46" s="151"/>
      <c r="S46" s="151"/>
      <c r="T46" s="151"/>
    </row>
    <row r="47" spans="2:20" x14ac:dyDescent="0.2">
      <c r="B47" s="252">
        <f>MAX(B$15:B46)+1</f>
        <v>19</v>
      </c>
      <c r="C47" s="7"/>
      <c r="D47" s="38" t="s">
        <v>41</v>
      </c>
      <c r="E47" s="252"/>
      <c r="F47" s="15" t="s">
        <v>24</v>
      </c>
      <c r="G47" s="252"/>
      <c r="H47" s="141">
        <v>9180</v>
      </c>
      <c r="I47" s="151"/>
      <c r="J47" s="141"/>
      <c r="K47" s="141"/>
      <c r="L47" s="140"/>
      <c r="M47" s="141"/>
      <c r="N47" s="142"/>
      <c r="O47" s="141">
        <v>19212.160688251177</v>
      </c>
      <c r="P47" s="141">
        <f>Q47-O47</f>
        <v>-14622.160688251177</v>
      </c>
      <c r="Q47" s="141">
        <f>$H47*R47/1000</f>
        <v>4590</v>
      </c>
      <c r="R47" s="361">
        <v>500</v>
      </c>
      <c r="S47" s="143">
        <f>Q47/O47</f>
        <v>0.23891118102124376</v>
      </c>
      <c r="T47" s="141"/>
    </row>
    <row r="48" spans="2:20" x14ac:dyDescent="0.2">
      <c r="B48" s="252">
        <f>MAX(B$15:B47)+1</f>
        <v>20</v>
      </c>
      <c r="C48" s="7"/>
      <c r="D48" s="38" t="s">
        <v>42</v>
      </c>
      <c r="E48" s="252"/>
      <c r="F48" s="15" t="s">
        <v>25</v>
      </c>
      <c r="G48" s="252"/>
      <c r="H48" s="141">
        <v>2924503.2126733954</v>
      </c>
      <c r="I48" s="151"/>
      <c r="J48" s="141"/>
      <c r="K48" s="141"/>
      <c r="L48" s="140"/>
      <c r="M48" s="141"/>
      <c r="N48" s="142"/>
      <c r="O48" s="141">
        <v>9351.4689460690879</v>
      </c>
      <c r="P48" s="141">
        <f>Q48-O48</f>
        <v>0</v>
      </c>
      <c r="Q48" s="141">
        <f>$H48*R48/100</f>
        <v>9351.4689460690897</v>
      </c>
      <c r="R48" s="170">
        <v>0.31976264910718183</v>
      </c>
      <c r="S48" s="143">
        <f>Q48/O48</f>
        <v>1.0000000000000002</v>
      </c>
      <c r="T48" s="141"/>
    </row>
    <row r="49" spans="2:20" x14ac:dyDescent="0.2">
      <c r="B49" s="252"/>
      <c r="C49" s="7"/>
      <c r="D49" s="38" t="s">
        <v>45</v>
      </c>
      <c r="E49" s="252"/>
      <c r="F49" s="15"/>
      <c r="G49" s="252"/>
      <c r="H49" s="141"/>
      <c r="I49" s="151"/>
      <c r="J49" s="150"/>
      <c r="K49" s="151"/>
      <c r="L49" s="140"/>
      <c r="M49" s="152"/>
      <c r="N49" s="142"/>
      <c r="O49" s="141"/>
      <c r="P49" s="141"/>
      <c r="Q49" s="141"/>
      <c r="R49" s="170"/>
      <c r="S49" s="143"/>
      <c r="T49" s="152"/>
    </row>
    <row r="50" spans="2:20" ht="14.25" x14ac:dyDescent="0.2">
      <c r="B50" s="252">
        <f>MAX(B$15:B49)+1</f>
        <v>21</v>
      </c>
      <c r="C50" s="7"/>
      <c r="D50" s="39" t="s">
        <v>66</v>
      </c>
      <c r="E50" s="252"/>
      <c r="F50" s="15" t="s">
        <v>40</v>
      </c>
      <c r="G50" s="252"/>
      <c r="H50" s="141">
        <v>111874.62780000002</v>
      </c>
      <c r="I50" s="151"/>
      <c r="J50" s="141"/>
      <c r="K50" s="141"/>
      <c r="L50" s="140"/>
      <c r="M50" s="141"/>
      <c r="N50" s="142"/>
      <c r="O50" s="141">
        <v>61246.782039668549</v>
      </c>
      <c r="P50" s="141">
        <f>Q50-O50</f>
        <v>7701.8692601622533</v>
      </c>
      <c r="Q50" s="141">
        <f>$H50*R50/100</f>
        <v>68948.651299830803</v>
      </c>
      <c r="R50" s="170">
        <v>61.630284413630726</v>
      </c>
      <c r="S50" s="143"/>
      <c r="T50" s="141"/>
    </row>
    <row r="51" spans="2:20" ht="14.25" x14ac:dyDescent="0.2">
      <c r="B51" s="252">
        <f>MAX(B$15:B50)+1</f>
        <v>22</v>
      </c>
      <c r="C51" s="7"/>
      <c r="D51" s="39" t="s">
        <v>67</v>
      </c>
      <c r="E51" s="252"/>
      <c r="F51" s="15" t="s">
        <v>40</v>
      </c>
      <c r="G51" s="252"/>
      <c r="H51" s="141">
        <v>110428.34020000001</v>
      </c>
      <c r="I51" s="151"/>
      <c r="J51" s="141"/>
      <c r="K51" s="141"/>
      <c r="L51" s="140"/>
      <c r="M51" s="141"/>
      <c r="N51" s="142"/>
      <c r="O51" s="141">
        <v>41127.865897384756</v>
      </c>
      <c r="P51" s="141">
        <f>Q51-O51</f>
        <v>5134.5795067748259</v>
      </c>
      <c r="Q51" s="141">
        <f>$H51*R51/100</f>
        <v>46262.445404159582</v>
      </c>
      <c r="R51" s="170">
        <v>41.893634659700865</v>
      </c>
      <c r="S51" s="143"/>
      <c r="T51" s="141"/>
    </row>
    <row r="52" spans="2:20" x14ac:dyDescent="0.2">
      <c r="B52" s="252">
        <f>MAX(B$15:B51)+1</f>
        <v>23</v>
      </c>
      <c r="C52" s="7"/>
      <c r="D52" s="38" t="s">
        <v>45</v>
      </c>
      <c r="E52" s="252"/>
      <c r="F52" s="15"/>
      <c r="G52" s="252"/>
      <c r="H52" s="146">
        <f>SUM(H50:H51)</f>
        <v>222302.96800000002</v>
      </c>
      <c r="I52" s="151"/>
      <c r="J52" s="141"/>
      <c r="K52" s="141"/>
      <c r="L52" s="140"/>
      <c r="M52" s="141"/>
      <c r="N52" s="142"/>
      <c r="O52" s="146">
        <f>SUM(O50:O51)</f>
        <v>102374.64793705331</v>
      </c>
      <c r="P52" s="146">
        <f>SUM(P50:P51)</f>
        <v>12836.448766937079</v>
      </c>
      <c r="Q52" s="146">
        <f>SUM(Q50:Q51)</f>
        <v>115211.09670399039</v>
      </c>
      <c r="R52" s="154">
        <f>Q52/$H52*100</f>
        <v>51.826162169814296</v>
      </c>
      <c r="S52" s="155">
        <f>Q52/O52</f>
        <v>1.1253869881421208</v>
      </c>
      <c r="T52" s="141"/>
    </row>
    <row r="53" spans="2:20" x14ac:dyDescent="0.2">
      <c r="B53" s="252"/>
      <c r="C53" s="7"/>
      <c r="D53" s="38"/>
      <c r="E53" s="252"/>
      <c r="F53" s="15"/>
      <c r="G53" s="252"/>
      <c r="H53" s="141"/>
      <c r="I53" s="151"/>
      <c r="J53" s="150"/>
      <c r="K53" s="151"/>
      <c r="L53" s="140"/>
      <c r="M53" s="152"/>
      <c r="N53" s="142"/>
      <c r="O53" s="141"/>
      <c r="P53" s="141"/>
      <c r="Q53" s="141"/>
      <c r="R53" s="170"/>
      <c r="S53" s="143"/>
      <c r="T53" s="152"/>
    </row>
    <row r="54" spans="2:20" x14ac:dyDescent="0.2">
      <c r="B54" s="252">
        <f>MAX(B$15:B53)+1</f>
        <v>24</v>
      </c>
      <c r="C54" s="7"/>
      <c r="D54" s="38" t="s">
        <v>34</v>
      </c>
      <c r="E54" s="252"/>
      <c r="F54" s="15"/>
      <c r="G54" s="252"/>
      <c r="H54" s="146">
        <f>H48</f>
        <v>2924503.2126733954</v>
      </c>
      <c r="I54" s="151"/>
      <c r="J54" s="141"/>
      <c r="K54" s="141"/>
      <c r="L54" s="140"/>
      <c r="M54" s="141"/>
      <c r="N54" s="142"/>
      <c r="O54" s="146">
        <f>SUM(O47:O48,O52)</f>
        <v>130938.27757137356</v>
      </c>
      <c r="P54" s="146">
        <f>SUM(P47:P48,P52)</f>
        <v>-1785.7119213140977</v>
      </c>
      <c r="Q54" s="146">
        <f>SUM(Q47:Q48,Q52)</f>
        <v>129152.56565005948</v>
      </c>
      <c r="R54" s="154">
        <f>Q54/$H54*100</f>
        <v>4.4162223891693522</v>
      </c>
      <c r="S54" s="155">
        <f>Q54/O54</f>
        <v>0.98636218564628131</v>
      </c>
      <c r="T54" s="141"/>
    </row>
    <row r="55" spans="2:20" x14ac:dyDescent="0.2">
      <c r="D55" s="40"/>
      <c r="E55" s="252"/>
      <c r="F55" s="15"/>
      <c r="G55" s="252"/>
      <c r="H55" s="141"/>
      <c r="I55" s="151"/>
      <c r="J55" s="150"/>
      <c r="K55" s="151"/>
      <c r="L55" s="140"/>
      <c r="M55" s="152"/>
      <c r="N55" s="142"/>
      <c r="O55" s="141"/>
      <c r="P55" s="141"/>
      <c r="Q55" s="141"/>
      <c r="R55" s="170"/>
      <c r="S55" s="143"/>
      <c r="T55" s="152"/>
    </row>
    <row r="56" spans="2:20" x14ac:dyDescent="0.2">
      <c r="B56" s="252"/>
      <c r="C56" s="7"/>
      <c r="D56" s="38" t="s">
        <v>43</v>
      </c>
      <c r="E56" s="252"/>
      <c r="F56" s="33"/>
      <c r="G56" s="252"/>
      <c r="H56" s="141"/>
      <c r="I56" s="151"/>
      <c r="J56" s="150"/>
      <c r="K56" s="151"/>
      <c r="L56" s="140"/>
      <c r="M56" s="152"/>
      <c r="N56" s="142"/>
      <c r="O56" s="141"/>
      <c r="P56" s="141"/>
      <c r="Q56" s="141"/>
      <c r="R56" s="147"/>
      <c r="S56" s="143"/>
      <c r="T56" s="152"/>
    </row>
    <row r="57" spans="2:20" x14ac:dyDescent="0.2">
      <c r="B57" s="252">
        <f>MAX(B$15:B56)+1</f>
        <v>25</v>
      </c>
      <c r="C57" s="7"/>
      <c r="D57" s="39" t="s">
        <v>154</v>
      </c>
      <c r="E57" s="252"/>
      <c r="F57" s="33" t="s">
        <v>25</v>
      </c>
      <c r="G57" s="252"/>
      <c r="H57" s="141">
        <v>2884096.8758970415</v>
      </c>
      <c r="I57" s="151"/>
      <c r="J57" s="141"/>
      <c r="K57" s="141"/>
      <c r="L57" s="140"/>
      <c r="M57" s="141"/>
      <c r="N57" s="140"/>
      <c r="O57" s="141">
        <f t="shared" ref="O57:O58" si="3">Q57</f>
        <v>38313.841858765685</v>
      </c>
      <c r="P57" s="141">
        <f>Q57-O57</f>
        <v>0</v>
      </c>
      <c r="Q57" s="141">
        <f>$H57*R57/100</f>
        <v>38313.841858765685</v>
      </c>
      <c r="R57" s="170">
        <v>1.3284519732662905</v>
      </c>
      <c r="S57" s="148"/>
      <c r="T57" s="141"/>
    </row>
    <row r="58" spans="2:20" x14ac:dyDescent="0.2">
      <c r="B58" s="252">
        <f>MAX(B$15:B57)+1</f>
        <v>26</v>
      </c>
      <c r="C58" s="7"/>
      <c r="D58" s="39" t="s">
        <v>33</v>
      </c>
      <c r="E58" s="252"/>
      <c r="F58" s="33" t="s">
        <v>25</v>
      </c>
      <c r="G58" s="252"/>
      <c r="H58" s="141">
        <v>40406.336776354001</v>
      </c>
      <c r="I58" s="151"/>
      <c r="J58" s="141"/>
      <c r="K58" s="141"/>
      <c r="L58" s="140"/>
      <c r="M58" s="141"/>
      <c r="N58" s="140"/>
      <c r="O58" s="141">
        <f t="shared" si="3"/>
        <v>1289.1313967278597</v>
      </c>
      <c r="P58" s="141">
        <f>Q58-O58</f>
        <v>0</v>
      </c>
      <c r="Q58" s="141">
        <f>$H58*R58/100</f>
        <v>1289.1313967278597</v>
      </c>
      <c r="R58" s="170">
        <v>3.1904188787592997</v>
      </c>
      <c r="S58" s="148"/>
      <c r="T58" s="141"/>
    </row>
    <row r="59" spans="2:20" x14ac:dyDescent="0.2">
      <c r="B59" s="252">
        <f>MAX(B$15:B58)+1</f>
        <v>27</v>
      </c>
      <c r="C59" s="7"/>
      <c r="D59" s="13" t="s">
        <v>43</v>
      </c>
      <c r="E59" s="252"/>
      <c r="F59" s="15"/>
      <c r="G59" s="252"/>
      <c r="H59" s="146">
        <f>SUM(H57:H58)</f>
        <v>2924503.2126733954</v>
      </c>
      <c r="I59" s="151"/>
      <c r="J59" s="141"/>
      <c r="K59" s="141"/>
      <c r="L59" s="140"/>
      <c r="M59" s="141"/>
      <c r="N59" s="142"/>
      <c r="O59" s="146">
        <f>SUM(O57:O58)</f>
        <v>39602.973255493547</v>
      </c>
      <c r="P59" s="146">
        <f>SUM(P57:P58)</f>
        <v>0</v>
      </c>
      <c r="Q59" s="146">
        <f>SUM(Q57:Q58)</f>
        <v>39602.973255493547</v>
      </c>
      <c r="R59" s="154">
        <f>Q59/$H59*100</f>
        <v>1.3541777996301472</v>
      </c>
      <c r="S59" s="155">
        <f>Q59/O59</f>
        <v>1</v>
      </c>
      <c r="T59" s="141"/>
    </row>
    <row r="60" spans="2:20" x14ac:dyDescent="0.2">
      <c r="D60" s="40"/>
      <c r="H60" s="144"/>
      <c r="I60" s="144"/>
      <c r="J60" s="150"/>
      <c r="K60" s="151"/>
      <c r="L60" s="144"/>
      <c r="M60" s="152"/>
      <c r="N60" s="144"/>
      <c r="O60" s="144"/>
      <c r="P60" s="144"/>
      <c r="Q60" s="144"/>
      <c r="R60" s="144"/>
      <c r="S60" s="144"/>
      <c r="T60" s="145"/>
    </row>
    <row r="61" spans="2:20" x14ac:dyDescent="0.2">
      <c r="B61" s="252">
        <f>MAX(B$15:B60)+1</f>
        <v>28</v>
      </c>
      <c r="C61" s="7"/>
      <c r="D61" s="38" t="s">
        <v>44</v>
      </c>
      <c r="E61" s="252"/>
      <c r="F61" s="15" t="s">
        <v>25</v>
      </c>
      <c r="G61" s="252"/>
      <c r="H61" s="141">
        <v>227345.72160001998</v>
      </c>
      <c r="I61" s="151"/>
      <c r="J61" s="141"/>
      <c r="K61" s="141"/>
      <c r="L61" s="140"/>
      <c r="M61" s="141"/>
      <c r="N61" s="142"/>
      <c r="O61" s="141">
        <f t="shared" ref="O61" si="4">Q61</f>
        <v>47522.990527532471</v>
      </c>
      <c r="P61" s="141">
        <f>Q61-O61</f>
        <v>0</v>
      </c>
      <c r="Q61" s="141">
        <f>$H61*R61/100</f>
        <v>47522.990527532471</v>
      </c>
      <c r="R61" s="170">
        <v>20.903402181080807</v>
      </c>
      <c r="S61" s="143">
        <f>Q61/O61</f>
        <v>1</v>
      </c>
      <c r="T61" s="141"/>
    </row>
    <row r="62" spans="2:20" x14ac:dyDescent="0.2">
      <c r="B62" s="252"/>
      <c r="C62" s="7"/>
      <c r="D62" s="38"/>
      <c r="E62" s="252"/>
      <c r="F62" s="15"/>
      <c r="G62" s="252"/>
      <c r="H62" s="141"/>
      <c r="I62" s="151"/>
      <c r="J62" s="141"/>
      <c r="K62" s="170"/>
      <c r="L62" s="140"/>
      <c r="M62" s="152"/>
      <c r="N62" s="142"/>
      <c r="O62" s="141"/>
      <c r="P62" s="141"/>
      <c r="Q62" s="141"/>
      <c r="R62" s="170"/>
      <c r="S62" s="143"/>
      <c r="T62" s="145"/>
    </row>
    <row r="63" spans="2:20" ht="13.5" thickBot="1" x14ac:dyDescent="0.25">
      <c r="B63" s="252">
        <f>MAX(B$15:B62)+1</f>
        <v>29</v>
      </c>
      <c r="C63" s="7"/>
      <c r="D63" s="86" t="s">
        <v>64</v>
      </c>
      <c r="E63" s="252"/>
      <c r="F63" s="15"/>
      <c r="G63" s="252"/>
      <c r="H63" s="168">
        <f>H54</f>
        <v>2924503.2126733954</v>
      </c>
      <c r="I63" s="151"/>
      <c r="J63" s="168">
        <f>'Attach 1'!F17</f>
        <v>181066.89092045283</v>
      </c>
      <c r="K63" s="156">
        <f>J63/$H63*100</f>
        <v>6.1913726111086387</v>
      </c>
      <c r="L63" s="140"/>
      <c r="M63" s="149">
        <f>J63-O63</f>
        <v>-36997.350433946762</v>
      </c>
      <c r="N63" s="142"/>
      <c r="O63" s="168">
        <f>O54+O59+O61</f>
        <v>218064.24135439959</v>
      </c>
      <c r="P63" s="168">
        <f>P54+P59+P61</f>
        <v>-1785.7119213140977</v>
      </c>
      <c r="Q63" s="168">
        <f>Q54+Q59+Q61</f>
        <v>216278.5294330855</v>
      </c>
      <c r="R63" s="156">
        <f>Q63/$H63*100</f>
        <v>7.3953938055474859</v>
      </c>
      <c r="S63" s="194">
        <f>Q63/O63</f>
        <v>0.99181107406595859</v>
      </c>
      <c r="T63" s="190">
        <f>R63/K63-1</f>
        <v>0.19446757125852465</v>
      </c>
    </row>
    <row r="64" spans="2:20" ht="13.5" thickTop="1" x14ac:dyDescent="0.2">
      <c r="D64" s="40"/>
    </row>
    <row r="65" spans="2:21" x14ac:dyDescent="0.2">
      <c r="T65" s="237"/>
    </row>
    <row r="66" spans="2:21" x14ac:dyDescent="0.2">
      <c r="T66" s="237"/>
    </row>
    <row r="67" spans="2:21" x14ac:dyDescent="0.2">
      <c r="T67" s="237"/>
    </row>
    <row r="68" spans="2:21" x14ac:dyDescent="0.2">
      <c r="T68" s="237"/>
      <c r="U68" s="35"/>
    </row>
    <row r="69" spans="2:21" x14ac:dyDescent="0.2">
      <c r="B69" s="505" t="s">
        <v>296</v>
      </c>
      <c r="C69" s="505"/>
      <c r="D69" s="505"/>
      <c r="E69" s="505"/>
      <c r="F69" s="505"/>
      <c r="G69" s="505"/>
      <c r="H69" s="505"/>
      <c r="I69" s="505"/>
      <c r="J69" s="505"/>
      <c r="K69" s="505"/>
      <c r="L69" s="505"/>
      <c r="M69" s="505"/>
      <c r="N69" s="505"/>
      <c r="O69" s="505"/>
      <c r="P69" s="505"/>
      <c r="Q69" s="505"/>
      <c r="R69" s="505"/>
      <c r="S69" s="505"/>
      <c r="T69" s="505"/>
      <c r="U69" s="35"/>
    </row>
    <row r="70" spans="2:21" x14ac:dyDescent="0.2">
      <c r="B70" s="505" t="s">
        <v>781</v>
      </c>
      <c r="C70" s="505"/>
      <c r="D70" s="505"/>
      <c r="E70" s="505"/>
      <c r="F70" s="505"/>
      <c r="G70" s="505"/>
      <c r="H70" s="505"/>
      <c r="I70" s="505"/>
      <c r="J70" s="505"/>
      <c r="K70" s="505"/>
      <c r="L70" s="505"/>
      <c r="M70" s="505"/>
      <c r="N70" s="505"/>
      <c r="O70" s="505"/>
      <c r="P70" s="505"/>
      <c r="Q70" s="505"/>
      <c r="R70" s="505"/>
      <c r="S70" s="505"/>
      <c r="T70" s="505"/>
      <c r="U70" s="35"/>
    </row>
    <row r="71" spans="2:21" x14ac:dyDescent="0.2">
      <c r="B71" s="2"/>
      <c r="C71" s="2"/>
      <c r="D71" s="2"/>
      <c r="E71" s="2"/>
      <c r="F71" s="21"/>
      <c r="G71" s="2"/>
      <c r="H71" s="21"/>
      <c r="I71" s="2"/>
      <c r="J71" s="21"/>
      <c r="K71" s="21"/>
      <c r="L71" s="21"/>
      <c r="M71" s="21"/>
      <c r="N71" s="2"/>
      <c r="O71" s="2"/>
      <c r="P71" s="2"/>
      <c r="Q71" s="2"/>
      <c r="R71" s="2"/>
      <c r="S71" s="3"/>
      <c r="T71" s="3"/>
      <c r="U71" s="35"/>
    </row>
    <row r="72" spans="2:21" x14ac:dyDescent="0.2">
      <c r="B72" s="21"/>
      <c r="C72" s="21"/>
      <c r="D72" s="21"/>
      <c r="E72" s="21"/>
      <c r="F72" s="31"/>
      <c r="G72" s="21"/>
      <c r="H72" s="31"/>
      <c r="I72" s="21"/>
      <c r="J72" s="27" t="s">
        <v>26</v>
      </c>
      <c r="K72" s="27"/>
      <c r="L72" s="21"/>
      <c r="M72" s="21"/>
      <c r="N72" s="21"/>
      <c r="O72" s="27" t="s">
        <v>29</v>
      </c>
      <c r="P72" s="27"/>
      <c r="Q72" s="27"/>
      <c r="R72" s="27"/>
      <c r="S72" s="29"/>
      <c r="T72" s="29"/>
      <c r="U72" s="35"/>
    </row>
    <row r="73" spans="2:21" x14ac:dyDescent="0.2">
      <c r="B73" s="2"/>
      <c r="C73" s="2"/>
      <c r="D73" s="2"/>
      <c r="E73" s="2"/>
      <c r="F73" s="2"/>
      <c r="G73" s="2"/>
      <c r="H73" s="2"/>
      <c r="I73" s="2"/>
      <c r="J73" s="2"/>
      <c r="K73" s="2"/>
      <c r="L73" s="2"/>
      <c r="M73" s="2"/>
      <c r="N73" s="2"/>
      <c r="O73" s="2"/>
      <c r="P73" s="2"/>
      <c r="Q73" s="2"/>
      <c r="R73" s="2"/>
      <c r="S73" s="3"/>
      <c r="T73" s="3"/>
      <c r="U73" s="35"/>
    </row>
    <row r="74" spans="2:21" s="26" customFormat="1" ht="38.25" x14ac:dyDescent="0.2">
      <c r="B74" s="25" t="s">
        <v>0</v>
      </c>
      <c r="C74" s="25"/>
      <c r="D74" s="25"/>
      <c r="E74" s="25"/>
      <c r="F74" s="32" t="s">
        <v>20</v>
      </c>
      <c r="G74" s="25"/>
      <c r="H74" s="26" t="s">
        <v>499</v>
      </c>
      <c r="I74" s="25"/>
      <c r="J74" s="26" t="s">
        <v>30</v>
      </c>
      <c r="K74" s="26" t="s">
        <v>35</v>
      </c>
      <c r="L74" s="25"/>
      <c r="M74" s="26" t="s">
        <v>11</v>
      </c>
      <c r="N74" s="25"/>
      <c r="O74" s="25" t="s">
        <v>495</v>
      </c>
      <c r="P74" s="26" t="s">
        <v>11</v>
      </c>
      <c r="Q74" s="26" t="s">
        <v>30</v>
      </c>
      <c r="R74" s="26" t="s">
        <v>35</v>
      </c>
      <c r="S74" s="25" t="s">
        <v>500</v>
      </c>
      <c r="T74" s="25" t="s">
        <v>501</v>
      </c>
      <c r="U74" s="336"/>
    </row>
    <row r="75" spans="2:21" ht="14.25" x14ac:dyDescent="0.2">
      <c r="B75" s="8" t="s">
        <v>1</v>
      </c>
      <c r="C75" s="7"/>
      <c r="D75" s="9" t="s">
        <v>9</v>
      </c>
      <c r="E75" s="252"/>
      <c r="F75" s="8" t="s">
        <v>21</v>
      </c>
      <c r="G75" s="252"/>
      <c r="H75" s="8" t="s">
        <v>494</v>
      </c>
      <c r="I75" s="252"/>
      <c r="J75" s="8" t="s">
        <v>140</v>
      </c>
      <c r="K75" s="8" t="s">
        <v>12</v>
      </c>
      <c r="L75" s="252"/>
      <c r="M75" s="8" t="s">
        <v>140</v>
      </c>
      <c r="N75" s="252"/>
      <c r="O75" s="8" t="s">
        <v>140</v>
      </c>
      <c r="P75" s="8" t="s">
        <v>140</v>
      </c>
      <c r="Q75" s="8" t="s">
        <v>140</v>
      </c>
      <c r="R75" s="8" t="s">
        <v>12</v>
      </c>
      <c r="S75" s="8" t="s">
        <v>13</v>
      </c>
      <c r="T75" s="8" t="s">
        <v>2</v>
      </c>
      <c r="U75" s="35"/>
    </row>
    <row r="76" spans="2:21" x14ac:dyDescent="0.2">
      <c r="B76" s="252"/>
      <c r="C76" s="7"/>
      <c r="D76" s="7"/>
      <c r="E76" s="252"/>
      <c r="F76" s="252"/>
      <c r="G76" s="252"/>
      <c r="H76" s="252" t="s">
        <v>3</v>
      </c>
      <c r="I76" s="252"/>
      <c r="J76" s="252" t="s">
        <v>4</v>
      </c>
      <c r="K76" s="252" t="s">
        <v>27</v>
      </c>
      <c r="L76" s="252"/>
      <c r="M76" s="252" t="s">
        <v>28</v>
      </c>
      <c r="N76" s="252"/>
      <c r="O76" s="252" t="s">
        <v>32</v>
      </c>
      <c r="P76" s="252" t="s">
        <v>502</v>
      </c>
      <c r="Q76" s="10" t="s">
        <v>15</v>
      </c>
      <c r="R76" s="10" t="s">
        <v>37</v>
      </c>
      <c r="S76" s="10" t="s">
        <v>503</v>
      </c>
      <c r="T76" s="10" t="s">
        <v>38</v>
      </c>
      <c r="U76" s="35"/>
    </row>
    <row r="77" spans="2:21" x14ac:dyDescent="0.2">
      <c r="D77" s="40"/>
    </row>
    <row r="78" spans="2:21" x14ac:dyDescent="0.2">
      <c r="B78" s="252"/>
      <c r="C78" s="7"/>
      <c r="D78" s="43" t="s">
        <v>52</v>
      </c>
      <c r="E78" s="252"/>
      <c r="F78" s="6"/>
      <c r="G78" s="252"/>
      <c r="H78" s="150"/>
      <c r="I78" s="151"/>
      <c r="J78" s="144"/>
      <c r="K78" s="144"/>
      <c r="L78" s="144"/>
      <c r="M78" s="144"/>
      <c r="N78" s="151"/>
      <c r="O78" s="153"/>
      <c r="P78" s="151"/>
      <c r="Q78" s="151"/>
      <c r="R78" s="151"/>
      <c r="S78" s="151"/>
      <c r="T78" s="151"/>
    </row>
    <row r="79" spans="2:21" x14ac:dyDescent="0.2">
      <c r="D79" s="198" t="s">
        <v>154</v>
      </c>
      <c r="F79" s="494"/>
      <c r="H79" s="144"/>
      <c r="I79" s="144"/>
      <c r="J79" s="144"/>
      <c r="K79" s="144"/>
      <c r="L79" s="144"/>
      <c r="M79" s="144"/>
      <c r="N79" s="144"/>
      <c r="O79" s="144"/>
      <c r="P79" s="144"/>
      <c r="Q79" s="144"/>
      <c r="R79" s="144"/>
      <c r="S79" s="144"/>
      <c r="T79" s="144"/>
    </row>
    <row r="80" spans="2:21" x14ac:dyDescent="0.2">
      <c r="B80" s="252">
        <f>MAX(B$15:B78)+1</f>
        <v>30</v>
      </c>
      <c r="C80" s="7"/>
      <c r="D80" s="38" t="s">
        <v>41</v>
      </c>
      <c r="E80" s="252"/>
      <c r="F80" s="15" t="s">
        <v>24</v>
      </c>
      <c r="G80" s="252"/>
      <c r="H80" s="141">
        <v>960</v>
      </c>
      <c r="I80" s="151"/>
      <c r="J80" s="141"/>
      <c r="K80" s="141"/>
      <c r="L80" s="144"/>
      <c r="M80" s="141"/>
      <c r="N80" s="142"/>
      <c r="O80" s="141">
        <v>5708.8210012946583</v>
      </c>
      <c r="P80" s="141">
        <f>Q80-O80</f>
        <v>-2828.8210012946583</v>
      </c>
      <c r="Q80" s="141">
        <f>$H80*R80/1000</f>
        <v>2880</v>
      </c>
      <c r="R80" s="361">
        <v>3000</v>
      </c>
      <c r="S80" s="143">
        <f>Q80/O80</f>
        <v>0.5044824490638028</v>
      </c>
      <c r="T80" s="141"/>
    </row>
    <row r="81" spans="2:20" x14ac:dyDescent="0.2">
      <c r="B81" s="252">
        <f>MAX(B$15:B80)+1</f>
        <v>31</v>
      </c>
      <c r="C81" s="7"/>
      <c r="D81" s="38" t="s">
        <v>68</v>
      </c>
      <c r="E81" s="252"/>
      <c r="F81" s="15" t="s">
        <v>25</v>
      </c>
      <c r="G81" s="252"/>
      <c r="H81" s="141">
        <v>3996534.1677636793</v>
      </c>
      <c r="I81" s="151"/>
      <c r="J81" s="141"/>
      <c r="K81" s="141"/>
      <c r="L81" s="144"/>
      <c r="M81" s="141"/>
      <c r="N81" s="142"/>
      <c r="O81" s="141">
        <v>0</v>
      </c>
      <c r="P81" s="141">
        <f>Q81-O81</f>
        <v>0</v>
      </c>
      <c r="Q81" s="141">
        <f>$H81*R81/100</f>
        <v>0</v>
      </c>
      <c r="R81" s="170">
        <v>0</v>
      </c>
      <c r="S81" s="143"/>
      <c r="T81" s="141"/>
    </row>
    <row r="82" spans="2:20" x14ac:dyDescent="0.2">
      <c r="B82" s="252">
        <f>MAX(B$15:B81)+1</f>
        <v>32</v>
      </c>
      <c r="C82" s="7"/>
      <c r="D82" s="13" t="s">
        <v>335</v>
      </c>
      <c r="E82" s="252"/>
      <c r="F82" s="15"/>
      <c r="G82" s="252"/>
      <c r="H82" s="141"/>
      <c r="I82" s="151"/>
      <c r="J82" s="141"/>
      <c r="K82" s="141"/>
      <c r="L82" s="144"/>
      <c r="M82" s="141"/>
      <c r="N82" s="142"/>
      <c r="O82" s="141">
        <f>Q82</f>
        <v>6676.974843140737</v>
      </c>
      <c r="P82" s="141">
        <f>Q82-O82</f>
        <v>0</v>
      </c>
      <c r="Q82" s="141">
        <v>6676.974843140737</v>
      </c>
      <c r="R82" s="362">
        <v>8.0300000000000007E-3</v>
      </c>
      <c r="S82" s="143">
        <f>Q82/O82</f>
        <v>1</v>
      </c>
      <c r="T82" s="141"/>
    </row>
    <row r="83" spans="2:20" x14ac:dyDescent="0.2">
      <c r="B83" s="252"/>
      <c r="C83" s="7"/>
      <c r="D83" s="38" t="s">
        <v>69</v>
      </c>
      <c r="E83" s="252"/>
      <c r="F83" s="15"/>
      <c r="G83" s="252"/>
      <c r="H83" s="141"/>
      <c r="I83" s="151"/>
      <c r="J83" s="141"/>
      <c r="K83" s="141"/>
      <c r="L83" s="144"/>
      <c r="M83" s="141"/>
      <c r="N83" s="142"/>
      <c r="O83" s="141"/>
      <c r="P83" s="141"/>
      <c r="Q83" s="141"/>
      <c r="R83" s="170"/>
      <c r="S83" s="143"/>
      <c r="T83" s="141"/>
    </row>
    <row r="84" spans="2:20" ht="14.25" x14ac:dyDescent="0.2">
      <c r="B84" s="252">
        <f>MAX(B$15:B83)+1</f>
        <v>33</v>
      </c>
      <c r="C84" s="7"/>
      <c r="D84" s="39" t="s">
        <v>71</v>
      </c>
      <c r="E84" s="252"/>
      <c r="F84" s="15" t="s">
        <v>40</v>
      </c>
      <c r="G84" s="252"/>
      <c r="H84" s="141">
        <v>26927.364000000001</v>
      </c>
      <c r="I84" s="151"/>
      <c r="J84" s="141"/>
      <c r="K84" s="141"/>
      <c r="L84" s="144"/>
      <c r="M84" s="141"/>
      <c r="N84" s="142"/>
      <c r="O84" s="141">
        <v>11711.579438714598</v>
      </c>
      <c r="P84" s="141">
        <f>Q84-O84</f>
        <v>-237.11841160568474</v>
      </c>
      <c r="Q84" s="141">
        <f>$H84*R84/100</f>
        <v>11474.461027108913</v>
      </c>
      <c r="R84" s="170">
        <v>42.612641278622419</v>
      </c>
      <c r="S84" s="143"/>
      <c r="T84" s="141"/>
    </row>
    <row r="85" spans="2:20" ht="14.25" x14ac:dyDescent="0.2">
      <c r="B85" s="252">
        <f>MAX(B$15:B84)+1</f>
        <v>34</v>
      </c>
      <c r="C85" s="7"/>
      <c r="D85" s="39" t="s">
        <v>70</v>
      </c>
      <c r="E85" s="252"/>
      <c r="F85" s="15" t="s">
        <v>40</v>
      </c>
      <c r="G85" s="252"/>
      <c r="H85" s="141">
        <v>50942.423999999999</v>
      </c>
      <c r="I85" s="151"/>
      <c r="J85" s="141"/>
      <c r="K85" s="141"/>
      <c r="L85" s="144"/>
      <c r="M85" s="141"/>
      <c r="N85" s="142"/>
      <c r="O85" s="141">
        <v>14773.837846510773</v>
      </c>
      <c r="P85" s="141">
        <f>Q85-O85</f>
        <v>-343.26191282360924</v>
      </c>
      <c r="Q85" s="141">
        <f>$H85*R85/100</f>
        <v>14430.575933687163</v>
      </c>
      <c r="R85" s="170">
        <v>28.327226701436828</v>
      </c>
      <c r="S85" s="143"/>
      <c r="T85" s="141"/>
    </row>
    <row r="86" spans="2:20" ht="14.25" x14ac:dyDescent="0.2">
      <c r="B86" s="252">
        <f>MAX(B$15:B85)+1</f>
        <v>35</v>
      </c>
      <c r="C86" s="7"/>
      <c r="D86" s="39" t="s">
        <v>72</v>
      </c>
      <c r="E86" s="252"/>
      <c r="F86" s="15" t="s">
        <v>40</v>
      </c>
      <c r="G86" s="252"/>
      <c r="H86" s="141">
        <v>136172.00399999999</v>
      </c>
      <c r="I86" s="151"/>
      <c r="J86" s="141"/>
      <c r="K86" s="141"/>
      <c r="L86" s="144"/>
      <c r="M86" s="141"/>
      <c r="N86" s="142"/>
      <c r="O86" s="141">
        <v>32689.791635757469</v>
      </c>
      <c r="P86" s="141">
        <f>Q86-O86</f>
        <v>-820.52038262063434</v>
      </c>
      <c r="Q86" s="141">
        <f>$H86*R86/100</f>
        <v>31869.271253136834</v>
      </c>
      <c r="R86" s="170">
        <v>23.403688215631192</v>
      </c>
      <c r="S86" s="143"/>
      <c r="T86" s="141"/>
    </row>
    <row r="87" spans="2:20" x14ac:dyDescent="0.2">
      <c r="B87" s="252">
        <f>MAX(B$15:B86)+1</f>
        <v>36</v>
      </c>
      <c r="C87" s="7"/>
      <c r="D87" s="38" t="s">
        <v>69</v>
      </c>
      <c r="E87" s="252"/>
      <c r="F87" s="15"/>
      <c r="G87" s="252"/>
      <c r="H87" s="195">
        <f>SUM(H84:H86)</f>
        <v>214041.79199999999</v>
      </c>
      <c r="I87" s="160"/>
      <c r="J87" s="163"/>
      <c r="K87" s="163"/>
      <c r="L87" s="163"/>
      <c r="M87" s="163"/>
      <c r="N87" s="162"/>
      <c r="O87" s="195">
        <f>SUM(O84:O86)</f>
        <v>59175.208920982841</v>
      </c>
      <c r="P87" s="195">
        <f>SUM(P84:P86)</f>
        <v>-1400.9007070499283</v>
      </c>
      <c r="Q87" s="195">
        <f>SUM(Q84:Q86)</f>
        <v>57774.308213932905</v>
      </c>
      <c r="R87" s="154">
        <f>Q87/$H87*100</f>
        <v>26.992069013294799</v>
      </c>
      <c r="S87" s="196">
        <f>Q87/O87</f>
        <v>0.97632622287957493</v>
      </c>
      <c r="T87" s="151"/>
    </row>
    <row r="88" spans="2:20" x14ac:dyDescent="0.2">
      <c r="B88" s="252"/>
      <c r="C88" s="7"/>
      <c r="D88" s="38"/>
      <c r="E88" s="252"/>
      <c r="F88" s="15"/>
      <c r="G88" s="252"/>
      <c r="H88" s="141"/>
      <c r="I88" s="160"/>
      <c r="J88" s="163"/>
      <c r="K88" s="163"/>
      <c r="L88" s="163"/>
      <c r="M88" s="163"/>
      <c r="N88" s="162"/>
      <c r="O88" s="141"/>
      <c r="P88" s="141"/>
      <c r="Q88" s="141"/>
      <c r="R88" s="170"/>
      <c r="S88" s="143"/>
      <c r="T88" s="151"/>
    </row>
    <row r="89" spans="2:20" x14ac:dyDescent="0.2">
      <c r="B89" s="252">
        <f>MAX(B$15:B88)+1</f>
        <v>37</v>
      </c>
      <c r="C89" s="7"/>
      <c r="D89" s="38" t="s">
        <v>73</v>
      </c>
      <c r="E89" s="252"/>
      <c r="F89" s="15" t="s">
        <v>40</v>
      </c>
      <c r="G89" s="252"/>
      <c r="H89" s="141">
        <v>34996.836000000003</v>
      </c>
      <c r="I89" s="160"/>
      <c r="J89" s="141"/>
      <c r="K89" s="141"/>
      <c r="L89" s="163"/>
      <c r="M89" s="141"/>
      <c r="N89" s="162"/>
      <c r="O89" s="141">
        <v>421.30356160483979</v>
      </c>
      <c r="P89" s="141">
        <f>Q89-O89</f>
        <v>0</v>
      </c>
      <c r="Q89" s="141">
        <f>$H89*R89/100</f>
        <v>421.30356160483984</v>
      </c>
      <c r="R89" s="170">
        <v>1.2038332882573721</v>
      </c>
      <c r="S89" s="143"/>
      <c r="T89" s="151"/>
    </row>
    <row r="90" spans="2:20" x14ac:dyDescent="0.2">
      <c r="B90" s="252">
        <f>MAX(B$15:B89)+1</f>
        <v>38</v>
      </c>
      <c r="C90" s="7"/>
      <c r="D90" s="38" t="s">
        <v>820</v>
      </c>
      <c r="E90" s="252"/>
      <c r="F90" s="33" t="s">
        <v>25</v>
      </c>
      <c r="G90" s="252"/>
      <c r="H90" s="141">
        <v>13096.011469999999</v>
      </c>
      <c r="I90" s="160"/>
      <c r="J90" s="141"/>
      <c r="K90" s="141"/>
      <c r="L90" s="163"/>
      <c r="M90" s="141"/>
      <c r="N90" s="162"/>
      <c r="O90" s="141">
        <v>0</v>
      </c>
      <c r="P90" s="141">
        <f>Q90-O90</f>
        <v>5.1831499893653792</v>
      </c>
      <c r="Q90" s="141">
        <f>$H90*R90/100</f>
        <v>5.1831499893653792</v>
      </c>
      <c r="R90" s="170">
        <v>3.9578080709831411E-2</v>
      </c>
      <c r="S90" s="143"/>
      <c r="T90" s="151"/>
    </row>
    <row r="91" spans="2:20" x14ac:dyDescent="0.2">
      <c r="B91" s="252">
        <f>MAX(B$15:B90)+1</f>
        <v>39</v>
      </c>
      <c r="C91" s="7"/>
      <c r="D91" s="38" t="s">
        <v>337</v>
      </c>
      <c r="E91" s="252"/>
      <c r="F91" s="33" t="s">
        <v>25</v>
      </c>
      <c r="G91" s="252"/>
      <c r="H91" s="141">
        <v>0</v>
      </c>
      <c r="I91" s="160"/>
      <c r="J91" s="141"/>
      <c r="K91" s="141"/>
      <c r="L91" s="163"/>
      <c r="M91" s="141"/>
      <c r="N91" s="162"/>
      <c r="O91" s="141">
        <v>0</v>
      </c>
      <c r="P91" s="141">
        <f>Q91-O91</f>
        <v>0</v>
      </c>
      <c r="Q91" s="141">
        <f>$H91*R91/100</f>
        <v>0</v>
      </c>
      <c r="R91" s="170">
        <v>1.2552503506433288</v>
      </c>
      <c r="S91" s="143"/>
      <c r="T91" s="151"/>
    </row>
    <row r="92" spans="2:20" x14ac:dyDescent="0.2">
      <c r="B92" s="252"/>
      <c r="C92" s="7"/>
      <c r="D92" s="38"/>
      <c r="E92" s="252"/>
      <c r="F92" s="15"/>
      <c r="G92" s="252"/>
      <c r="H92" s="141"/>
      <c r="I92" s="160"/>
      <c r="J92" s="163"/>
      <c r="K92" s="163"/>
      <c r="L92" s="163"/>
      <c r="M92" s="163"/>
      <c r="N92" s="162"/>
      <c r="O92" s="141"/>
      <c r="P92" s="141"/>
      <c r="Q92" s="141"/>
      <c r="R92" s="170"/>
      <c r="S92" s="143"/>
      <c r="T92" s="151"/>
    </row>
    <row r="93" spans="2:20" x14ac:dyDescent="0.2">
      <c r="B93" s="252">
        <f>MAX(B$15:B92)+1</f>
        <v>40</v>
      </c>
      <c r="C93" s="7"/>
      <c r="D93" s="38" t="s">
        <v>82</v>
      </c>
      <c r="E93" s="252"/>
      <c r="F93" s="15"/>
      <c r="G93" s="252"/>
      <c r="H93" s="195">
        <f>H81+H90</f>
        <v>4009630.1792336791</v>
      </c>
      <c r="I93" s="160"/>
      <c r="J93" s="163"/>
      <c r="K93" s="163"/>
      <c r="L93" s="163"/>
      <c r="M93" s="163"/>
      <c r="N93" s="162"/>
      <c r="O93" s="195">
        <f>SUM(O80,O81:O82,O87,O89,O90)</f>
        <v>71982.308327023085</v>
      </c>
      <c r="P93" s="195">
        <f>SUM(P80,P81:P82,P87,P89,P90)</f>
        <v>-4224.5385583552215</v>
      </c>
      <c r="Q93" s="195">
        <f>SUM(Q80,Q81:Q82,Q87,Q89,Q90)</f>
        <v>67757.769768667844</v>
      </c>
      <c r="R93" s="154">
        <f>Q93/$H93*100</f>
        <v>1.6898757925255268</v>
      </c>
      <c r="S93" s="196">
        <f>Q93/O93</f>
        <v>0.94131143253752403</v>
      </c>
      <c r="T93" s="151"/>
    </row>
    <row r="94" spans="2:20" x14ac:dyDescent="0.2">
      <c r="D94" s="40"/>
      <c r="E94" s="252"/>
      <c r="F94" s="15"/>
      <c r="G94" s="252"/>
      <c r="H94" s="141"/>
      <c r="I94" s="160"/>
      <c r="J94" s="163"/>
      <c r="K94" s="163"/>
      <c r="L94" s="163"/>
      <c r="M94" s="163"/>
      <c r="N94" s="162"/>
      <c r="O94" s="141"/>
      <c r="P94" s="141"/>
      <c r="Q94" s="141"/>
      <c r="R94" s="170"/>
      <c r="S94" s="143"/>
      <c r="T94" s="151"/>
    </row>
    <row r="95" spans="2:20" x14ac:dyDescent="0.2">
      <c r="B95" s="252"/>
      <c r="C95" s="7"/>
      <c r="D95" s="198" t="s">
        <v>797</v>
      </c>
      <c r="E95" s="252"/>
      <c r="F95" s="33"/>
      <c r="G95" s="252"/>
      <c r="H95" s="141"/>
      <c r="I95" s="151"/>
      <c r="J95" s="144"/>
      <c r="K95" s="144"/>
      <c r="L95" s="144"/>
      <c r="M95" s="144"/>
      <c r="N95" s="142"/>
      <c r="O95" s="141"/>
      <c r="P95" s="141"/>
      <c r="Q95" s="141"/>
      <c r="R95" s="147"/>
      <c r="S95" s="143"/>
      <c r="T95" s="151"/>
    </row>
    <row r="96" spans="2:20" x14ac:dyDescent="0.2">
      <c r="B96" s="252">
        <f>MAX(B$15:B95)+1</f>
        <v>41</v>
      </c>
      <c r="C96" s="7"/>
      <c r="D96" s="39" t="s">
        <v>75</v>
      </c>
      <c r="E96" s="252"/>
      <c r="F96" s="33" t="s">
        <v>80</v>
      </c>
      <c r="G96" s="252"/>
      <c r="H96" s="141">
        <v>102195366</v>
      </c>
      <c r="I96" s="151"/>
      <c r="J96" s="141"/>
      <c r="K96" s="141"/>
      <c r="L96" s="144"/>
      <c r="M96" s="141"/>
      <c r="N96" s="142"/>
      <c r="O96" s="141">
        <v>1664.8523172337282</v>
      </c>
      <c r="P96" s="141">
        <f>Q96-O96</f>
        <v>9.2665943264923953</v>
      </c>
      <c r="Q96" s="141">
        <f>$H96*R96/1000</f>
        <v>1674.1189115602206</v>
      </c>
      <c r="R96" s="227">
        <v>1.638155404776593E-2</v>
      </c>
      <c r="S96" s="141"/>
      <c r="T96" s="141"/>
    </row>
    <row r="97" spans="2:20" x14ac:dyDescent="0.2">
      <c r="B97" s="252"/>
      <c r="C97" s="7"/>
      <c r="D97" s="39" t="s">
        <v>76</v>
      </c>
      <c r="E97" s="252"/>
      <c r="F97" s="33"/>
      <c r="G97" s="252"/>
      <c r="H97" s="141"/>
      <c r="I97" s="151"/>
      <c r="J97" s="144"/>
      <c r="K97" s="144"/>
      <c r="L97" s="144"/>
      <c r="M97" s="144"/>
      <c r="N97" s="142"/>
      <c r="O97" s="141"/>
      <c r="P97" s="141"/>
      <c r="Q97" s="141"/>
      <c r="R97" s="147"/>
      <c r="S97" s="144"/>
      <c r="T97" s="144"/>
    </row>
    <row r="98" spans="2:20" x14ac:dyDescent="0.2">
      <c r="B98" s="252">
        <f>MAX(B$15:B97)+1</f>
        <v>42</v>
      </c>
      <c r="C98" s="7"/>
      <c r="D98" s="51" t="s">
        <v>77</v>
      </c>
      <c r="E98" s="252"/>
      <c r="F98" s="33" t="s">
        <v>80</v>
      </c>
      <c r="G98" s="252"/>
      <c r="H98" s="141">
        <v>2690346</v>
      </c>
      <c r="I98" s="151"/>
      <c r="J98" s="141"/>
      <c r="K98" s="141"/>
      <c r="L98" s="144"/>
      <c r="M98" s="141"/>
      <c r="N98" s="142"/>
      <c r="O98" s="141">
        <v>4219.5329036358635</v>
      </c>
      <c r="P98" s="141">
        <f>Q98-O98</f>
        <v>2419.5979680403771</v>
      </c>
      <c r="Q98" s="141">
        <f>$H98*R98/1000</f>
        <v>6639.1308716762405</v>
      </c>
      <c r="R98" s="227">
        <v>2.4677609763488562</v>
      </c>
      <c r="S98" s="141"/>
      <c r="T98" s="141"/>
    </row>
    <row r="99" spans="2:20" x14ac:dyDescent="0.2">
      <c r="B99" s="252">
        <f>MAX(B$15:B98)+1</f>
        <v>43</v>
      </c>
      <c r="C99" s="7"/>
      <c r="D99" s="51" t="s">
        <v>78</v>
      </c>
      <c r="E99" s="252"/>
      <c r="F99" s="33" t="s">
        <v>80</v>
      </c>
      <c r="G99" s="252"/>
      <c r="H99" s="141">
        <v>910476</v>
      </c>
      <c r="I99" s="151"/>
      <c r="J99" s="141"/>
      <c r="K99" s="141"/>
      <c r="L99" s="144"/>
      <c r="M99" s="141"/>
      <c r="N99" s="142"/>
      <c r="O99" s="141">
        <v>1427.9886081458544</v>
      </c>
      <c r="P99" s="141">
        <f>Q99-O99</f>
        <v>591.27253116383258</v>
      </c>
      <c r="Q99" s="141">
        <f>$H99*R99/1000</f>
        <v>2019.261139309687</v>
      </c>
      <c r="R99" s="227">
        <v>2.2178082006661208</v>
      </c>
      <c r="S99" s="141"/>
      <c r="T99" s="141"/>
    </row>
    <row r="100" spans="2:20" x14ac:dyDescent="0.2">
      <c r="B100" s="252">
        <f>MAX(B$15:B99)+1</f>
        <v>44</v>
      </c>
      <c r="C100" s="7"/>
      <c r="D100" s="51" t="s">
        <v>79</v>
      </c>
      <c r="E100" s="252"/>
      <c r="F100" s="33" t="s">
        <v>80</v>
      </c>
      <c r="G100" s="252"/>
      <c r="H100" s="141">
        <v>12000</v>
      </c>
      <c r="I100" s="151"/>
      <c r="J100" s="141"/>
      <c r="K100" s="141"/>
      <c r="L100" s="144"/>
      <c r="M100" s="141"/>
      <c r="N100" s="142"/>
      <c r="O100" s="141">
        <v>18.820774295808185</v>
      </c>
      <c r="P100" s="141">
        <f>Q100-O100</f>
        <v>7.7929241121852613</v>
      </c>
      <c r="Q100" s="141">
        <f>$H100*R100/1000</f>
        <v>26.613698407993446</v>
      </c>
      <c r="R100" s="227">
        <v>2.2178082006661208</v>
      </c>
      <c r="S100" s="141"/>
      <c r="T100" s="141"/>
    </row>
    <row r="101" spans="2:20" x14ac:dyDescent="0.2">
      <c r="B101" s="252">
        <f>MAX(B$15:B100)+1</f>
        <v>45</v>
      </c>
      <c r="D101" s="39" t="s">
        <v>786</v>
      </c>
      <c r="F101" s="254" t="s">
        <v>81</v>
      </c>
      <c r="H101" s="141">
        <v>22553384.649308</v>
      </c>
      <c r="I101" s="151"/>
      <c r="J101" s="141"/>
      <c r="K101" s="141"/>
      <c r="L101" s="144"/>
      <c r="M101" s="141"/>
      <c r="N101" s="142"/>
      <c r="O101" s="141">
        <v>0</v>
      </c>
      <c r="P101" s="141">
        <f>Q101-O101</f>
        <v>0</v>
      </c>
      <c r="Q101" s="141">
        <f>$H101*R101/1000</f>
        <v>0</v>
      </c>
      <c r="R101" s="227">
        <v>0</v>
      </c>
      <c r="S101" s="141"/>
      <c r="T101" s="141"/>
    </row>
    <row r="102" spans="2:20" x14ac:dyDescent="0.2">
      <c r="B102" s="252">
        <f>MAX(B$15:B101)+1</f>
        <v>46</v>
      </c>
      <c r="C102" s="7"/>
      <c r="D102" s="55" t="s">
        <v>336</v>
      </c>
      <c r="E102" s="252"/>
      <c r="F102" s="15"/>
      <c r="G102" s="252"/>
      <c r="H102" s="141"/>
      <c r="I102" s="151"/>
      <c r="J102" s="141"/>
      <c r="K102" s="141"/>
      <c r="L102" s="144"/>
      <c r="M102" s="141"/>
      <c r="N102" s="142"/>
      <c r="O102" s="141">
        <f>Q102</f>
        <v>998.3820547422381</v>
      </c>
      <c r="P102" s="141">
        <f>Q102-O102</f>
        <v>0</v>
      </c>
      <c r="Q102" s="141">
        <v>998.3820547422381</v>
      </c>
      <c r="R102" s="362">
        <v>8.3400000000000002E-3</v>
      </c>
      <c r="S102" s="143">
        <f>Q102/O102</f>
        <v>1</v>
      </c>
      <c r="T102" s="141"/>
    </row>
    <row r="103" spans="2:20" x14ac:dyDescent="0.2">
      <c r="B103" s="252"/>
      <c r="C103" s="7"/>
      <c r="D103" s="38"/>
      <c r="E103" s="252"/>
      <c r="F103" s="15"/>
      <c r="G103" s="252"/>
      <c r="H103" s="141"/>
      <c r="I103" s="151"/>
      <c r="J103" s="144"/>
      <c r="K103" s="144"/>
      <c r="L103" s="144"/>
      <c r="M103" s="144"/>
      <c r="N103" s="142"/>
      <c r="O103" s="141"/>
      <c r="P103" s="141"/>
      <c r="Q103" s="141"/>
      <c r="R103" s="170"/>
      <c r="S103" s="143"/>
      <c r="T103" s="151"/>
    </row>
    <row r="104" spans="2:20" x14ac:dyDescent="0.2">
      <c r="B104" s="252">
        <f>MAX(B$15:B103)+1</f>
        <v>47</v>
      </c>
      <c r="C104" s="7"/>
      <c r="D104" s="38" t="s">
        <v>83</v>
      </c>
      <c r="E104" s="252"/>
      <c r="F104" s="15"/>
      <c r="G104" s="252"/>
      <c r="H104" s="195">
        <f>H93</f>
        <v>4009630.1792336791</v>
      </c>
      <c r="I104" s="151"/>
      <c r="J104" s="141"/>
      <c r="K104" s="141"/>
      <c r="L104" s="144"/>
      <c r="M104" s="141"/>
      <c r="N104" s="142"/>
      <c r="O104" s="146">
        <f>SUM(O96:O102)</f>
        <v>8329.5766580534928</v>
      </c>
      <c r="P104" s="146">
        <f>SUM(P96:P102)</f>
        <v>3027.9300176428874</v>
      </c>
      <c r="Q104" s="146">
        <f>SUM(Q96:Q102)</f>
        <v>11357.506675696379</v>
      </c>
      <c r="R104" s="154">
        <f>Q104/$H104*100</f>
        <v>0.283255716063745</v>
      </c>
      <c r="S104" s="155">
        <f>Q104/O104</f>
        <v>1.3635154752691203</v>
      </c>
      <c r="T104" s="151"/>
    </row>
    <row r="105" spans="2:20" x14ac:dyDescent="0.2">
      <c r="D105" s="40"/>
      <c r="E105" s="252"/>
      <c r="F105" s="15"/>
      <c r="G105" s="252"/>
      <c r="H105" s="141"/>
      <c r="I105" s="151"/>
      <c r="J105" s="141"/>
      <c r="K105" s="170"/>
      <c r="L105" s="140"/>
      <c r="M105" s="141"/>
      <c r="N105" s="142"/>
      <c r="O105" s="141"/>
      <c r="P105" s="141"/>
      <c r="Q105" s="141"/>
      <c r="R105" s="170"/>
      <c r="S105" s="143"/>
      <c r="T105" s="145"/>
    </row>
    <row r="106" spans="2:20" ht="13.5" thickBot="1" x14ac:dyDescent="0.25">
      <c r="B106" s="252">
        <f>MAX(B$15:B105)+1</f>
        <v>48</v>
      </c>
      <c r="C106" s="7"/>
      <c r="D106" s="86" t="s">
        <v>65</v>
      </c>
      <c r="E106" s="252"/>
      <c r="F106" s="15"/>
      <c r="G106" s="252"/>
      <c r="H106" s="168">
        <f>H93</f>
        <v>4009630.1792336791</v>
      </c>
      <c r="I106" s="151"/>
      <c r="J106" s="168">
        <f>'Attach 1'!F18</f>
        <v>70766.995651221674</v>
      </c>
      <c r="K106" s="156">
        <f>J106/$H106*100</f>
        <v>1.7649257534455878</v>
      </c>
      <c r="L106" s="140"/>
      <c r="M106" s="149">
        <f>J106-O106</f>
        <v>-9544.8893338549096</v>
      </c>
      <c r="N106" s="142"/>
      <c r="O106" s="168">
        <f>O93+O104</f>
        <v>80311.884985076584</v>
      </c>
      <c r="P106" s="168">
        <f>P93+P104</f>
        <v>-1196.6085407123342</v>
      </c>
      <c r="Q106" s="168">
        <f>Q93+Q104</f>
        <v>79115.276444364223</v>
      </c>
      <c r="R106" s="156">
        <f>Q106/$H106*100</f>
        <v>1.973131508589272</v>
      </c>
      <c r="S106" s="194">
        <f>Q106/O106</f>
        <v>0.98510047994845706</v>
      </c>
      <c r="T106" s="190">
        <f>R106/K106-1</f>
        <v>0.11796856311786108</v>
      </c>
    </row>
    <row r="107" spans="2:20" ht="13.5" thickTop="1" x14ac:dyDescent="0.2"/>
    <row r="108" spans="2:20" ht="11.45" customHeight="1" x14ac:dyDescent="0.2">
      <c r="B108" s="24"/>
      <c r="C108" s="20"/>
      <c r="D108" s="43" t="s">
        <v>146</v>
      </c>
      <c r="E108" s="20"/>
      <c r="G108" s="20"/>
      <c r="H108" s="144"/>
      <c r="I108" s="144"/>
      <c r="J108" s="144"/>
      <c r="K108" s="144"/>
      <c r="L108" s="144"/>
      <c r="M108" s="144"/>
      <c r="N108" s="144"/>
      <c r="O108" s="144"/>
      <c r="P108" s="144"/>
      <c r="Q108" s="144"/>
      <c r="R108" s="144"/>
      <c r="S108" s="144"/>
      <c r="T108" s="144"/>
    </row>
    <row r="109" spans="2:20" ht="11.45" customHeight="1" x14ac:dyDescent="0.2">
      <c r="B109" s="252">
        <f>MAX(B$15:B108)+1</f>
        <v>49</v>
      </c>
      <c r="C109" s="20"/>
      <c r="D109" s="38" t="s">
        <v>41</v>
      </c>
      <c r="F109" s="494" t="s">
        <v>24</v>
      </c>
      <c r="H109" s="141">
        <v>588</v>
      </c>
      <c r="I109" s="144"/>
      <c r="J109" s="141"/>
      <c r="K109" s="141"/>
      <c r="L109" s="144"/>
      <c r="M109" s="141"/>
      <c r="N109" s="144"/>
      <c r="O109" s="141">
        <v>1523.7343081378426</v>
      </c>
      <c r="P109" s="141">
        <f>Q109-O109</f>
        <v>-641.73430813784262</v>
      </c>
      <c r="Q109" s="141">
        <f>$H109*R109/1000</f>
        <v>882</v>
      </c>
      <c r="R109" s="361">
        <v>1500</v>
      </c>
      <c r="S109" s="143">
        <f>Q109/O109</f>
        <v>0.57884107176000599</v>
      </c>
      <c r="T109" s="141"/>
    </row>
    <row r="110" spans="2:20" x14ac:dyDescent="0.2">
      <c r="B110" s="252">
        <f>MAX(B$15:B109)+1</f>
        <v>50</v>
      </c>
      <c r="D110" s="38" t="s">
        <v>68</v>
      </c>
      <c r="F110" s="494" t="s">
        <v>25</v>
      </c>
      <c r="H110" s="141">
        <v>981552.0399894116</v>
      </c>
      <c r="I110" s="144"/>
      <c r="J110" s="141"/>
      <c r="K110" s="141"/>
      <c r="L110" s="144"/>
      <c r="M110" s="141"/>
      <c r="N110" s="144"/>
      <c r="O110" s="141">
        <f>Q110</f>
        <v>1049.3205855071888</v>
      </c>
      <c r="P110" s="141">
        <f>Q110-O110</f>
        <v>0</v>
      </c>
      <c r="Q110" s="141">
        <v>1049.3205855071888</v>
      </c>
      <c r="R110" s="362">
        <v>5.1521794647001644E-3</v>
      </c>
      <c r="S110" s="143">
        <f>Q110/O110</f>
        <v>1</v>
      </c>
      <c r="T110" s="141"/>
    </row>
    <row r="111" spans="2:20" x14ac:dyDescent="0.2">
      <c r="D111" s="38" t="s">
        <v>69</v>
      </c>
      <c r="F111" s="83"/>
      <c r="H111" s="144"/>
      <c r="I111" s="144"/>
      <c r="J111" s="144"/>
      <c r="K111" s="144"/>
      <c r="L111" s="144"/>
      <c r="M111" s="144"/>
      <c r="N111" s="144"/>
      <c r="O111" s="144"/>
      <c r="P111" s="144"/>
      <c r="Q111" s="144"/>
      <c r="R111" s="167"/>
      <c r="S111" s="144"/>
      <c r="T111" s="144"/>
    </row>
    <row r="112" spans="2:20" ht="14.25" x14ac:dyDescent="0.2">
      <c r="B112" s="252">
        <f>MAX(B$15:B111)+1</f>
        <v>51</v>
      </c>
      <c r="D112" s="39" t="s">
        <v>71</v>
      </c>
      <c r="F112" s="494" t="s">
        <v>40</v>
      </c>
      <c r="H112" s="141">
        <v>13312.763999999999</v>
      </c>
      <c r="I112" s="144"/>
      <c r="J112" s="141"/>
      <c r="K112" s="141"/>
      <c r="L112" s="144"/>
      <c r="M112" s="141"/>
      <c r="N112" s="144"/>
      <c r="O112" s="141">
        <v>2836.9175070985229</v>
      </c>
      <c r="P112" s="141">
        <f>Q112-O112</f>
        <v>191.08481474258269</v>
      </c>
      <c r="Q112" s="141">
        <f>$H112*R112/100</f>
        <v>3028.0023218411056</v>
      </c>
      <c r="R112" s="170">
        <v>22.745106289280766</v>
      </c>
      <c r="S112" s="141"/>
      <c r="T112" s="141"/>
    </row>
    <row r="113" spans="2:21" ht="14.25" x14ac:dyDescent="0.2">
      <c r="B113" s="252">
        <f>MAX(B$15:B112)+1</f>
        <v>52</v>
      </c>
      <c r="D113" s="39" t="s">
        <v>683</v>
      </c>
      <c r="F113" s="494" t="s">
        <v>40</v>
      </c>
      <c r="H113" s="141">
        <v>49393.440000000002</v>
      </c>
      <c r="I113" s="144"/>
      <c r="J113" s="141"/>
      <c r="K113" s="141"/>
      <c r="L113" s="144"/>
      <c r="M113" s="141"/>
      <c r="N113" s="144"/>
      <c r="O113" s="141">
        <v>5366.9941114890016</v>
      </c>
      <c r="P113" s="141">
        <f>Q113-O113</f>
        <v>354.87179880765234</v>
      </c>
      <c r="Q113" s="141">
        <f>$H113*R113/100</f>
        <v>5721.865910296654</v>
      </c>
      <c r="R113" s="170">
        <v>11.584262829834598</v>
      </c>
      <c r="S113" s="141"/>
      <c r="T113" s="141"/>
    </row>
    <row r="114" spans="2:21" x14ac:dyDescent="0.2">
      <c r="B114" s="252">
        <f>MAX(B$15:B113)+1</f>
        <v>53</v>
      </c>
      <c r="D114" s="38" t="s">
        <v>69</v>
      </c>
      <c r="H114" s="146">
        <f>SUM(H112:H113)</f>
        <v>62706.203999999998</v>
      </c>
      <c r="I114" s="151"/>
      <c r="J114" s="144"/>
      <c r="K114" s="144"/>
      <c r="L114" s="144"/>
      <c r="M114" s="144"/>
      <c r="N114" s="142"/>
      <c r="O114" s="146">
        <f>SUM(O112:O113)</f>
        <v>8203.9116185875246</v>
      </c>
      <c r="P114" s="146">
        <f>SUM(P112:P113)</f>
        <v>545.95661355023503</v>
      </c>
      <c r="Q114" s="146">
        <f>SUM(Q112:Q113)</f>
        <v>8749.8682321377601</v>
      </c>
      <c r="R114" s="154">
        <f>Q114/$H114*100</f>
        <v>13.9537520595853</v>
      </c>
      <c r="S114" s="155">
        <f>Q114/O114</f>
        <v>1.0665483294960501</v>
      </c>
      <c r="T114" s="144"/>
    </row>
    <row r="115" spans="2:21" x14ac:dyDescent="0.2">
      <c r="D115" s="38"/>
      <c r="H115" s="144"/>
      <c r="I115" s="144"/>
      <c r="J115" s="144"/>
      <c r="K115" s="144"/>
      <c r="L115" s="144"/>
      <c r="M115" s="144"/>
      <c r="N115" s="144"/>
      <c r="O115" s="144"/>
      <c r="P115" s="144"/>
      <c r="Q115" s="144"/>
      <c r="R115" s="144"/>
      <c r="S115" s="144"/>
      <c r="T115" s="144"/>
    </row>
    <row r="116" spans="2:21" x14ac:dyDescent="0.2">
      <c r="B116" s="252">
        <f>MAX(B$15:B115)+1</f>
        <v>54</v>
      </c>
      <c r="D116" s="38" t="s">
        <v>73</v>
      </c>
      <c r="F116" s="494" t="s">
        <v>40</v>
      </c>
      <c r="H116" s="141">
        <v>67936.392000000007</v>
      </c>
      <c r="I116" s="144"/>
      <c r="J116" s="141"/>
      <c r="K116" s="141"/>
      <c r="L116" s="144"/>
      <c r="M116" s="141"/>
      <c r="N116" s="144"/>
      <c r="O116" s="141">
        <v>772.6913871423078</v>
      </c>
      <c r="P116" s="141">
        <f>Q116-O116</f>
        <v>0</v>
      </c>
      <c r="Q116" s="141">
        <f>$H116*R116/100</f>
        <v>772.69138714230792</v>
      </c>
      <c r="R116" s="170">
        <v>1.1373747771920355</v>
      </c>
      <c r="S116" s="143">
        <f>Q116/O116</f>
        <v>1.0000000000000002</v>
      </c>
      <c r="T116" s="141"/>
    </row>
    <row r="117" spans="2:21" x14ac:dyDescent="0.2">
      <c r="B117" s="252">
        <f>MAX(B$15:B116)+1</f>
        <v>55</v>
      </c>
      <c r="D117" s="38" t="s">
        <v>820</v>
      </c>
      <c r="F117" s="494" t="s">
        <v>25</v>
      </c>
      <c r="H117" s="141">
        <v>0</v>
      </c>
      <c r="I117" s="144"/>
      <c r="J117" s="141"/>
      <c r="K117" s="141"/>
      <c r="L117" s="144"/>
      <c r="M117" s="141"/>
      <c r="N117" s="144"/>
      <c r="O117" s="141">
        <v>0</v>
      </c>
      <c r="P117" s="141">
        <v>0</v>
      </c>
      <c r="Q117" s="141">
        <f>$H117*R117/100</f>
        <v>0</v>
      </c>
      <c r="R117" s="170">
        <v>3.7393143359738153E-2</v>
      </c>
      <c r="S117" s="141"/>
      <c r="T117" s="141"/>
    </row>
    <row r="118" spans="2:21" x14ac:dyDescent="0.2">
      <c r="B118" s="252">
        <f>MAX(B$15:B117)+1</f>
        <v>56</v>
      </c>
      <c r="D118" s="38" t="s">
        <v>148</v>
      </c>
      <c r="F118" s="494" t="s">
        <v>40</v>
      </c>
      <c r="H118" s="141">
        <v>0</v>
      </c>
      <c r="I118" s="144"/>
      <c r="J118" s="141"/>
      <c r="K118" s="141"/>
      <c r="L118" s="144"/>
      <c r="M118" s="141"/>
      <c r="N118" s="144"/>
      <c r="O118" s="141">
        <v>0</v>
      </c>
      <c r="P118" s="141">
        <v>0</v>
      </c>
      <c r="Q118" s="141">
        <f>$H118*R118/100</f>
        <v>0</v>
      </c>
      <c r="R118" s="170">
        <v>13.278859251358645</v>
      </c>
      <c r="S118" s="141"/>
      <c r="T118" s="141"/>
    </row>
    <row r="119" spans="2:21" x14ac:dyDescent="0.2">
      <c r="B119" s="252">
        <f>MAX(B$15:B118)+1</f>
        <v>57</v>
      </c>
      <c r="D119" s="38" t="s">
        <v>787</v>
      </c>
      <c r="F119" s="494" t="s">
        <v>25</v>
      </c>
      <c r="H119" s="141">
        <v>0</v>
      </c>
      <c r="I119" s="144"/>
      <c r="J119" s="141"/>
      <c r="K119" s="141"/>
      <c r="L119" s="144"/>
      <c r="M119" s="141"/>
      <c r="N119" s="144"/>
      <c r="O119" s="141">
        <f>Q119</f>
        <v>0</v>
      </c>
      <c r="P119" s="141">
        <f>Q119-O119</f>
        <v>0</v>
      </c>
      <c r="Q119" s="141">
        <v>0</v>
      </c>
      <c r="R119" s="362">
        <v>2.87331022609961E-3</v>
      </c>
      <c r="S119" s="141"/>
      <c r="T119" s="141"/>
    </row>
    <row r="120" spans="2:21" x14ac:dyDescent="0.2">
      <c r="D120" s="38"/>
      <c r="H120" s="144"/>
      <c r="I120" s="144"/>
      <c r="J120" s="144"/>
      <c r="K120" s="144"/>
      <c r="L120" s="144"/>
      <c r="M120" s="144"/>
      <c r="N120" s="144"/>
      <c r="O120" s="144"/>
      <c r="P120" s="144"/>
      <c r="Q120" s="144"/>
      <c r="R120" s="144"/>
      <c r="S120" s="144"/>
      <c r="T120" s="144"/>
    </row>
    <row r="121" spans="2:21" ht="13.5" thickBot="1" x14ac:dyDescent="0.25">
      <c r="B121" s="252">
        <f>MAX(B$15:B120)+1</f>
        <v>58</v>
      </c>
      <c r="D121" s="86" t="s">
        <v>149</v>
      </c>
      <c r="H121" s="149">
        <f>H110</f>
        <v>981552.0399894116</v>
      </c>
      <c r="I121" s="151"/>
      <c r="J121" s="168">
        <f>'Attach 1'!F19</f>
        <v>22663.583240612137</v>
      </c>
      <c r="K121" s="156">
        <f>J121/$H121*100</f>
        <v>2.3089538116447312</v>
      </c>
      <c r="L121" s="140"/>
      <c r="M121" s="149">
        <f>J121-O121</f>
        <v>11113.925341237273</v>
      </c>
      <c r="N121" s="142"/>
      <c r="O121" s="149">
        <f>SUM(O109:O110,O114,O116:O119)</f>
        <v>11549.657899374864</v>
      </c>
      <c r="P121" s="149">
        <f>SUM(P109:P110,P114,P116:P119)</f>
        <v>-95.777694587607584</v>
      </c>
      <c r="Q121" s="149">
        <f>SUM(Q109:Q110,Q114,Q116:Q119)</f>
        <v>11453.880204787256</v>
      </c>
      <c r="R121" s="156">
        <f>Q121/$H121*100</f>
        <v>1.1669152259019109</v>
      </c>
      <c r="S121" s="194">
        <f>Q121/O121</f>
        <v>0.99170731328823236</v>
      </c>
      <c r="T121" s="470">
        <f>R121/K121-1</f>
        <v>-0.49461300610830106</v>
      </c>
    </row>
    <row r="122" spans="2:21" ht="13.5" thickTop="1" x14ac:dyDescent="0.2">
      <c r="D122" s="38"/>
    </row>
    <row r="123" spans="2:21" x14ac:dyDescent="0.2">
      <c r="T123" s="237"/>
    </row>
    <row r="124" spans="2:21" x14ac:dyDescent="0.2">
      <c r="T124" s="237"/>
    </row>
    <row r="125" spans="2:21" x14ac:dyDescent="0.2">
      <c r="T125" s="237"/>
    </row>
    <row r="126" spans="2:21" x14ac:dyDescent="0.2">
      <c r="T126" s="237"/>
      <c r="U126" s="35"/>
    </row>
    <row r="127" spans="2:21" x14ac:dyDescent="0.2">
      <c r="B127" s="505" t="s">
        <v>296</v>
      </c>
      <c r="C127" s="505"/>
      <c r="D127" s="505"/>
      <c r="E127" s="505"/>
      <c r="F127" s="505"/>
      <c r="G127" s="505"/>
      <c r="H127" s="505"/>
      <c r="I127" s="505"/>
      <c r="J127" s="505"/>
      <c r="K127" s="505"/>
      <c r="L127" s="505"/>
      <c r="M127" s="505"/>
      <c r="N127" s="505"/>
      <c r="O127" s="505"/>
      <c r="P127" s="505"/>
      <c r="Q127" s="505"/>
      <c r="R127" s="505"/>
      <c r="S127" s="505"/>
      <c r="T127" s="505"/>
      <c r="U127" s="35"/>
    </row>
    <row r="128" spans="2:21" x14ac:dyDescent="0.2">
      <c r="B128" s="4" t="s">
        <v>781</v>
      </c>
      <c r="C128" s="4"/>
      <c r="D128" s="4"/>
      <c r="E128" s="4"/>
      <c r="F128" s="4"/>
      <c r="G128" s="4"/>
      <c r="H128" s="4"/>
      <c r="I128" s="4"/>
      <c r="J128" s="4"/>
      <c r="K128" s="4"/>
      <c r="L128" s="4"/>
      <c r="M128" s="4"/>
      <c r="N128" s="4"/>
      <c r="O128" s="4"/>
      <c r="P128" s="4"/>
      <c r="Q128" s="4"/>
      <c r="R128" s="4"/>
      <c r="S128" s="4"/>
      <c r="T128" s="3"/>
      <c r="U128" s="35"/>
    </row>
    <row r="129" spans="2:21" x14ac:dyDescent="0.2">
      <c r="B129" s="2"/>
      <c r="C129" s="2"/>
      <c r="D129" s="2"/>
      <c r="E129" s="2"/>
      <c r="F129" s="21"/>
      <c r="G129" s="2"/>
      <c r="H129" s="21"/>
      <c r="I129" s="2"/>
      <c r="J129" s="21"/>
      <c r="K129" s="21"/>
      <c r="L129" s="21"/>
      <c r="M129" s="21"/>
      <c r="N129" s="2"/>
      <c r="O129" s="2"/>
      <c r="P129" s="2"/>
      <c r="Q129" s="2"/>
      <c r="R129" s="2"/>
      <c r="S129" s="3"/>
      <c r="T129" s="3"/>
      <c r="U129" s="35"/>
    </row>
    <row r="130" spans="2:21" x14ac:dyDescent="0.2">
      <c r="B130" s="21"/>
      <c r="C130" s="21"/>
      <c r="D130" s="21"/>
      <c r="E130" s="21"/>
      <c r="F130" s="31"/>
      <c r="G130" s="21"/>
      <c r="H130" s="31"/>
      <c r="I130" s="21"/>
      <c r="J130" s="27" t="s">
        <v>26</v>
      </c>
      <c r="K130" s="27"/>
      <c r="L130" s="21"/>
      <c r="M130" s="21"/>
      <c r="N130" s="21"/>
      <c r="O130" s="27" t="s">
        <v>29</v>
      </c>
      <c r="P130" s="27"/>
      <c r="Q130" s="27"/>
      <c r="R130" s="27"/>
      <c r="S130" s="29"/>
      <c r="T130" s="29"/>
      <c r="U130" s="35"/>
    </row>
    <row r="131" spans="2:21" x14ac:dyDescent="0.2">
      <c r="B131" s="2"/>
      <c r="C131" s="2"/>
      <c r="D131" s="2"/>
      <c r="E131" s="2"/>
      <c r="F131" s="2"/>
      <c r="G131" s="2"/>
      <c r="H131" s="2"/>
      <c r="I131" s="2"/>
      <c r="J131" s="2"/>
      <c r="K131" s="2"/>
      <c r="L131" s="2"/>
      <c r="M131" s="2"/>
      <c r="N131" s="2"/>
      <c r="O131" s="2"/>
      <c r="P131" s="2"/>
      <c r="Q131" s="2"/>
      <c r="R131" s="2"/>
      <c r="S131" s="3"/>
      <c r="T131" s="3"/>
      <c r="U131" s="35"/>
    </row>
    <row r="132" spans="2:21" s="26" customFormat="1" ht="38.25" x14ac:dyDescent="0.2">
      <c r="B132" s="25" t="s">
        <v>0</v>
      </c>
      <c r="C132" s="25"/>
      <c r="D132" s="25"/>
      <c r="E132" s="25"/>
      <c r="F132" s="32" t="s">
        <v>20</v>
      </c>
      <c r="G132" s="25"/>
      <c r="H132" s="26" t="s">
        <v>499</v>
      </c>
      <c r="I132" s="25"/>
      <c r="J132" s="26" t="s">
        <v>30</v>
      </c>
      <c r="K132" s="26" t="s">
        <v>35</v>
      </c>
      <c r="L132" s="25"/>
      <c r="M132" s="26" t="s">
        <v>11</v>
      </c>
      <c r="N132" s="25"/>
      <c r="O132" s="25" t="s">
        <v>495</v>
      </c>
      <c r="P132" s="26" t="s">
        <v>11</v>
      </c>
      <c r="Q132" s="26" t="s">
        <v>30</v>
      </c>
      <c r="R132" s="26" t="s">
        <v>35</v>
      </c>
      <c r="S132" s="25" t="s">
        <v>500</v>
      </c>
      <c r="T132" s="25" t="s">
        <v>501</v>
      </c>
      <c r="U132" s="336"/>
    </row>
    <row r="133" spans="2:21" ht="14.25" x14ac:dyDescent="0.2">
      <c r="B133" s="8" t="s">
        <v>1</v>
      </c>
      <c r="C133" s="7"/>
      <c r="D133" s="9" t="s">
        <v>9</v>
      </c>
      <c r="E133" s="252"/>
      <c r="F133" s="8" t="s">
        <v>21</v>
      </c>
      <c r="G133" s="252"/>
      <c r="H133" s="8" t="s">
        <v>494</v>
      </c>
      <c r="I133" s="252"/>
      <c r="J133" s="8" t="s">
        <v>140</v>
      </c>
      <c r="K133" s="8" t="s">
        <v>12</v>
      </c>
      <c r="L133" s="252"/>
      <c r="M133" s="8" t="s">
        <v>140</v>
      </c>
      <c r="N133" s="252"/>
      <c r="O133" s="8" t="s">
        <v>140</v>
      </c>
      <c r="P133" s="8" t="s">
        <v>140</v>
      </c>
      <c r="Q133" s="8" t="s">
        <v>140</v>
      </c>
      <c r="R133" s="8" t="s">
        <v>12</v>
      </c>
      <c r="S133" s="8" t="s">
        <v>13</v>
      </c>
      <c r="T133" s="8" t="s">
        <v>2</v>
      </c>
      <c r="U133" s="35"/>
    </row>
    <row r="134" spans="2:21" x14ac:dyDescent="0.2">
      <c r="B134" s="252"/>
      <c r="C134" s="7"/>
      <c r="D134" s="7"/>
      <c r="E134" s="252"/>
      <c r="F134" s="252"/>
      <c r="G134" s="252"/>
      <c r="H134" s="252" t="s">
        <v>3</v>
      </c>
      <c r="I134" s="252"/>
      <c r="J134" s="252" t="s">
        <v>4</v>
      </c>
      <c r="K134" s="252" t="s">
        <v>27</v>
      </c>
      <c r="L134" s="252"/>
      <c r="M134" s="252" t="s">
        <v>28</v>
      </c>
      <c r="N134" s="252"/>
      <c r="O134" s="252" t="s">
        <v>32</v>
      </c>
      <c r="P134" s="252" t="s">
        <v>502</v>
      </c>
      <c r="Q134" s="10" t="s">
        <v>15</v>
      </c>
      <c r="R134" s="10" t="s">
        <v>37</v>
      </c>
      <c r="S134" s="10" t="s">
        <v>503</v>
      </c>
      <c r="T134" s="10" t="s">
        <v>38</v>
      </c>
      <c r="U134" s="35"/>
    </row>
    <row r="136" spans="2:21" x14ac:dyDescent="0.2">
      <c r="D136" s="82" t="s">
        <v>54</v>
      </c>
      <c r="H136" s="144"/>
      <c r="I136" s="144"/>
      <c r="J136" s="144"/>
      <c r="K136" s="144"/>
      <c r="L136" s="144"/>
      <c r="M136" s="144"/>
      <c r="N136" s="144"/>
      <c r="O136" s="144"/>
      <c r="P136" s="144"/>
      <c r="Q136" s="144"/>
      <c r="R136" s="144"/>
      <c r="S136" s="144"/>
      <c r="T136" s="144"/>
    </row>
    <row r="137" spans="2:21" x14ac:dyDescent="0.2">
      <c r="B137" s="252">
        <f>MAX(B$15:B136)+1</f>
        <v>59</v>
      </c>
      <c r="D137" s="38" t="s">
        <v>41</v>
      </c>
      <c r="F137" s="494" t="s">
        <v>24</v>
      </c>
      <c r="H137" s="141">
        <v>168</v>
      </c>
      <c r="I137" s="144"/>
      <c r="J137" s="141"/>
      <c r="K137" s="141"/>
      <c r="L137" s="144"/>
      <c r="M137" s="141"/>
      <c r="N137" s="144"/>
      <c r="O137" s="141">
        <v>2525.2853305289391</v>
      </c>
      <c r="P137" s="141">
        <f>Q137-O137</f>
        <v>0</v>
      </c>
      <c r="Q137" s="141">
        <f>$H137*R137/1000</f>
        <v>2525.2853305289391</v>
      </c>
      <c r="R137" s="361">
        <v>15031.460300767496</v>
      </c>
      <c r="S137" s="143">
        <f>Q137/O137</f>
        <v>1</v>
      </c>
      <c r="T137" s="141"/>
    </row>
    <row r="138" spans="2:21" x14ac:dyDescent="0.2">
      <c r="B138" s="252">
        <f>MAX(B$15:B137)+1</f>
        <v>60</v>
      </c>
      <c r="D138" s="38" t="s">
        <v>68</v>
      </c>
      <c r="F138" s="494" t="s">
        <v>25</v>
      </c>
      <c r="H138" s="141">
        <v>3262003.4960524095</v>
      </c>
      <c r="I138" s="144"/>
      <c r="J138" s="141"/>
      <c r="K138" s="141"/>
      <c r="L138" s="144"/>
      <c r="M138" s="141"/>
      <c r="N138" s="144"/>
      <c r="O138" s="141">
        <v>250.65350275630135</v>
      </c>
      <c r="P138" s="141">
        <f>Q138-O138</f>
        <v>0</v>
      </c>
      <c r="Q138" s="141">
        <f>$H138*R138/100</f>
        <v>250.65350275630135</v>
      </c>
      <c r="R138" s="170">
        <v>7.684035380698874E-3</v>
      </c>
      <c r="S138" s="143">
        <f>Q138/O138</f>
        <v>1</v>
      </c>
      <c r="T138" s="141"/>
    </row>
    <row r="139" spans="2:21" x14ac:dyDescent="0.2">
      <c r="B139" s="252">
        <f>MAX(B$15:B138)+1</f>
        <v>61</v>
      </c>
      <c r="D139" s="13" t="s">
        <v>335</v>
      </c>
      <c r="F139" s="494"/>
      <c r="H139" s="141"/>
      <c r="I139" s="144"/>
      <c r="J139" s="144"/>
      <c r="K139" s="144"/>
      <c r="L139" s="144"/>
      <c r="M139" s="144"/>
      <c r="N139" s="144"/>
      <c r="O139" s="141">
        <f>Q139</f>
        <v>2691.3857701786724</v>
      </c>
      <c r="P139" s="144"/>
      <c r="Q139" s="141">
        <v>2691.3857701786724</v>
      </c>
      <c r="R139" s="362">
        <v>4.7132282102054952E-3</v>
      </c>
      <c r="S139" s="143">
        <f>Q139/O139</f>
        <v>1</v>
      </c>
      <c r="T139" s="144"/>
    </row>
    <row r="140" spans="2:21" x14ac:dyDescent="0.2">
      <c r="B140" s="252">
        <f>MAX(B$15:B139)+1</f>
        <v>62</v>
      </c>
      <c r="D140" s="38" t="s">
        <v>145</v>
      </c>
      <c r="F140" s="494" t="s">
        <v>40</v>
      </c>
      <c r="H140" s="141">
        <v>294855.76400000002</v>
      </c>
      <c r="I140" s="144"/>
      <c r="J140" s="141"/>
      <c r="K140" s="141"/>
      <c r="L140" s="144"/>
      <c r="M140" s="141"/>
      <c r="N140" s="144"/>
      <c r="O140" s="141">
        <v>29529.495150971426</v>
      </c>
      <c r="P140" s="141">
        <f>Q140-O140</f>
        <v>-790.08045424308511</v>
      </c>
      <c r="Q140" s="141">
        <f>$H140*R140/100</f>
        <v>28739.414696728341</v>
      </c>
      <c r="R140" s="170">
        <v>9.7469400994068192</v>
      </c>
      <c r="S140" s="143">
        <f>Q140/O140</f>
        <v>0.97324436295968664</v>
      </c>
      <c r="T140" s="141"/>
    </row>
    <row r="141" spans="2:21" x14ac:dyDescent="0.2">
      <c r="B141" s="252">
        <f>MAX(B$15:B140)+1</f>
        <v>63</v>
      </c>
      <c r="D141" s="38" t="s">
        <v>147</v>
      </c>
      <c r="F141" s="494" t="s">
        <v>40</v>
      </c>
      <c r="H141" s="141">
        <v>224616.65200000003</v>
      </c>
      <c r="I141" s="144"/>
      <c r="J141" s="141"/>
      <c r="K141" s="141"/>
      <c r="L141" s="144"/>
      <c r="M141" s="141"/>
      <c r="N141" s="144"/>
      <c r="O141" s="141">
        <v>2204.2160559509075</v>
      </c>
      <c r="P141" s="141">
        <f>Q141-O141</f>
        <v>0</v>
      </c>
      <c r="Q141" s="141">
        <f>$H141*R141/100</f>
        <v>2204.2160559509075</v>
      </c>
      <c r="R141" s="170">
        <v>0.98132352892113595</v>
      </c>
      <c r="S141" s="143">
        <f>Q141/O141</f>
        <v>1</v>
      </c>
      <c r="T141" s="141"/>
    </row>
    <row r="142" spans="2:21" x14ac:dyDescent="0.2">
      <c r="B142" s="252">
        <f>MAX(B$15:B141)+1</f>
        <v>64</v>
      </c>
      <c r="D142" s="38" t="s">
        <v>820</v>
      </c>
      <c r="F142" s="494" t="s">
        <v>25</v>
      </c>
      <c r="H142" s="141">
        <v>0</v>
      </c>
      <c r="I142" s="144"/>
      <c r="J142" s="141"/>
      <c r="K142" s="141"/>
      <c r="L142" s="144"/>
      <c r="M142" s="141"/>
      <c r="N142" s="144"/>
      <c r="O142" s="141">
        <v>0</v>
      </c>
      <c r="P142" s="141">
        <f>Q142-O142</f>
        <v>0</v>
      </c>
      <c r="Q142" s="141">
        <f>$H142*R142/100</f>
        <v>0</v>
      </c>
      <c r="R142" s="170">
        <v>3.9946726742489648E-2</v>
      </c>
      <c r="S142" s="143"/>
      <c r="T142" s="141"/>
    </row>
    <row r="143" spans="2:21" x14ac:dyDescent="0.2">
      <c r="B143" s="252">
        <f>MAX(B$15:B142)+1</f>
        <v>65</v>
      </c>
      <c r="D143" s="38" t="s">
        <v>148</v>
      </c>
      <c r="F143" s="494" t="s">
        <v>40</v>
      </c>
      <c r="H143" s="141">
        <v>121211.48000000001</v>
      </c>
      <c r="I143" s="144"/>
      <c r="J143" s="141"/>
      <c r="K143" s="141"/>
      <c r="L143" s="144"/>
      <c r="M143" s="141"/>
      <c r="N143" s="144"/>
      <c r="O143" s="141">
        <v>16095.501825688734</v>
      </c>
      <c r="P143" s="141">
        <f>Q143-O143</f>
        <v>0</v>
      </c>
      <c r="Q143" s="141">
        <f>$H143*R143/100</f>
        <v>16095.501825688734</v>
      </c>
      <c r="R143" s="170">
        <v>13.278859251358645</v>
      </c>
      <c r="S143" s="143">
        <f>Q143/O143</f>
        <v>1</v>
      </c>
      <c r="T143" s="141"/>
    </row>
    <row r="144" spans="2:21" x14ac:dyDescent="0.2">
      <c r="B144" s="252">
        <f>MAX(B$15:B143)+1</f>
        <v>66</v>
      </c>
      <c r="D144" s="38" t="s">
        <v>787</v>
      </c>
      <c r="H144" s="141">
        <v>1427302.6369889998</v>
      </c>
      <c r="I144" s="144"/>
      <c r="J144" s="141"/>
      <c r="K144" s="141"/>
      <c r="L144" s="144"/>
      <c r="M144" s="141"/>
      <c r="N144" s="144"/>
      <c r="O144" s="141">
        <f>Q144</f>
        <v>850.94691332988975</v>
      </c>
      <c r="P144" s="141">
        <f>Q144-O144</f>
        <v>0</v>
      </c>
      <c r="Q144" s="141">
        <v>850.94691332988975</v>
      </c>
      <c r="R144" s="362">
        <v>2.87331022609961E-3</v>
      </c>
      <c r="S144" s="143">
        <f>Q144/O144</f>
        <v>1</v>
      </c>
      <c r="T144" s="141"/>
    </row>
    <row r="145" spans="2:20" x14ac:dyDescent="0.2">
      <c r="D145" s="38"/>
      <c r="F145" s="494"/>
      <c r="H145" s="141"/>
      <c r="I145" s="144"/>
      <c r="J145" s="144"/>
      <c r="K145" s="144"/>
      <c r="L145" s="144"/>
      <c r="M145" s="144"/>
      <c r="N145" s="144"/>
      <c r="O145" s="144"/>
      <c r="P145" s="144"/>
      <c r="Q145" s="144"/>
      <c r="R145" s="144"/>
      <c r="S145" s="144"/>
      <c r="T145" s="144"/>
    </row>
    <row r="146" spans="2:20" ht="13.5" thickBot="1" x14ac:dyDescent="0.25">
      <c r="B146" s="252">
        <f>MAX(B$15:B145)+1</f>
        <v>67</v>
      </c>
      <c r="D146" s="86" t="s">
        <v>150</v>
      </c>
      <c r="H146" s="149">
        <f>H138</f>
        <v>3262003.4960524095</v>
      </c>
      <c r="I146" s="151"/>
      <c r="J146" s="168">
        <f>'Attach 1'!F20</f>
        <v>57108.665272020393</v>
      </c>
      <c r="K146" s="156">
        <f>J146/$H146*100</f>
        <v>1.7507236071675518</v>
      </c>
      <c r="L146" s="140"/>
      <c r="M146" s="149">
        <f>J146-O146</f>
        <v>2961.1807226155215</v>
      </c>
      <c r="N146" s="142"/>
      <c r="O146" s="149">
        <f>SUM(O137:O144)</f>
        <v>54147.484549404871</v>
      </c>
      <c r="P146" s="149">
        <f>SUM(P137:P144)</f>
        <v>-790.08045424308511</v>
      </c>
      <c r="Q146" s="149">
        <f>SUM(Q137:Q144)</f>
        <v>53357.404095161786</v>
      </c>
      <c r="R146" s="156">
        <f>Q146/$H146*100</f>
        <v>1.6357249205812781</v>
      </c>
      <c r="S146" s="194">
        <f>Q146/O146</f>
        <v>0.98540873208020952</v>
      </c>
      <c r="T146" s="470">
        <f>R146/K146-1</f>
        <v>-6.5686374545623982E-2</v>
      </c>
    </row>
    <row r="147" spans="2:20" ht="13.5" thickTop="1" x14ac:dyDescent="0.2">
      <c r="D147" s="38"/>
    </row>
    <row r="148" spans="2:20" x14ac:dyDescent="0.2">
      <c r="D148" s="82" t="s">
        <v>55</v>
      </c>
    </row>
    <row r="149" spans="2:20" x14ac:dyDescent="0.2">
      <c r="B149" s="252">
        <f>MAX(B$15:B148)+1</f>
        <v>68</v>
      </c>
      <c r="D149" s="38" t="s">
        <v>41</v>
      </c>
      <c r="F149" s="494" t="s">
        <v>24</v>
      </c>
      <c r="H149" s="141">
        <v>624</v>
      </c>
      <c r="I149" s="144"/>
      <c r="J149" s="141"/>
      <c r="K149" s="141"/>
      <c r="L149" s="144"/>
      <c r="M149" s="141"/>
      <c r="N149" s="144"/>
      <c r="O149" s="141">
        <v>1654.4494131016561</v>
      </c>
      <c r="P149" s="141">
        <f>Q149-O149</f>
        <v>-1342.4494131016561</v>
      </c>
      <c r="Q149" s="141">
        <f>$H149*R149/1000</f>
        <v>312</v>
      </c>
      <c r="R149" s="361">
        <v>500</v>
      </c>
      <c r="S149" s="143">
        <f>Q149/O149</f>
        <v>0.18858237521755489</v>
      </c>
      <c r="T149" s="141"/>
    </row>
    <row r="150" spans="2:20" x14ac:dyDescent="0.2">
      <c r="B150" s="252">
        <f>MAX(B$15:B149)+1</f>
        <v>69</v>
      </c>
      <c r="D150" s="38" t="s">
        <v>151</v>
      </c>
      <c r="F150" s="494" t="s">
        <v>25</v>
      </c>
      <c r="H150" s="141">
        <v>474030.03009035997</v>
      </c>
      <c r="I150" s="144"/>
      <c r="J150" s="141"/>
      <c r="K150" s="141"/>
      <c r="L150" s="144"/>
      <c r="M150" s="141"/>
      <c r="N150" s="144"/>
      <c r="O150" s="141">
        <v>1235.9520178963721</v>
      </c>
      <c r="P150" s="141">
        <f>Q150-O150</f>
        <v>0</v>
      </c>
      <c r="Q150" s="141">
        <f>$H150*R150/100</f>
        <v>1235.9520178963721</v>
      </c>
      <c r="R150" s="170">
        <v>0.26073285223317477</v>
      </c>
      <c r="S150" s="143">
        <f>Q150/O150</f>
        <v>1</v>
      </c>
      <c r="T150" s="141"/>
    </row>
    <row r="151" spans="2:20" x14ac:dyDescent="0.2">
      <c r="B151" s="252">
        <f>MAX(B$15:B150)+1</f>
        <v>70</v>
      </c>
      <c r="D151" s="38" t="s">
        <v>152</v>
      </c>
      <c r="F151" s="494" t="s">
        <v>40</v>
      </c>
      <c r="H151" s="141">
        <v>60959.28</v>
      </c>
      <c r="I151" s="144"/>
      <c r="J151" s="141"/>
      <c r="K151" s="141"/>
      <c r="L151" s="144"/>
      <c r="M151" s="141"/>
      <c r="N151" s="144"/>
      <c r="O151" s="141">
        <v>2491.0135799796085</v>
      </c>
      <c r="P151" s="141">
        <f>Q151-O151</f>
        <v>2233.3247315557287</v>
      </c>
      <c r="Q151" s="141">
        <f>$H151*R151/100</f>
        <v>4724.3383115353372</v>
      </c>
      <c r="R151" s="170">
        <v>7.7499903403310162</v>
      </c>
      <c r="S151" s="143">
        <f>Q151/O151</f>
        <v>1.896552611958868</v>
      </c>
      <c r="T151" s="141"/>
    </row>
    <row r="152" spans="2:20" x14ac:dyDescent="0.2">
      <c r="B152" s="252">
        <f>MAX(B$15:B151)+1</f>
        <v>71</v>
      </c>
      <c r="D152" s="38" t="s">
        <v>153</v>
      </c>
      <c r="F152" s="494" t="s">
        <v>40</v>
      </c>
      <c r="H152" s="141">
        <v>16.8</v>
      </c>
      <c r="I152" s="144"/>
      <c r="J152" s="141"/>
      <c r="K152" s="141"/>
      <c r="L152" s="144"/>
      <c r="M152" s="141"/>
      <c r="N152" s="144"/>
      <c r="O152" s="141">
        <v>3.5977621346658104</v>
      </c>
      <c r="P152" s="141">
        <f>Q152-O152</f>
        <v>8.9821734737774346</v>
      </c>
      <c r="Q152" s="141">
        <f>$H152*R152/100</f>
        <v>12.579935608443245</v>
      </c>
      <c r="R152" s="170">
        <v>74.88056909787646</v>
      </c>
      <c r="S152" s="143">
        <f>Q152/O152</f>
        <v>3.4966001468609522</v>
      </c>
      <c r="T152" s="141"/>
    </row>
    <row r="153" spans="2:20" x14ac:dyDescent="0.2">
      <c r="B153" s="252">
        <f>MAX(B$15:B152)+1</f>
        <v>72</v>
      </c>
      <c r="D153" s="38" t="s">
        <v>820</v>
      </c>
      <c r="F153" s="504" t="s">
        <v>25</v>
      </c>
      <c r="H153" s="141">
        <v>0</v>
      </c>
      <c r="I153" s="144"/>
      <c r="J153" s="141"/>
      <c r="K153" s="141"/>
      <c r="L153" s="144"/>
      <c r="M153" s="141"/>
      <c r="N153" s="144"/>
      <c r="O153" s="141">
        <v>0</v>
      </c>
      <c r="P153" s="141">
        <f>Q153-O153</f>
        <v>0</v>
      </c>
      <c r="Q153" s="141">
        <f>$H153*R153/100</f>
        <v>0</v>
      </c>
      <c r="R153" s="170">
        <v>0.51549999999999996</v>
      </c>
      <c r="S153" s="143"/>
      <c r="T153" s="141"/>
    </row>
    <row r="154" spans="2:20" x14ac:dyDescent="0.2">
      <c r="D154" s="38"/>
      <c r="F154" s="494"/>
      <c r="H154" s="144"/>
      <c r="I154" s="144"/>
      <c r="J154" s="144"/>
      <c r="K154" s="144"/>
      <c r="L154" s="144"/>
      <c r="M154" s="144"/>
      <c r="N154" s="144"/>
      <c r="O154" s="144"/>
      <c r="P154" s="144"/>
      <c r="Q154" s="144"/>
      <c r="R154" s="167"/>
      <c r="S154" s="144"/>
      <c r="T154" s="144"/>
    </row>
    <row r="155" spans="2:20" x14ac:dyDescent="0.2">
      <c r="B155" s="252">
        <f>MAX(B$15:B154)+1</f>
        <v>73</v>
      </c>
      <c r="C155" s="7"/>
      <c r="D155" s="38" t="s">
        <v>34</v>
      </c>
      <c r="E155" s="252"/>
      <c r="F155" s="15"/>
      <c r="G155" s="252"/>
      <c r="H155" s="146">
        <f>H150</f>
        <v>474030.03009035997</v>
      </c>
      <c r="I155" s="151"/>
      <c r="J155" s="141"/>
      <c r="K155" s="141"/>
      <c r="L155" s="140"/>
      <c r="M155" s="141"/>
      <c r="N155" s="142"/>
      <c r="O155" s="146">
        <f>SUM(O149:O153)</f>
        <v>5385.0127731123021</v>
      </c>
      <c r="P155" s="146">
        <f>SUM(P149:P153)</f>
        <v>899.85749192784999</v>
      </c>
      <c r="Q155" s="146">
        <f>SUM(Q149:Q153)</f>
        <v>6284.8702650401528</v>
      </c>
      <c r="R155" s="154">
        <f>Q155/$H155*100</f>
        <v>1.3258379988799709</v>
      </c>
      <c r="S155" s="155">
        <f>Q155/O155</f>
        <v>1.1671040589580204</v>
      </c>
      <c r="T155" s="141"/>
    </row>
    <row r="156" spans="2:20" x14ac:dyDescent="0.2">
      <c r="B156" s="252"/>
      <c r="C156" s="7"/>
      <c r="D156" s="38"/>
      <c r="E156" s="252"/>
      <c r="F156" s="15"/>
      <c r="G156" s="252"/>
      <c r="H156" s="159"/>
      <c r="I156" s="151"/>
      <c r="J156" s="141"/>
      <c r="K156" s="141"/>
      <c r="L156" s="140"/>
      <c r="M156" s="141"/>
      <c r="N156" s="142"/>
      <c r="O156" s="159"/>
      <c r="P156" s="159"/>
      <c r="Q156" s="159"/>
      <c r="R156" s="170"/>
      <c r="S156" s="166"/>
      <c r="T156" s="141"/>
    </row>
    <row r="157" spans="2:20" x14ac:dyDescent="0.2">
      <c r="B157" s="252"/>
      <c r="C157" s="7"/>
      <c r="D157" s="38" t="s">
        <v>43</v>
      </c>
      <c r="E157" s="252"/>
      <c r="F157" s="33"/>
      <c r="G157" s="252"/>
      <c r="H157" s="141"/>
      <c r="I157" s="151"/>
      <c r="J157" s="150"/>
      <c r="K157" s="151"/>
      <c r="L157" s="140"/>
      <c r="M157" s="152"/>
      <c r="N157" s="142"/>
      <c r="O157" s="141"/>
      <c r="P157" s="141"/>
      <c r="Q157" s="141"/>
      <c r="R157" s="147"/>
      <c r="S157" s="143"/>
      <c r="T157" s="152"/>
    </row>
    <row r="158" spans="2:20" x14ac:dyDescent="0.2">
      <c r="B158" s="252">
        <f>MAX(B$15:B154)+1</f>
        <v>73</v>
      </c>
      <c r="D158" s="39" t="s">
        <v>154</v>
      </c>
      <c r="E158" s="252"/>
      <c r="F158" s="33" t="s">
        <v>25</v>
      </c>
      <c r="H158" s="141">
        <v>474030.03009035997</v>
      </c>
      <c r="I158" s="144"/>
      <c r="J158" s="141"/>
      <c r="K158" s="141"/>
      <c r="L158" s="144"/>
      <c r="M158" s="141"/>
      <c r="N158" s="144"/>
      <c r="O158" s="141">
        <f t="shared" ref="O158:O159" si="5">Q158</f>
        <v>4208.1341039682311</v>
      </c>
      <c r="P158" s="141">
        <f>Q158-O158</f>
        <v>0</v>
      </c>
      <c r="Q158" s="141">
        <f>$H158*R158/100</f>
        <v>4208.1341039682311</v>
      </c>
      <c r="R158" s="170">
        <v>0.88773576289377143</v>
      </c>
      <c r="S158" s="141"/>
      <c r="T158" s="141"/>
    </row>
    <row r="159" spans="2:20" x14ac:dyDescent="0.2">
      <c r="B159" s="252">
        <f>MAX(B$15:B158)+1</f>
        <v>74</v>
      </c>
      <c r="D159" s="39" t="s">
        <v>33</v>
      </c>
      <c r="E159" s="252"/>
      <c r="F159" s="33" t="s">
        <v>25</v>
      </c>
      <c r="H159" s="141">
        <v>0</v>
      </c>
      <c r="I159" s="144"/>
      <c r="J159" s="141"/>
      <c r="K159" s="141"/>
      <c r="L159" s="144"/>
      <c r="M159" s="141"/>
      <c r="N159" s="144"/>
      <c r="O159" s="141">
        <f t="shared" si="5"/>
        <v>0</v>
      </c>
      <c r="P159" s="141">
        <f>Q159-O159</f>
        <v>0</v>
      </c>
      <c r="Q159" s="141">
        <f>$H159*R159/100</f>
        <v>0</v>
      </c>
      <c r="R159" s="170">
        <v>2.7497026683867807</v>
      </c>
      <c r="S159" s="141"/>
      <c r="T159" s="141"/>
    </row>
    <row r="160" spans="2:20" x14ac:dyDescent="0.2">
      <c r="B160" s="252">
        <f>MAX(B$15:B159)+1</f>
        <v>75</v>
      </c>
      <c r="C160" s="7"/>
      <c r="D160" s="13" t="s">
        <v>43</v>
      </c>
      <c r="E160" s="252"/>
      <c r="F160" s="15"/>
      <c r="G160" s="252"/>
      <c r="H160" s="146">
        <f>SUM(H158:H159)</f>
        <v>474030.03009035997</v>
      </c>
      <c r="I160" s="151"/>
      <c r="J160" s="141"/>
      <c r="K160" s="141"/>
      <c r="L160" s="140"/>
      <c r="M160" s="141"/>
      <c r="N160" s="142"/>
      <c r="O160" s="146">
        <f>SUM(O158:O159)</f>
        <v>4208.1341039682311</v>
      </c>
      <c r="P160" s="146">
        <f>SUM(P158:P159)</f>
        <v>0</v>
      </c>
      <c r="Q160" s="146">
        <f>SUM(Q158:Q159)</f>
        <v>4208.1341039682311</v>
      </c>
      <c r="R160" s="154">
        <f>Q160/$H160*100</f>
        <v>0.88773576289377132</v>
      </c>
      <c r="S160" s="155">
        <f>Q160/O160</f>
        <v>1</v>
      </c>
      <c r="T160" s="141"/>
    </row>
    <row r="161" spans="2:20" x14ac:dyDescent="0.2">
      <c r="D161" s="84"/>
      <c r="F161" s="494"/>
      <c r="H161" s="144"/>
      <c r="I161" s="144"/>
      <c r="J161" s="144"/>
      <c r="K161" s="144"/>
      <c r="L161" s="144"/>
      <c r="M161" s="144"/>
      <c r="N161" s="144"/>
      <c r="O161" s="144"/>
      <c r="P161" s="144"/>
      <c r="Q161" s="144"/>
      <c r="R161" s="167"/>
      <c r="S161" s="144"/>
      <c r="T161" s="144"/>
    </row>
    <row r="162" spans="2:20" x14ac:dyDescent="0.2">
      <c r="B162" s="252">
        <f>MAX(B$15:B161)+1</f>
        <v>76</v>
      </c>
      <c r="D162" s="84" t="s">
        <v>155</v>
      </c>
      <c r="F162" s="494" t="s">
        <v>25</v>
      </c>
      <c r="H162" s="141">
        <v>13496.806840359997</v>
      </c>
      <c r="I162" s="144"/>
      <c r="J162" s="141"/>
      <c r="K162" s="141"/>
      <c r="L162" s="144"/>
      <c r="M162" s="141"/>
      <c r="N162" s="144"/>
      <c r="O162" s="141">
        <f>Q162</f>
        <v>2821.2918154440749</v>
      </c>
      <c r="P162" s="141">
        <f>Q162-O162</f>
        <v>0</v>
      </c>
      <c r="Q162" s="141">
        <f>$H162*R162/100</f>
        <v>2821.2918154440749</v>
      </c>
      <c r="R162" s="170">
        <v>20.903402181080807</v>
      </c>
      <c r="S162" s="143">
        <f>Q162/O162</f>
        <v>1</v>
      </c>
      <c r="T162" s="141"/>
    </row>
    <row r="163" spans="2:20" x14ac:dyDescent="0.2">
      <c r="D163" s="84"/>
      <c r="H163" s="144"/>
      <c r="I163" s="144"/>
      <c r="J163" s="144"/>
      <c r="K163" s="144"/>
      <c r="L163" s="144"/>
      <c r="M163" s="144"/>
      <c r="N163" s="144"/>
      <c r="O163" s="144"/>
      <c r="P163" s="144"/>
      <c r="Q163" s="144"/>
      <c r="R163" s="144"/>
      <c r="S163" s="144"/>
      <c r="T163" s="144"/>
    </row>
    <row r="164" spans="2:20" ht="13.5" thickBot="1" x14ac:dyDescent="0.25">
      <c r="B164" s="252">
        <f>MAX(B$15:B163)+1</f>
        <v>77</v>
      </c>
      <c r="D164" s="86" t="s">
        <v>156</v>
      </c>
      <c r="H164" s="168">
        <f>H150</f>
        <v>474030.03009035997</v>
      </c>
      <c r="I164" s="151"/>
      <c r="J164" s="168">
        <f>'Attach 1'!F21</f>
        <v>10614.088823874712</v>
      </c>
      <c r="K164" s="156">
        <f>J164/$H164*100</f>
        <v>2.239117387109725</v>
      </c>
      <c r="L164" s="140"/>
      <c r="M164" s="149">
        <f>J164-O164</f>
        <v>-1800.3498686498951</v>
      </c>
      <c r="N164" s="142"/>
      <c r="O164" s="168">
        <f>SUM(O155,O160,O162)</f>
        <v>12414.438692524607</v>
      </c>
      <c r="P164" s="168">
        <f>SUM(P155,P160,P162)</f>
        <v>899.85749192784999</v>
      </c>
      <c r="Q164" s="168">
        <f>SUM(Q155,Q160,Q162)</f>
        <v>13314.296184452458</v>
      </c>
      <c r="R164" s="156">
        <f>Q164/$H164*100</f>
        <v>2.8087452986711572</v>
      </c>
      <c r="S164" s="194">
        <f>Q164/O164</f>
        <v>1.0724847505566002</v>
      </c>
      <c r="T164" s="190">
        <f>R164/K164-1</f>
        <v>0.25439841378602912</v>
      </c>
    </row>
    <row r="165" spans="2:20" ht="13.5" thickTop="1" x14ac:dyDescent="0.2"/>
    <row r="166" spans="2:20" x14ac:dyDescent="0.2">
      <c r="D166" s="82" t="s">
        <v>56</v>
      </c>
      <c r="H166" s="144"/>
      <c r="I166" s="144"/>
      <c r="J166" s="144"/>
      <c r="K166" s="144"/>
      <c r="L166" s="144"/>
      <c r="M166" s="144"/>
      <c r="N166" s="144"/>
      <c r="O166" s="144"/>
      <c r="P166" s="144"/>
      <c r="Q166" s="144"/>
      <c r="R166" s="144"/>
      <c r="S166" s="144"/>
      <c r="T166" s="144"/>
    </row>
    <row r="167" spans="2:20" x14ac:dyDescent="0.2">
      <c r="B167" s="252">
        <f>MAX(B$15:B166)+1</f>
        <v>78</v>
      </c>
      <c r="D167" s="38" t="s">
        <v>41</v>
      </c>
      <c r="F167" s="494" t="s">
        <v>24</v>
      </c>
      <c r="H167" s="141">
        <v>492</v>
      </c>
      <c r="I167" s="144"/>
      <c r="J167" s="141"/>
      <c r="K167" s="141"/>
      <c r="L167" s="144"/>
      <c r="M167" s="141"/>
      <c r="N167" s="144"/>
      <c r="O167" s="141">
        <v>1139.177222118069</v>
      </c>
      <c r="P167" s="141">
        <f>Q167-O167</f>
        <v>-893.17722211806904</v>
      </c>
      <c r="Q167" s="141">
        <f>$H167*R167/1000</f>
        <v>246</v>
      </c>
      <c r="R167" s="361">
        <v>500</v>
      </c>
      <c r="S167" s="143">
        <f>Q167/O167</f>
        <v>0.21594532898280119</v>
      </c>
      <c r="T167" s="141"/>
    </row>
    <row r="168" spans="2:20" x14ac:dyDescent="0.2">
      <c r="B168" s="252">
        <f>MAX(B$15:B167)+1</f>
        <v>79</v>
      </c>
      <c r="D168" s="38" t="s">
        <v>151</v>
      </c>
      <c r="F168" s="494" t="s">
        <v>25</v>
      </c>
      <c r="H168" s="141">
        <v>54820.516019999995</v>
      </c>
      <c r="I168" s="144"/>
      <c r="J168" s="141"/>
      <c r="K168" s="141"/>
      <c r="L168" s="144"/>
      <c r="M168" s="141"/>
      <c r="N168" s="144"/>
      <c r="O168" s="141">
        <v>142.94235668389314</v>
      </c>
      <c r="P168" s="141">
        <f>Q168-O168</f>
        <v>0</v>
      </c>
      <c r="Q168" s="141">
        <f>$H168*R168/100</f>
        <v>142.94235668389317</v>
      </c>
      <c r="R168" s="170">
        <v>0.26074609847113434</v>
      </c>
      <c r="S168" s="143">
        <f>Q168/O168</f>
        <v>1.0000000000000002</v>
      </c>
      <c r="T168" s="141"/>
    </row>
    <row r="169" spans="2:20" x14ac:dyDescent="0.2">
      <c r="B169" s="252">
        <f>MAX(B$15:B168)+1</f>
        <v>80</v>
      </c>
      <c r="D169" s="38" t="s">
        <v>157</v>
      </c>
      <c r="F169" s="494" t="s">
        <v>40</v>
      </c>
      <c r="H169" s="141">
        <v>12006.122800000001</v>
      </c>
      <c r="I169" s="144"/>
      <c r="J169" s="141"/>
      <c r="K169" s="141"/>
      <c r="L169" s="144"/>
      <c r="M169" s="141"/>
      <c r="N169" s="144"/>
      <c r="O169" s="141">
        <v>1340.8484977168644</v>
      </c>
      <c r="P169" s="141">
        <f>Q169-O169</f>
        <v>-8.7381482798505203</v>
      </c>
      <c r="Q169" s="141">
        <f>$H169*R169/100</f>
        <v>1332.1103494370138</v>
      </c>
      <c r="R169" s="170">
        <v>11.095258407960094</v>
      </c>
      <c r="S169" s="143">
        <f>Q169/O169</f>
        <v>0.99348312035645381</v>
      </c>
      <c r="T169" s="141"/>
    </row>
    <row r="170" spans="2:20" x14ac:dyDescent="0.2">
      <c r="D170" s="83"/>
      <c r="F170" s="494"/>
      <c r="H170" s="144"/>
      <c r="I170" s="144"/>
      <c r="J170" s="144"/>
      <c r="K170" s="144"/>
      <c r="L170" s="144"/>
      <c r="M170" s="144"/>
      <c r="N170" s="144"/>
      <c r="O170" s="144"/>
      <c r="P170" s="144"/>
      <c r="Q170" s="144"/>
      <c r="R170" s="167"/>
      <c r="S170" s="144"/>
      <c r="T170" s="144"/>
    </row>
    <row r="171" spans="2:20" x14ac:dyDescent="0.2">
      <c r="B171" s="252">
        <f>MAX(B$15:B170)+1</f>
        <v>81</v>
      </c>
      <c r="C171" s="7"/>
      <c r="D171" s="38" t="s">
        <v>34</v>
      </c>
      <c r="E171" s="252"/>
      <c r="F171" s="15"/>
      <c r="G171" s="252"/>
      <c r="H171" s="146">
        <f>H168</f>
        <v>54820.516019999995</v>
      </c>
      <c r="I171" s="151"/>
      <c r="J171" s="141"/>
      <c r="K171" s="141"/>
      <c r="L171" s="140"/>
      <c r="M171" s="141"/>
      <c r="N171" s="142"/>
      <c r="O171" s="146">
        <f>SUM(O167:O169)</f>
        <v>2622.9680765188268</v>
      </c>
      <c r="P171" s="146">
        <f>SUM(P167:P169)</f>
        <v>-901.91537039791956</v>
      </c>
      <c r="Q171" s="146">
        <f>SUM(Q167:Q169)</f>
        <v>1721.052706120907</v>
      </c>
      <c r="R171" s="154">
        <f>Q171/$H171*100</f>
        <v>3.1394317877143307</v>
      </c>
      <c r="S171" s="155">
        <f>Q171/O171</f>
        <v>0.65614702730391916</v>
      </c>
      <c r="T171" s="141"/>
    </row>
    <row r="172" spans="2:20" x14ac:dyDescent="0.2">
      <c r="B172" s="252"/>
      <c r="C172" s="7"/>
      <c r="D172" s="38"/>
      <c r="E172" s="252"/>
      <c r="F172" s="15"/>
      <c r="G172" s="252"/>
      <c r="H172" s="159"/>
      <c r="I172" s="151"/>
      <c r="J172" s="141"/>
      <c r="K172" s="141"/>
      <c r="L172" s="140"/>
      <c r="M172" s="141"/>
      <c r="N172" s="142"/>
      <c r="O172" s="159"/>
      <c r="P172" s="159"/>
      <c r="Q172" s="159"/>
      <c r="R172" s="170"/>
      <c r="S172" s="166"/>
      <c r="T172" s="141"/>
    </row>
    <row r="173" spans="2:20" x14ac:dyDescent="0.2">
      <c r="B173" s="252"/>
      <c r="C173" s="7"/>
      <c r="D173" s="38" t="s">
        <v>43</v>
      </c>
      <c r="E173" s="252"/>
      <c r="F173" s="33"/>
      <c r="G173" s="252"/>
      <c r="H173" s="141"/>
      <c r="I173" s="151"/>
      <c r="J173" s="150"/>
      <c r="K173" s="151"/>
      <c r="L173" s="140"/>
      <c r="M173" s="152"/>
      <c r="N173" s="142"/>
      <c r="O173" s="141"/>
      <c r="P173" s="141"/>
      <c r="Q173" s="141"/>
      <c r="R173" s="147"/>
      <c r="S173" s="143"/>
      <c r="T173" s="152"/>
    </row>
    <row r="174" spans="2:20" x14ac:dyDescent="0.2">
      <c r="B174" s="252">
        <f>MAX(B$15:B170)+1</f>
        <v>81</v>
      </c>
      <c r="D174" s="39" t="s">
        <v>154</v>
      </c>
      <c r="E174" s="252"/>
      <c r="F174" s="33" t="s">
        <v>25</v>
      </c>
      <c r="H174" s="141">
        <v>54820.516019999995</v>
      </c>
      <c r="I174" s="144"/>
      <c r="J174" s="141"/>
      <c r="K174" s="141"/>
      <c r="L174" s="144"/>
      <c r="M174" s="141"/>
      <c r="N174" s="144"/>
      <c r="O174" s="141">
        <f t="shared" ref="O174:O175" si="6">Q174</f>
        <v>486.53226227449272</v>
      </c>
      <c r="P174" s="141">
        <f>Q174-O174</f>
        <v>0</v>
      </c>
      <c r="Q174" s="141">
        <f>$H174*R174/100</f>
        <v>486.53226227449272</v>
      </c>
      <c r="R174" s="170">
        <v>0.88750033308149223</v>
      </c>
      <c r="S174" s="141"/>
      <c r="T174" s="141"/>
    </row>
    <row r="175" spans="2:20" x14ac:dyDescent="0.2">
      <c r="B175" s="252">
        <f>MAX(B$15:B174)+1</f>
        <v>82</v>
      </c>
      <c r="D175" s="39" t="s">
        <v>33</v>
      </c>
      <c r="E175" s="252"/>
      <c r="F175" s="33" t="s">
        <v>25</v>
      </c>
      <c r="H175" s="141">
        <v>0</v>
      </c>
      <c r="I175" s="144"/>
      <c r="J175" s="141"/>
      <c r="K175" s="141"/>
      <c r="L175" s="144"/>
      <c r="M175" s="141"/>
      <c r="N175" s="144"/>
      <c r="O175" s="141">
        <f t="shared" si="6"/>
        <v>0</v>
      </c>
      <c r="P175" s="141">
        <f>Q175-O175</f>
        <v>0</v>
      </c>
      <c r="Q175" s="141">
        <f>$H175*R175/100</f>
        <v>0</v>
      </c>
      <c r="R175" s="170">
        <v>2.7494672385745011</v>
      </c>
      <c r="S175" s="141"/>
      <c r="T175" s="141"/>
    </row>
    <row r="176" spans="2:20" x14ac:dyDescent="0.2">
      <c r="B176" s="252">
        <f>MAX(B$15:B175)+1</f>
        <v>83</v>
      </c>
      <c r="C176" s="7"/>
      <c r="D176" s="13" t="s">
        <v>43</v>
      </c>
      <c r="E176" s="252"/>
      <c r="F176" s="15"/>
      <c r="G176" s="252"/>
      <c r="H176" s="146">
        <f>SUM(H174:H175)</f>
        <v>54820.516019999995</v>
      </c>
      <c r="I176" s="151"/>
      <c r="J176" s="141"/>
      <c r="K176" s="141"/>
      <c r="L176" s="140"/>
      <c r="M176" s="141"/>
      <c r="N176" s="142"/>
      <c r="O176" s="146">
        <f>SUM(O174:O175)</f>
        <v>486.53226227449272</v>
      </c>
      <c r="P176" s="146">
        <f>SUM(P174:P175)</f>
        <v>0</v>
      </c>
      <c r="Q176" s="146">
        <f>SUM(Q174:Q175)</f>
        <v>486.53226227449272</v>
      </c>
      <c r="R176" s="154">
        <f>Q176/$H176*100</f>
        <v>0.88750033308149212</v>
      </c>
      <c r="S176" s="155">
        <f>Q176/O176</f>
        <v>1</v>
      </c>
      <c r="T176" s="141"/>
    </row>
    <row r="177" spans="2:21" x14ac:dyDescent="0.2">
      <c r="D177" s="84"/>
      <c r="F177" s="494"/>
      <c r="H177" s="144"/>
      <c r="I177" s="144"/>
      <c r="J177" s="144"/>
      <c r="K177" s="144"/>
      <c r="L177" s="144"/>
      <c r="M177" s="144"/>
      <c r="N177" s="144"/>
      <c r="O177" s="144"/>
      <c r="P177" s="144"/>
      <c r="Q177" s="144"/>
      <c r="R177" s="167"/>
      <c r="S177" s="144"/>
      <c r="T177" s="144"/>
    </row>
    <row r="178" spans="2:21" x14ac:dyDescent="0.2">
      <c r="B178" s="252">
        <f>MAX(B$15:B177)+1</f>
        <v>84</v>
      </c>
      <c r="D178" s="84" t="s">
        <v>155</v>
      </c>
      <c r="F178" s="494" t="s">
        <v>25</v>
      </c>
      <c r="H178" s="141">
        <v>6565.5263900000009</v>
      </c>
      <c r="I178" s="144"/>
      <c r="J178" s="141"/>
      <c r="K178" s="141"/>
      <c r="L178" s="144"/>
      <c r="M178" s="141"/>
      <c r="N178" s="144"/>
      <c r="O178" s="141">
        <f>Q178</f>
        <v>1372.4183866066962</v>
      </c>
      <c r="P178" s="141">
        <f>Q178-O178</f>
        <v>0</v>
      </c>
      <c r="Q178" s="141">
        <f>$H178*R178/100</f>
        <v>1372.4183866066962</v>
      </c>
      <c r="R178" s="170">
        <v>20.903402181080807</v>
      </c>
      <c r="S178" s="143">
        <f>Q178/O178</f>
        <v>1</v>
      </c>
      <c r="T178" s="141"/>
    </row>
    <row r="179" spans="2:21" x14ac:dyDescent="0.2">
      <c r="D179" s="38"/>
      <c r="H179" s="144"/>
      <c r="I179" s="144"/>
      <c r="J179" s="144"/>
      <c r="K179" s="144"/>
      <c r="L179" s="144"/>
      <c r="M179" s="144"/>
      <c r="N179" s="144"/>
      <c r="O179" s="144"/>
      <c r="P179" s="144"/>
      <c r="Q179" s="144"/>
      <c r="R179" s="144"/>
      <c r="S179" s="144"/>
      <c r="T179" s="144"/>
    </row>
    <row r="180" spans="2:21" ht="13.5" thickBot="1" x14ac:dyDescent="0.25">
      <c r="B180" s="252">
        <f>MAX(B$15:B179)+1</f>
        <v>85</v>
      </c>
      <c r="D180" s="86" t="s">
        <v>158</v>
      </c>
      <c r="H180" s="168">
        <f>H168</f>
        <v>54820.516019999995</v>
      </c>
      <c r="I180" s="160"/>
      <c r="J180" s="168">
        <f>'Attach 1'!F22</f>
        <v>2826.1955347871526</v>
      </c>
      <c r="K180" s="156">
        <f>J180/$H180*100</f>
        <v>5.1553610581777098</v>
      </c>
      <c r="L180" s="161"/>
      <c r="M180" s="168">
        <f>J180-O180</f>
        <v>-1655.7231906128627</v>
      </c>
      <c r="N180" s="162"/>
      <c r="O180" s="168">
        <f>SUM(O171,O176,O178)</f>
        <v>4481.9187254000153</v>
      </c>
      <c r="P180" s="168">
        <f>SUM(P171,P176,P178)</f>
        <v>-901.91537039791956</v>
      </c>
      <c r="Q180" s="168">
        <f>SUM(Q171,Q176,Q178)</f>
        <v>3580.0033550020962</v>
      </c>
      <c r="R180" s="156">
        <f>Q180/$H180*100</f>
        <v>6.530407983930715</v>
      </c>
      <c r="S180" s="194">
        <f>Q180/O180</f>
        <v>0.79876579080147814</v>
      </c>
      <c r="T180" s="190">
        <f>R180/K180-1</f>
        <v>0.26672175047212887</v>
      </c>
    </row>
    <row r="181" spans="2:21" ht="13.5" thickTop="1" x14ac:dyDescent="0.2">
      <c r="B181" s="252"/>
      <c r="D181" s="38"/>
      <c r="H181" s="164"/>
      <c r="I181" s="160"/>
      <c r="J181" s="164"/>
      <c r="K181" s="170"/>
      <c r="L181" s="161"/>
      <c r="M181" s="164"/>
      <c r="N181" s="162"/>
      <c r="O181" s="164"/>
      <c r="P181" s="164"/>
      <c r="Q181" s="164"/>
      <c r="R181" s="170"/>
      <c r="S181" s="172"/>
      <c r="T181" s="186"/>
    </row>
    <row r="182" spans="2:21" x14ac:dyDescent="0.2">
      <c r="T182" s="237"/>
    </row>
    <row r="183" spans="2:21" x14ac:dyDescent="0.2">
      <c r="T183" s="237"/>
    </row>
    <row r="184" spans="2:21" x14ac:dyDescent="0.2">
      <c r="T184" s="237"/>
    </row>
    <row r="185" spans="2:21" x14ac:dyDescent="0.2">
      <c r="B185" s="505" t="s">
        <v>296</v>
      </c>
      <c r="C185" s="505"/>
      <c r="D185" s="505"/>
      <c r="E185" s="505"/>
      <c r="F185" s="505"/>
      <c r="G185" s="505"/>
      <c r="H185" s="505"/>
      <c r="I185" s="505"/>
      <c r="J185" s="505"/>
      <c r="K185" s="505"/>
      <c r="L185" s="505"/>
      <c r="M185" s="505"/>
      <c r="N185" s="505"/>
      <c r="O185" s="505"/>
      <c r="P185" s="505"/>
      <c r="Q185" s="505"/>
      <c r="R185" s="505"/>
      <c r="S185" s="505"/>
      <c r="T185" s="505"/>
      <c r="U185" s="35"/>
    </row>
    <row r="186" spans="2:21" x14ac:dyDescent="0.2">
      <c r="B186" s="4" t="s">
        <v>781</v>
      </c>
      <c r="C186" s="4"/>
      <c r="D186" s="4"/>
      <c r="E186" s="4"/>
      <c r="F186" s="4"/>
      <c r="G186" s="4"/>
      <c r="H186" s="4"/>
      <c r="I186" s="4"/>
      <c r="J186" s="4"/>
      <c r="K186" s="4"/>
      <c r="L186" s="4"/>
      <c r="M186" s="4"/>
      <c r="N186" s="4"/>
      <c r="O186" s="4"/>
      <c r="P186" s="4"/>
      <c r="Q186" s="4"/>
      <c r="R186" s="4"/>
      <c r="S186" s="4"/>
      <c r="T186" s="3"/>
      <c r="U186" s="35"/>
    </row>
    <row r="187" spans="2:21" x14ac:dyDescent="0.2">
      <c r="B187" s="2"/>
      <c r="C187" s="2"/>
      <c r="D187" s="2"/>
      <c r="E187" s="2"/>
      <c r="F187" s="21"/>
      <c r="G187" s="2"/>
      <c r="H187" s="21"/>
      <c r="I187" s="2"/>
      <c r="J187" s="21"/>
      <c r="K187" s="21"/>
      <c r="L187" s="21"/>
      <c r="M187" s="21"/>
      <c r="N187" s="2"/>
      <c r="O187" s="2"/>
      <c r="P187" s="2"/>
      <c r="Q187" s="2"/>
      <c r="R187" s="2"/>
      <c r="S187" s="3"/>
      <c r="T187" s="3"/>
      <c r="U187" s="35"/>
    </row>
    <row r="188" spans="2:21" x14ac:dyDescent="0.2">
      <c r="B188" s="21"/>
      <c r="C188" s="21"/>
      <c r="D188" s="21"/>
      <c r="E188" s="21"/>
      <c r="F188" s="31"/>
      <c r="G188" s="21"/>
      <c r="H188" s="31"/>
      <c r="I188" s="21"/>
      <c r="J188" s="27" t="s">
        <v>26</v>
      </c>
      <c r="K188" s="27"/>
      <c r="L188" s="21"/>
      <c r="M188" s="21"/>
      <c r="N188" s="21"/>
      <c r="O188" s="27" t="s">
        <v>29</v>
      </c>
      <c r="P188" s="27"/>
      <c r="Q188" s="27"/>
      <c r="R188" s="27"/>
      <c r="S188" s="29"/>
      <c r="T188" s="29"/>
      <c r="U188" s="35"/>
    </row>
    <row r="189" spans="2:21" x14ac:dyDescent="0.2">
      <c r="B189" s="2"/>
      <c r="C189" s="2"/>
      <c r="D189" s="2"/>
      <c r="E189" s="2"/>
      <c r="F189" s="2"/>
      <c r="G189" s="2"/>
      <c r="H189" s="2"/>
      <c r="I189" s="2"/>
      <c r="J189" s="2"/>
      <c r="K189" s="2"/>
      <c r="L189" s="2"/>
      <c r="M189" s="2"/>
      <c r="N189" s="2"/>
      <c r="O189" s="2"/>
      <c r="P189" s="2"/>
      <c r="Q189" s="2"/>
      <c r="R189" s="2"/>
      <c r="S189" s="3"/>
      <c r="T189" s="3"/>
      <c r="U189" s="35"/>
    </row>
    <row r="190" spans="2:21" s="26" customFormat="1" ht="38.25" x14ac:dyDescent="0.2">
      <c r="B190" s="25" t="s">
        <v>0</v>
      </c>
      <c r="C190" s="25"/>
      <c r="D190" s="25"/>
      <c r="E190" s="25"/>
      <c r="F190" s="32" t="s">
        <v>20</v>
      </c>
      <c r="G190" s="25"/>
      <c r="H190" s="26" t="s">
        <v>499</v>
      </c>
      <c r="I190" s="25"/>
      <c r="J190" s="26" t="s">
        <v>30</v>
      </c>
      <c r="K190" s="26" t="s">
        <v>35</v>
      </c>
      <c r="L190" s="25"/>
      <c r="M190" s="26" t="s">
        <v>11</v>
      </c>
      <c r="N190" s="25"/>
      <c r="O190" s="25" t="s">
        <v>495</v>
      </c>
      <c r="P190" s="26" t="s">
        <v>11</v>
      </c>
      <c r="Q190" s="26" t="s">
        <v>30</v>
      </c>
      <c r="R190" s="26" t="s">
        <v>35</v>
      </c>
      <c r="S190" s="25" t="s">
        <v>500</v>
      </c>
      <c r="T190" s="25" t="s">
        <v>501</v>
      </c>
      <c r="U190" s="336"/>
    </row>
    <row r="191" spans="2:21" ht="14.25" x14ac:dyDescent="0.2">
      <c r="B191" s="8" t="s">
        <v>1</v>
      </c>
      <c r="C191" s="7"/>
      <c r="D191" s="9" t="s">
        <v>9</v>
      </c>
      <c r="E191" s="252"/>
      <c r="F191" s="8" t="s">
        <v>21</v>
      </c>
      <c r="G191" s="252"/>
      <c r="H191" s="8" t="s">
        <v>494</v>
      </c>
      <c r="I191" s="252"/>
      <c r="J191" s="8" t="s">
        <v>140</v>
      </c>
      <c r="K191" s="8" t="s">
        <v>12</v>
      </c>
      <c r="L191" s="252"/>
      <c r="M191" s="8" t="s">
        <v>140</v>
      </c>
      <c r="N191" s="252"/>
      <c r="O191" s="8" t="s">
        <v>140</v>
      </c>
      <c r="P191" s="8" t="s">
        <v>140</v>
      </c>
      <c r="Q191" s="8" t="s">
        <v>140</v>
      </c>
      <c r="R191" s="8" t="s">
        <v>12</v>
      </c>
      <c r="S191" s="8" t="s">
        <v>13</v>
      </c>
      <c r="T191" s="8" t="s">
        <v>2</v>
      </c>
      <c r="U191" s="35"/>
    </row>
    <row r="192" spans="2:21" x14ac:dyDescent="0.2">
      <c r="B192" s="252"/>
      <c r="C192" s="7"/>
      <c r="D192" s="7"/>
      <c r="E192" s="252"/>
      <c r="F192" s="252"/>
      <c r="G192" s="252"/>
      <c r="H192" s="252" t="s">
        <v>3</v>
      </c>
      <c r="I192" s="252"/>
      <c r="J192" s="252" t="s">
        <v>4</v>
      </c>
      <c r="K192" s="252" t="s">
        <v>27</v>
      </c>
      <c r="L192" s="252"/>
      <c r="M192" s="252" t="s">
        <v>28</v>
      </c>
      <c r="N192" s="252"/>
      <c r="O192" s="252" t="s">
        <v>32</v>
      </c>
      <c r="P192" s="252" t="s">
        <v>502</v>
      </c>
      <c r="Q192" s="10" t="s">
        <v>15</v>
      </c>
      <c r="R192" s="10" t="s">
        <v>37</v>
      </c>
      <c r="S192" s="10" t="s">
        <v>503</v>
      </c>
      <c r="T192" s="10" t="s">
        <v>38</v>
      </c>
      <c r="U192" s="35"/>
    </row>
    <row r="193" spans="2:20" x14ac:dyDescent="0.2">
      <c r="D193" s="51"/>
    </row>
    <row r="194" spans="2:20" x14ac:dyDescent="0.2">
      <c r="D194" s="82" t="s">
        <v>57</v>
      </c>
      <c r="R194" s="184"/>
    </row>
    <row r="195" spans="2:20" x14ac:dyDescent="0.2">
      <c r="B195" s="252"/>
      <c r="C195" s="7"/>
      <c r="D195" s="198" t="s">
        <v>797</v>
      </c>
      <c r="E195" s="252"/>
      <c r="F195" s="33"/>
      <c r="G195" s="252"/>
      <c r="H195" s="141"/>
      <c r="I195" s="151"/>
      <c r="J195" s="144"/>
      <c r="K195" s="144"/>
      <c r="L195" s="144"/>
      <c r="M195" s="144"/>
      <c r="N195" s="142"/>
      <c r="O195" s="141"/>
      <c r="P195" s="141"/>
      <c r="Q195" s="141"/>
      <c r="R195" s="147"/>
      <c r="S195" s="143"/>
      <c r="T195" s="151"/>
    </row>
    <row r="196" spans="2:20" x14ac:dyDescent="0.2">
      <c r="B196" s="252">
        <f>MAX(B$15:B195)+1</f>
        <v>86</v>
      </c>
      <c r="D196" s="39" t="s">
        <v>75</v>
      </c>
      <c r="F196" s="494" t="s">
        <v>80</v>
      </c>
      <c r="H196" s="141">
        <v>41011680</v>
      </c>
      <c r="I196" s="144"/>
      <c r="J196" s="141"/>
      <c r="K196" s="141"/>
      <c r="L196" s="144"/>
      <c r="M196" s="141"/>
      <c r="N196" s="144"/>
      <c r="O196" s="141">
        <v>684.95641379381425</v>
      </c>
      <c r="P196" s="141">
        <f>Q196-O196</f>
        <v>-13.121361284133286</v>
      </c>
      <c r="Q196" s="141">
        <f>$H196*R196/1000</f>
        <v>671.83505250968096</v>
      </c>
      <c r="R196" s="227">
        <v>1.638155404776593E-2</v>
      </c>
      <c r="S196" s="141"/>
      <c r="T196" s="141"/>
    </row>
    <row r="197" spans="2:20" x14ac:dyDescent="0.2">
      <c r="D197" s="39" t="s">
        <v>76</v>
      </c>
      <c r="F197" s="494"/>
      <c r="H197" s="141"/>
      <c r="I197" s="144"/>
      <c r="J197" s="144"/>
      <c r="K197" s="144"/>
      <c r="L197" s="144"/>
      <c r="M197" s="144"/>
      <c r="N197" s="144"/>
      <c r="O197" s="141"/>
      <c r="P197" s="144"/>
      <c r="Q197" s="141"/>
      <c r="R197" s="227"/>
      <c r="S197" s="144"/>
      <c r="T197" s="144"/>
    </row>
    <row r="198" spans="2:20" x14ac:dyDescent="0.2">
      <c r="B198" s="252">
        <f>MAX(B$15:B197)+1</f>
        <v>87</v>
      </c>
      <c r="D198" s="51" t="s">
        <v>77</v>
      </c>
      <c r="F198" s="494" t="s">
        <v>80</v>
      </c>
      <c r="H198" s="141">
        <v>523392</v>
      </c>
      <c r="I198" s="144"/>
      <c r="J198" s="141"/>
      <c r="K198" s="141"/>
      <c r="L198" s="144"/>
      <c r="M198" s="141"/>
      <c r="N198" s="144"/>
      <c r="O198" s="141">
        <v>1160.783069764557</v>
      </c>
      <c r="P198" s="141">
        <f>Q198-O198</f>
        <v>130.82328316862345</v>
      </c>
      <c r="Q198" s="141">
        <f>$H198*R198/1000</f>
        <v>1291.6063529331805</v>
      </c>
      <c r="R198" s="227">
        <v>2.4677609763488562</v>
      </c>
      <c r="S198" s="141"/>
      <c r="T198" s="141"/>
    </row>
    <row r="199" spans="2:20" x14ac:dyDescent="0.2">
      <c r="B199" s="252">
        <f>MAX(B$15:B198)+1</f>
        <v>88</v>
      </c>
      <c r="D199" s="51" t="s">
        <v>78</v>
      </c>
      <c r="F199" s="494" t="s">
        <v>80</v>
      </c>
      <c r="H199" s="141">
        <v>0</v>
      </c>
      <c r="I199" s="144"/>
      <c r="J199" s="141"/>
      <c r="K199" s="141"/>
      <c r="L199" s="144"/>
      <c r="M199" s="141"/>
      <c r="N199" s="144"/>
      <c r="O199" s="141">
        <v>0</v>
      </c>
      <c r="P199" s="141">
        <f>Q199-O199</f>
        <v>0</v>
      </c>
      <c r="Q199" s="141">
        <f>$H199*R199/1000</f>
        <v>0</v>
      </c>
      <c r="R199" s="227">
        <v>2.2178082006661208</v>
      </c>
      <c r="S199" s="141"/>
      <c r="T199" s="141"/>
    </row>
    <row r="200" spans="2:20" x14ac:dyDescent="0.2">
      <c r="B200" s="252">
        <f>MAX(B$15:B199)+1</f>
        <v>89</v>
      </c>
      <c r="D200" s="51" t="s">
        <v>79</v>
      </c>
      <c r="F200" s="494" t="s">
        <v>80</v>
      </c>
      <c r="H200" s="141">
        <v>0</v>
      </c>
      <c r="I200" s="144"/>
      <c r="J200" s="141"/>
      <c r="K200" s="141"/>
      <c r="L200" s="144"/>
      <c r="M200" s="141"/>
      <c r="N200" s="144"/>
      <c r="O200" s="141">
        <v>0</v>
      </c>
      <c r="P200" s="141">
        <f>Q200-O200</f>
        <v>0</v>
      </c>
      <c r="Q200" s="141">
        <f>$H200*R200/1000</f>
        <v>0</v>
      </c>
      <c r="R200" s="227">
        <v>2.2178082006661208</v>
      </c>
      <c r="S200" s="141"/>
      <c r="T200" s="141"/>
    </row>
    <row r="201" spans="2:20" x14ac:dyDescent="0.2">
      <c r="B201" s="252">
        <f>MAX(B$15:B200)+1</f>
        <v>90</v>
      </c>
      <c r="D201" s="39" t="s">
        <v>786</v>
      </c>
      <c r="F201" s="494" t="s">
        <v>81</v>
      </c>
      <c r="H201" s="141">
        <v>12157001.3192</v>
      </c>
      <c r="I201" s="144"/>
      <c r="J201" s="141"/>
      <c r="K201" s="141"/>
      <c r="L201" s="144"/>
      <c r="M201" s="141"/>
      <c r="N201" s="144"/>
      <c r="O201" s="141">
        <v>0</v>
      </c>
      <c r="P201" s="141">
        <f>Q201-O201</f>
        <v>0</v>
      </c>
      <c r="Q201" s="141">
        <f>$H201*R201/1000</f>
        <v>0</v>
      </c>
      <c r="R201" s="227">
        <v>0</v>
      </c>
      <c r="S201" s="141"/>
      <c r="T201" s="141"/>
    </row>
    <row r="202" spans="2:20" x14ac:dyDescent="0.2">
      <c r="B202" s="252">
        <f>MAX(B$15:B201)+1</f>
        <v>91</v>
      </c>
      <c r="D202" s="55" t="s">
        <v>336</v>
      </c>
      <c r="H202" s="144"/>
      <c r="I202" s="144"/>
      <c r="J202" s="144"/>
      <c r="K202" s="141"/>
      <c r="L202" s="144"/>
      <c r="M202" s="141"/>
      <c r="N202" s="144"/>
      <c r="O202" s="141">
        <f>Q202</f>
        <v>538.16010968178125</v>
      </c>
      <c r="P202" s="141">
        <f>Q202-O202</f>
        <v>0</v>
      </c>
      <c r="Q202" s="141">
        <v>538.16010968178125</v>
      </c>
      <c r="R202" s="362">
        <v>8.3400000000000002E-3</v>
      </c>
      <c r="S202" s="143">
        <f>Q202/O202</f>
        <v>1</v>
      </c>
      <c r="T202" s="141"/>
    </row>
    <row r="203" spans="2:20" x14ac:dyDescent="0.2">
      <c r="B203" s="252"/>
      <c r="D203" s="55"/>
      <c r="H203" s="144"/>
      <c r="I203" s="144"/>
      <c r="J203" s="144"/>
      <c r="K203" s="141"/>
      <c r="L203" s="144"/>
      <c r="M203" s="141"/>
      <c r="N203" s="144"/>
      <c r="O203" s="141"/>
      <c r="P203" s="141"/>
      <c r="Q203" s="141"/>
      <c r="R203" s="227"/>
      <c r="S203" s="141"/>
      <c r="T203" s="141"/>
    </row>
    <row r="204" spans="2:20" x14ac:dyDescent="0.2">
      <c r="B204" s="252">
        <f>MAX(B$15:B203)+1</f>
        <v>92</v>
      </c>
      <c r="D204" s="39" t="s">
        <v>95</v>
      </c>
      <c r="F204" s="494" t="s">
        <v>80</v>
      </c>
      <c r="H204" s="141">
        <v>141504</v>
      </c>
      <c r="I204" s="144"/>
      <c r="J204" s="141"/>
      <c r="K204" s="141"/>
      <c r="L204" s="144"/>
      <c r="M204" s="141"/>
      <c r="N204" s="144"/>
      <c r="O204" s="141">
        <v>2357.3674088062448</v>
      </c>
      <c r="P204" s="141">
        <f>Q204-O204</f>
        <v>86.203357572684581</v>
      </c>
      <c r="Q204" s="141">
        <f>$H204*R204/1000</f>
        <v>2443.5707663789294</v>
      </c>
      <c r="R204" s="227">
        <v>17.2685631952378</v>
      </c>
      <c r="S204" s="141"/>
      <c r="T204" s="141"/>
    </row>
    <row r="205" spans="2:20" x14ac:dyDescent="0.2">
      <c r="B205" s="252">
        <f>MAX(B$15:B204)+1</f>
        <v>93</v>
      </c>
      <c r="D205" s="39" t="s">
        <v>68</v>
      </c>
      <c r="F205" s="494" t="s">
        <v>81</v>
      </c>
      <c r="H205" s="141">
        <v>522359</v>
      </c>
      <c r="I205" s="144"/>
      <c r="J205" s="141"/>
      <c r="K205" s="141"/>
      <c r="L205" s="144"/>
      <c r="M205" s="141"/>
      <c r="N205" s="144"/>
      <c r="O205" s="141">
        <f>Q205</f>
        <v>33.148328692909175</v>
      </c>
      <c r="P205" s="141">
        <f>Q205-O205</f>
        <v>0</v>
      </c>
      <c r="Q205" s="141">
        <f>$H205*R205/1000</f>
        <v>33.148328692909175</v>
      </c>
      <c r="R205" s="227">
        <v>6.3458902197356948E-2</v>
      </c>
      <c r="S205" s="141"/>
      <c r="T205" s="141"/>
    </row>
    <row r="206" spans="2:20" x14ac:dyDescent="0.2">
      <c r="D206" s="38"/>
      <c r="H206" s="144"/>
      <c r="I206" s="144"/>
      <c r="J206" s="144"/>
      <c r="K206" s="144"/>
      <c r="L206" s="144"/>
      <c r="M206" s="144"/>
      <c r="N206" s="144"/>
      <c r="O206" s="144"/>
      <c r="P206" s="144"/>
      <c r="Q206" s="144"/>
      <c r="R206" s="144"/>
      <c r="S206" s="144"/>
      <c r="T206" s="144"/>
    </row>
    <row r="207" spans="2:20" ht="13.5" thickBot="1" x14ac:dyDescent="0.25">
      <c r="B207" s="252">
        <f>MAX(B$15:B206)+1</f>
        <v>94</v>
      </c>
      <c r="D207" s="86" t="s">
        <v>159</v>
      </c>
      <c r="H207" s="168">
        <f>H201</f>
        <v>12157001.3192</v>
      </c>
      <c r="I207" s="160"/>
      <c r="J207" s="168">
        <f>'Attach 1'!F23</f>
        <v>5453.0927555404005</v>
      </c>
      <c r="K207" s="156">
        <f>J207/$H207*1000</f>
        <v>0.44855574268369375</v>
      </c>
      <c r="L207" s="161"/>
      <c r="M207" s="168">
        <f>J207-O207</f>
        <v>678.67742480109428</v>
      </c>
      <c r="N207" s="162"/>
      <c r="O207" s="168">
        <f>SUM(O196:O205)</f>
        <v>4774.4153307393062</v>
      </c>
      <c r="P207" s="168">
        <f>SUM(P196:P205)</f>
        <v>203.90527945717474</v>
      </c>
      <c r="Q207" s="168">
        <f>SUM(Q196:Q205)</f>
        <v>4978.3206101964806</v>
      </c>
      <c r="R207" s="156">
        <f>Q207/$H207*1000</f>
        <v>0.40950235008480551</v>
      </c>
      <c r="S207" s="194">
        <f>Q207/O207</f>
        <v>1.0427079056454018</v>
      </c>
      <c r="T207" s="470">
        <f>R207/K207-1</f>
        <v>-8.7064747773003881E-2</v>
      </c>
    </row>
    <row r="208" spans="2:20" ht="13.5" thickTop="1" x14ac:dyDescent="0.2">
      <c r="D208" s="83"/>
    </row>
    <row r="209" spans="2:20" x14ac:dyDescent="0.2">
      <c r="D209" s="82" t="s">
        <v>58</v>
      </c>
      <c r="F209" s="83"/>
      <c r="H209" s="141"/>
      <c r="I209" s="144"/>
      <c r="J209" s="144"/>
      <c r="K209" s="144"/>
      <c r="L209" s="144"/>
      <c r="M209" s="144"/>
      <c r="N209" s="144"/>
      <c r="O209" s="144"/>
      <c r="P209" s="144"/>
      <c r="Q209" s="144"/>
      <c r="R209" s="144"/>
      <c r="S209" s="144"/>
      <c r="T209" s="144"/>
    </row>
    <row r="210" spans="2:20" x14ac:dyDescent="0.2">
      <c r="B210" s="252">
        <f>MAX(B$15:B209)+1</f>
        <v>95</v>
      </c>
      <c r="D210" s="38" t="s">
        <v>41</v>
      </c>
      <c r="F210" s="494" t="s">
        <v>24</v>
      </c>
      <c r="H210" s="141">
        <v>60</v>
      </c>
      <c r="I210" s="144"/>
      <c r="J210" s="141"/>
      <c r="K210" s="141"/>
      <c r="L210" s="144"/>
      <c r="M210" s="141"/>
      <c r="N210" s="144"/>
      <c r="O210" s="141">
        <v>175.12349289102474</v>
      </c>
      <c r="P210" s="141">
        <f>Q210-O210</f>
        <v>-145.12349289102474</v>
      </c>
      <c r="Q210" s="141">
        <f>$H210*R210/1000</f>
        <v>30</v>
      </c>
      <c r="R210" s="361">
        <v>500</v>
      </c>
      <c r="S210" s="143">
        <f>Q210/O210</f>
        <v>0.17130768410762739</v>
      </c>
      <c r="T210" s="141"/>
    </row>
    <row r="211" spans="2:20" x14ac:dyDescent="0.2">
      <c r="B211" s="252">
        <f>MAX(B$15:B210)+1</f>
        <v>96</v>
      </c>
      <c r="D211" s="38" t="s">
        <v>151</v>
      </c>
      <c r="F211" s="494" t="s">
        <v>25</v>
      </c>
      <c r="H211" s="141">
        <v>278925.5258</v>
      </c>
      <c r="I211" s="144"/>
      <c r="J211" s="141"/>
      <c r="K211" s="141"/>
      <c r="L211" s="144"/>
      <c r="M211" s="141"/>
      <c r="N211" s="144"/>
      <c r="O211" s="141">
        <v>905.19269964082082</v>
      </c>
      <c r="P211" s="141">
        <f>Q211-O211</f>
        <v>0</v>
      </c>
      <c r="Q211" s="141">
        <f>$H211*R211/100</f>
        <v>905.19269964082082</v>
      </c>
      <c r="R211" s="170">
        <v>0.32452845505788441</v>
      </c>
      <c r="S211" s="143">
        <f>Q211/O211</f>
        <v>1</v>
      </c>
      <c r="T211" s="141"/>
    </row>
    <row r="212" spans="2:20" x14ac:dyDescent="0.2">
      <c r="B212" s="252">
        <f>MAX(B$15:B211)+1</f>
        <v>97</v>
      </c>
      <c r="D212" s="38" t="s">
        <v>157</v>
      </c>
      <c r="F212" s="494" t="s">
        <v>40</v>
      </c>
      <c r="H212" s="141">
        <v>21065.664000000001</v>
      </c>
      <c r="I212" s="144"/>
      <c r="J212" s="141"/>
      <c r="K212" s="141"/>
      <c r="L212" s="144"/>
      <c r="M212" s="141"/>
      <c r="N212" s="144"/>
      <c r="O212" s="141">
        <v>6426.6593309952141</v>
      </c>
      <c r="P212" s="141">
        <f>Q212-O212</f>
        <v>-32.690708875487871</v>
      </c>
      <c r="Q212" s="141">
        <f>$H212*R212/100</f>
        <v>6393.9686221197262</v>
      </c>
      <c r="R212" s="170">
        <v>30.352561505394398</v>
      </c>
      <c r="S212" s="143">
        <f>Q212/O212</f>
        <v>0.99491326563432059</v>
      </c>
      <c r="T212" s="141"/>
    </row>
    <row r="213" spans="2:20" x14ac:dyDescent="0.2">
      <c r="D213" s="83"/>
      <c r="F213" s="494"/>
      <c r="H213" s="144"/>
      <c r="I213" s="144"/>
      <c r="J213" s="144"/>
      <c r="K213" s="144"/>
      <c r="L213" s="144"/>
      <c r="M213" s="144"/>
      <c r="N213" s="144"/>
      <c r="O213" s="144"/>
      <c r="P213" s="144"/>
      <c r="Q213" s="144"/>
      <c r="R213" s="167"/>
      <c r="S213" s="144"/>
      <c r="T213" s="144"/>
    </row>
    <row r="214" spans="2:20" x14ac:dyDescent="0.2">
      <c r="B214" s="252">
        <f>MAX(B$15:B213)+1</f>
        <v>98</v>
      </c>
      <c r="C214" s="7"/>
      <c r="D214" s="38" t="s">
        <v>34</v>
      </c>
      <c r="E214" s="252"/>
      <c r="F214" s="15"/>
      <c r="G214" s="252"/>
      <c r="H214" s="146">
        <f>H211</f>
        <v>278925.5258</v>
      </c>
      <c r="I214" s="151"/>
      <c r="J214" s="141"/>
      <c r="K214" s="141"/>
      <c r="L214" s="140"/>
      <c r="M214" s="141"/>
      <c r="N214" s="142"/>
      <c r="O214" s="146">
        <f>SUM(O210:O212)</f>
        <v>7506.9755235270595</v>
      </c>
      <c r="P214" s="146">
        <f>SUM(P210:P212)</f>
        <v>-177.81420176651261</v>
      </c>
      <c r="Q214" s="146">
        <f>SUM(Q210:Q212)</f>
        <v>7329.1613217605473</v>
      </c>
      <c r="R214" s="154">
        <f>Q214/$H214*100</f>
        <v>2.627640944922276</v>
      </c>
      <c r="S214" s="155">
        <f>Q214/O214</f>
        <v>0.97631346989087175</v>
      </c>
      <c r="T214" s="141"/>
    </row>
    <row r="215" spans="2:20" x14ac:dyDescent="0.2">
      <c r="D215" s="38"/>
      <c r="F215" s="494"/>
      <c r="H215" s="144"/>
      <c r="I215" s="144"/>
      <c r="J215" s="144"/>
      <c r="K215" s="144"/>
      <c r="L215" s="144"/>
      <c r="M215" s="144"/>
      <c r="N215" s="144"/>
      <c r="O215" s="144"/>
      <c r="P215" s="144"/>
      <c r="Q215" s="144"/>
      <c r="R215" s="167"/>
      <c r="S215" s="144"/>
      <c r="T215" s="144"/>
    </row>
    <row r="216" spans="2:20" x14ac:dyDescent="0.2">
      <c r="B216" s="252"/>
      <c r="C216" s="7"/>
      <c r="D216" s="38" t="s">
        <v>43</v>
      </c>
      <c r="E216" s="252"/>
      <c r="F216" s="33"/>
      <c r="G216" s="252"/>
      <c r="H216" s="141"/>
      <c r="I216" s="151"/>
      <c r="J216" s="150"/>
      <c r="K216" s="151"/>
      <c r="L216" s="140"/>
      <c r="M216" s="152"/>
      <c r="N216" s="142"/>
      <c r="O216" s="141"/>
      <c r="P216" s="141"/>
      <c r="Q216" s="141"/>
      <c r="R216" s="147"/>
      <c r="S216" s="143"/>
      <c r="T216" s="152"/>
    </row>
    <row r="217" spans="2:20" x14ac:dyDescent="0.2">
      <c r="B217" s="252">
        <f>MAX(B$15:B215)+1</f>
        <v>99</v>
      </c>
      <c r="D217" s="39" t="s">
        <v>154</v>
      </c>
      <c r="E217" s="252"/>
      <c r="F217" s="33" t="s">
        <v>25</v>
      </c>
      <c r="H217" s="141">
        <v>278923.5258</v>
      </c>
      <c r="I217" s="144"/>
      <c r="J217" s="141"/>
      <c r="K217" s="141"/>
      <c r="L217" s="144"/>
      <c r="M217" s="141"/>
      <c r="N217" s="144"/>
      <c r="O217" s="141">
        <f t="shared" ref="O217:O218" si="7">Q217</f>
        <v>3804.8489228205503</v>
      </c>
      <c r="P217" s="141">
        <f>Q217-O217</f>
        <v>0</v>
      </c>
      <c r="Q217" s="141">
        <f>$H217*R217/100</f>
        <v>3804.8489228205503</v>
      </c>
      <c r="R217" s="170">
        <v>1.3641190401231298</v>
      </c>
      <c r="S217" s="141"/>
      <c r="T217" s="141"/>
    </row>
    <row r="218" spans="2:20" x14ac:dyDescent="0.2">
      <c r="B218" s="252">
        <f>MAX(B$15:B217)+1</f>
        <v>100</v>
      </c>
      <c r="D218" s="39" t="s">
        <v>33</v>
      </c>
      <c r="E218" s="252"/>
      <c r="F218" s="33" t="s">
        <v>25</v>
      </c>
      <c r="H218" s="141">
        <v>2</v>
      </c>
      <c r="I218" s="144"/>
      <c r="J218" s="141"/>
      <c r="K218" s="141"/>
      <c r="L218" s="144"/>
      <c r="M218" s="141"/>
      <c r="N218" s="144"/>
      <c r="O218" s="141">
        <f t="shared" si="7"/>
        <v>6.4521718912322779E-2</v>
      </c>
      <c r="P218" s="141">
        <f>Q218-O218</f>
        <v>0</v>
      </c>
      <c r="Q218" s="141">
        <f>$H218*R218/100</f>
        <v>6.4521718912322779E-2</v>
      </c>
      <c r="R218" s="170">
        <v>3.226085945616139</v>
      </c>
      <c r="S218" s="141"/>
      <c r="T218" s="141"/>
    </row>
    <row r="219" spans="2:20" x14ac:dyDescent="0.2">
      <c r="B219" s="252">
        <f>MAX(B$15:B218)+1</f>
        <v>101</v>
      </c>
      <c r="C219" s="7"/>
      <c r="D219" s="13" t="s">
        <v>43</v>
      </c>
      <c r="E219" s="252"/>
      <c r="F219" s="15"/>
      <c r="G219" s="252"/>
      <c r="H219" s="146">
        <f>SUM(H217:H218)</f>
        <v>278925.5258</v>
      </c>
      <c r="I219" s="151"/>
      <c r="J219" s="141"/>
      <c r="K219" s="141"/>
      <c r="L219" s="140"/>
      <c r="M219" s="141"/>
      <c r="N219" s="142"/>
      <c r="O219" s="146">
        <f>SUM(O217:O218)</f>
        <v>3804.9134445394625</v>
      </c>
      <c r="P219" s="146">
        <f>SUM(P217:P218)</f>
        <v>0</v>
      </c>
      <c r="Q219" s="146">
        <f>SUM(Q217:Q218)</f>
        <v>3804.9134445394625</v>
      </c>
      <c r="R219" s="154">
        <f>Q219/$H219*100</f>
        <v>1.3641323911199605</v>
      </c>
      <c r="S219" s="155">
        <f>Q219/O219</f>
        <v>1</v>
      </c>
      <c r="T219" s="141"/>
    </row>
    <row r="220" spans="2:20" x14ac:dyDescent="0.2">
      <c r="D220" s="38"/>
      <c r="F220" s="494"/>
      <c r="H220" s="144"/>
      <c r="I220" s="144"/>
      <c r="J220" s="144"/>
      <c r="K220" s="144"/>
      <c r="L220" s="144"/>
      <c r="M220" s="144"/>
      <c r="N220" s="144"/>
      <c r="O220" s="144"/>
      <c r="P220" s="144"/>
      <c r="Q220" s="144"/>
      <c r="R220" s="167"/>
      <c r="S220" s="144"/>
      <c r="T220" s="144"/>
    </row>
    <row r="221" spans="2:20" x14ac:dyDescent="0.2">
      <c r="B221" s="252">
        <f>MAX(B$15:B220)+1</f>
        <v>102</v>
      </c>
      <c r="D221" s="38" t="s">
        <v>155</v>
      </c>
      <c r="F221" s="494" t="s">
        <v>25</v>
      </c>
      <c r="H221" s="141">
        <v>156100.92169999998</v>
      </c>
      <c r="I221" s="144"/>
      <c r="J221" s="141"/>
      <c r="K221" s="141"/>
      <c r="L221" s="144"/>
      <c r="M221" s="141"/>
      <c r="N221" s="144"/>
      <c r="O221" s="141">
        <f>Q221</f>
        <v>32630.40347132504</v>
      </c>
      <c r="P221" s="141">
        <f>Q221-O221</f>
        <v>0</v>
      </c>
      <c r="Q221" s="141">
        <f>$H221*R221/100</f>
        <v>32630.40347132504</v>
      </c>
      <c r="R221" s="170">
        <v>20.903402181080807</v>
      </c>
      <c r="S221" s="143">
        <f>Q221/O221</f>
        <v>1</v>
      </c>
      <c r="T221" s="141"/>
    </row>
    <row r="222" spans="2:20" x14ac:dyDescent="0.2">
      <c r="D222" s="38"/>
      <c r="F222" s="494"/>
      <c r="H222" s="144"/>
      <c r="I222" s="144"/>
      <c r="J222" s="144"/>
      <c r="K222" s="144"/>
      <c r="L222" s="144"/>
      <c r="M222" s="144"/>
      <c r="N222" s="144"/>
      <c r="O222" s="144"/>
      <c r="P222" s="144"/>
      <c r="Q222" s="144"/>
      <c r="R222" s="167"/>
      <c r="S222" s="144"/>
      <c r="T222" s="144"/>
    </row>
    <row r="223" spans="2:20" ht="13.5" thickBot="1" x14ac:dyDescent="0.25">
      <c r="B223" s="252">
        <f>MAX(B$15:B222)+1</f>
        <v>103</v>
      </c>
      <c r="D223" s="86" t="s">
        <v>160</v>
      </c>
      <c r="F223" s="494"/>
      <c r="H223" s="168">
        <f>H211</f>
        <v>278925.5258</v>
      </c>
      <c r="I223" s="160"/>
      <c r="J223" s="168">
        <f>'Attach 1'!F24</f>
        <v>44047.482031398577</v>
      </c>
      <c r="K223" s="156">
        <f>J223/$H223*100</f>
        <v>15.791843326301466</v>
      </c>
      <c r="L223" s="161"/>
      <c r="M223" s="168">
        <f>J223-O223</f>
        <v>105.18959200701647</v>
      </c>
      <c r="N223" s="162"/>
      <c r="O223" s="168">
        <f>SUM(O214,O219,O221)</f>
        <v>43942.29243939156</v>
      </c>
      <c r="P223" s="168">
        <f>SUM(P214,P219,P221)</f>
        <v>-177.81420176651261</v>
      </c>
      <c r="Q223" s="168">
        <f>SUM(Q214,Q219,Q221)</f>
        <v>43764.478237625051</v>
      </c>
      <c r="R223" s="156">
        <f>Q223/$H223*100</f>
        <v>15.690381191216545</v>
      </c>
      <c r="S223" s="194">
        <f>Q223/O223</f>
        <v>0.99595346096219806</v>
      </c>
      <c r="T223" s="470">
        <f>R223/K223-1</f>
        <v>-6.4249709795394239E-3</v>
      </c>
    </row>
    <row r="224" spans="2:20" ht="13.5" thickTop="1" x14ac:dyDescent="0.2">
      <c r="B224" s="252"/>
      <c r="D224" s="38"/>
      <c r="F224" s="494"/>
      <c r="H224" s="164"/>
      <c r="I224" s="160"/>
      <c r="J224" s="164"/>
      <c r="K224" s="170"/>
      <c r="L224" s="161"/>
      <c r="M224" s="164"/>
      <c r="N224" s="162"/>
      <c r="O224" s="164"/>
      <c r="P224" s="164"/>
      <c r="Q224" s="164"/>
      <c r="R224" s="170"/>
      <c r="S224" s="172"/>
      <c r="T224" s="186"/>
    </row>
    <row r="225" spans="2:20" x14ac:dyDescent="0.2">
      <c r="D225" s="82" t="s">
        <v>59</v>
      </c>
      <c r="F225" s="83"/>
      <c r="H225" s="144"/>
      <c r="I225" s="144"/>
      <c r="J225" s="144"/>
      <c r="K225" s="144"/>
      <c r="L225" s="144"/>
      <c r="M225" s="144"/>
      <c r="N225" s="144"/>
      <c r="O225" s="144"/>
      <c r="P225" s="144"/>
      <c r="Q225" s="144"/>
      <c r="R225" s="144"/>
      <c r="S225" s="144"/>
      <c r="T225" s="144"/>
    </row>
    <row r="226" spans="2:20" x14ac:dyDescent="0.2">
      <c r="D226" s="198" t="s">
        <v>154</v>
      </c>
      <c r="F226" s="494"/>
      <c r="H226" s="144"/>
      <c r="I226" s="144"/>
      <c r="J226" s="144"/>
      <c r="K226" s="144"/>
      <c r="L226" s="144"/>
      <c r="M226" s="144"/>
      <c r="N226" s="144"/>
      <c r="O226" s="144"/>
      <c r="P226" s="144"/>
      <c r="Q226" s="144"/>
      <c r="R226" s="144"/>
      <c r="S226" s="144"/>
      <c r="T226" s="144"/>
    </row>
    <row r="227" spans="2:20" x14ac:dyDescent="0.2">
      <c r="B227" s="252">
        <f>MAX(B$15:B225)+1</f>
        <v>104</v>
      </c>
      <c r="D227" s="38" t="s">
        <v>41</v>
      </c>
      <c r="F227" s="494" t="s">
        <v>24</v>
      </c>
      <c r="H227" s="141">
        <v>12</v>
      </c>
      <c r="I227" s="144"/>
      <c r="J227" s="141"/>
      <c r="K227" s="141"/>
      <c r="L227" s="144"/>
      <c r="M227" s="141"/>
      <c r="N227" s="144"/>
      <c r="O227" s="141">
        <v>383.26383584159083</v>
      </c>
      <c r="P227" s="141">
        <f>Q227-O227</f>
        <v>0</v>
      </c>
      <c r="Q227" s="141">
        <f>$H227*R227/1000</f>
        <v>383.26383584159083</v>
      </c>
      <c r="R227" s="361">
        <v>31938.652986799236</v>
      </c>
      <c r="S227" s="144"/>
      <c r="T227" s="144"/>
    </row>
    <row r="228" spans="2:20" x14ac:dyDescent="0.2">
      <c r="B228" s="252">
        <f>MAX(B$15:B227)+1</f>
        <v>105</v>
      </c>
      <c r="D228" s="38" t="s">
        <v>68</v>
      </c>
      <c r="F228" s="494" t="s">
        <v>25</v>
      </c>
      <c r="H228" s="141">
        <v>249200.14546999999</v>
      </c>
      <c r="I228" s="144"/>
      <c r="J228" s="141"/>
      <c r="K228" s="141"/>
      <c r="L228" s="144"/>
      <c r="M228" s="141"/>
      <c r="N228" s="144"/>
      <c r="O228" s="141">
        <v>0</v>
      </c>
      <c r="P228" s="141">
        <f>Q228-O228</f>
        <v>0</v>
      </c>
      <c r="Q228" s="141">
        <f>$H228*R228/100</f>
        <v>0</v>
      </c>
      <c r="R228" s="170">
        <v>0</v>
      </c>
      <c r="S228" s="144"/>
      <c r="T228" s="144"/>
    </row>
    <row r="229" spans="2:20" x14ac:dyDescent="0.2">
      <c r="B229" s="252">
        <f>MAX(B$15:B228)+1</f>
        <v>106</v>
      </c>
      <c r="D229" s="13" t="s">
        <v>335</v>
      </c>
      <c r="F229" s="494"/>
      <c r="H229" s="144"/>
      <c r="I229" s="144"/>
      <c r="J229" s="144"/>
      <c r="K229" s="144"/>
      <c r="L229" s="144"/>
      <c r="M229" s="144"/>
      <c r="N229" s="144"/>
      <c r="O229" s="141">
        <f>Q229</f>
        <v>414.97670053811771</v>
      </c>
      <c r="P229" s="141">
        <f>Q229-O229</f>
        <v>0</v>
      </c>
      <c r="Q229" s="141">
        <v>414.97670053811771</v>
      </c>
      <c r="R229" s="362">
        <v>8.0300000000000007E-3</v>
      </c>
      <c r="S229" s="143">
        <f>Q229/O229</f>
        <v>1</v>
      </c>
      <c r="T229" s="144"/>
    </row>
    <row r="230" spans="2:20" x14ac:dyDescent="0.2">
      <c r="B230" s="252">
        <f>MAX(B$15:B229)+1</f>
        <v>107</v>
      </c>
      <c r="D230" s="38" t="s">
        <v>69</v>
      </c>
      <c r="F230" s="494" t="s">
        <v>40</v>
      </c>
      <c r="H230" s="141">
        <v>28200</v>
      </c>
      <c r="I230" s="144"/>
      <c r="J230" s="141"/>
      <c r="K230" s="141"/>
      <c r="L230" s="144"/>
      <c r="M230" s="141"/>
      <c r="N230" s="144"/>
      <c r="O230" s="141">
        <v>7297.1162300936821</v>
      </c>
      <c r="P230" s="141">
        <f>Q230-O230</f>
        <v>-169.42787119653349</v>
      </c>
      <c r="Q230" s="141">
        <f>$H230*R230/100</f>
        <v>7127.6883588971486</v>
      </c>
      <c r="R230" s="170">
        <v>25.275490634387051</v>
      </c>
      <c r="S230" s="144"/>
      <c r="T230" s="144"/>
    </row>
    <row r="231" spans="2:20" x14ac:dyDescent="0.2">
      <c r="B231" s="252"/>
      <c r="C231" s="7"/>
      <c r="D231" s="38"/>
      <c r="E231" s="252"/>
      <c r="F231" s="15"/>
      <c r="G231" s="252"/>
      <c r="H231" s="141"/>
      <c r="I231" s="160"/>
      <c r="J231" s="163"/>
      <c r="K231" s="163"/>
      <c r="L231" s="163"/>
      <c r="M231" s="163"/>
      <c r="N231" s="162"/>
      <c r="O231" s="141"/>
      <c r="P231" s="141"/>
      <c r="Q231" s="141"/>
      <c r="R231" s="170"/>
      <c r="S231" s="143"/>
      <c r="T231" s="151"/>
    </row>
    <row r="232" spans="2:20" x14ac:dyDescent="0.2">
      <c r="B232" s="252">
        <f>MAX(B$15:B231)+1</f>
        <v>108</v>
      </c>
      <c r="C232" s="7"/>
      <c r="D232" s="38" t="s">
        <v>82</v>
      </c>
      <c r="E232" s="252"/>
      <c r="F232" s="15"/>
      <c r="G232" s="252"/>
      <c r="H232" s="195">
        <f>H228</f>
        <v>249200.14546999999</v>
      </c>
      <c r="I232" s="160"/>
      <c r="J232" s="163"/>
      <c r="K232" s="163"/>
      <c r="L232" s="163"/>
      <c r="M232" s="163"/>
      <c r="N232" s="162"/>
      <c r="O232" s="195">
        <f>SUM(O227:O230)</f>
        <v>8095.356766473391</v>
      </c>
      <c r="P232" s="195">
        <f>SUM(P227:P230)</f>
        <v>-169.42787119653349</v>
      </c>
      <c r="Q232" s="195">
        <f>SUM(Q227:Q230)</f>
        <v>7925.9288952768575</v>
      </c>
      <c r="R232" s="154">
        <f>Q232/$H232*100</f>
        <v>3.1805474592834946</v>
      </c>
      <c r="S232" s="196">
        <f>Q232/O232</f>
        <v>0.97907098154114558</v>
      </c>
      <c r="T232" s="151"/>
    </row>
    <row r="233" spans="2:20" x14ac:dyDescent="0.2">
      <c r="D233" s="38"/>
      <c r="H233" s="144"/>
      <c r="I233" s="144"/>
      <c r="J233" s="144"/>
      <c r="K233" s="144"/>
      <c r="L233" s="144"/>
      <c r="M233" s="144"/>
      <c r="N233" s="144"/>
      <c r="O233" s="144"/>
      <c r="P233" s="144"/>
      <c r="Q233" s="144"/>
      <c r="R233" s="144"/>
      <c r="S233" s="144"/>
      <c r="T233" s="144"/>
    </row>
    <row r="234" spans="2:20" x14ac:dyDescent="0.2">
      <c r="D234" s="198" t="s">
        <v>797</v>
      </c>
      <c r="F234" s="494"/>
      <c r="H234" s="144"/>
      <c r="I234" s="144"/>
      <c r="J234" s="144"/>
      <c r="K234" s="144"/>
      <c r="L234" s="144"/>
      <c r="M234" s="144"/>
      <c r="N234" s="144"/>
      <c r="O234" s="144"/>
      <c r="P234" s="144"/>
      <c r="Q234" s="144"/>
      <c r="R234" s="144"/>
      <c r="S234" s="144"/>
      <c r="T234" s="144"/>
    </row>
    <row r="235" spans="2:20" x14ac:dyDescent="0.2">
      <c r="B235" s="252">
        <f>MAX(B$15:B234)+1</f>
        <v>109</v>
      </c>
      <c r="D235" s="39" t="s">
        <v>75</v>
      </c>
      <c r="F235" s="494" t="s">
        <v>80</v>
      </c>
      <c r="H235" s="141">
        <v>38472252</v>
      </c>
      <c r="I235" s="144"/>
      <c r="J235" s="141"/>
      <c r="K235" s="141"/>
      <c r="L235" s="144"/>
      <c r="M235" s="141"/>
      <c r="N235" s="144"/>
      <c r="O235" s="141">
        <v>630.23527547725791</v>
      </c>
      <c r="P235" s="141">
        <f>Q235-O235</f>
        <v>1.2960299500264227E-11</v>
      </c>
      <c r="Q235" s="141">
        <f>$H235*R235/1000</f>
        <v>630.23527547727087</v>
      </c>
      <c r="R235" s="227">
        <v>1.638155404776593E-2</v>
      </c>
      <c r="S235" s="144"/>
      <c r="T235" s="144"/>
    </row>
    <row r="236" spans="2:20" x14ac:dyDescent="0.2">
      <c r="B236" s="252"/>
      <c r="D236" s="39" t="s">
        <v>76</v>
      </c>
      <c r="F236" s="494"/>
      <c r="H236" s="144"/>
      <c r="I236" s="144"/>
      <c r="J236" s="144"/>
      <c r="K236" s="144"/>
      <c r="L236" s="144"/>
      <c r="M236" s="144"/>
      <c r="N236" s="144"/>
      <c r="O236" s="144"/>
      <c r="P236" s="144"/>
      <c r="Q236" s="144"/>
      <c r="R236" s="169"/>
      <c r="S236" s="144"/>
      <c r="T236" s="144"/>
    </row>
    <row r="237" spans="2:20" x14ac:dyDescent="0.2">
      <c r="B237" s="252">
        <f>MAX(B$15:B236)+1</f>
        <v>110</v>
      </c>
      <c r="D237" s="51" t="s">
        <v>77</v>
      </c>
      <c r="F237" s="494" t="s">
        <v>80</v>
      </c>
      <c r="H237" s="141">
        <v>0</v>
      </c>
      <c r="I237" s="144"/>
      <c r="J237" s="141"/>
      <c r="K237" s="141"/>
      <c r="L237" s="144"/>
      <c r="M237" s="141"/>
      <c r="N237" s="144"/>
      <c r="O237" s="141">
        <v>0</v>
      </c>
      <c r="P237" s="141">
        <f>Q237-O237</f>
        <v>0</v>
      </c>
      <c r="Q237" s="141">
        <f>$H237*R237/1000</f>
        <v>0</v>
      </c>
      <c r="R237" s="227">
        <v>2.4677609763488562</v>
      </c>
      <c r="S237" s="144"/>
      <c r="T237" s="144"/>
    </row>
    <row r="238" spans="2:20" x14ac:dyDescent="0.2">
      <c r="B238" s="252">
        <f>MAX(B$15:B237)+1</f>
        <v>111</v>
      </c>
      <c r="D238" s="51" t="s">
        <v>78</v>
      </c>
      <c r="F238" s="494" t="s">
        <v>80</v>
      </c>
      <c r="H238" s="141">
        <v>649668</v>
      </c>
      <c r="I238" s="144"/>
      <c r="J238" s="141"/>
      <c r="K238" s="141"/>
      <c r="L238" s="144"/>
      <c r="M238" s="141"/>
      <c r="N238" s="144"/>
      <c r="O238" s="141">
        <v>1440.8390181122372</v>
      </c>
      <c r="P238" s="141">
        <f>Q238-O238</f>
        <v>-1.8796981748891994E-9</v>
      </c>
      <c r="Q238" s="141">
        <f>$H238*R238/1000</f>
        <v>1440.8390181103575</v>
      </c>
      <c r="R238" s="227">
        <v>2.2178082006661208</v>
      </c>
      <c r="S238" s="144"/>
      <c r="T238" s="144"/>
    </row>
    <row r="239" spans="2:20" x14ac:dyDescent="0.2">
      <c r="B239" s="252">
        <f>MAX(B$15:B238)+1</f>
        <v>112</v>
      </c>
      <c r="D239" s="51" t="s">
        <v>79</v>
      </c>
      <c r="F239" s="494" t="s">
        <v>80</v>
      </c>
      <c r="H239" s="141">
        <v>0</v>
      </c>
      <c r="I239" s="144"/>
      <c r="J239" s="141"/>
      <c r="K239" s="141"/>
      <c r="L239" s="144"/>
      <c r="M239" s="141"/>
      <c r="N239" s="144"/>
      <c r="O239" s="141">
        <v>0</v>
      </c>
      <c r="P239" s="141">
        <f>Q239-O239</f>
        <v>0</v>
      </c>
      <c r="Q239" s="141">
        <f>$H239*R239/1000</f>
        <v>0</v>
      </c>
      <c r="R239" s="227">
        <v>2.2178082006661208</v>
      </c>
      <c r="S239" s="144"/>
      <c r="T239" s="144"/>
    </row>
    <row r="240" spans="2:20" x14ac:dyDescent="0.2">
      <c r="B240" s="252">
        <f>MAX(B$15:B239)+1</f>
        <v>113</v>
      </c>
      <c r="D240" s="38" t="s">
        <v>786</v>
      </c>
      <c r="F240" s="494" t="s">
        <v>81</v>
      </c>
      <c r="H240" s="141">
        <v>6433273.9271999998</v>
      </c>
      <c r="I240" s="144"/>
      <c r="J240" s="141"/>
      <c r="K240" s="141"/>
      <c r="L240" s="144"/>
      <c r="M240" s="141"/>
      <c r="N240" s="144"/>
      <c r="O240" s="141">
        <v>0</v>
      </c>
      <c r="P240" s="141">
        <f>Q240-O240</f>
        <v>0</v>
      </c>
      <c r="Q240" s="141">
        <f>$H240*R240/1000</f>
        <v>0</v>
      </c>
      <c r="R240" s="227">
        <v>0</v>
      </c>
      <c r="S240" s="144"/>
      <c r="T240" s="144"/>
    </row>
    <row r="241" spans="2:20" x14ac:dyDescent="0.2">
      <c r="B241" s="252">
        <f>MAX(B$15:B240)+1</f>
        <v>114</v>
      </c>
      <c r="D241" s="13" t="s">
        <v>336</v>
      </c>
      <c r="F241" s="494"/>
      <c r="H241" s="141">
        <v>0</v>
      </c>
      <c r="I241" s="144"/>
      <c r="J241" s="141"/>
      <c r="K241" s="141"/>
      <c r="L241" s="144"/>
      <c r="M241" s="141"/>
      <c r="N241" s="144"/>
      <c r="O241" s="141">
        <f>Q241</f>
        <v>284.78498203393497</v>
      </c>
      <c r="P241" s="141">
        <f>Q241-O241</f>
        <v>0</v>
      </c>
      <c r="Q241" s="141">
        <v>284.78498203393497</v>
      </c>
      <c r="R241" s="362">
        <v>8.3400000000000002E-3</v>
      </c>
      <c r="S241" s="143">
        <f>Q241/O241</f>
        <v>1</v>
      </c>
      <c r="T241" s="144"/>
    </row>
    <row r="242" spans="2:20" x14ac:dyDescent="0.2">
      <c r="B242" s="252"/>
      <c r="C242" s="7"/>
      <c r="D242" s="38"/>
      <c r="E242" s="252"/>
      <c r="F242" s="15"/>
      <c r="G242" s="252"/>
      <c r="H242" s="141"/>
      <c r="I242" s="151"/>
      <c r="J242" s="144"/>
      <c r="K242" s="144"/>
      <c r="L242" s="144"/>
      <c r="M242" s="144"/>
      <c r="N242" s="142"/>
      <c r="O242" s="141"/>
      <c r="P242" s="141"/>
      <c r="Q242" s="141"/>
      <c r="R242" s="170"/>
      <c r="S242" s="143"/>
      <c r="T242" s="151"/>
    </row>
    <row r="243" spans="2:20" x14ac:dyDescent="0.2">
      <c r="B243" s="252">
        <f>MAX(B$15:B242)+1</f>
        <v>115</v>
      </c>
      <c r="C243" s="7"/>
      <c r="D243" s="38" t="s">
        <v>83</v>
      </c>
      <c r="E243" s="252"/>
      <c r="F243" s="15"/>
      <c r="G243" s="252"/>
      <c r="H243" s="195">
        <f>H232</f>
        <v>249200.14546999999</v>
      </c>
      <c r="I243" s="151"/>
      <c r="J243" s="141"/>
      <c r="K243" s="141"/>
      <c r="L243" s="144"/>
      <c r="M243" s="141"/>
      <c r="N243" s="142"/>
      <c r="O243" s="146">
        <f>SUM(O235:O241)</f>
        <v>2355.8592756234302</v>
      </c>
      <c r="P243" s="146">
        <f>SUM(P235:P241)</f>
        <v>-1.8667378753889352E-9</v>
      </c>
      <c r="Q243" s="146">
        <f>SUM(Q235:Q241)</f>
        <v>2355.859275621563</v>
      </c>
      <c r="R243" s="154">
        <f>Q243/$H243*100</f>
        <v>0.94536833884199067</v>
      </c>
      <c r="S243" s="155">
        <f>Q243/O243</f>
        <v>0.99999999999920741</v>
      </c>
      <c r="T243" s="151"/>
    </row>
    <row r="244" spans="2:20" x14ac:dyDescent="0.2">
      <c r="D244" s="38"/>
      <c r="F244" s="494"/>
      <c r="H244" s="144"/>
      <c r="I244" s="144"/>
      <c r="J244" s="144"/>
      <c r="K244" s="144"/>
      <c r="L244" s="144"/>
      <c r="M244" s="144"/>
      <c r="N244" s="144"/>
      <c r="O244" s="144"/>
      <c r="P244" s="144"/>
      <c r="Q244" s="144"/>
      <c r="R244" s="169"/>
      <c r="S244" s="144"/>
      <c r="T244" s="144"/>
    </row>
    <row r="245" spans="2:20" ht="13.5" thickBot="1" x14ac:dyDescent="0.25">
      <c r="B245" s="252">
        <f>MAX(B$15:B244)+1</f>
        <v>116</v>
      </c>
      <c r="D245" s="86" t="s">
        <v>162</v>
      </c>
      <c r="F245" s="494"/>
      <c r="H245" s="168">
        <f>H228</f>
        <v>249200.14546999999</v>
      </c>
      <c r="I245" s="160"/>
      <c r="J245" s="168">
        <f>'Attach 1'!F25</f>
        <v>8182.6378751572693</v>
      </c>
      <c r="K245" s="156">
        <f>J245/$H245*100</f>
        <v>3.2835606334516916</v>
      </c>
      <c r="L245" s="161"/>
      <c r="M245" s="149">
        <f>J245-O245</f>
        <v>-2268.5781669395519</v>
      </c>
      <c r="N245" s="142"/>
      <c r="O245" s="168">
        <f>O232+O243</f>
        <v>10451.216042096821</v>
      </c>
      <c r="P245" s="168">
        <f>P232+P243</f>
        <v>-169.42787119840023</v>
      </c>
      <c r="Q245" s="168">
        <f>Q232+Q243</f>
        <v>10281.788170898421</v>
      </c>
      <c r="R245" s="156">
        <f>Q245/$H245*100</f>
        <v>4.1259157981254857</v>
      </c>
      <c r="S245" s="194">
        <f>Q245/O245</f>
        <v>0.98378869305581707</v>
      </c>
      <c r="T245" s="190">
        <f>R245/K245-1</f>
        <v>0.25653711281960012</v>
      </c>
    </row>
    <row r="246" spans="2:20" ht="13.5" thickTop="1" x14ac:dyDescent="0.2">
      <c r="D246" s="83"/>
      <c r="F246" s="83"/>
    </row>
    <row r="247" spans="2:20" ht="13.5" thickBot="1" x14ac:dyDescent="0.25">
      <c r="B247" s="252">
        <f>MAX(B$15:B246)+1</f>
        <v>117</v>
      </c>
      <c r="D247" s="86" t="s">
        <v>496</v>
      </c>
      <c r="H247" s="35"/>
      <c r="I247" s="35"/>
      <c r="J247" s="168">
        <f>J245+J223+J207+J180+J164+J146+J121+J106+J63+J44+J28</f>
        <v>5853924.6767915618</v>
      </c>
      <c r="K247" s="141"/>
      <c r="L247" s="164"/>
      <c r="M247" s="168">
        <f>M245+M223+M207+M180+M164+M146+M121+M106+M63+M44+M28</f>
        <v>-274483.43649713555</v>
      </c>
      <c r="N247" s="171"/>
      <c r="O247" s="168">
        <f>O245+O223+O207+O180+O164+O146+O121+O106+O63+O44+O28</f>
        <v>6128408.1132886969</v>
      </c>
      <c r="P247" s="168">
        <f>P245+P223+P207+P180+P164+P146+P121+P106+P63+P44+P28</f>
        <v>-19785.824404420058</v>
      </c>
      <c r="Q247" s="168">
        <f>Q245+Q223+Q207+Q180+Q164+Q146+Q121+Q106+Q63+Q44+Q28</f>
        <v>6108622.2888842765</v>
      </c>
      <c r="R247" s="35"/>
      <c r="S247" s="35"/>
      <c r="T247" s="35"/>
    </row>
    <row r="248" spans="2:20" ht="13.5" thickTop="1" x14ac:dyDescent="0.2">
      <c r="B248" s="223"/>
      <c r="C248" s="223"/>
      <c r="D248" s="223"/>
      <c r="E248" s="223"/>
      <c r="F248" s="223"/>
      <c r="G248" s="223"/>
      <c r="H248" s="223"/>
      <c r="I248" s="223"/>
      <c r="J248" s="368"/>
      <c r="K248" s="368"/>
      <c r="L248" s="368"/>
      <c r="M248" s="368"/>
      <c r="N248" s="368"/>
      <c r="O248" s="368"/>
      <c r="P248" s="368"/>
      <c r="Q248" s="368"/>
      <c r="R248" s="223"/>
      <c r="S248" s="223"/>
      <c r="T248" s="223"/>
    </row>
    <row r="249" spans="2:20" x14ac:dyDescent="0.2">
      <c r="B249" s="43" t="s">
        <v>5</v>
      </c>
      <c r="C249" s="223"/>
      <c r="D249" s="83"/>
      <c r="E249" s="223"/>
      <c r="F249" s="223"/>
      <c r="G249" s="223"/>
      <c r="H249" s="223"/>
      <c r="I249" s="223"/>
      <c r="J249" s="223"/>
      <c r="K249" s="223"/>
      <c r="L249" s="223"/>
      <c r="M249" s="223"/>
      <c r="N249" s="223"/>
      <c r="O249" s="223"/>
      <c r="P249" s="223"/>
      <c r="Q249" s="223"/>
      <c r="R249" s="223"/>
      <c r="S249" s="223"/>
      <c r="T249" s="223"/>
    </row>
    <row r="250" spans="2:20" x14ac:dyDescent="0.2">
      <c r="B250" s="96" t="s">
        <v>189</v>
      </c>
      <c r="C250" s="223"/>
      <c r="D250" s="264" t="s">
        <v>670</v>
      </c>
      <c r="E250" s="223"/>
      <c r="F250" s="223"/>
      <c r="G250" s="223"/>
      <c r="H250" s="223"/>
      <c r="I250" s="223"/>
      <c r="J250" s="223"/>
      <c r="K250" s="223"/>
      <c r="L250" s="223"/>
      <c r="M250" s="223"/>
      <c r="N250" s="223"/>
      <c r="O250" s="223"/>
      <c r="P250" s="223"/>
      <c r="Q250" s="223"/>
      <c r="R250" s="223"/>
      <c r="S250" s="223"/>
      <c r="T250" s="223"/>
    </row>
    <row r="251" spans="2:20" x14ac:dyDescent="0.2">
      <c r="B251" s="96" t="s">
        <v>190</v>
      </c>
      <c r="C251" s="223"/>
      <c r="D251" s="264" t="s">
        <v>517</v>
      </c>
      <c r="E251" s="223"/>
      <c r="F251" s="223"/>
      <c r="G251" s="223"/>
      <c r="H251" s="223"/>
      <c r="I251" s="223"/>
      <c r="J251" s="223"/>
      <c r="K251" s="223"/>
      <c r="L251" s="223"/>
      <c r="M251" s="223"/>
      <c r="N251" s="223"/>
      <c r="O251" s="223"/>
      <c r="P251" s="223"/>
      <c r="Q251" s="410"/>
      <c r="R251" s="410"/>
      <c r="S251" s="223"/>
      <c r="T251" s="223"/>
    </row>
    <row r="252" spans="2:20" x14ac:dyDescent="0.2">
      <c r="B252" s="96" t="s">
        <v>191</v>
      </c>
      <c r="C252" s="223"/>
      <c r="D252" s="264" t="s">
        <v>518</v>
      </c>
      <c r="E252" s="223"/>
      <c r="F252" s="223"/>
      <c r="G252" s="223"/>
      <c r="H252" s="223"/>
      <c r="I252" s="223"/>
      <c r="J252" s="223"/>
      <c r="K252" s="223"/>
      <c r="L252" s="223"/>
      <c r="M252" s="223"/>
      <c r="N252" s="223"/>
      <c r="O252" s="223"/>
      <c r="P252" s="223"/>
      <c r="Q252" s="410"/>
      <c r="R252" s="410"/>
      <c r="S252" s="223"/>
      <c r="T252" s="223"/>
    </row>
    <row r="253" spans="2:20" x14ac:dyDescent="0.2">
      <c r="B253" s="74"/>
      <c r="C253" s="40"/>
      <c r="D253" s="40"/>
      <c r="E253" s="40"/>
      <c r="F253" s="40"/>
      <c r="G253" s="40"/>
      <c r="H253" s="40"/>
      <c r="I253" s="40"/>
      <c r="J253" s="40"/>
      <c r="K253" s="40"/>
      <c r="L253" s="40"/>
      <c r="M253" s="40"/>
      <c r="N253" s="40"/>
      <c r="O253" s="40"/>
      <c r="P253" s="40"/>
      <c r="Q253" s="40"/>
      <c r="R253" s="40"/>
      <c r="S253" s="40"/>
      <c r="T253" s="40"/>
    </row>
    <row r="254" spans="2:20" x14ac:dyDescent="0.2">
      <c r="B254" s="74"/>
      <c r="C254" s="40"/>
      <c r="D254" s="40"/>
      <c r="E254" s="40"/>
      <c r="F254" s="40"/>
      <c r="G254" s="40"/>
      <c r="H254" s="40"/>
      <c r="I254" s="40"/>
      <c r="J254" s="40"/>
      <c r="K254" s="40"/>
      <c r="L254" s="40"/>
      <c r="M254" s="40"/>
      <c r="N254" s="40"/>
      <c r="O254" s="40"/>
      <c r="P254" s="40"/>
      <c r="Q254" s="40"/>
      <c r="R254" s="40"/>
      <c r="S254" s="40"/>
      <c r="T254" s="40"/>
    </row>
    <row r="255" spans="2:20" x14ac:dyDescent="0.2">
      <c r="B255" s="74"/>
      <c r="C255" s="40"/>
      <c r="D255" s="40"/>
      <c r="E255" s="40"/>
      <c r="F255" s="40"/>
      <c r="G255" s="40"/>
      <c r="H255" s="40"/>
      <c r="I255" s="40"/>
      <c r="J255" s="40"/>
      <c r="K255" s="40"/>
      <c r="L255" s="40"/>
      <c r="M255" s="40"/>
      <c r="N255" s="40"/>
      <c r="O255" s="40"/>
      <c r="P255" s="40"/>
      <c r="Q255" s="40"/>
      <c r="R255" s="40"/>
      <c r="S255" s="40"/>
      <c r="T255" s="40"/>
    </row>
    <row r="256" spans="2:20" x14ac:dyDescent="0.2">
      <c r="B256" s="74"/>
      <c r="C256" s="40"/>
      <c r="D256" s="40"/>
      <c r="E256" s="40"/>
      <c r="F256" s="40"/>
      <c r="G256" s="40"/>
      <c r="H256" s="40"/>
      <c r="I256" s="40"/>
      <c r="J256" s="40"/>
      <c r="K256" s="40"/>
      <c r="L256" s="40"/>
      <c r="M256" s="40"/>
      <c r="N256" s="40"/>
      <c r="O256" s="40"/>
      <c r="P256" s="40"/>
      <c r="Q256" s="40"/>
      <c r="R256" s="40"/>
      <c r="S256" s="40"/>
      <c r="T256" s="40"/>
    </row>
    <row r="257" spans="2:20" x14ac:dyDescent="0.2">
      <c r="B257" s="74"/>
      <c r="C257" s="40"/>
      <c r="D257" s="40"/>
      <c r="E257" s="40"/>
      <c r="F257" s="40"/>
      <c r="G257" s="40"/>
      <c r="H257" s="40"/>
      <c r="I257" s="40"/>
      <c r="J257" s="40"/>
      <c r="K257" s="40"/>
      <c r="L257" s="40"/>
      <c r="M257" s="40"/>
      <c r="N257" s="40"/>
      <c r="O257" s="40"/>
      <c r="P257" s="40"/>
      <c r="Q257" s="40"/>
      <c r="R257" s="40"/>
      <c r="S257" s="40"/>
      <c r="T257" s="40"/>
    </row>
    <row r="258" spans="2:20" x14ac:dyDescent="0.2">
      <c r="B258" s="179" t="s">
        <v>296</v>
      </c>
      <c r="C258" s="179"/>
      <c r="D258" s="179"/>
      <c r="E258" s="179"/>
      <c r="F258" s="179"/>
      <c r="G258" s="179"/>
      <c r="H258" s="179"/>
      <c r="I258" s="179"/>
      <c r="J258" s="179"/>
      <c r="K258" s="179"/>
      <c r="L258" s="179"/>
      <c r="M258" s="179"/>
      <c r="N258" s="179"/>
      <c r="O258" s="179"/>
      <c r="P258" s="179"/>
      <c r="Q258" s="179"/>
      <c r="R258" s="179"/>
      <c r="S258" s="179"/>
      <c r="T258" s="179"/>
    </row>
    <row r="259" spans="2:20" x14ac:dyDescent="0.2">
      <c r="B259" s="179" t="s">
        <v>16</v>
      </c>
      <c r="C259" s="179"/>
      <c r="D259" s="179"/>
      <c r="E259" s="179"/>
      <c r="F259" s="179"/>
      <c r="G259" s="179"/>
      <c r="H259" s="179"/>
      <c r="I259" s="179"/>
      <c r="J259" s="179"/>
      <c r="K259" s="179"/>
      <c r="L259" s="179"/>
      <c r="M259" s="179"/>
      <c r="N259" s="179"/>
      <c r="O259" s="179"/>
      <c r="P259" s="179"/>
      <c r="Q259" s="179"/>
      <c r="R259" s="179"/>
      <c r="S259" s="179"/>
      <c r="T259" s="179"/>
    </row>
    <row r="260" spans="2:20" x14ac:dyDescent="0.2">
      <c r="B260" s="255"/>
      <c r="C260" s="255"/>
      <c r="D260" s="255"/>
      <c r="E260" s="255"/>
      <c r="F260" s="181"/>
      <c r="G260" s="255"/>
      <c r="H260" s="181"/>
      <c r="I260" s="255"/>
      <c r="J260" s="181"/>
      <c r="K260" s="181"/>
      <c r="L260" s="181"/>
      <c r="M260" s="181"/>
      <c r="N260" s="255"/>
      <c r="O260" s="255"/>
      <c r="P260" s="255"/>
      <c r="Q260" s="255"/>
      <c r="R260" s="255"/>
      <c r="S260" s="176"/>
      <c r="T260" s="176"/>
    </row>
    <row r="261" spans="2:20" x14ac:dyDescent="0.2">
      <c r="B261" s="181"/>
      <c r="C261" s="181"/>
      <c r="D261" s="181"/>
      <c r="E261" s="181"/>
      <c r="F261" s="265"/>
      <c r="G261" s="181"/>
      <c r="H261" s="265"/>
      <c r="I261" s="181"/>
      <c r="J261" s="266" t="s">
        <v>26</v>
      </c>
      <c r="K261" s="266"/>
      <c r="L261" s="181"/>
      <c r="M261" s="181"/>
      <c r="N261" s="181"/>
      <c r="O261" s="266" t="s">
        <v>29</v>
      </c>
      <c r="P261" s="266"/>
      <c r="Q261" s="266"/>
      <c r="R261" s="266"/>
      <c r="S261" s="267"/>
      <c r="T261" s="267"/>
    </row>
    <row r="262" spans="2:20" x14ac:dyDescent="0.2">
      <c r="B262" s="255"/>
      <c r="C262" s="255"/>
      <c r="D262" s="255"/>
      <c r="E262" s="255"/>
      <c r="F262" s="255"/>
      <c r="G262" s="255"/>
      <c r="H262" s="255"/>
      <c r="I262" s="255"/>
      <c r="J262" s="255"/>
      <c r="K262" s="255"/>
      <c r="L262" s="255"/>
      <c r="M262" s="255"/>
      <c r="N262" s="255"/>
      <c r="O262" s="255"/>
      <c r="P262" s="255"/>
      <c r="Q262" s="255"/>
      <c r="R262" s="255"/>
      <c r="S262" s="176"/>
      <c r="T262" s="176"/>
    </row>
    <row r="263" spans="2:20" ht="38.25" x14ac:dyDescent="0.2">
      <c r="B263" s="268" t="s">
        <v>0</v>
      </c>
      <c r="C263" s="268"/>
      <c r="D263" s="268"/>
      <c r="E263" s="268"/>
      <c r="F263" s="184" t="s">
        <v>20</v>
      </c>
      <c r="G263" s="268"/>
      <c r="H263" s="26" t="s">
        <v>499</v>
      </c>
      <c r="I263" s="268"/>
      <c r="J263" s="486" t="s">
        <v>30</v>
      </c>
      <c r="K263" s="486" t="s">
        <v>31</v>
      </c>
      <c r="L263" s="268"/>
      <c r="M263" s="486" t="s">
        <v>11</v>
      </c>
      <c r="N263" s="268"/>
      <c r="O263" s="268" t="s">
        <v>495</v>
      </c>
      <c r="P263" s="486" t="s">
        <v>11</v>
      </c>
      <c r="Q263" s="486" t="s">
        <v>30</v>
      </c>
      <c r="R263" s="486" t="s">
        <v>35</v>
      </c>
      <c r="S263" s="25" t="s">
        <v>500</v>
      </c>
      <c r="T263" s="268" t="s">
        <v>501</v>
      </c>
    </row>
    <row r="264" spans="2:20" x14ac:dyDescent="0.2">
      <c r="B264" s="256" t="s">
        <v>1</v>
      </c>
      <c r="C264" s="46"/>
      <c r="D264" s="257" t="s">
        <v>9</v>
      </c>
      <c r="E264" s="45"/>
      <c r="F264" s="256" t="s">
        <v>21</v>
      </c>
      <c r="G264" s="45"/>
      <c r="H264" s="256" t="s">
        <v>22</v>
      </c>
      <c r="I264" s="45"/>
      <c r="J264" s="256" t="s">
        <v>140</v>
      </c>
      <c r="K264" s="256" t="s">
        <v>104</v>
      </c>
      <c r="L264" s="45"/>
      <c r="M264" s="256" t="s">
        <v>140</v>
      </c>
      <c r="N264" s="45"/>
      <c r="O264" s="256" t="s">
        <v>140</v>
      </c>
      <c r="P264" s="256" t="s">
        <v>140</v>
      </c>
      <c r="Q264" s="256" t="s">
        <v>140</v>
      </c>
      <c r="R264" s="256" t="s">
        <v>104</v>
      </c>
      <c r="S264" s="256" t="s">
        <v>13</v>
      </c>
      <c r="T264" s="256" t="s">
        <v>2</v>
      </c>
    </row>
    <row r="265" spans="2:20" x14ac:dyDescent="0.2">
      <c r="B265" s="45"/>
      <c r="C265" s="46"/>
      <c r="D265" s="275"/>
      <c r="E265" s="45"/>
      <c r="F265" s="45"/>
      <c r="G265" s="45"/>
      <c r="H265" s="45" t="s">
        <v>3</v>
      </c>
      <c r="I265" s="45"/>
      <c r="J265" s="45" t="s">
        <v>4</v>
      </c>
      <c r="K265" s="45" t="s">
        <v>27</v>
      </c>
      <c r="L265" s="45"/>
      <c r="M265" s="45" t="s">
        <v>28</v>
      </c>
      <c r="N265" s="45"/>
      <c r="O265" s="45" t="s">
        <v>32</v>
      </c>
      <c r="P265" s="45" t="s">
        <v>36</v>
      </c>
      <c r="Q265" s="269" t="s">
        <v>15</v>
      </c>
      <c r="R265" s="269" t="s">
        <v>37</v>
      </c>
      <c r="S265" s="269" t="s">
        <v>503</v>
      </c>
      <c r="T265" s="269" t="s">
        <v>38</v>
      </c>
    </row>
    <row r="266" spans="2:20" x14ac:dyDescent="0.2">
      <c r="B266" s="223"/>
      <c r="C266" s="223"/>
      <c r="D266" s="367" t="s">
        <v>100</v>
      </c>
      <c r="E266" s="223"/>
      <c r="F266" s="223"/>
      <c r="G266" s="223"/>
      <c r="H266" s="223"/>
      <c r="I266" s="223"/>
      <c r="J266" s="223"/>
      <c r="K266" s="223"/>
      <c r="L266" s="223"/>
      <c r="M266" s="223"/>
      <c r="N266" s="223"/>
      <c r="O266" s="223"/>
      <c r="P266" s="223"/>
      <c r="Q266" s="223"/>
      <c r="R266" s="223"/>
      <c r="S266" s="223"/>
      <c r="T266" s="223"/>
    </row>
    <row r="267" spans="2:20" x14ac:dyDescent="0.2">
      <c r="B267" s="45">
        <v>1</v>
      </c>
      <c r="C267" s="223"/>
      <c r="D267" s="270" t="s">
        <v>105</v>
      </c>
      <c r="E267" s="223"/>
      <c r="F267" s="224" t="s">
        <v>24</v>
      </c>
      <c r="G267" s="223"/>
      <c r="H267" s="141">
        <v>12</v>
      </c>
      <c r="I267" s="368"/>
      <c r="J267" s="164"/>
      <c r="K267" s="361"/>
      <c r="L267" s="368"/>
      <c r="M267" s="164"/>
      <c r="N267" s="368"/>
      <c r="O267" s="141">
        <v>0</v>
      </c>
      <c r="P267" s="141">
        <f>Q267-O267</f>
        <v>25.345637999999994</v>
      </c>
      <c r="Q267" s="164">
        <f>R267*H267/1000</f>
        <v>25.345637999999994</v>
      </c>
      <c r="R267" s="361">
        <v>2112.1364999999996</v>
      </c>
      <c r="S267" s="143" t="str">
        <f>IFERROR(Q267/O267,"")</f>
        <v/>
      </c>
      <c r="T267" s="368"/>
    </row>
    <row r="268" spans="2:20" x14ac:dyDescent="0.2">
      <c r="B268" s="45"/>
      <c r="C268" s="223"/>
      <c r="D268" s="270" t="s">
        <v>106</v>
      </c>
      <c r="E268" s="223"/>
      <c r="F268" s="223"/>
      <c r="G268" s="223"/>
      <c r="H268" s="368"/>
      <c r="I268" s="368"/>
      <c r="J268" s="369"/>
      <c r="K268" s="368"/>
      <c r="L268" s="368"/>
      <c r="M268" s="368"/>
      <c r="N268" s="368"/>
      <c r="O268" s="368"/>
      <c r="P268" s="368"/>
      <c r="Q268" s="368"/>
      <c r="R268" s="368"/>
      <c r="S268" s="368"/>
      <c r="T268" s="368"/>
    </row>
    <row r="269" spans="2:20" x14ac:dyDescent="0.2">
      <c r="B269" s="45">
        <f>MAX(B$267:B268)+1</f>
        <v>2</v>
      </c>
      <c r="C269" s="223"/>
      <c r="D269" s="370" t="s">
        <v>516</v>
      </c>
      <c r="E269" s="223"/>
      <c r="F269" s="224" t="s">
        <v>107</v>
      </c>
      <c r="G269" s="223"/>
      <c r="H269" s="141">
        <v>8863</v>
      </c>
      <c r="I269" s="368"/>
      <c r="J269" s="164"/>
      <c r="K269" s="227"/>
      <c r="L269" s="368"/>
      <c r="M269" s="164"/>
      <c r="N269" s="368"/>
      <c r="O269" s="141">
        <v>270.59242283304769</v>
      </c>
      <c r="P269" s="141">
        <f>Q269-O269</f>
        <v>0</v>
      </c>
      <c r="Q269" s="164">
        <f>H269*R269*12/1000</f>
        <v>270.59242283304769</v>
      </c>
      <c r="R269" s="227">
        <v>2.5442139872978271</v>
      </c>
      <c r="S269" s="143">
        <f>Q269/O269</f>
        <v>1</v>
      </c>
      <c r="T269" s="368"/>
    </row>
    <row r="270" spans="2:20" x14ac:dyDescent="0.2">
      <c r="B270" s="223"/>
      <c r="C270" s="223"/>
      <c r="D270" s="223"/>
      <c r="E270" s="223"/>
      <c r="F270" s="223"/>
      <c r="G270" s="223"/>
      <c r="H270" s="368"/>
      <c r="I270" s="368"/>
      <c r="J270" s="368"/>
      <c r="K270" s="368"/>
      <c r="L270" s="368"/>
      <c r="M270" s="368"/>
      <c r="N270" s="368"/>
      <c r="O270" s="368"/>
      <c r="P270" s="368"/>
      <c r="Q270" s="368"/>
      <c r="R270" s="368"/>
      <c r="S270" s="368"/>
      <c r="T270" s="368"/>
    </row>
    <row r="271" spans="2:20" ht="13.5" thickBot="1" x14ac:dyDescent="0.25">
      <c r="B271" s="45">
        <f>MAX(B$267:B270)+1</f>
        <v>3</v>
      </c>
      <c r="C271" s="223"/>
      <c r="D271" s="223" t="str">
        <f>"Total " &amp;D266</f>
        <v>Total Rate E60</v>
      </c>
      <c r="E271" s="223"/>
      <c r="F271" s="223"/>
      <c r="G271" s="223"/>
      <c r="H271" s="168">
        <f>H269</f>
        <v>8863</v>
      </c>
      <c r="I271" s="160"/>
      <c r="J271" s="168">
        <f>'Attach 1'!F29</f>
        <v>529.11347999999998</v>
      </c>
      <c r="K271" s="156">
        <f>J271/$H271*100</f>
        <v>5.9699140245966378</v>
      </c>
      <c r="L271" s="161"/>
      <c r="M271" s="168">
        <f>J271-O271</f>
        <v>258.52105716695229</v>
      </c>
      <c r="N271" s="162"/>
      <c r="O271" s="168">
        <f>SUM(O267:O269)</f>
        <v>270.59242283304769</v>
      </c>
      <c r="P271" s="168">
        <f>SUM(P267:P269)</f>
        <v>25.345637999999994</v>
      </c>
      <c r="Q271" s="168">
        <f>SUM(Q267:Q269)</f>
        <v>295.9380608330477</v>
      </c>
      <c r="R271" s="156">
        <f>Q271/$H271*100</f>
        <v>3.3390281037238823</v>
      </c>
      <c r="S271" s="194">
        <f>Q271/O271</f>
        <v>1.0936672126094158</v>
      </c>
      <c r="T271" s="479">
        <f>R271/K271-1</f>
        <v>-0.44069075534978308</v>
      </c>
    </row>
    <row r="272" spans="2:20" ht="13.5" thickTop="1" x14ac:dyDescent="0.2">
      <c r="B272" s="223"/>
      <c r="C272" s="223"/>
      <c r="D272" s="223"/>
      <c r="E272" s="223"/>
      <c r="F272" s="223"/>
      <c r="G272" s="223"/>
      <c r="H272" s="368"/>
      <c r="I272" s="368"/>
      <c r="J272" s="368"/>
      <c r="K272" s="368"/>
      <c r="L272" s="368"/>
      <c r="M272" s="368"/>
      <c r="N272" s="368"/>
      <c r="O272" s="368"/>
      <c r="P272" s="368"/>
      <c r="Q272" s="368"/>
      <c r="R272" s="368"/>
      <c r="S272" s="368"/>
      <c r="T272" s="368"/>
    </row>
    <row r="273" spans="2:20" x14ac:dyDescent="0.2">
      <c r="B273" s="223"/>
      <c r="C273" s="223"/>
      <c r="D273" s="367" t="s">
        <v>101</v>
      </c>
      <c r="E273" s="223"/>
      <c r="F273" s="223"/>
      <c r="G273" s="223"/>
      <c r="H273" s="368"/>
      <c r="I273" s="368"/>
      <c r="J273" s="368"/>
      <c r="K273" s="368"/>
      <c r="L273" s="368"/>
      <c r="M273" s="368"/>
      <c r="N273" s="368"/>
      <c r="O273" s="368"/>
      <c r="P273" s="368"/>
      <c r="Q273" s="368"/>
      <c r="R273" s="368"/>
      <c r="S273" s="368"/>
      <c r="T273" s="368"/>
    </row>
    <row r="274" spans="2:20" x14ac:dyDescent="0.2">
      <c r="B274" s="45"/>
      <c r="C274" s="223"/>
      <c r="D274" s="270" t="s">
        <v>106</v>
      </c>
      <c r="E274" s="223"/>
      <c r="F274" s="223"/>
      <c r="G274" s="223"/>
      <c r="H274" s="368"/>
      <c r="I274" s="368"/>
      <c r="J274" s="368"/>
      <c r="K274" s="368"/>
      <c r="L274" s="368"/>
      <c r="M274" s="368"/>
      <c r="N274" s="368"/>
      <c r="O274" s="368"/>
      <c r="P274" s="368"/>
      <c r="Q274" s="368"/>
      <c r="R274" s="368"/>
      <c r="S274" s="368"/>
      <c r="T274" s="368"/>
    </row>
    <row r="275" spans="2:20" x14ac:dyDescent="0.2">
      <c r="B275" s="45"/>
      <c r="C275" s="223"/>
      <c r="D275" s="273" t="s">
        <v>511</v>
      </c>
      <c r="E275" s="223"/>
      <c r="F275" s="223"/>
      <c r="G275" s="223"/>
      <c r="H275" s="368"/>
      <c r="I275" s="368"/>
      <c r="J275" s="368"/>
      <c r="K275" s="368"/>
      <c r="L275" s="368"/>
      <c r="M275" s="368"/>
      <c r="N275" s="368"/>
      <c r="O275" s="368"/>
      <c r="P275" s="368"/>
      <c r="Q275" s="368"/>
      <c r="R275" s="368"/>
      <c r="S275" s="368"/>
      <c r="T275" s="368"/>
    </row>
    <row r="276" spans="2:20" x14ac:dyDescent="0.2">
      <c r="B276" s="45">
        <f>MAX(B$267:B275)+1</f>
        <v>4</v>
      </c>
      <c r="C276" s="223"/>
      <c r="D276" s="271" t="s">
        <v>108</v>
      </c>
      <c r="E276" s="223"/>
      <c r="F276" s="224" t="s">
        <v>107</v>
      </c>
      <c r="G276" s="223"/>
      <c r="H276" s="141">
        <v>1867861</v>
      </c>
      <c r="I276" s="368"/>
      <c r="J276" s="164"/>
      <c r="K276" s="227"/>
      <c r="L276" s="368"/>
      <c r="M276" s="164"/>
      <c r="N276" s="368"/>
      <c r="O276" s="141">
        <v>89820.701762242301</v>
      </c>
      <c r="P276" s="141">
        <f t="shared" ref="P276:P281" si="8">Q276-O276</f>
        <v>-12132.84042447056</v>
      </c>
      <c r="Q276" s="164">
        <f>R276*(H276)*12/1000</f>
        <v>77687.861337771741</v>
      </c>
      <c r="R276" s="227">
        <v>3.4659904804556181</v>
      </c>
      <c r="S276" s="143">
        <f t="shared" ref="S276:S281" si="9">IFERROR(Q276/O276,"")</f>
        <v>0.86492155832197237</v>
      </c>
      <c r="T276" s="368"/>
    </row>
    <row r="277" spans="2:20" x14ac:dyDescent="0.2">
      <c r="B277" s="45">
        <f>MAX(B$267:B276)+1</f>
        <v>5</v>
      </c>
      <c r="C277" s="223"/>
      <c r="D277" s="272" t="s">
        <v>131</v>
      </c>
      <c r="E277" s="223"/>
      <c r="F277" s="224" t="s">
        <v>107</v>
      </c>
      <c r="G277" s="223"/>
      <c r="H277" s="141">
        <v>451429</v>
      </c>
      <c r="I277" s="368"/>
      <c r="J277" s="164"/>
      <c r="K277" s="227"/>
      <c r="L277" s="368"/>
      <c r="M277" s="164"/>
      <c r="N277" s="368"/>
      <c r="O277" s="141">
        <v>275.74339749549102</v>
      </c>
      <c r="P277" s="141">
        <f t="shared" si="8"/>
        <v>0</v>
      </c>
      <c r="Q277" s="164">
        <f>O277</f>
        <v>275.74339749549102</v>
      </c>
      <c r="R277" s="227">
        <v>5.0999999999999997E-2</v>
      </c>
      <c r="S277" s="143">
        <f t="shared" si="9"/>
        <v>1</v>
      </c>
      <c r="T277" s="368"/>
    </row>
    <row r="278" spans="2:20" x14ac:dyDescent="0.2">
      <c r="B278" s="45">
        <f>MAX(B$267:B277)+1</f>
        <v>6</v>
      </c>
      <c r="C278" s="223"/>
      <c r="D278" s="271" t="s">
        <v>109</v>
      </c>
      <c r="E278" s="223"/>
      <c r="F278" s="224" t="s">
        <v>107</v>
      </c>
      <c r="G278" s="223"/>
      <c r="H278" s="141">
        <v>49500</v>
      </c>
      <c r="I278" s="368"/>
      <c r="J278" s="164"/>
      <c r="K278" s="227"/>
      <c r="L278" s="368"/>
      <c r="M278" s="164"/>
      <c r="N278" s="368"/>
      <c r="O278" s="141">
        <v>1725.4752733342307</v>
      </c>
      <c r="P278" s="141">
        <f t="shared" si="8"/>
        <v>-233.72719071049119</v>
      </c>
      <c r="Q278" s="164">
        <f>R278*(H278)*12/1000</f>
        <v>1491.7480826237395</v>
      </c>
      <c r="R278" s="227">
        <v>2.5113604084574739</v>
      </c>
      <c r="S278" s="143">
        <f t="shared" si="9"/>
        <v>0.86454329753514969</v>
      </c>
      <c r="T278" s="368"/>
    </row>
    <row r="279" spans="2:20" x14ac:dyDescent="0.2">
      <c r="B279" s="45">
        <f>MAX(B$267:B278)+1</f>
        <v>7</v>
      </c>
      <c r="C279" s="223"/>
      <c r="D279" s="272" t="s">
        <v>131</v>
      </c>
      <c r="E279" s="223"/>
      <c r="F279" s="224" t="s">
        <v>107</v>
      </c>
      <c r="G279" s="223"/>
      <c r="H279" s="141">
        <v>49500</v>
      </c>
      <c r="I279" s="368"/>
      <c r="J279" s="164"/>
      <c r="K279" s="227"/>
      <c r="L279" s="368"/>
      <c r="M279" s="164"/>
      <c r="N279" s="368"/>
      <c r="O279" s="141">
        <v>30.235758393959635</v>
      </c>
      <c r="P279" s="141">
        <f t="shared" si="8"/>
        <v>0</v>
      </c>
      <c r="Q279" s="164">
        <f>O279</f>
        <v>30.235758393959635</v>
      </c>
      <c r="R279" s="227">
        <v>5.0999999999999997E-2</v>
      </c>
      <c r="S279" s="143">
        <f t="shared" si="9"/>
        <v>1</v>
      </c>
      <c r="T279" s="368"/>
    </row>
    <row r="280" spans="2:20" x14ac:dyDescent="0.2">
      <c r="B280" s="45">
        <f>MAX(B$267:B279)+1</f>
        <v>8</v>
      </c>
      <c r="C280" s="223"/>
      <c r="D280" s="271" t="s">
        <v>110</v>
      </c>
      <c r="E280" s="223"/>
      <c r="F280" s="224" t="s">
        <v>107</v>
      </c>
      <c r="G280" s="223"/>
      <c r="H280" s="141">
        <v>383738.83333333331</v>
      </c>
      <c r="I280" s="368"/>
      <c r="J280" s="164"/>
      <c r="K280" s="227"/>
      <c r="L280" s="368"/>
      <c r="M280" s="164"/>
      <c r="N280" s="368"/>
      <c r="O280" s="141">
        <v>7238.8053014704328</v>
      </c>
      <c r="P280" s="141">
        <f t="shared" si="8"/>
        <v>-851.36070922492218</v>
      </c>
      <c r="Q280" s="164">
        <f>R280*H280*12/1000</f>
        <v>6387.4445922455106</v>
      </c>
      <c r="R280" s="227">
        <v>1.3871075927606822</v>
      </c>
      <c r="S280" s="143">
        <f t="shared" si="9"/>
        <v>0.88238933445937773</v>
      </c>
      <c r="T280" s="368"/>
    </row>
    <row r="281" spans="2:20" x14ac:dyDescent="0.2">
      <c r="B281" s="45">
        <f>MAX(B$267:B280)+1</f>
        <v>9</v>
      </c>
      <c r="C281" s="223"/>
      <c r="D281" s="271" t="s">
        <v>303</v>
      </c>
      <c r="E281" s="223"/>
      <c r="F281" s="224" t="s">
        <v>107</v>
      </c>
      <c r="G281" s="223"/>
      <c r="H281" s="141">
        <v>8863</v>
      </c>
      <c r="I281" s="368"/>
      <c r="J281" s="164"/>
      <c r="K281" s="227"/>
      <c r="L281" s="368"/>
      <c r="M281" s="164"/>
      <c r="N281" s="368"/>
      <c r="O281" s="141">
        <v>227.56202369152254</v>
      </c>
      <c r="P281" s="141">
        <f t="shared" si="8"/>
        <v>0</v>
      </c>
      <c r="Q281" s="164">
        <f>R281*H281*12/1000</f>
        <v>227.56202369152254</v>
      </c>
      <c r="R281" s="227">
        <v>2.1396256317605262</v>
      </c>
      <c r="S281" s="143">
        <f t="shared" si="9"/>
        <v>1</v>
      </c>
      <c r="T281" s="368"/>
    </row>
    <row r="282" spans="2:20" x14ac:dyDescent="0.2">
      <c r="B282" s="223"/>
      <c r="C282" s="223"/>
      <c r="D282" s="223"/>
      <c r="E282" s="223"/>
      <c r="F282" s="223"/>
      <c r="G282" s="223"/>
      <c r="H282" s="368"/>
      <c r="I282" s="368"/>
      <c r="J282" s="368"/>
      <c r="K282" s="368"/>
      <c r="L282" s="368"/>
      <c r="M282" s="368"/>
      <c r="N282" s="368"/>
      <c r="O282" s="368"/>
      <c r="P282" s="368"/>
      <c r="Q282" s="368"/>
      <c r="R282" s="368"/>
      <c r="S282" s="368"/>
      <c r="T282" s="368"/>
    </row>
    <row r="283" spans="2:20" x14ac:dyDescent="0.2">
      <c r="B283" s="45"/>
      <c r="C283" s="223"/>
      <c r="D283" s="273" t="s">
        <v>512</v>
      </c>
      <c r="E283" s="223"/>
      <c r="F283" s="224"/>
      <c r="G283" s="223"/>
      <c r="H283" s="141"/>
      <c r="I283" s="368"/>
      <c r="J283" s="164"/>
      <c r="K283" s="227"/>
      <c r="L283" s="368"/>
      <c r="M283" s="368"/>
      <c r="N283" s="368"/>
      <c r="O283" s="141"/>
      <c r="P283" s="368"/>
      <c r="Q283" s="164"/>
      <c r="R283" s="227"/>
      <c r="S283" s="368"/>
      <c r="T283" s="368"/>
    </row>
    <row r="284" spans="2:20" x14ac:dyDescent="0.2">
      <c r="B284" s="45">
        <f>MAX(B$267:B283)+1</f>
        <v>10</v>
      </c>
      <c r="C284" s="223"/>
      <c r="D284" s="271" t="s">
        <v>111</v>
      </c>
      <c r="E284" s="223"/>
      <c r="F284" s="224" t="s">
        <v>107</v>
      </c>
      <c r="G284" s="223"/>
      <c r="H284" s="141">
        <v>1047191</v>
      </c>
      <c r="I284" s="368"/>
      <c r="J284" s="164"/>
      <c r="K284" s="227"/>
      <c r="L284" s="368"/>
      <c r="M284" s="164"/>
      <c r="N284" s="368"/>
      <c r="O284" s="141">
        <v>0</v>
      </c>
      <c r="P284" s="141">
        <f>Q284-O284</f>
        <v>11932.780396335778</v>
      </c>
      <c r="Q284" s="164">
        <f>R284*H284*12/1000</f>
        <v>11932.780396335778</v>
      </c>
      <c r="R284" s="227">
        <v>0.94958643300153922</v>
      </c>
      <c r="S284" s="143" t="str">
        <f>IFERROR(Q284/O284,"")</f>
        <v/>
      </c>
      <c r="T284" s="368"/>
    </row>
    <row r="285" spans="2:20" x14ac:dyDescent="0.2">
      <c r="B285" s="45">
        <f>MAX(B$267:B284)+1</f>
        <v>11</v>
      </c>
      <c r="C285" s="223"/>
      <c r="D285" s="271" t="s">
        <v>112</v>
      </c>
      <c r="E285" s="223"/>
      <c r="F285" s="224" t="s">
        <v>107</v>
      </c>
      <c r="G285" s="223"/>
      <c r="H285" s="141">
        <v>63329</v>
      </c>
      <c r="I285" s="368"/>
      <c r="J285" s="164"/>
      <c r="K285" s="227"/>
      <c r="L285" s="368"/>
      <c r="M285" s="164"/>
      <c r="N285" s="368"/>
      <c r="O285" s="141">
        <v>0</v>
      </c>
      <c r="P285" s="141">
        <f>Q285-O285</f>
        <v>1018.0638141522943</v>
      </c>
      <c r="Q285" s="164">
        <f>R285*H285*12/1000</f>
        <v>1018.0638141522943</v>
      </c>
      <c r="R285" s="227">
        <v>1.3396493104163629</v>
      </c>
      <c r="S285" s="143" t="str">
        <f>IFERROR(Q285/O285,"")</f>
        <v/>
      </c>
      <c r="T285" s="368"/>
    </row>
    <row r="286" spans="2:20" x14ac:dyDescent="0.2">
      <c r="B286" s="223"/>
      <c r="C286" s="223"/>
      <c r="D286" s="223"/>
      <c r="E286" s="223"/>
      <c r="F286" s="223"/>
      <c r="G286" s="223"/>
      <c r="H286" s="368"/>
      <c r="I286" s="368"/>
      <c r="J286" s="368"/>
      <c r="K286" s="368"/>
      <c r="L286" s="368"/>
      <c r="M286" s="368"/>
      <c r="N286" s="368"/>
      <c r="O286" s="368"/>
      <c r="P286" s="368"/>
      <c r="Q286" s="368"/>
      <c r="R286" s="368"/>
      <c r="S286" s="368"/>
      <c r="T286" s="368"/>
    </row>
    <row r="287" spans="2:20" x14ac:dyDescent="0.2">
      <c r="B287" s="45">
        <f>MAX(B$267:B286)+1</f>
        <v>12</v>
      </c>
      <c r="C287" s="223"/>
      <c r="D287" s="273" t="s">
        <v>291</v>
      </c>
      <c r="E287" s="223"/>
      <c r="F287" s="224" t="s">
        <v>107</v>
      </c>
      <c r="G287" s="223"/>
      <c r="H287" s="141">
        <v>54513</v>
      </c>
      <c r="I287" s="368"/>
      <c r="J287" s="164"/>
      <c r="K287" s="227"/>
      <c r="L287" s="368"/>
      <c r="M287" s="164"/>
      <c r="N287" s="368"/>
      <c r="O287" s="141">
        <v>2621.3920174815548</v>
      </c>
      <c r="P287" s="141">
        <f>Q287-O287</f>
        <v>267.08411391792561</v>
      </c>
      <c r="Q287" s="164">
        <f>R287*H287*12/1000</f>
        <v>2888.4761313994804</v>
      </c>
      <c r="R287" s="227">
        <v>4.4155769134571576</v>
      </c>
      <c r="S287" s="143">
        <f>IFERROR(Q287/O287,"")</f>
        <v>1.1018863688211429</v>
      </c>
      <c r="T287" s="368"/>
    </row>
    <row r="288" spans="2:20" x14ac:dyDescent="0.2">
      <c r="B288" s="223"/>
      <c r="C288" s="223"/>
      <c r="D288" s="223"/>
      <c r="E288" s="223"/>
      <c r="F288" s="223"/>
      <c r="G288" s="223"/>
      <c r="H288" s="368"/>
      <c r="I288" s="368"/>
      <c r="J288" s="368"/>
      <c r="K288" s="368"/>
      <c r="L288" s="368"/>
      <c r="M288" s="368"/>
      <c r="N288" s="368"/>
      <c r="O288" s="368"/>
      <c r="P288" s="368"/>
      <c r="Q288" s="368"/>
      <c r="R288" s="368"/>
      <c r="S288" s="368"/>
      <c r="T288" s="368"/>
    </row>
    <row r="289" spans="2:20" x14ac:dyDescent="0.2">
      <c r="B289" s="45"/>
      <c r="C289" s="223"/>
      <c r="D289" s="273" t="s">
        <v>113</v>
      </c>
      <c r="E289" s="223"/>
      <c r="F289" s="223"/>
      <c r="G289" s="223"/>
      <c r="H289" s="141"/>
      <c r="I289" s="368"/>
      <c r="J289" s="164"/>
      <c r="K289" s="227"/>
      <c r="L289" s="368"/>
      <c r="M289" s="368"/>
      <c r="N289" s="368"/>
      <c r="O289" s="141"/>
      <c r="P289" s="368"/>
      <c r="Q289" s="164"/>
      <c r="R289" s="227"/>
      <c r="S289" s="368"/>
      <c r="T289" s="368"/>
    </row>
    <row r="290" spans="2:20" x14ac:dyDescent="0.2">
      <c r="B290" s="45">
        <f>MAX(B$267:B289)+1</f>
        <v>13</v>
      </c>
      <c r="C290" s="223"/>
      <c r="D290" s="271" t="s">
        <v>129</v>
      </c>
      <c r="E290" s="223"/>
      <c r="F290" s="224" t="s">
        <v>107</v>
      </c>
      <c r="G290" s="223"/>
      <c r="H290" s="141">
        <v>36927</v>
      </c>
      <c r="I290" s="368"/>
      <c r="J290" s="164"/>
      <c r="K290" s="227"/>
      <c r="L290" s="368"/>
      <c r="M290" s="164"/>
      <c r="N290" s="368"/>
      <c r="O290" s="141">
        <v>0</v>
      </c>
      <c r="P290" s="141">
        <f>Q290-O290</f>
        <v>806.13845295288763</v>
      </c>
      <c r="Q290" s="164">
        <f>R290*H290*12/1000</f>
        <v>806.13845295288763</v>
      </c>
      <c r="R290" s="227">
        <v>1.8192164111013795</v>
      </c>
      <c r="S290" s="143" t="str">
        <f t="shared" ref="S290:S297" si="10">IFERROR(Q290/O290,"")</f>
        <v/>
      </c>
      <c r="T290" s="368"/>
    </row>
    <row r="291" spans="2:20" x14ac:dyDescent="0.2">
      <c r="B291" s="45">
        <f>MAX(B$267:B290)+1</f>
        <v>14</v>
      </c>
      <c r="C291" s="223"/>
      <c r="D291" s="271" t="s">
        <v>130</v>
      </c>
      <c r="E291" s="223"/>
      <c r="F291" s="224" t="s">
        <v>107</v>
      </c>
      <c r="G291" s="223"/>
      <c r="H291" s="141">
        <v>0</v>
      </c>
      <c r="I291" s="368"/>
      <c r="J291" s="164"/>
      <c r="K291" s="227"/>
      <c r="L291" s="368"/>
      <c r="M291" s="164"/>
      <c r="N291" s="368"/>
      <c r="O291" s="141">
        <v>0</v>
      </c>
      <c r="P291" s="141">
        <f>Q291-O291</f>
        <v>0</v>
      </c>
      <c r="Q291" s="164">
        <f>R291*H291*12/1000</f>
        <v>0</v>
      </c>
      <c r="R291" s="227">
        <v>6.6401399005200359</v>
      </c>
      <c r="S291" s="143" t="str">
        <f t="shared" si="10"/>
        <v/>
      </c>
      <c r="T291" s="368"/>
    </row>
    <row r="292" spans="2:20" x14ac:dyDescent="0.2">
      <c r="B292" s="45">
        <f>MAX(B$267:B291)+1</f>
        <v>15</v>
      </c>
      <c r="C292" s="223"/>
      <c r="D292" s="371" t="s">
        <v>114</v>
      </c>
      <c r="E292" s="223"/>
      <c r="F292" s="224" t="s">
        <v>107</v>
      </c>
      <c r="G292" s="223"/>
      <c r="H292" s="141">
        <v>1210000</v>
      </c>
      <c r="I292" s="368"/>
      <c r="J292" s="164"/>
      <c r="K292" s="227"/>
      <c r="L292" s="368"/>
      <c r="M292" s="368"/>
      <c r="N292" s="368"/>
      <c r="O292" s="141">
        <v>21667.777604785031</v>
      </c>
      <c r="P292" s="141">
        <f>Q292-O292</f>
        <v>0</v>
      </c>
      <c r="Q292" s="164">
        <f>R292*H292*12/1000</f>
        <v>21667.777604785031</v>
      </c>
      <c r="R292" s="227">
        <v>1.4922711849025505</v>
      </c>
      <c r="S292" s="143">
        <f t="shared" si="10"/>
        <v>1</v>
      </c>
      <c r="T292" s="368"/>
    </row>
    <row r="293" spans="2:20" x14ac:dyDescent="0.2">
      <c r="B293" s="45">
        <f>MAX(B$267:B292)+1</f>
        <v>16</v>
      </c>
      <c r="C293" s="223"/>
      <c r="D293" s="271" t="s">
        <v>513</v>
      </c>
      <c r="E293" s="223"/>
      <c r="F293" s="224" t="s">
        <v>107</v>
      </c>
      <c r="G293" s="223"/>
      <c r="H293" s="141">
        <v>203626</v>
      </c>
      <c r="I293" s="368"/>
      <c r="J293" s="164"/>
      <c r="K293" s="227"/>
      <c r="L293" s="368"/>
      <c r="M293" s="164"/>
      <c r="N293" s="368"/>
      <c r="O293" s="141">
        <v>0</v>
      </c>
      <c r="P293" s="141">
        <f>Q293-O293</f>
        <v>38.879567507855178</v>
      </c>
      <c r="Q293" s="164">
        <f>R293*H293*12/1000</f>
        <v>38.879567507855178</v>
      </c>
      <c r="R293" s="227">
        <v>1.5911347072514962E-2</v>
      </c>
      <c r="S293" s="143" t="str">
        <f t="shared" si="10"/>
        <v/>
      </c>
      <c r="T293" s="368"/>
    </row>
    <row r="294" spans="2:20" x14ac:dyDescent="0.2">
      <c r="B294" s="45">
        <f>MAX(B$267:B293)+1</f>
        <v>17</v>
      </c>
      <c r="C294" s="223"/>
      <c r="D294" s="272" t="s">
        <v>131</v>
      </c>
      <c r="E294" s="223"/>
      <c r="F294" s="224" t="s">
        <v>107</v>
      </c>
      <c r="G294" s="223"/>
      <c r="H294" s="141">
        <v>110781</v>
      </c>
      <c r="I294" s="368"/>
      <c r="J294" s="164"/>
      <c r="K294" s="227"/>
      <c r="L294" s="368"/>
      <c r="M294" s="164"/>
      <c r="N294" s="368"/>
      <c r="O294" s="141">
        <v>67.667627285681675</v>
      </c>
      <c r="P294" s="141">
        <f>Q294-O294</f>
        <v>0</v>
      </c>
      <c r="Q294" s="164">
        <f>O294</f>
        <v>67.667627285681675</v>
      </c>
      <c r="R294" s="227">
        <v>5.0999999999999997E-2</v>
      </c>
      <c r="S294" s="143">
        <f t="shared" si="10"/>
        <v>1</v>
      </c>
      <c r="T294" s="368"/>
    </row>
    <row r="295" spans="2:20" x14ac:dyDescent="0.2">
      <c r="B295" s="45">
        <f>MAX(B$267:B294)+1</f>
        <v>18</v>
      </c>
      <c r="C295" s="223"/>
      <c r="D295" s="271" t="s">
        <v>514</v>
      </c>
      <c r="E295" s="223"/>
      <c r="F295" s="224" t="s">
        <v>107</v>
      </c>
      <c r="G295" s="223"/>
      <c r="H295" s="141">
        <v>500000</v>
      </c>
      <c r="I295" s="368"/>
      <c r="J295" s="164"/>
      <c r="K295" s="227"/>
      <c r="L295" s="368"/>
      <c r="M295" s="164"/>
      <c r="N295" s="368"/>
      <c r="O295" s="141">
        <v>0</v>
      </c>
      <c r="P295" s="141">
        <v>159.11347072514798</v>
      </c>
      <c r="Q295" s="164">
        <v>159.11347072514798</v>
      </c>
      <c r="R295" s="227">
        <v>2.3867020608772445E-2</v>
      </c>
      <c r="S295" s="143" t="str">
        <f t="shared" si="10"/>
        <v/>
      </c>
      <c r="T295" s="368"/>
    </row>
    <row r="296" spans="2:20" x14ac:dyDescent="0.2">
      <c r="B296" s="45">
        <f>MAX(B$267:B295)+1</f>
        <v>19</v>
      </c>
      <c r="C296" s="223"/>
      <c r="D296" s="271" t="s">
        <v>115</v>
      </c>
      <c r="E296" s="223"/>
      <c r="F296" s="224" t="s">
        <v>81</v>
      </c>
      <c r="G296" s="223"/>
      <c r="H296" s="141">
        <v>45665000</v>
      </c>
      <c r="I296" s="368"/>
      <c r="J296" s="141"/>
      <c r="K296" s="227"/>
      <c r="L296" s="368"/>
      <c r="M296" s="164"/>
      <c r="N296" s="368"/>
      <c r="O296" s="141">
        <v>20.916562424892923</v>
      </c>
      <c r="P296" s="141">
        <f>Q296-O296</f>
        <v>12117.775740074983</v>
      </c>
      <c r="Q296" s="141">
        <v>12138.692302499876</v>
      </c>
      <c r="R296" s="227">
        <v>0</v>
      </c>
      <c r="S296" s="143">
        <f t="shared" si="10"/>
        <v>580.33877918933501</v>
      </c>
      <c r="T296" s="368"/>
    </row>
    <row r="297" spans="2:20" x14ac:dyDescent="0.2">
      <c r="B297" s="45">
        <f>MAX(B$267:B296)+1</f>
        <v>20</v>
      </c>
      <c r="C297" s="223"/>
      <c r="D297" s="371" t="s">
        <v>515</v>
      </c>
      <c r="E297" s="223"/>
      <c r="F297" s="224" t="s">
        <v>107</v>
      </c>
      <c r="G297" s="223"/>
      <c r="H297" s="141">
        <v>91095.48</v>
      </c>
      <c r="I297" s="368"/>
      <c r="J297" s="164"/>
      <c r="K297" s="227"/>
      <c r="L297" s="368"/>
      <c r="M297" s="164"/>
      <c r="N297" s="368"/>
      <c r="O297" s="141">
        <v>5.5698105570283136</v>
      </c>
      <c r="P297" s="141">
        <f>Q297-O297</f>
        <v>163.43052393897165</v>
      </c>
      <c r="Q297" s="164">
        <v>169.00033449599997</v>
      </c>
      <c r="R297" s="227">
        <v>0.15459999999999999</v>
      </c>
      <c r="S297" s="143">
        <f t="shared" si="10"/>
        <v>30.342205137075162</v>
      </c>
      <c r="T297" s="368"/>
    </row>
    <row r="298" spans="2:20" x14ac:dyDescent="0.2">
      <c r="B298" s="223"/>
      <c r="C298" s="223"/>
      <c r="D298" s="223"/>
      <c r="E298" s="223"/>
      <c r="F298" s="223"/>
      <c r="G298" s="223"/>
      <c r="H298" s="368"/>
      <c r="I298" s="368"/>
      <c r="J298" s="368"/>
      <c r="K298" s="368"/>
      <c r="L298" s="368"/>
      <c r="M298" s="368"/>
      <c r="N298" s="368"/>
      <c r="O298" s="368"/>
      <c r="P298" s="368"/>
      <c r="Q298" s="368"/>
      <c r="R298" s="368"/>
      <c r="S298" s="368"/>
      <c r="T298" s="368"/>
    </row>
    <row r="299" spans="2:20" x14ac:dyDescent="0.2">
      <c r="B299" s="45">
        <f>MAX(B$267:B298)+1</f>
        <v>21</v>
      </c>
      <c r="C299" s="223"/>
      <c r="D299" s="223" t="str">
        <f>"Total " &amp;LEFT(D274,6)</f>
        <v>Total Demand</v>
      </c>
      <c r="E299" s="223"/>
      <c r="F299" s="223"/>
      <c r="G299" s="223"/>
      <c r="H299" s="195">
        <f>SUM(H276:H297)</f>
        <v>51793354.313333333</v>
      </c>
      <c r="I299" s="160"/>
      <c r="J299" s="195">
        <f>'Attach 1'!F76</f>
        <v>138190.12448499587</v>
      </c>
      <c r="K299" s="154">
        <f>J299/$H299*100</f>
        <v>0.26681053258105186</v>
      </c>
      <c r="L299" s="161"/>
      <c r="M299" s="195">
        <f>J299-O299</f>
        <v>14488.277345833718</v>
      </c>
      <c r="N299" s="162"/>
      <c r="O299" s="195">
        <f>SUM(O276:O297)</f>
        <v>123701.84713916216</v>
      </c>
      <c r="P299" s="195">
        <f>SUM(P276:P297)</f>
        <v>13285.337755199871</v>
      </c>
      <c r="Q299" s="195">
        <f>SUM(Q276:Q297)</f>
        <v>136987.184894362</v>
      </c>
      <c r="R299" s="154">
        <f>Q299/$H299*100</f>
        <v>0.26448795740401959</v>
      </c>
      <c r="S299" s="196">
        <f>Q299/O299</f>
        <v>1.1073980547780673</v>
      </c>
      <c r="T299" s="473">
        <f>R299/K299-1</f>
        <v>-8.7049606121779588E-3</v>
      </c>
    </row>
    <row r="300" spans="2:20" x14ac:dyDescent="0.2">
      <c r="B300" s="223"/>
      <c r="C300" s="223"/>
      <c r="D300" s="223"/>
      <c r="E300" s="223"/>
      <c r="F300" s="223"/>
      <c r="G300" s="223"/>
      <c r="H300" s="223"/>
      <c r="I300" s="223"/>
      <c r="J300" s="223"/>
      <c r="K300" s="223"/>
      <c r="L300" s="223"/>
      <c r="M300" s="223"/>
      <c r="N300" s="223"/>
      <c r="O300" s="223"/>
      <c r="P300" s="223"/>
      <c r="Q300" s="223"/>
      <c r="R300" s="223"/>
      <c r="S300" s="223"/>
      <c r="T300" s="223"/>
    </row>
    <row r="301" spans="2:20" x14ac:dyDescent="0.2">
      <c r="B301" s="45"/>
      <c r="C301" s="223"/>
      <c r="D301" s="223" t="s">
        <v>116</v>
      </c>
      <c r="E301" s="223"/>
      <c r="F301" s="223"/>
      <c r="G301" s="223"/>
      <c r="H301" s="15"/>
      <c r="I301" s="223"/>
      <c r="J301" s="223"/>
      <c r="K301" s="223"/>
      <c r="L301" s="223"/>
      <c r="M301" s="223"/>
      <c r="N301" s="223"/>
      <c r="O301" s="223"/>
      <c r="P301" s="223"/>
      <c r="Q301" s="223"/>
      <c r="R301" s="223"/>
      <c r="S301" s="223"/>
      <c r="T301" s="223"/>
    </row>
    <row r="302" spans="2:20" x14ac:dyDescent="0.2">
      <c r="B302" s="45">
        <f>MAX(B$267:B301)+1</f>
        <v>22</v>
      </c>
      <c r="C302" s="223"/>
      <c r="D302" s="270" t="s">
        <v>788</v>
      </c>
      <c r="E302" s="223"/>
      <c r="F302" s="224" t="s">
        <v>81</v>
      </c>
      <c r="G302" s="223"/>
      <c r="H302" s="141">
        <v>402163120.17195404</v>
      </c>
      <c r="I302" s="368"/>
      <c r="J302" s="141"/>
      <c r="K302" s="227"/>
      <c r="L302" s="368"/>
      <c r="M302" s="164"/>
      <c r="N302" s="368"/>
      <c r="O302" s="141">
        <v>21686.57262793582</v>
      </c>
      <c r="P302" s="141">
        <f>Q302-O302</f>
        <v>3.5403484827693319</v>
      </c>
      <c r="Q302" s="141">
        <v>21690.11297641859</v>
      </c>
      <c r="R302" s="227">
        <v>0</v>
      </c>
      <c r="S302" s="143">
        <f>IFERROR(Q302/O302,"")</f>
        <v>1.000163250714786</v>
      </c>
      <c r="T302" s="368"/>
    </row>
    <row r="303" spans="2:20" x14ac:dyDescent="0.2">
      <c r="B303" s="45">
        <f>MAX(B$267:B302)+1</f>
        <v>23</v>
      </c>
      <c r="C303" s="223"/>
      <c r="D303" s="270" t="s">
        <v>789</v>
      </c>
      <c r="E303" s="223"/>
      <c r="F303" s="224" t="s">
        <v>81</v>
      </c>
      <c r="G303" s="223"/>
      <c r="H303" s="141">
        <v>222367415.58668202</v>
      </c>
      <c r="I303" s="368"/>
      <c r="J303" s="141"/>
      <c r="K303" s="227"/>
      <c r="L303" s="368"/>
      <c r="M303" s="164"/>
      <c r="N303" s="368"/>
      <c r="O303" s="141">
        <v>6355.9289621301732</v>
      </c>
      <c r="P303" s="141">
        <f>Q303-O303</f>
        <v>6.8128582849394661</v>
      </c>
      <c r="Q303" s="141">
        <v>6362.7418204151127</v>
      </c>
      <c r="R303" s="227">
        <v>0</v>
      </c>
      <c r="S303" s="143">
        <f>IFERROR(Q303/O303,"")</f>
        <v>1.0010718902501163</v>
      </c>
      <c r="T303" s="368"/>
    </row>
    <row r="304" spans="2:20" x14ac:dyDescent="0.2">
      <c r="B304" s="223"/>
      <c r="C304" s="223"/>
      <c r="D304" s="223"/>
      <c r="E304" s="223"/>
      <c r="F304" s="223"/>
      <c r="G304" s="223"/>
      <c r="H304" s="368"/>
      <c r="I304" s="368"/>
      <c r="J304" s="368"/>
      <c r="K304" s="368"/>
      <c r="L304" s="368"/>
      <c r="M304" s="368"/>
      <c r="N304" s="368"/>
      <c r="O304" s="368"/>
      <c r="P304" s="368"/>
      <c r="Q304" s="368"/>
      <c r="R304" s="368"/>
      <c r="S304" s="368"/>
      <c r="T304" s="368"/>
    </row>
    <row r="305" spans="2:20" x14ac:dyDescent="0.2">
      <c r="B305" s="45">
        <f>MAX(B$267:B304)+1</f>
        <v>24</v>
      </c>
      <c r="C305" s="223"/>
      <c r="D305" s="270" t="s">
        <v>790</v>
      </c>
      <c r="E305" s="223"/>
      <c r="F305" s="224" t="s">
        <v>81</v>
      </c>
      <c r="G305" s="223"/>
      <c r="H305" s="141"/>
      <c r="I305" s="368"/>
      <c r="J305" s="141"/>
      <c r="K305" s="227"/>
      <c r="L305" s="368"/>
      <c r="M305" s="164"/>
      <c r="N305" s="368"/>
      <c r="O305" s="141">
        <v>3069.6681650491919</v>
      </c>
      <c r="P305" s="141">
        <f>Q305-O305</f>
        <v>-10.019116186088013</v>
      </c>
      <c r="Q305" s="141">
        <v>3059.6490488631039</v>
      </c>
      <c r="R305" s="227">
        <v>0</v>
      </c>
      <c r="S305" s="143">
        <f>IFERROR(Q305/O305,"")</f>
        <v>0.99673609144461794</v>
      </c>
      <c r="T305" s="368"/>
    </row>
    <row r="306" spans="2:20" x14ac:dyDescent="0.2">
      <c r="B306" s="45"/>
      <c r="C306" s="223"/>
      <c r="D306" s="223"/>
      <c r="E306" s="223"/>
      <c r="F306" s="223"/>
      <c r="G306" s="223"/>
      <c r="H306" s="368"/>
      <c r="I306" s="368"/>
      <c r="J306" s="368"/>
      <c r="K306" s="368"/>
      <c r="L306" s="368"/>
      <c r="M306" s="368"/>
      <c r="N306" s="368"/>
      <c r="O306" s="368"/>
      <c r="P306" s="368"/>
      <c r="Q306" s="368"/>
      <c r="R306" s="368"/>
      <c r="S306" s="368"/>
      <c r="T306" s="368"/>
    </row>
    <row r="307" spans="2:20" x14ac:dyDescent="0.2">
      <c r="B307" s="45">
        <f>MAX(B$267:B306)+1</f>
        <v>25</v>
      </c>
      <c r="C307" s="223"/>
      <c r="D307" s="223" t="str">
        <f>"Total " &amp;D301</f>
        <v>Total Commodity</v>
      </c>
      <c r="E307" s="223"/>
      <c r="F307" s="223"/>
      <c r="G307" s="223"/>
      <c r="H307" s="195">
        <f>SUM(H302:H305)</f>
        <v>624530535.758636</v>
      </c>
      <c r="I307" s="160"/>
      <c r="J307" s="195">
        <f>'Attach 1'!F122</f>
        <v>22252.322036695405</v>
      </c>
      <c r="K307" s="154">
        <f>J307/$H307*100</f>
        <v>3.5630478835858423E-3</v>
      </c>
      <c r="L307" s="161"/>
      <c r="M307" s="195">
        <f>J307-O307</f>
        <v>-8859.84771841978</v>
      </c>
      <c r="N307" s="162"/>
      <c r="O307" s="195">
        <f>SUM(O302:O305)</f>
        <v>31112.169755115185</v>
      </c>
      <c r="P307" s="195">
        <f>SUM(P302:P305)</f>
        <v>0.33409058162078509</v>
      </c>
      <c r="Q307" s="195">
        <f>SUM(Q302:Q305)</f>
        <v>31112.503845696803</v>
      </c>
      <c r="R307" s="154">
        <f>Q307/$H307*100</f>
        <v>4.9817426153396186E-3</v>
      </c>
      <c r="S307" s="196">
        <f>Q307/O307</f>
        <v>1.000010738260438</v>
      </c>
      <c r="T307" s="274">
        <f>R307/K307-1</f>
        <v>0.39816886500161353</v>
      </c>
    </row>
    <row r="308" spans="2:20" x14ac:dyDescent="0.2">
      <c r="B308" s="223"/>
      <c r="C308" s="223"/>
      <c r="D308" s="223"/>
      <c r="E308" s="223"/>
      <c r="F308" s="223"/>
      <c r="G308" s="223"/>
      <c r="H308" s="368"/>
      <c r="I308" s="368"/>
      <c r="J308" s="368"/>
      <c r="K308" s="368"/>
      <c r="L308" s="368"/>
      <c r="M308" s="368"/>
      <c r="N308" s="368"/>
      <c r="O308" s="368"/>
      <c r="P308" s="368"/>
      <c r="Q308" s="368"/>
      <c r="R308" s="368"/>
      <c r="S308" s="368"/>
      <c r="T308" s="368"/>
    </row>
    <row r="309" spans="2:20" ht="13.5" thickBot="1" x14ac:dyDescent="0.25">
      <c r="B309" s="45">
        <f>MAX(B$267:B308)+1</f>
        <v>26</v>
      </c>
      <c r="C309" s="223"/>
      <c r="D309" s="223" t="str">
        <f>"Total " &amp;D273</f>
        <v>Total Rate E70</v>
      </c>
      <c r="E309" s="223"/>
      <c r="F309" s="223"/>
      <c r="G309" s="223"/>
      <c r="H309" s="168">
        <f>H299+H307</f>
        <v>676323890.07196927</v>
      </c>
      <c r="I309" s="160"/>
      <c r="J309" s="168">
        <f>J299+J307</f>
        <v>160442.44652169128</v>
      </c>
      <c r="K309" s="156">
        <f>J309/$H309*100</f>
        <v>2.3722723517073781E-2</v>
      </c>
      <c r="L309" s="161"/>
      <c r="M309" s="168">
        <f>J309-O309</f>
        <v>5628.4296274139488</v>
      </c>
      <c r="N309" s="162"/>
      <c r="O309" s="168">
        <f>O299+O307</f>
        <v>154814.01689427733</v>
      </c>
      <c r="P309" s="168">
        <f>P299+P307</f>
        <v>13285.671845781491</v>
      </c>
      <c r="Q309" s="168">
        <f>Q299+Q307</f>
        <v>168099.6887400588</v>
      </c>
      <c r="R309" s="156">
        <f>Q309/$H309*100</f>
        <v>2.4854909194789925E-2</v>
      </c>
      <c r="S309" s="194">
        <f>Q309/O309</f>
        <v>1.0858169829341375</v>
      </c>
      <c r="T309" s="262">
        <f>R309/K309-1</f>
        <v>4.7725788183691664E-2</v>
      </c>
    </row>
    <row r="310" spans="2:20" ht="13.5" thickTop="1" x14ac:dyDescent="0.2">
      <c r="B310" s="223"/>
      <c r="C310" s="223"/>
      <c r="D310" s="223"/>
      <c r="E310" s="223"/>
      <c r="F310" s="223"/>
      <c r="G310" s="223"/>
      <c r="H310" s="223"/>
      <c r="I310" s="223"/>
      <c r="J310" s="223"/>
      <c r="K310" s="223"/>
      <c r="L310" s="223"/>
      <c r="M310" s="223"/>
      <c r="N310" s="223"/>
      <c r="O310" s="223"/>
      <c r="P310" s="223"/>
      <c r="Q310" s="223"/>
      <c r="R310" s="223"/>
      <c r="S310" s="223"/>
      <c r="T310" s="223"/>
    </row>
    <row r="311" spans="2:20" x14ac:dyDescent="0.2">
      <c r="B311" s="223"/>
      <c r="C311" s="223"/>
      <c r="D311" s="223"/>
      <c r="E311" s="223"/>
      <c r="F311" s="223"/>
      <c r="G311" s="223"/>
      <c r="H311" s="223"/>
      <c r="I311" s="223"/>
      <c r="J311" s="223"/>
      <c r="K311" s="223"/>
      <c r="L311" s="223"/>
      <c r="M311" s="223"/>
      <c r="N311" s="223"/>
      <c r="O311" s="223"/>
      <c r="P311" s="223"/>
      <c r="Q311" s="223"/>
      <c r="R311" s="223"/>
      <c r="S311" s="223"/>
      <c r="T311" s="223"/>
    </row>
    <row r="312" spans="2:20" x14ac:dyDescent="0.2">
      <c r="B312" s="223"/>
      <c r="C312" s="223"/>
      <c r="D312" s="223"/>
      <c r="E312" s="223"/>
      <c r="F312" s="223"/>
      <c r="G312" s="223"/>
      <c r="H312" s="223"/>
      <c r="I312" s="223"/>
      <c r="J312" s="223"/>
      <c r="K312" s="223"/>
      <c r="L312" s="223"/>
      <c r="M312" s="223"/>
      <c r="N312" s="223"/>
      <c r="O312" s="223"/>
      <c r="P312" s="223"/>
      <c r="Q312" s="223"/>
      <c r="R312" s="223"/>
      <c r="S312" s="223"/>
      <c r="T312" s="223"/>
    </row>
    <row r="313" spans="2:20" x14ac:dyDescent="0.2">
      <c r="B313" s="223"/>
      <c r="C313" s="223"/>
      <c r="D313" s="223"/>
      <c r="E313" s="223"/>
      <c r="F313" s="223"/>
      <c r="G313" s="223"/>
      <c r="H313" s="223"/>
      <c r="I313" s="223"/>
      <c r="J313" s="223"/>
      <c r="K313" s="223"/>
      <c r="L313" s="223"/>
      <c r="M313" s="223"/>
      <c r="N313" s="223"/>
      <c r="O313" s="223"/>
      <c r="P313" s="223"/>
      <c r="Q313" s="223"/>
      <c r="R313" s="223"/>
      <c r="S313" s="223"/>
      <c r="T313" s="223"/>
    </row>
    <row r="314" spans="2:20" x14ac:dyDescent="0.2">
      <c r="B314" s="223"/>
      <c r="C314" s="223"/>
      <c r="D314" s="223"/>
      <c r="E314" s="223"/>
      <c r="F314" s="223"/>
      <c r="G314" s="223"/>
      <c r="H314" s="223"/>
      <c r="I314" s="223"/>
      <c r="J314" s="223"/>
      <c r="K314" s="223"/>
      <c r="L314" s="223"/>
      <c r="M314" s="223"/>
      <c r="N314" s="223"/>
      <c r="O314" s="223"/>
      <c r="P314" s="223"/>
      <c r="Q314" s="223"/>
      <c r="R314" s="223"/>
      <c r="S314" s="223"/>
      <c r="T314" s="223"/>
    </row>
    <row r="315" spans="2:20" x14ac:dyDescent="0.2">
      <c r="B315" s="179" t="s">
        <v>46</v>
      </c>
      <c r="C315" s="179"/>
      <c r="D315" s="179"/>
      <c r="E315" s="179"/>
      <c r="F315" s="179"/>
      <c r="G315" s="179"/>
      <c r="H315" s="179"/>
      <c r="I315" s="179"/>
      <c r="J315" s="179"/>
      <c r="K315" s="179"/>
      <c r="L315" s="179"/>
      <c r="M315" s="179"/>
      <c r="N315" s="179"/>
      <c r="O315" s="179"/>
      <c r="P315" s="179"/>
      <c r="Q315" s="179"/>
      <c r="R315" s="179"/>
      <c r="S315" s="179"/>
      <c r="T315" s="179"/>
    </row>
    <row r="316" spans="2:20" x14ac:dyDescent="0.2">
      <c r="B316" s="179" t="s">
        <v>780</v>
      </c>
      <c r="C316" s="179"/>
      <c r="D316" s="179"/>
      <c r="E316" s="179"/>
      <c r="F316" s="179"/>
      <c r="G316" s="179"/>
      <c r="H316" s="179"/>
      <c r="I316" s="179"/>
      <c r="J316" s="179"/>
      <c r="K316" s="179"/>
      <c r="L316" s="179"/>
      <c r="M316" s="179"/>
      <c r="N316" s="179"/>
      <c r="O316" s="179"/>
      <c r="P316" s="179"/>
      <c r="Q316" s="179"/>
      <c r="R316" s="179"/>
      <c r="S316" s="179"/>
      <c r="T316" s="179"/>
    </row>
    <row r="317" spans="2:20" x14ac:dyDescent="0.2">
      <c r="B317" s="255"/>
      <c r="C317" s="255"/>
      <c r="D317" s="255"/>
      <c r="E317" s="255"/>
      <c r="F317" s="181"/>
      <c r="G317" s="255"/>
      <c r="H317" s="181"/>
      <c r="I317" s="255"/>
      <c r="J317" s="181"/>
      <c r="K317" s="181"/>
      <c r="L317" s="181"/>
      <c r="M317" s="181"/>
      <c r="N317" s="255"/>
      <c r="O317" s="255"/>
      <c r="P317" s="255"/>
      <c r="Q317" s="255"/>
      <c r="R317" s="255"/>
      <c r="S317" s="176"/>
      <c r="T317" s="176"/>
    </row>
    <row r="318" spans="2:20" x14ac:dyDescent="0.2">
      <c r="B318" s="181"/>
      <c r="C318" s="181"/>
      <c r="D318" s="181"/>
      <c r="E318" s="181"/>
      <c r="F318" s="265"/>
      <c r="G318" s="181"/>
      <c r="H318" s="265"/>
      <c r="I318" s="181"/>
      <c r="J318" s="266" t="s">
        <v>26</v>
      </c>
      <c r="K318" s="266"/>
      <c r="L318" s="181"/>
      <c r="M318" s="181"/>
      <c r="N318" s="181"/>
      <c r="O318" s="266" t="s">
        <v>29</v>
      </c>
      <c r="P318" s="266"/>
      <c r="Q318" s="266"/>
      <c r="R318" s="266"/>
      <c r="S318" s="267"/>
      <c r="T318" s="267"/>
    </row>
    <row r="319" spans="2:20" x14ac:dyDescent="0.2">
      <c r="B319" s="255"/>
      <c r="C319" s="255"/>
      <c r="D319" s="255"/>
      <c r="E319" s="255"/>
      <c r="F319" s="255"/>
      <c r="G319" s="255"/>
      <c r="H319" s="255"/>
      <c r="I319" s="255"/>
      <c r="J319" s="255"/>
      <c r="K319" s="255"/>
      <c r="L319" s="255"/>
      <c r="M319" s="255"/>
      <c r="N319" s="255"/>
      <c r="O319" s="255"/>
      <c r="P319" s="255"/>
      <c r="Q319" s="255"/>
      <c r="R319" s="255"/>
      <c r="S319" s="176"/>
      <c r="T319" s="176"/>
    </row>
    <row r="320" spans="2:20" ht="38.25" x14ac:dyDescent="0.2">
      <c r="B320" s="268" t="s">
        <v>0</v>
      </c>
      <c r="C320" s="268"/>
      <c r="D320" s="268"/>
      <c r="E320" s="268"/>
      <c r="F320" s="184" t="s">
        <v>20</v>
      </c>
      <c r="G320" s="268"/>
      <c r="H320" s="486" t="s">
        <v>23</v>
      </c>
      <c r="I320" s="268"/>
      <c r="J320" s="486" t="s">
        <v>30</v>
      </c>
      <c r="K320" s="486" t="s">
        <v>35</v>
      </c>
      <c r="L320" s="268"/>
      <c r="M320" s="486" t="s">
        <v>11</v>
      </c>
      <c r="N320" s="268"/>
      <c r="O320" s="268" t="s">
        <v>495</v>
      </c>
      <c r="P320" s="486" t="s">
        <v>11</v>
      </c>
      <c r="Q320" s="486" t="s">
        <v>30</v>
      </c>
      <c r="R320" s="486" t="s">
        <v>35</v>
      </c>
      <c r="S320" s="25" t="s">
        <v>500</v>
      </c>
      <c r="T320" s="268" t="s">
        <v>501</v>
      </c>
    </row>
    <row r="321" spans="2:20" x14ac:dyDescent="0.2">
      <c r="B321" s="256" t="s">
        <v>1</v>
      </c>
      <c r="C321" s="46"/>
      <c r="D321" s="257" t="s">
        <v>9</v>
      </c>
      <c r="E321" s="45"/>
      <c r="F321" s="256" t="s">
        <v>21</v>
      </c>
      <c r="G321" s="45"/>
      <c r="H321" s="256" t="s">
        <v>497</v>
      </c>
      <c r="I321" s="45"/>
      <c r="J321" s="256" t="s">
        <v>140</v>
      </c>
      <c r="K321" s="256" t="s">
        <v>104</v>
      </c>
      <c r="L321" s="45"/>
      <c r="M321" s="256" t="s">
        <v>140</v>
      </c>
      <c r="N321" s="45"/>
      <c r="O321" s="256" t="s">
        <v>140</v>
      </c>
      <c r="P321" s="256" t="s">
        <v>140</v>
      </c>
      <c r="Q321" s="256" t="s">
        <v>140</v>
      </c>
      <c r="R321" s="256" t="s">
        <v>104</v>
      </c>
      <c r="S321" s="256" t="s">
        <v>13</v>
      </c>
      <c r="T321" s="256" t="s">
        <v>2</v>
      </c>
    </row>
    <row r="322" spans="2:20" x14ac:dyDescent="0.2">
      <c r="B322" s="45"/>
      <c r="C322" s="46"/>
      <c r="D322" s="46"/>
      <c r="E322" s="45"/>
      <c r="F322" s="45"/>
      <c r="G322" s="45"/>
      <c r="H322" s="45" t="s">
        <v>3</v>
      </c>
      <c r="I322" s="45"/>
      <c r="J322" s="45" t="s">
        <v>4</v>
      </c>
      <c r="K322" s="45" t="s">
        <v>27</v>
      </c>
      <c r="L322" s="45"/>
      <c r="M322" s="45" t="s">
        <v>28</v>
      </c>
      <c r="N322" s="45"/>
      <c r="O322" s="45" t="s">
        <v>32</v>
      </c>
      <c r="P322" s="45" t="s">
        <v>36</v>
      </c>
      <c r="Q322" s="269" t="s">
        <v>15</v>
      </c>
      <c r="R322" s="269" t="s">
        <v>37</v>
      </c>
      <c r="S322" s="269" t="s">
        <v>503</v>
      </c>
      <c r="T322" s="269" t="s">
        <v>38</v>
      </c>
    </row>
    <row r="323" spans="2:20" x14ac:dyDescent="0.2">
      <c r="B323" s="223"/>
      <c r="C323" s="223"/>
      <c r="D323" s="223"/>
      <c r="E323" s="223"/>
      <c r="F323" s="223"/>
      <c r="G323" s="223"/>
      <c r="H323" s="223"/>
      <c r="I323" s="223"/>
      <c r="J323" s="223"/>
      <c r="K323" s="223"/>
      <c r="L323" s="223"/>
      <c r="M323" s="223"/>
      <c r="N323" s="223"/>
      <c r="O323" s="223"/>
      <c r="P323" s="223"/>
      <c r="Q323" s="223"/>
      <c r="R323" s="223"/>
      <c r="S323" s="223"/>
      <c r="T323" s="223"/>
    </row>
    <row r="324" spans="2:20" x14ac:dyDescent="0.2">
      <c r="B324" s="223"/>
      <c r="C324" s="223"/>
      <c r="D324" s="372" t="s">
        <v>102</v>
      </c>
      <c r="E324" s="223"/>
      <c r="F324" s="224"/>
      <c r="G324" s="223"/>
      <c r="H324" s="223"/>
      <c r="I324" s="223"/>
      <c r="J324" s="223"/>
      <c r="K324" s="223"/>
      <c r="L324" s="223"/>
      <c r="M324" s="223"/>
      <c r="N324" s="223"/>
      <c r="O324" s="223"/>
      <c r="P324" s="223"/>
      <c r="Q324" s="223"/>
      <c r="R324" s="223"/>
      <c r="S324" s="223"/>
      <c r="T324" s="223"/>
    </row>
    <row r="325" spans="2:20" x14ac:dyDescent="0.2">
      <c r="B325" s="45">
        <f>MAX(B$267:B324)+1</f>
        <v>27</v>
      </c>
      <c r="C325" s="223"/>
      <c r="D325" s="270" t="s">
        <v>105</v>
      </c>
      <c r="E325" s="223"/>
      <c r="F325" s="224" t="s">
        <v>24</v>
      </c>
      <c r="G325" s="223"/>
      <c r="H325" s="141">
        <v>24</v>
      </c>
      <c r="I325" s="368"/>
      <c r="J325" s="164"/>
      <c r="K325" s="361"/>
      <c r="L325" s="368"/>
      <c r="M325" s="164"/>
      <c r="N325" s="368"/>
      <c r="O325" s="141">
        <v>3.577267145735545E-3</v>
      </c>
      <c r="P325" s="141">
        <f>Q325-O325</f>
        <v>40.054912894160047</v>
      </c>
      <c r="Q325" s="164">
        <f>R325*H325/1000</f>
        <v>40.058490161305784</v>
      </c>
      <c r="R325" s="361">
        <v>1669.1037567210742</v>
      </c>
      <c r="S325" s="143">
        <f>IFERROR(Q325/O325,"")</f>
        <v>11198.070630274133</v>
      </c>
      <c r="T325" s="368"/>
    </row>
    <row r="326" spans="2:20" x14ac:dyDescent="0.2">
      <c r="B326" s="45">
        <f>MAX(B$267:B325)+1</f>
        <v>28</v>
      </c>
      <c r="C326" s="223"/>
      <c r="D326" s="270" t="s">
        <v>117</v>
      </c>
      <c r="E326" s="223"/>
      <c r="F326" s="224" t="s">
        <v>81</v>
      </c>
      <c r="G326" s="223"/>
      <c r="H326" s="141">
        <v>5198226.8965517245</v>
      </c>
      <c r="I326" s="368"/>
      <c r="J326" s="164"/>
      <c r="K326" s="227"/>
      <c r="L326" s="368"/>
      <c r="M326" s="164"/>
      <c r="N326" s="368"/>
      <c r="O326" s="141">
        <v>0</v>
      </c>
      <c r="P326" s="141">
        <f>Q326-O326</f>
        <v>230.22585596137091</v>
      </c>
      <c r="Q326" s="164">
        <f>R326*H326/1000</f>
        <v>230.22585596137091</v>
      </c>
      <c r="R326" s="227">
        <v>4.428930490011751E-2</v>
      </c>
      <c r="S326" s="143" t="str">
        <f>IFERROR(Q326/O326,"")</f>
        <v/>
      </c>
      <c r="T326" s="368"/>
    </row>
    <row r="327" spans="2:20" x14ac:dyDescent="0.2">
      <c r="B327" s="45">
        <f>MAX(B$267:B326)+1</f>
        <v>29</v>
      </c>
      <c r="C327" s="223"/>
      <c r="D327" s="270" t="s">
        <v>118</v>
      </c>
      <c r="E327" s="223"/>
      <c r="F327" s="224"/>
      <c r="G327" s="223"/>
      <c r="H327" s="141"/>
      <c r="I327" s="368"/>
      <c r="J327" s="164"/>
      <c r="K327" s="227"/>
      <c r="L327" s="368"/>
      <c r="M327" s="368"/>
      <c r="N327" s="368"/>
      <c r="O327" s="141"/>
      <c r="P327" s="368"/>
      <c r="Q327" s="164"/>
      <c r="R327" s="227"/>
      <c r="S327" s="368"/>
      <c r="T327" s="368"/>
    </row>
    <row r="328" spans="2:20" x14ac:dyDescent="0.2">
      <c r="B328" s="45">
        <f>MAX(B$267:B327)+1</f>
        <v>30</v>
      </c>
      <c r="C328" s="223"/>
      <c r="D328" s="270" t="s">
        <v>119</v>
      </c>
      <c r="E328" s="223"/>
      <c r="F328" s="224" t="s">
        <v>123</v>
      </c>
      <c r="G328" s="223"/>
      <c r="H328" s="141">
        <v>7333.333333333333</v>
      </c>
      <c r="I328" s="368"/>
      <c r="J328" s="164"/>
      <c r="K328" s="227"/>
      <c r="L328" s="368"/>
      <c r="M328" s="164"/>
      <c r="N328" s="368"/>
      <c r="O328" s="141">
        <v>4.9841416623716226</v>
      </c>
      <c r="P328" s="141">
        <f t="shared" ref="P328:P336" si="11">Q328-O328</f>
        <v>155.10690251454977</v>
      </c>
      <c r="Q328" s="164">
        <f>R328*H328*12/1000</f>
        <v>160.0910441769214</v>
      </c>
      <c r="R328" s="227">
        <v>1.8192164111013795</v>
      </c>
      <c r="S328" s="143">
        <f>IFERROR(Q328/O328,"")</f>
        <v>32.120083059746875</v>
      </c>
      <c r="T328" s="368"/>
    </row>
    <row r="329" spans="2:20" x14ac:dyDescent="0.2">
      <c r="B329" s="45">
        <f>MAX(B$267:B328)+1</f>
        <v>31</v>
      </c>
      <c r="C329" s="223"/>
      <c r="D329" s="270" t="s">
        <v>794</v>
      </c>
      <c r="E329" s="223"/>
      <c r="F329" s="224" t="s">
        <v>81</v>
      </c>
      <c r="G329" s="223"/>
      <c r="H329" s="141">
        <v>655235.89655172406</v>
      </c>
      <c r="I329" s="368"/>
      <c r="J329" s="164"/>
      <c r="K329" s="227"/>
      <c r="L329" s="368"/>
      <c r="M329" s="164"/>
      <c r="N329" s="368"/>
      <c r="O329" s="141">
        <v>16.831229462869914</v>
      </c>
      <c r="P329" s="141">
        <f t="shared" si="11"/>
        <v>-1.4163592965132921E-8</v>
      </c>
      <c r="Q329" s="164">
        <f>R329*H329/1000</f>
        <v>16.831229448706321</v>
      </c>
      <c r="R329" s="227">
        <v>2.568728230135613E-2</v>
      </c>
      <c r="S329" s="143">
        <f>IFERROR(Q329/O329,"")</f>
        <v>0.99999999915849325</v>
      </c>
      <c r="T329" s="368"/>
    </row>
    <row r="330" spans="2:20" x14ac:dyDescent="0.2">
      <c r="B330" s="45">
        <f>MAX(B$267:B329)+1</f>
        <v>32</v>
      </c>
      <c r="C330" s="223"/>
      <c r="D330" s="270" t="s">
        <v>796</v>
      </c>
      <c r="E330" s="223"/>
      <c r="F330" s="224" t="s">
        <v>81</v>
      </c>
      <c r="G330" s="223"/>
      <c r="H330" s="141">
        <v>642043</v>
      </c>
      <c r="I330" s="368"/>
      <c r="J330" s="164"/>
      <c r="K330" s="227"/>
      <c r="L330" s="368"/>
      <c r="M330" s="164"/>
      <c r="N330" s="368"/>
      <c r="O330" s="141">
        <v>35.705360109402335</v>
      </c>
      <c r="P330" s="141">
        <f t="shared" si="11"/>
        <v>-3.0046308552300616E-8</v>
      </c>
      <c r="Q330" s="164">
        <f>R330*H330/1000</f>
        <v>35.705360079356026</v>
      </c>
      <c r="R330" s="227">
        <v>5.5612100870745453E-2</v>
      </c>
      <c r="S330" s="143">
        <f>IFERROR(Q330/O330,"")</f>
        <v>0.99999999915849302</v>
      </c>
      <c r="T330" s="368"/>
    </row>
    <row r="331" spans="2:20" x14ac:dyDescent="0.2">
      <c r="B331" s="45">
        <f>MAX(B$267:B330)+1</f>
        <v>33</v>
      </c>
      <c r="C331" s="223"/>
      <c r="D331" s="270" t="s">
        <v>792</v>
      </c>
      <c r="E331" s="223"/>
      <c r="F331" s="224" t="s">
        <v>81</v>
      </c>
      <c r="G331" s="223"/>
      <c r="H331" s="141">
        <v>4542991</v>
      </c>
      <c r="I331" s="368"/>
      <c r="J331" s="164"/>
      <c r="K331" s="227"/>
      <c r="L331" s="368"/>
      <c r="M331" s="164"/>
      <c r="N331" s="368"/>
      <c r="O331" s="141">
        <v>116.69709240772158</v>
      </c>
      <c r="P331" s="141">
        <f t="shared" si="11"/>
        <v>-9.8201397236152843E-8</v>
      </c>
      <c r="Q331" s="164">
        <f>R331*H331/1000</f>
        <v>116.69709230952019</v>
      </c>
      <c r="R331" s="227">
        <v>2.568728230135613E-2</v>
      </c>
      <c r="S331" s="143">
        <f>IFERROR(Q331/O331,"")</f>
        <v>0.99999999915849325</v>
      </c>
      <c r="T331" s="368"/>
    </row>
    <row r="332" spans="2:20" x14ac:dyDescent="0.2">
      <c r="B332" s="45">
        <f>MAX(B$267:B331)+1</f>
        <v>34</v>
      </c>
      <c r="C332" s="223"/>
      <c r="D332" s="270" t="s">
        <v>793</v>
      </c>
      <c r="E332" s="223"/>
      <c r="F332" s="224" t="s">
        <v>81</v>
      </c>
      <c r="G332" s="223"/>
      <c r="H332" s="141">
        <v>5048908.75</v>
      </c>
      <c r="I332" s="368"/>
      <c r="J332" s="164"/>
      <c r="K332" s="227"/>
      <c r="L332" s="368"/>
      <c r="M332" s="164"/>
      <c r="N332" s="368"/>
      <c r="O332" s="141">
        <v>280.78042292846806</v>
      </c>
      <c r="P332" s="141">
        <f t="shared" si="11"/>
        <v>-2.3627870859854738E-7</v>
      </c>
      <c r="Q332" s="164">
        <f>R332*H332/1000</f>
        <v>280.78042269218935</v>
      </c>
      <c r="R332" s="227">
        <v>5.5612100870745453E-2</v>
      </c>
      <c r="S332" s="143">
        <f>IFERROR(Q332/O332,"")</f>
        <v>0.99999999915849291</v>
      </c>
      <c r="T332" s="368"/>
    </row>
    <row r="333" spans="2:20" x14ac:dyDescent="0.2">
      <c r="B333" s="45">
        <f>MAX(B$267:B332)+1</f>
        <v>35</v>
      </c>
      <c r="C333" s="223"/>
      <c r="D333" s="270" t="s">
        <v>120</v>
      </c>
      <c r="E333" s="223"/>
      <c r="F333" s="224"/>
      <c r="G333" s="223"/>
      <c r="H333" s="141"/>
      <c r="I333" s="368"/>
      <c r="J333" s="164"/>
      <c r="K333" s="227"/>
      <c r="L333" s="368"/>
      <c r="M333" s="164"/>
      <c r="N333" s="368"/>
      <c r="O333" s="141"/>
      <c r="P333" s="141">
        <f t="shared" si="11"/>
        <v>0</v>
      </c>
      <c r="Q333" s="164"/>
      <c r="R333" s="227"/>
      <c r="S333" s="368"/>
      <c r="T333" s="368"/>
    </row>
    <row r="334" spans="2:20" x14ac:dyDescent="0.2">
      <c r="B334" s="45">
        <f>MAX(B$267:B333)+1</f>
        <v>36</v>
      </c>
      <c r="C334" s="223"/>
      <c r="D334" s="270" t="s">
        <v>119</v>
      </c>
      <c r="E334" s="223"/>
      <c r="F334" s="224" t="s">
        <v>123</v>
      </c>
      <c r="G334" s="223"/>
      <c r="H334" s="141">
        <v>0</v>
      </c>
      <c r="I334" s="368"/>
      <c r="J334" s="164"/>
      <c r="K334" s="227"/>
      <c r="L334" s="368"/>
      <c r="M334" s="164"/>
      <c r="N334" s="368"/>
      <c r="O334" s="141">
        <v>0</v>
      </c>
      <c r="P334" s="141">
        <f t="shared" si="11"/>
        <v>0</v>
      </c>
      <c r="Q334" s="164">
        <f>R334*AA402*12/1000</f>
        <v>0</v>
      </c>
      <c r="R334" s="227">
        <v>1.0780132903660307</v>
      </c>
      <c r="S334" s="143" t="str">
        <f>IFERROR(Q334/O334,"")</f>
        <v/>
      </c>
      <c r="T334" s="368"/>
    </row>
    <row r="335" spans="2:20" x14ac:dyDescent="0.2">
      <c r="B335" s="45">
        <f>MAX(B$267:B334)+1</f>
        <v>37</v>
      </c>
      <c r="C335" s="223"/>
      <c r="D335" s="270" t="s">
        <v>794</v>
      </c>
      <c r="E335" s="223"/>
      <c r="F335" s="224" t="s">
        <v>81</v>
      </c>
      <c r="G335" s="223"/>
      <c r="H335" s="141">
        <v>0</v>
      </c>
      <c r="I335" s="368"/>
      <c r="J335" s="164"/>
      <c r="K335" s="227"/>
      <c r="L335" s="368"/>
      <c r="M335" s="164"/>
      <c r="N335" s="368"/>
      <c r="O335" s="141">
        <v>0</v>
      </c>
      <c r="P335" s="141">
        <f t="shared" si="11"/>
        <v>0</v>
      </c>
      <c r="Q335" s="164">
        <f>R335*AA403/1000</f>
        <v>0</v>
      </c>
      <c r="R335" s="227">
        <v>2.568728230135613E-2</v>
      </c>
      <c r="S335" s="143" t="str">
        <f>IFERROR(Q335/O335,"")</f>
        <v/>
      </c>
      <c r="T335" s="368"/>
    </row>
    <row r="336" spans="2:20" x14ac:dyDescent="0.2">
      <c r="B336" s="45">
        <f>MAX(B$267:B335)+1</f>
        <v>38</v>
      </c>
      <c r="C336" s="223"/>
      <c r="D336" s="270" t="s">
        <v>796</v>
      </c>
      <c r="E336" s="223"/>
      <c r="F336" s="224" t="s">
        <v>81</v>
      </c>
      <c r="G336" s="223"/>
      <c r="H336" s="141">
        <v>0</v>
      </c>
      <c r="I336" s="368"/>
      <c r="J336" s="164"/>
      <c r="K336" s="227"/>
      <c r="L336" s="368"/>
      <c r="M336" s="164"/>
      <c r="N336" s="368"/>
      <c r="O336" s="141">
        <v>0</v>
      </c>
      <c r="P336" s="141">
        <f t="shared" si="11"/>
        <v>0</v>
      </c>
      <c r="Q336" s="164">
        <f>R336*AA404/1000</f>
        <v>0</v>
      </c>
      <c r="R336" s="227">
        <v>2.568728230135613E-2</v>
      </c>
      <c r="S336" s="143" t="str">
        <f>IFERROR(Q336/O336,"")</f>
        <v/>
      </c>
      <c r="T336" s="368"/>
    </row>
    <row r="337" spans="2:20" x14ac:dyDescent="0.2">
      <c r="B337" s="223"/>
      <c r="C337" s="223"/>
      <c r="D337" s="270"/>
      <c r="E337" s="223"/>
      <c r="F337" s="224"/>
      <c r="G337" s="223"/>
      <c r="H337" s="141"/>
      <c r="I337" s="368"/>
      <c r="J337" s="164"/>
      <c r="K337" s="227"/>
      <c r="L337" s="368"/>
      <c r="M337" s="164"/>
      <c r="N337" s="368"/>
      <c r="O337" s="141"/>
      <c r="P337" s="368"/>
      <c r="Q337" s="164"/>
      <c r="R337" s="227"/>
      <c r="S337" s="368"/>
      <c r="T337" s="368"/>
    </row>
    <row r="338" spans="2:20" x14ac:dyDescent="0.2">
      <c r="B338" s="45">
        <f>MAX(B$267:B337)+1</f>
        <v>39</v>
      </c>
      <c r="C338" s="223"/>
      <c r="D338" s="270" t="s">
        <v>121</v>
      </c>
      <c r="E338" s="223"/>
      <c r="F338" s="224" t="s">
        <v>81</v>
      </c>
      <c r="G338" s="223"/>
      <c r="H338" s="141">
        <v>0</v>
      </c>
      <c r="I338" s="368"/>
      <c r="J338" s="164"/>
      <c r="K338" s="227"/>
      <c r="L338" s="368"/>
      <c r="M338" s="164"/>
      <c r="N338" s="368"/>
      <c r="O338" s="141">
        <v>0</v>
      </c>
      <c r="P338" s="141">
        <f>Q338-O338</f>
        <v>0</v>
      </c>
      <c r="Q338" s="164"/>
      <c r="R338" s="227">
        <v>0</v>
      </c>
      <c r="S338" s="143" t="str">
        <f>IFERROR(Q338/O338,"")</f>
        <v/>
      </c>
      <c r="T338" s="368"/>
    </row>
    <row r="339" spans="2:20" x14ac:dyDescent="0.2">
      <c r="B339" s="45">
        <f>MAX(B$267:B338)+1</f>
        <v>40</v>
      </c>
      <c r="C339" s="223"/>
      <c r="D339" s="270" t="s">
        <v>122</v>
      </c>
      <c r="E339" s="223"/>
      <c r="F339" s="224" t="s">
        <v>81</v>
      </c>
      <c r="G339" s="223"/>
      <c r="H339" s="141">
        <v>0</v>
      </c>
      <c r="I339" s="368"/>
      <c r="J339" s="164"/>
      <c r="K339" s="227"/>
      <c r="L339" s="368"/>
      <c r="M339" s="164"/>
      <c r="N339" s="368"/>
      <c r="O339" s="141">
        <v>0</v>
      </c>
      <c r="P339" s="141">
        <f>Q339-O339</f>
        <v>0</v>
      </c>
      <c r="Q339" s="164"/>
      <c r="R339" s="227">
        <v>0</v>
      </c>
      <c r="S339" s="143" t="str">
        <f>IFERROR(Q339/O339,"")</f>
        <v/>
      </c>
      <c r="T339" s="368"/>
    </row>
    <row r="340" spans="2:20" x14ac:dyDescent="0.2">
      <c r="B340" s="223"/>
      <c r="C340" s="223"/>
      <c r="D340" s="270"/>
      <c r="E340" s="223"/>
      <c r="F340" s="224"/>
      <c r="G340" s="223"/>
      <c r="H340" s="368"/>
      <c r="I340" s="368"/>
      <c r="J340" s="368"/>
      <c r="K340" s="227"/>
      <c r="L340" s="368"/>
      <c r="M340" s="368"/>
      <c r="N340" s="368"/>
      <c r="O340" s="368"/>
      <c r="P340" s="368"/>
      <c r="Q340" s="368"/>
      <c r="R340" s="368"/>
      <c r="S340" s="368"/>
      <c r="T340" s="368"/>
    </row>
    <row r="341" spans="2:20" ht="13.5" thickBot="1" x14ac:dyDescent="0.25">
      <c r="B341" s="45">
        <f>MAX(B$267:B340)+1</f>
        <v>41</v>
      </c>
      <c r="C341" s="223"/>
      <c r="D341" s="223" t="str">
        <f>"Total " &amp;D324</f>
        <v>Total Rate E72</v>
      </c>
      <c r="E341" s="223"/>
      <c r="F341" s="223"/>
      <c r="G341" s="223"/>
      <c r="H341" s="168">
        <f>SUM(H329:H332)</f>
        <v>10889178.646551725</v>
      </c>
      <c r="I341" s="160"/>
      <c r="J341" s="168">
        <f>'Attach 1'!F31</f>
        <v>638.42606352170299</v>
      </c>
      <c r="K341" s="156">
        <f>J341/$H341*100</f>
        <v>5.8629404865524299E-3</v>
      </c>
      <c r="L341" s="161"/>
      <c r="M341" s="168">
        <f>J341-O341</f>
        <v>183.42423968372373</v>
      </c>
      <c r="N341" s="162"/>
      <c r="O341" s="168">
        <f>SUM(O325:O339)</f>
        <v>455.00182383797926</v>
      </c>
      <c r="P341" s="168">
        <f>SUM(P325:P339)</f>
        <v>425.38767099139073</v>
      </c>
      <c r="Q341" s="168">
        <f>SUM(Q325:Q339)</f>
        <v>880.38949482937005</v>
      </c>
      <c r="R341" s="156">
        <f>Q341/$H341*100</f>
        <v>8.0849945014738363E-3</v>
      </c>
      <c r="S341" s="194">
        <f>Q341/O341</f>
        <v>1.9349142106798813</v>
      </c>
      <c r="T341" s="262">
        <f>R341/K341-1</f>
        <v>0.37899992674632021</v>
      </c>
    </row>
    <row r="342" spans="2:20" ht="13.5" thickTop="1" x14ac:dyDescent="0.2">
      <c r="B342" s="223"/>
      <c r="C342" s="223"/>
      <c r="D342" s="223"/>
      <c r="E342" s="223"/>
      <c r="F342" s="223"/>
      <c r="G342" s="223"/>
      <c r="H342" s="223"/>
      <c r="I342" s="223"/>
      <c r="J342" s="223"/>
      <c r="K342" s="223"/>
      <c r="L342" s="223"/>
      <c r="M342" s="223"/>
      <c r="N342" s="223"/>
      <c r="O342" s="223"/>
      <c r="P342" s="223"/>
      <c r="Q342" s="223"/>
      <c r="R342" s="223"/>
      <c r="S342" s="223"/>
      <c r="T342" s="223"/>
    </row>
    <row r="343" spans="2:20" x14ac:dyDescent="0.2">
      <c r="B343" s="223"/>
      <c r="C343" s="223"/>
      <c r="D343" s="372" t="s">
        <v>103</v>
      </c>
      <c r="E343" s="223"/>
      <c r="F343" s="223"/>
      <c r="G343" s="223"/>
      <c r="H343" s="223"/>
      <c r="I343" s="223"/>
      <c r="J343" s="223"/>
      <c r="K343" s="223"/>
      <c r="L343" s="223"/>
      <c r="M343" s="223"/>
      <c r="N343" s="223"/>
      <c r="O343" s="223"/>
      <c r="P343" s="223"/>
      <c r="Q343" s="223"/>
      <c r="R343" s="223"/>
      <c r="S343" s="223"/>
      <c r="T343" s="223"/>
    </row>
    <row r="344" spans="2:20" x14ac:dyDescent="0.2">
      <c r="B344" s="45">
        <f>MAX(B$267:B343)+1</f>
        <v>42</v>
      </c>
      <c r="C344" s="223"/>
      <c r="D344" s="270" t="s">
        <v>124</v>
      </c>
      <c r="E344" s="223"/>
      <c r="F344" s="224" t="s">
        <v>24</v>
      </c>
      <c r="G344" s="223"/>
      <c r="H344" s="141">
        <v>792</v>
      </c>
      <c r="I344" s="368"/>
      <c r="J344" s="141"/>
      <c r="K344" s="361"/>
      <c r="L344" s="368"/>
      <c r="M344" s="164"/>
      <c r="N344" s="368"/>
      <c r="O344" s="141">
        <v>0.40828621673511001</v>
      </c>
      <c r="P344" s="141">
        <f t="shared" ref="P344:P349" si="12">Q344-O344</f>
        <v>371.19408753762553</v>
      </c>
      <c r="Q344" s="164">
        <f t="shared" ref="Q344:Q349" si="13">R344*H344/1000</f>
        <v>371.60237375436066</v>
      </c>
      <c r="R344" s="361">
        <v>469.19491635651599</v>
      </c>
      <c r="S344" s="143">
        <f t="shared" ref="S344:S349" si="14">IFERROR(Q344/O344,"")</f>
        <v>910.15164980563304</v>
      </c>
      <c r="T344" s="368"/>
    </row>
    <row r="345" spans="2:20" x14ac:dyDescent="0.2">
      <c r="B345" s="45">
        <f>MAX(B$267:B344)+1</f>
        <v>43</v>
      </c>
      <c r="C345" s="223"/>
      <c r="D345" s="270" t="s">
        <v>125</v>
      </c>
      <c r="E345" s="223"/>
      <c r="F345" s="224" t="s">
        <v>24</v>
      </c>
      <c r="G345" s="223"/>
      <c r="H345" s="141">
        <v>105</v>
      </c>
      <c r="I345" s="368"/>
      <c r="J345" s="164"/>
      <c r="K345" s="361"/>
      <c r="L345" s="368"/>
      <c r="M345" s="164"/>
      <c r="N345" s="368"/>
      <c r="O345" s="141">
        <v>1.7862521982161061</v>
      </c>
      <c r="P345" s="141">
        <f t="shared" si="12"/>
        <v>109.67955918602344</v>
      </c>
      <c r="Q345" s="164">
        <f t="shared" si="13"/>
        <v>111.46581138423954</v>
      </c>
      <c r="R345" s="361">
        <v>1061.5791560403766</v>
      </c>
      <c r="S345" s="143">
        <f t="shared" si="14"/>
        <v>62.402056941096106</v>
      </c>
      <c r="T345" s="368"/>
    </row>
    <row r="346" spans="2:20" x14ac:dyDescent="0.2">
      <c r="B346" s="45">
        <f>MAX(B$267:B345)+1</f>
        <v>44</v>
      </c>
      <c r="C346" s="223"/>
      <c r="D346" s="270" t="s">
        <v>126</v>
      </c>
      <c r="E346" s="223"/>
      <c r="F346" s="224" t="s">
        <v>127</v>
      </c>
      <c r="G346" s="223"/>
      <c r="H346" s="141">
        <v>7.75</v>
      </c>
      <c r="I346" s="368"/>
      <c r="J346" s="164"/>
      <c r="K346" s="164"/>
      <c r="L346" s="368"/>
      <c r="M346" s="164"/>
      <c r="N346" s="368"/>
      <c r="O346" s="141">
        <v>0</v>
      </c>
      <c r="P346" s="141">
        <f t="shared" si="12"/>
        <v>77.5</v>
      </c>
      <c r="Q346" s="164">
        <f t="shared" si="13"/>
        <v>77.5</v>
      </c>
      <c r="R346" s="361">
        <v>10000</v>
      </c>
      <c r="S346" s="143" t="str">
        <f t="shared" si="14"/>
        <v/>
      </c>
      <c r="T346" s="368"/>
    </row>
    <row r="347" spans="2:20" x14ac:dyDescent="0.2">
      <c r="B347" s="45">
        <f>MAX(B$267:B346)+1</f>
        <v>45</v>
      </c>
      <c r="C347" s="223"/>
      <c r="D347" s="270" t="s">
        <v>117</v>
      </c>
      <c r="E347" s="223"/>
      <c r="F347" s="224" t="s">
        <v>81</v>
      </c>
      <c r="G347" s="223"/>
      <c r="H347" s="141">
        <v>4791112.166666666</v>
      </c>
      <c r="I347" s="368"/>
      <c r="J347" s="164"/>
      <c r="K347" s="227"/>
      <c r="L347" s="368"/>
      <c r="M347" s="164"/>
      <c r="N347" s="368"/>
      <c r="O347" s="141">
        <v>0</v>
      </c>
      <c r="P347" s="141">
        <f t="shared" si="12"/>
        <v>212.1950275601626</v>
      </c>
      <c r="Q347" s="164">
        <f t="shared" si="13"/>
        <v>212.1950275601626</v>
      </c>
      <c r="R347" s="227">
        <v>4.428930490011751E-2</v>
      </c>
      <c r="S347" s="143" t="str">
        <f t="shared" si="14"/>
        <v/>
      </c>
      <c r="T347" s="368"/>
    </row>
    <row r="348" spans="2:20" x14ac:dyDescent="0.2">
      <c r="B348" s="45">
        <f>MAX(B$267:B347)+1</f>
        <v>46</v>
      </c>
      <c r="C348" s="223"/>
      <c r="D348" s="270" t="s">
        <v>791</v>
      </c>
      <c r="E348" s="223"/>
      <c r="F348" s="224" t="s">
        <v>81</v>
      </c>
      <c r="G348" s="223"/>
      <c r="H348" s="141">
        <v>0</v>
      </c>
      <c r="I348" s="368"/>
      <c r="J348" s="164"/>
      <c r="K348" s="227"/>
      <c r="L348" s="368"/>
      <c r="M348" s="368"/>
      <c r="N348" s="368"/>
      <c r="O348" s="141">
        <v>0</v>
      </c>
      <c r="P348" s="141">
        <f t="shared" si="12"/>
        <v>0</v>
      </c>
      <c r="Q348" s="164">
        <f t="shared" si="13"/>
        <v>0</v>
      </c>
      <c r="R348" s="227">
        <v>0</v>
      </c>
      <c r="S348" s="143" t="str">
        <f t="shared" si="14"/>
        <v/>
      </c>
      <c r="T348" s="368"/>
    </row>
    <row r="349" spans="2:20" x14ac:dyDescent="0.2">
      <c r="B349" s="45">
        <f>MAX(B$267:B348)+1</f>
        <v>47</v>
      </c>
      <c r="C349" s="223"/>
      <c r="D349" s="270" t="s">
        <v>795</v>
      </c>
      <c r="E349" s="223"/>
      <c r="F349" s="224" t="s">
        <v>81</v>
      </c>
      <c r="G349" s="223"/>
      <c r="H349" s="141">
        <v>4791112.166666666</v>
      </c>
      <c r="I349" s="368"/>
      <c r="J349" s="164"/>
      <c r="K349" s="227"/>
      <c r="L349" s="368"/>
      <c r="M349" s="164"/>
      <c r="N349" s="368"/>
      <c r="O349" s="141">
        <v>123.07065086619349</v>
      </c>
      <c r="P349" s="141">
        <f t="shared" si="12"/>
        <v>-1.0356481539020024E-7</v>
      </c>
      <c r="Q349" s="164">
        <f t="shared" si="13"/>
        <v>123.07065076262867</v>
      </c>
      <c r="R349" s="227">
        <v>2.568728230135613E-2</v>
      </c>
      <c r="S349" s="143">
        <f t="shared" si="14"/>
        <v>0.99999999915849302</v>
      </c>
      <c r="T349" s="368"/>
    </row>
    <row r="350" spans="2:20" x14ac:dyDescent="0.2">
      <c r="B350" s="223"/>
      <c r="C350" s="223"/>
      <c r="D350" s="270"/>
      <c r="E350" s="223"/>
      <c r="F350" s="223"/>
      <c r="G350" s="223"/>
      <c r="H350" s="368"/>
      <c r="I350" s="368"/>
      <c r="J350" s="368"/>
      <c r="K350" s="368"/>
      <c r="L350" s="368"/>
      <c r="M350" s="368"/>
      <c r="N350" s="368"/>
      <c r="O350" s="368"/>
      <c r="P350" s="368"/>
      <c r="Q350" s="164"/>
      <c r="R350" s="368"/>
      <c r="S350" s="368"/>
      <c r="T350" s="368"/>
    </row>
    <row r="351" spans="2:20" ht="13.5" thickBot="1" x14ac:dyDescent="0.25">
      <c r="B351" s="45">
        <f>MAX(B$267:B350)+1</f>
        <v>48</v>
      </c>
      <c r="C351" s="223"/>
      <c r="D351" s="223" t="str">
        <f>"Total " &amp;D343</f>
        <v>Total Rate E80</v>
      </c>
      <c r="E351" s="223"/>
      <c r="F351" s="223"/>
      <c r="G351" s="223"/>
      <c r="H351" s="168">
        <f>SUM(H347:H349)</f>
        <v>9582224.3333333321</v>
      </c>
      <c r="I351" s="160"/>
      <c r="J351" s="168">
        <f>'Attach 1'!F32</f>
        <v>424.03364183333326</v>
      </c>
      <c r="K351" s="156">
        <f>J351/$H351*100</f>
        <v>4.4252109644131689E-3</v>
      </c>
      <c r="L351" s="161"/>
      <c r="M351" s="168">
        <f>J351-O351</f>
        <v>298.76845255218859</v>
      </c>
      <c r="N351" s="162"/>
      <c r="O351" s="168">
        <f>SUM(O344:O349)</f>
        <v>125.2651892811447</v>
      </c>
      <c r="P351" s="168">
        <f>SUM(P344:P349)</f>
        <v>770.56867418024672</v>
      </c>
      <c r="Q351" s="168">
        <f>SUM(Q344:Q349)</f>
        <v>895.8338634613915</v>
      </c>
      <c r="R351" s="156">
        <f>Q351/$H351*100</f>
        <v>9.3489134912557517E-3</v>
      </c>
      <c r="S351" s="194">
        <f>Q351/O351</f>
        <v>7.1514989008701013</v>
      </c>
      <c r="T351" s="262">
        <f>R351/K351-1</f>
        <v>1.1126480898737263</v>
      </c>
    </row>
    <row r="352" spans="2:20" ht="13.5" thickTop="1" x14ac:dyDescent="0.2">
      <c r="B352" s="223"/>
      <c r="C352" s="223"/>
      <c r="D352" s="223"/>
      <c r="E352" s="223"/>
      <c r="F352" s="223"/>
      <c r="G352" s="223"/>
      <c r="H352" s="223"/>
      <c r="I352" s="223"/>
      <c r="J352" s="223"/>
      <c r="K352" s="223"/>
      <c r="L352" s="223"/>
      <c r="M352" s="223"/>
      <c r="N352" s="223"/>
      <c r="O352" s="223"/>
      <c r="P352" s="223"/>
      <c r="Q352" s="223"/>
      <c r="R352" s="223"/>
      <c r="S352" s="223"/>
      <c r="T352" s="223"/>
    </row>
    <row r="353" spans="2:20" x14ac:dyDescent="0.2">
      <c r="B353" s="223"/>
      <c r="C353" s="223"/>
      <c r="D353" s="372" t="s">
        <v>132</v>
      </c>
      <c r="E353" s="223"/>
      <c r="F353" s="223"/>
      <c r="G353" s="223"/>
      <c r="H353" s="223"/>
      <c r="I353" s="223"/>
      <c r="J353" s="223"/>
      <c r="K353" s="223"/>
      <c r="L353" s="223"/>
      <c r="M353" s="223"/>
      <c r="N353" s="223"/>
      <c r="O353" s="223"/>
      <c r="P353" s="223"/>
      <c r="Q353" s="223"/>
      <c r="R353" s="223"/>
      <c r="S353" s="16" t="str">
        <f>IFERROR(Q354/O354,"")</f>
        <v/>
      </c>
      <c r="T353" s="223"/>
    </row>
    <row r="354" spans="2:20" x14ac:dyDescent="0.2">
      <c r="B354" s="45">
        <f>MAX(B$267:B353)+1</f>
        <v>49</v>
      </c>
      <c r="C354" s="223"/>
      <c r="D354" s="270" t="s">
        <v>509</v>
      </c>
      <c r="E354" s="223"/>
      <c r="F354" s="223"/>
      <c r="G354" s="223"/>
      <c r="H354" s="141">
        <v>0</v>
      </c>
      <c r="I354" s="368"/>
      <c r="J354" s="141"/>
      <c r="K354" s="368"/>
      <c r="L354" s="368"/>
      <c r="M354" s="141"/>
      <c r="N354" s="368"/>
      <c r="O354" s="368"/>
      <c r="P354" s="141">
        <v>3560.977942268019</v>
      </c>
      <c r="Q354" s="141">
        <v>3560.977942268019</v>
      </c>
      <c r="R354" s="368"/>
      <c r="S354" s="143" t="str">
        <f>IFERROR(Q358/O358,"")</f>
        <v/>
      </c>
      <c r="T354" s="368"/>
    </row>
    <row r="355" spans="2:20" x14ac:dyDescent="0.2">
      <c r="B355" s="223"/>
      <c r="C355" s="223"/>
      <c r="D355" s="223"/>
      <c r="E355" s="223"/>
      <c r="F355" s="223"/>
      <c r="G355" s="223"/>
      <c r="H355" s="368"/>
      <c r="I355" s="368"/>
      <c r="J355" s="368"/>
      <c r="K355" s="368"/>
      <c r="L355" s="368"/>
      <c r="M355" s="368"/>
      <c r="N355" s="368"/>
      <c r="O355" s="368"/>
      <c r="P355" s="368"/>
      <c r="Q355" s="368"/>
      <c r="R355" s="368"/>
      <c r="S355" s="368"/>
      <c r="T355" s="368"/>
    </row>
    <row r="356" spans="2:20" ht="13.5" thickBot="1" x14ac:dyDescent="0.25">
      <c r="B356" s="45">
        <f>MAX(B$267:B355)+1</f>
        <v>50</v>
      </c>
      <c r="C356" s="223"/>
      <c r="D356" s="223" t="str">
        <f>"Total " &amp;D353</f>
        <v>Total Rate E82</v>
      </c>
      <c r="E356" s="223"/>
      <c r="F356" s="223"/>
      <c r="G356" s="223"/>
      <c r="H356" s="168">
        <f>SUM(H354)</f>
        <v>0</v>
      </c>
      <c r="I356" s="160"/>
      <c r="J356" s="168">
        <f>'Attach 1'!F33</f>
        <v>3560.977942268019</v>
      </c>
      <c r="K356" s="156" t="str">
        <f>IFERROR(J356/$H356*100,"-")</f>
        <v>-</v>
      </c>
      <c r="L356" s="161"/>
      <c r="M356" s="168">
        <f>J356-O356</f>
        <v>3560.977942268019</v>
      </c>
      <c r="N356" s="162"/>
      <c r="O356" s="168">
        <f>SUM(O354)</f>
        <v>0</v>
      </c>
      <c r="P356" s="168">
        <f>SUM(P354)</f>
        <v>3560.977942268019</v>
      </c>
      <c r="Q356" s="168">
        <f>SUM(Q354)</f>
        <v>3560.977942268019</v>
      </c>
      <c r="R356" s="156" t="str">
        <f>IFERROR(Q356/$H356*100,"-")</f>
        <v>-</v>
      </c>
      <c r="S356" s="194" t="str">
        <f>IFERROR(Q356/O356,"-")</f>
        <v>-</v>
      </c>
      <c r="T356" s="262" t="str">
        <f>IFERROR(R356/K356-1,"-")</f>
        <v>-</v>
      </c>
    </row>
    <row r="357" spans="2:20" ht="13.5" thickTop="1" x14ac:dyDescent="0.2">
      <c r="B357" s="223"/>
      <c r="C357" s="223"/>
      <c r="D357" s="223"/>
      <c r="E357" s="223"/>
      <c r="F357" s="223"/>
      <c r="G357" s="223"/>
      <c r="H357" s="368"/>
      <c r="I357" s="368"/>
      <c r="J357" s="368"/>
      <c r="K357" s="368"/>
      <c r="L357" s="368"/>
      <c r="M357" s="368"/>
      <c r="N357" s="368"/>
      <c r="O357" s="368"/>
      <c r="P357" s="368"/>
      <c r="Q357" s="368"/>
      <c r="R357" s="368"/>
      <c r="S357" s="368"/>
      <c r="T357" s="368"/>
    </row>
    <row r="358" spans="2:20" x14ac:dyDescent="0.2">
      <c r="B358" s="45">
        <f>MAX(B$267:B357)+1</f>
        <v>51</v>
      </c>
      <c r="C358" s="223"/>
      <c r="D358" s="223" t="s">
        <v>510</v>
      </c>
      <c r="E358" s="223"/>
      <c r="F358" s="223"/>
      <c r="G358" s="223"/>
      <c r="H358" s="141">
        <v>0</v>
      </c>
      <c r="I358" s="368"/>
      <c r="J358" s="141">
        <v>1196.9395495536583</v>
      </c>
      <c r="K358" s="368"/>
      <c r="L358" s="368"/>
      <c r="M358" s="141">
        <v>1196.9395495536583</v>
      </c>
      <c r="N358" s="368"/>
      <c r="O358" s="368"/>
      <c r="P358" s="141">
        <v>1717.8726331989096</v>
      </c>
      <c r="Q358" s="141">
        <v>1718.0114299177626</v>
      </c>
      <c r="R358" s="368"/>
      <c r="S358" s="368"/>
      <c r="T358" s="368"/>
    </row>
    <row r="359" spans="2:20" x14ac:dyDescent="0.2">
      <c r="B359" s="223"/>
      <c r="C359" s="223"/>
      <c r="D359" s="223"/>
      <c r="E359" s="223"/>
      <c r="F359" s="223"/>
      <c r="G359" s="223"/>
      <c r="H359" s="368"/>
      <c r="I359" s="368"/>
      <c r="J359" s="368"/>
      <c r="K359" s="368"/>
      <c r="L359" s="368"/>
      <c r="M359" s="368"/>
      <c r="N359" s="368"/>
      <c r="O359" s="368"/>
      <c r="P359" s="368"/>
      <c r="Q359" s="368"/>
      <c r="R359" s="368"/>
      <c r="S359" s="368"/>
      <c r="T359" s="368"/>
    </row>
    <row r="360" spans="2:20" ht="13.5" thickBot="1" x14ac:dyDescent="0.25">
      <c r="B360" s="45">
        <f>MAX(B$267:B359)+1</f>
        <v>52</v>
      </c>
      <c r="C360" s="223"/>
      <c r="D360" s="263" t="s">
        <v>17</v>
      </c>
      <c r="E360" s="223"/>
      <c r="F360" s="223"/>
      <c r="G360" s="223"/>
      <c r="H360" s="113"/>
      <c r="I360" s="223"/>
      <c r="J360" s="168">
        <f>J358+J356+J351+J341+J309+J271</f>
        <v>166791.93719886799</v>
      </c>
      <c r="K360" s="156"/>
      <c r="L360" s="161"/>
      <c r="M360" s="168">
        <f>M358+M356+M351+M341+M309+M271</f>
        <v>11127.060868638491</v>
      </c>
      <c r="N360" s="162"/>
      <c r="O360" s="168">
        <f>O358+O356+O351+O341+O309+O271</f>
        <v>155664.87633022951</v>
      </c>
      <c r="P360" s="168">
        <f>P358+P356+P351+P341+P309+P271</f>
        <v>19785.824404420055</v>
      </c>
      <c r="Q360" s="168">
        <f>Q358+Q356+Q351+Q341+Q309+Q271</f>
        <v>175450.8395313684</v>
      </c>
      <c r="R360" s="223"/>
      <c r="S360" s="223"/>
      <c r="T360" s="223"/>
    </row>
    <row r="361" spans="2:20" ht="13.5" thickTop="1" x14ac:dyDescent="0.2">
      <c r="B361" s="223"/>
      <c r="C361" s="223"/>
      <c r="D361" s="223"/>
      <c r="E361" s="223"/>
      <c r="F361" s="223"/>
      <c r="G361" s="223"/>
      <c r="H361" s="223"/>
      <c r="I361" s="223"/>
      <c r="J361" s="368"/>
      <c r="K361" s="368"/>
      <c r="L361" s="368"/>
      <c r="M361" s="368"/>
      <c r="N361" s="368"/>
      <c r="O361" s="368"/>
      <c r="P361" s="368"/>
      <c r="Q361" s="368"/>
      <c r="R361" s="223"/>
      <c r="S361" s="223"/>
      <c r="T361" s="223"/>
    </row>
    <row r="362" spans="2:20" ht="13.5" thickBot="1" x14ac:dyDescent="0.25">
      <c r="B362" s="45">
        <f>MAX(B$267:B361)+1</f>
        <v>53</v>
      </c>
      <c r="C362" s="223"/>
      <c r="D362" s="263" t="s">
        <v>821</v>
      </c>
      <c r="E362" s="40"/>
      <c r="F362" s="223"/>
      <c r="G362" s="223"/>
      <c r="H362" s="223"/>
      <c r="I362" s="223"/>
      <c r="J362" s="168">
        <f>J360 + 'Attach 2'!J480</f>
        <v>166791.93719886799</v>
      </c>
      <c r="K362" s="156">
        <f>K360 + 'Attach 2'!K480</f>
        <v>0</v>
      </c>
      <c r="L362" s="161"/>
      <c r="M362" s="168">
        <f>M360 + 'Attach 2'!M480</f>
        <v>11127.060868638491</v>
      </c>
      <c r="N362" s="162"/>
      <c r="O362" s="168">
        <f>O360 + 'Attach 2'!O480</f>
        <v>155664.87633022951</v>
      </c>
      <c r="P362" s="168">
        <f>P360 + 'Attach 2'!P480</f>
        <v>19785.824404420055</v>
      </c>
      <c r="Q362" s="168">
        <f>Q360 + 'Attach 2'!Q480</f>
        <v>175450.8395313684</v>
      </c>
      <c r="R362" s="223"/>
      <c r="S362" s="223"/>
      <c r="T362" s="223"/>
    </row>
    <row r="363" spans="2:20" ht="13.5" thickTop="1" x14ac:dyDescent="0.2">
      <c r="B363" s="223"/>
      <c r="C363" s="223"/>
      <c r="D363" s="223"/>
      <c r="E363" s="223"/>
      <c r="F363" s="223"/>
      <c r="G363" s="223"/>
      <c r="H363" s="223"/>
      <c r="I363" s="223"/>
      <c r="J363" s="368"/>
      <c r="K363" s="368"/>
      <c r="L363" s="368"/>
      <c r="M363" s="368"/>
      <c r="N363" s="368"/>
      <c r="O363" s="368"/>
      <c r="P363" s="368"/>
      <c r="Q363" s="368"/>
      <c r="R363" s="223"/>
      <c r="S363" s="223"/>
      <c r="T363" s="223"/>
    </row>
    <row r="364" spans="2:20" x14ac:dyDescent="0.2">
      <c r="B364" s="43" t="s">
        <v>5</v>
      </c>
      <c r="C364" s="223"/>
      <c r="D364" s="83"/>
      <c r="E364" s="223"/>
      <c r="F364" s="223"/>
      <c r="G364" s="223"/>
      <c r="H364" s="223"/>
      <c r="I364" s="223"/>
      <c r="J364" s="223"/>
      <c r="K364" s="223"/>
      <c r="L364" s="223"/>
      <c r="M364" s="223"/>
      <c r="N364" s="223"/>
      <c r="O364" s="223"/>
      <c r="P364" s="223"/>
      <c r="Q364" s="223"/>
      <c r="R364" s="223"/>
      <c r="S364" s="223"/>
      <c r="T364" s="223"/>
    </row>
    <row r="365" spans="2:20" x14ac:dyDescent="0.2">
      <c r="B365" s="96" t="s">
        <v>189</v>
      </c>
      <c r="C365" s="223"/>
      <c r="D365" s="264" t="s">
        <v>670</v>
      </c>
      <c r="E365" s="223"/>
      <c r="F365" s="223"/>
      <c r="G365" s="223"/>
      <c r="H365" s="223"/>
      <c r="I365" s="223"/>
      <c r="J365" s="223"/>
      <c r="K365" s="223"/>
      <c r="L365" s="223"/>
      <c r="M365" s="223"/>
      <c r="N365" s="223"/>
      <c r="O365" s="223"/>
      <c r="P365" s="223"/>
      <c r="Q365" s="223"/>
      <c r="R365" s="223"/>
      <c r="S365" s="223"/>
      <c r="T365" s="223"/>
    </row>
    <row r="366" spans="2:20" x14ac:dyDescent="0.2">
      <c r="B366" s="96" t="s">
        <v>190</v>
      </c>
      <c r="C366" s="223"/>
      <c r="D366" s="264" t="s">
        <v>517</v>
      </c>
      <c r="E366" s="223"/>
      <c r="F366" s="223"/>
      <c r="G366" s="223"/>
      <c r="H366" s="223"/>
      <c r="I366" s="223"/>
      <c r="J366" s="223"/>
      <c r="K366" s="223"/>
      <c r="L366" s="223"/>
      <c r="M366" s="223"/>
      <c r="N366" s="223"/>
      <c r="O366" s="223"/>
      <c r="P366" s="223"/>
      <c r="Q366" s="410"/>
      <c r="R366" s="410"/>
      <c r="S366" s="223"/>
      <c r="T366" s="223"/>
    </row>
    <row r="367" spans="2:20" x14ac:dyDescent="0.2">
      <c r="B367" s="96" t="s">
        <v>191</v>
      </c>
      <c r="C367" s="223"/>
      <c r="D367" s="264" t="s">
        <v>518</v>
      </c>
      <c r="E367" s="223"/>
      <c r="F367" s="223"/>
      <c r="G367" s="223"/>
      <c r="H367" s="223"/>
      <c r="I367" s="223"/>
      <c r="J367" s="223"/>
      <c r="K367" s="223"/>
      <c r="L367" s="223"/>
      <c r="M367" s="223"/>
      <c r="N367" s="223"/>
      <c r="O367" s="223"/>
      <c r="P367" s="223"/>
      <c r="Q367" s="410"/>
      <c r="R367" s="410"/>
      <c r="S367" s="223"/>
      <c r="T367" s="223"/>
    </row>
    <row r="368" spans="2:20" x14ac:dyDescent="0.2">
      <c r="B368" s="223"/>
      <c r="C368" s="223"/>
      <c r="D368" s="223"/>
      <c r="E368" s="223"/>
      <c r="F368" s="223"/>
      <c r="G368" s="223"/>
      <c r="H368" s="223"/>
      <c r="I368" s="223"/>
      <c r="J368" s="223"/>
      <c r="K368" s="223"/>
      <c r="L368" s="223"/>
      <c r="M368" s="223"/>
      <c r="N368" s="223"/>
      <c r="O368" s="223"/>
      <c r="P368" s="223"/>
      <c r="Q368" s="410"/>
      <c r="R368" s="410"/>
      <c r="S368" s="223"/>
      <c r="T368" s="223"/>
    </row>
  </sheetData>
  <mergeCells count="6">
    <mergeCell ref="B185:T185"/>
    <mergeCell ref="B6:T6"/>
    <mergeCell ref="B7:T7"/>
    <mergeCell ref="B69:T69"/>
    <mergeCell ref="B70:T70"/>
    <mergeCell ref="B127:T127"/>
  </mergeCells>
  <pageMargins left="0.70866141732283505" right="0.70866141732283505" top="0.74803149606299202" bottom="0.74803149606299202" header="0.31496062992126" footer="0.31496062992126"/>
  <pageSetup scale="55" fitToHeight="0" orientation="landscape" blackAndWhite="1" useFirstPageNumber="1" r:id="rId1"/>
  <headerFooter>
    <oddHeader>&amp;R&amp;"Arial,Regular"&amp;10Filed: 2022-11-30
EB-2022-0200
Exhibit 8
Tab 2
Schedule 9
Attachment 2
Page &amp;P of &amp;N</oddHeader>
  </headerFooter>
  <rowBreaks count="5" manualBreakCount="5">
    <brk id="63" min="1" max="19" man="1"/>
    <brk id="121" min="1" max="19" man="1"/>
    <brk id="180" min="1" max="19" man="1"/>
    <brk id="252" min="1" max="19" man="1"/>
    <brk id="309" min="1" max="1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F0C97-CDA1-4547-BBBB-D3FE071152AF}">
  <dimension ref="A1:J108"/>
  <sheetViews>
    <sheetView view="pageLayout" zoomScale="80" zoomScaleNormal="85" zoomScaleSheetLayoutView="90" zoomScalePageLayoutView="80" workbookViewId="0"/>
  </sheetViews>
  <sheetFormatPr defaultColWidth="9.140625" defaultRowHeight="15" customHeight="1" x14ac:dyDescent="0.2"/>
  <cols>
    <col min="1" max="1" width="5.5703125" style="83" customWidth="1"/>
    <col min="2" max="2" width="1.7109375" style="83" customWidth="1"/>
    <col min="3" max="3" width="48.7109375" style="83" customWidth="1"/>
    <col min="4" max="4" width="1.7109375" style="83" customWidth="1"/>
    <col min="5" max="5" width="12.140625" style="83" customWidth="1"/>
    <col min="6" max="6" width="1.7109375" style="83" customWidth="1"/>
    <col min="7" max="7" width="10.85546875" style="83" customWidth="1"/>
    <col min="8" max="8" width="1.7109375" style="83" customWidth="1"/>
    <col min="9" max="9" width="11" style="83" customWidth="1"/>
    <col min="10" max="16384" width="9.140625" style="83"/>
  </cols>
  <sheetData>
    <row r="1" spans="1:10" ht="15" customHeight="1" x14ac:dyDescent="0.2">
      <c r="J1" s="250"/>
    </row>
    <row r="2" spans="1:10" ht="15" customHeight="1" x14ac:dyDescent="0.2">
      <c r="J2" s="250"/>
    </row>
    <row r="3" spans="1:10" ht="15" customHeight="1" x14ac:dyDescent="0.2">
      <c r="J3" s="250"/>
    </row>
    <row r="4" spans="1:10" ht="15" customHeight="1" x14ac:dyDescent="0.2">
      <c r="J4" s="250"/>
    </row>
    <row r="5" spans="1:10" ht="15" customHeight="1" x14ac:dyDescent="0.2">
      <c r="A5" s="373" t="s">
        <v>550</v>
      </c>
      <c r="B5" s="236"/>
      <c r="C5" s="236"/>
      <c r="D5" s="236"/>
      <c r="E5" s="236"/>
      <c r="F5" s="236"/>
      <c r="G5" s="236"/>
      <c r="H5" s="236"/>
      <c r="I5" s="236"/>
      <c r="J5" s="250"/>
    </row>
    <row r="6" spans="1:10" ht="15" customHeight="1" x14ac:dyDescent="0.2">
      <c r="A6" s="373" t="s">
        <v>551</v>
      </c>
      <c r="B6" s="236"/>
      <c r="C6" s="236"/>
      <c r="D6" s="236"/>
      <c r="E6" s="236"/>
      <c r="F6" s="236"/>
      <c r="G6" s="236"/>
      <c r="H6" s="236"/>
      <c r="I6" s="236"/>
      <c r="J6" s="250"/>
    </row>
    <row r="7" spans="1:10" ht="15" customHeight="1" x14ac:dyDescent="0.2">
      <c r="I7" s="237"/>
    </row>
    <row r="8" spans="1:10" ht="15" customHeight="1" x14ac:dyDescent="0.2">
      <c r="A8" s="25" t="s">
        <v>0</v>
      </c>
      <c r="B8" s="25"/>
      <c r="C8" s="25"/>
      <c r="E8" s="494"/>
    </row>
    <row r="9" spans="1:10" ht="15" customHeight="1" x14ac:dyDescent="0.2">
      <c r="A9" s="8" t="s">
        <v>1</v>
      </c>
      <c r="B9" s="7"/>
      <c r="C9" s="468" t="s">
        <v>9</v>
      </c>
      <c r="D9" s="494"/>
      <c r="E9" s="8" t="s">
        <v>141</v>
      </c>
      <c r="F9" s="494"/>
      <c r="G9" s="8" t="s">
        <v>552</v>
      </c>
      <c r="H9" s="494"/>
      <c r="I9" s="8" t="s">
        <v>265</v>
      </c>
    </row>
    <row r="10" spans="1:10" ht="15" customHeight="1" x14ac:dyDescent="0.2">
      <c r="E10" s="96" t="s">
        <v>3</v>
      </c>
      <c r="F10" s="494"/>
      <c r="G10" s="96" t="s">
        <v>4</v>
      </c>
      <c r="H10" s="494"/>
      <c r="I10" s="96" t="s">
        <v>86</v>
      </c>
    </row>
    <row r="12" spans="1:10" ht="15" customHeight="1" x14ac:dyDescent="0.2">
      <c r="A12" s="494"/>
      <c r="C12" s="120" t="s">
        <v>266</v>
      </c>
    </row>
    <row r="13" spans="1:10" ht="15" customHeight="1" x14ac:dyDescent="0.2">
      <c r="A13" s="494" cm="1">
        <f t="array" ref="A13">MAX($A$12:A12+1)</f>
        <v>1</v>
      </c>
      <c r="C13" s="238" t="s">
        <v>314</v>
      </c>
      <c r="E13" s="291">
        <v>738612</v>
      </c>
      <c r="G13" s="292">
        <v>3.7999999999999999E-2</v>
      </c>
      <c r="I13" s="293">
        <f>E13*G13</f>
        <v>28067.255999999998</v>
      </c>
    </row>
    <row r="14" spans="1:10" ht="15" customHeight="1" x14ac:dyDescent="0.2">
      <c r="A14" s="494" cm="1">
        <f t="array" ref="A14">MAX($A$12:A13+1)</f>
        <v>2</v>
      </c>
      <c r="C14" s="238" t="s">
        <v>553</v>
      </c>
      <c r="E14" s="291">
        <v>738612</v>
      </c>
      <c r="G14" s="292">
        <v>8.9999999999999993E-3</v>
      </c>
      <c r="I14" s="293">
        <f t="shared" ref="I14:I15" si="0">E14*G14</f>
        <v>6647.5079999999998</v>
      </c>
    </row>
    <row r="15" spans="1:10" ht="15" customHeight="1" x14ac:dyDescent="0.2">
      <c r="A15" s="494" cm="1">
        <f t="array" ref="A15">MAX($A$12:A14+1)</f>
        <v>3</v>
      </c>
      <c r="C15" s="238" t="s">
        <v>554</v>
      </c>
      <c r="E15" s="291">
        <v>738612</v>
      </c>
      <c r="G15" s="292">
        <v>2.5999999999999999E-2</v>
      </c>
      <c r="I15" s="293">
        <f t="shared" si="0"/>
        <v>19203.912</v>
      </c>
    </row>
    <row r="16" spans="1:10" ht="15" customHeight="1" x14ac:dyDescent="0.2">
      <c r="A16" s="494" cm="1">
        <f t="array" ref="A16">MAX($A$12:A15+1)</f>
        <v>4</v>
      </c>
      <c r="C16" s="229" t="s">
        <v>267</v>
      </c>
      <c r="I16" s="294">
        <f>SUM(I13:I15)</f>
        <v>53918.675999999992</v>
      </c>
    </row>
    <row r="18" spans="1:9" ht="15" customHeight="1" x14ac:dyDescent="0.2">
      <c r="C18" s="120" t="s">
        <v>268</v>
      </c>
    </row>
    <row r="19" spans="1:9" ht="15" customHeight="1" x14ac:dyDescent="0.2">
      <c r="A19" s="494" cm="1">
        <f t="array" ref="A19">MAX($A$12:A18+1)</f>
        <v>5</v>
      </c>
      <c r="C19" s="238" t="s">
        <v>314</v>
      </c>
      <c r="E19" s="291">
        <v>418156</v>
      </c>
      <c r="G19" s="292">
        <v>3.7999999999999999E-2</v>
      </c>
      <c r="I19" s="124">
        <f>E19*G19</f>
        <v>15889.928</v>
      </c>
    </row>
    <row r="20" spans="1:9" ht="15" customHeight="1" x14ac:dyDescent="0.2">
      <c r="A20" s="494" cm="1">
        <f t="array" ref="A20">MAX($A$12:A19+1)</f>
        <v>6</v>
      </c>
      <c r="C20" s="238" t="s">
        <v>553</v>
      </c>
      <c r="E20" s="291">
        <v>418156</v>
      </c>
      <c r="G20" s="292">
        <v>8.9999999999999993E-3</v>
      </c>
      <c r="I20" s="124">
        <f t="shared" ref="I20:I21" si="1">E20*G20</f>
        <v>3763.4039999999995</v>
      </c>
    </row>
    <row r="21" spans="1:9" ht="15" customHeight="1" x14ac:dyDescent="0.2">
      <c r="A21" s="494" cm="1">
        <f t="array" ref="A21">MAX($A$12:A20+1)</f>
        <v>7</v>
      </c>
      <c r="C21" s="238" t="s">
        <v>554</v>
      </c>
      <c r="E21" s="291">
        <v>418156</v>
      </c>
      <c r="G21" s="292">
        <v>1.0999999999999999E-2</v>
      </c>
      <c r="I21" s="126">
        <f t="shared" si="1"/>
        <v>4599.7159999999994</v>
      </c>
    </row>
    <row r="22" spans="1:9" ht="15" customHeight="1" thickBot="1" x14ac:dyDescent="0.25">
      <c r="A22" s="494" cm="1">
        <f t="array" ref="A22">MAX($A$12:A21+1)</f>
        <v>8</v>
      </c>
      <c r="C22" s="239" t="s">
        <v>269</v>
      </c>
      <c r="I22" s="136">
        <f>SUM(I19:I21)</f>
        <v>24253.047999999999</v>
      </c>
    </row>
    <row r="23" spans="1:9" ht="15" customHeight="1" thickTop="1" x14ac:dyDescent="0.2"/>
    <row r="24" spans="1:9" ht="15" customHeight="1" x14ac:dyDescent="0.2">
      <c r="C24" s="120" t="s">
        <v>270</v>
      </c>
    </row>
    <row r="25" spans="1:9" ht="15" customHeight="1" x14ac:dyDescent="0.2">
      <c r="A25" s="494" cm="1">
        <f t="array" ref="A25">MAX($A$12:A24+1)</f>
        <v>9</v>
      </c>
      <c r="C25" s="238" t="s">
        <v>271</v>
      </c>
      <c r="E25" s="291">
        <v>162000</v>
      </c>
      <c r="G25" s="295">
        <v>0.22646959999999999</v>
      </c>
      <c r="I25" s="124">
        <f>E25*G25*12</f>
        <v>440256.90240000002</v>
      </c>
    </row>
    <row r="26" spans="1:9" ht="15" customHeight="1" x14ac:dyDescent="0.2">
      <c r="A26" s="494" cm="1">
        <f t="array" ref="A26">MAX($A$12:A25+1)</f>
        <v>10</v>
      </c>
      <c r="C26" s="238" t="s">
        <v>272</v>
      </c>
      <c r="E26" s="291">
        <v>2835</v>
      </c>
      <c r="G26" s="295">
        <v>24.928547458067616</v>
      </c>
      <c r="I26" s="124">
        <f>E26*G26*12</f>
        <v>848069.18452346034</v>
      </c>
    </row>
    <row r="27" spans="1:9" ht="15" customHeight="1" x14ac:dyDescent="0.2">
      <c r="A27" s="494" cm="1">
        <f t="array" ref="A27">MAX($A$12:A26+1)</f>
        <v>11</v>
      </c>
      <c r="C27" s="238" t="s">
        <v>273</v>
      </c>
      <c r="E27" s="291">
        <v>324000</v>
      </c>
      <c r="G27" s="295">
        <v>1.0640595399749269</v>
      </c>
      <c r="I27" s="124">
        <f t="shared" ref="I27" si="2">E27*G27</f>
        <v>344755.29095187632</v>
      </c>
    </row>
    <row r="28" spans="1:9" ht="15" customHeight="1" x14ac:dyDescent="0.2">
      <c r="A28" s="494" cm="1">
        <f t="array" ref="A28">MAX($A$12:A27+1)</f>
        <v>12</v>
      </c>
      <c r="C28" s="238" t="s">
        <v>555</v>
      </c>
      <c r="E28" s="291">
        <v>12</v>
      </c>
      <c r="G28" s="296">
        <v>29116.67</v>
      </c>
      <c r="I28" s="126">
        <f>E28*G28</f>
        <v>349400.04</v>
      </c>
    </row>
    <row r="29" spans="1:9" ht="15" customHeight="1" x14ac:dyDescent="0.2">
      <c r="A29" s="494" cm="1">
        <f t="array" ref="A29">MAX($A$12:A28+1)</f>
        <v>13</v>
      </c>
      <c r="C29" s="238" t="s">
        <v>274</v>
      </c>
      <c r="E29" s="291"/>
      <c r="I29" s="124">
        <f>SUM(I25:I28)</f>
        <v>1982481.4178753369</v>
      </c>
    </row>
    <row r="30" spans="1:9" ht="15" customHeight="1" x14ac:dyDescent="0.2">
      <c r="A30" s="494" cm="1">
        <f t="array" ref="A30">MAX($A$12:A29+1)</f>
        <v>14</v>
      </c>
      <c r="C30" s="238" t="s">
        <v>275</v>
      </c>
      <c r="E30" s="291"/>
      <c r="I30" s="138">
        <v>0.3</v>
      </c>
    </row>
    <row r="31" spans="1:9" ht="15" customHeight="1" thickBot="1" x14ac:dyDescent="0.25">
      <c r="A31" s="494" cm="1">
        <f t="array" ref="A31">MAX($A$12:A30+1)</f>
        <v>15</v>
      </c>
      <c r="C31" s="239" t="s">
        <v>276</v>
      </c>
      <c r="I31" s="136">
        <f>I29*I30</f>
        <v>594744.42536260106</v>
      </c>
    </row>
    <row r="32" spans="1:9" ht="15" customHeight="1" thickTop="1" x14ac:dyDescent="0.2"/>
    <row r="33" spans="1:9" ht="15" customHeight="1" x14ac:dyDescent="0.2">
      <c r="C33" s="120" t="s">
        <v>277</v>
      </c>
    </row>
    <row r="34" spans="1:9" ht="15" customHeight="1" x14ac:dyDescent="0.2">
      <c r="A34" s="494" cm="1">
        <f t="array" ref="A34">MAX($A$12:A33+1)</f>
        <v>16</v>
      </c>
      <c r="C34" s="238" t="s">
        <v>271</v>
      </c>
      <c r="E34" s="291">
        <v>28300</v>
      </c>
      <c r="G34" s="295">
        <v>0.44040360000000001</v>
      </c>
      <c r="I34" s="124">
        <f>E34*G34*12</f>
        <v>149561.06255999999</v>
      </c>
    </row>
    <row r="35" spans="1:9" ht="15" customHeight="1" x14ac:dyDescent="0.2">
      <c r="A35" s="494" cm="1">
        <f t="array" ref="A35">MAX($A$12:A34+1)</f>
        <v>17</v>
      </c>
      <c r="C35" s="238" t="s">
        <v>272</v>
      </c>
      <c r="E35" s="291">
        <v>283</v>
      </c>
      <c r="G35" s="295">
        <v>48.710228254683045</v>
      </c>
      <c r="I35" s="124">
        <f>E35*G35*12</f>
        <v>165419.93515290361</v>
      </c>
    </row>
    <row r="36" spans="1:9" ht="15" customHeight="1" x14ac:dyDescent="0.2">
      <c r="A36" s="494" cm="1">
        <f t="array" ref="A36">MAX($A$12:A35+1)</f>
        <v>18</v>
      </c>
      <c r="C36" s="238" t="s">
        <v>273</v>
      </c>
      <c r="E36" s="291">
        <v>56600</v>
      </c>
      <c r="G36" s="295">
        <v>1.276545148695607</v>
      </c>
      <c r="I36" s="126">
        <f>E36*G36</f>
        <v>72252.45541617136</v>
      </c>
    </row>
    <row r="37" spans="1:9" ht="15" customHeight="1" x14ac:dyDescent="0.2">
      <c r="A37" s="494" cm="1">
        <f t="array" ref="A37">MAX($A$12:A36+1)</f>
        <v>19</v>
      </c>
      <c r="C37" s="238" t="s">
        <v>274</v>
      </c>
      <c r="I37" s="124">
        <f>SUM(I34:I36)</f>
        <v>387233.45312907494</v>
      </c>
    </row>
    <row r="38" spans="1:9" ht="15" customHeight="1" x14ac:dyDescent="0.2">
      <c r="A38" s="494" cm="1">
        <f t="array" ref="A38">MAX($A$12:A37+1)</f>
        <v>20</v>
      </c>
      <c r="C38" s="238" t="s">
        <v>275</v>
      </c>
      <c r="I38" s="138">
        <v>0.42364471137236287</v>
      </c>
    </row>
    <row r="39" spans="1:9" ht="15" customHeight="1" thickBot="1" x14ac:dyDescent="0.25">
      <c r="A39" s="494" cm="1">
        <f t="array" ref="A39">MAX($A$12:A38+1)</f>
        <v>21</v>
      </c>
      <c r="C39" s="134" t="s">
        <v>278</v>
      </c>
      <c r="I39" s="136">
        <f>I37*I38</f>
        <v>164049.40448459037</v>
      </c>
    </row>
    <row r="40" spans="1:9" ht="15" customHeight="1" thickTop="1" x14ac:dyDescent="0.2">
      <c r="C40" s="117"/>
    </row>
    <row r="41" spans="1:9" ht="15" customHeight="1" x14ac:dyDescent="0.2">
      <c r="C41" s="120" t="s">
        <v>556</v>
      </c>
    </row>
    <row r="42" spans="1:9" ht="15" customHeight="1" x14ac:dyDescent="0.2">
      <c r="A42" s="494" cm="1">
        <f t="array" ref="A42">MAX($A$12:A41+1)</f>
        <v>22</v>
      </c>
      <c r="C42" s="238" t="s">
        <v>279</v>
      </c>
      <c r="I42" s="291">
        <v>48079.757689903723</v>
      </c>
    </row>
    <row r="43" spans="1:9" ht="15" customHeight="1" x14ac:dyDescent="0.2">
      <c r="A43" s="494" cm="1">
        <f t="array" ref="A43">MAX($A$12:A42+1)</f>
        <v>23</v>
      </c>
      <c r="C43" s="238" t="s">
        <v>280</v>
      </c>
      <c r="I43" s="291">
        <v>82978.207695495017</v>
      </c>
    </row>
    <row r="44" spans="1:9" ht="15" customHeight="1" x14ac:dyDescent="0.2">
      <c r="A44" s="494" cm="1">
        <f t="array" ref="A44">MAX($A$12:A43+1)</f>
        <v>24</v>
      </c>
      <c r="C44" s="238" t="s">
        <v>281</v>
      </c>
      <c r="I44" s="291">
        <v>228916.03032106798</v>
      </c>
    </row>
    <row r="45" spans="1:9" ht="15" customHeight="1" thickBot="1" x14ac:dyDescent="0.25">
      <c r="A45" s="494" cm="1">
        <f t="array" ref="A45">MAX($A$12:A44+1)</f>
        <v>25</v>
      </c>
      <c r="C45" s="134" t="s">
        <v>282</v>
      </c>
      <c r="I45" s="136">
        <f>SUM(I42:I44)</f>
        <v>359973.99570646673</v>
      </c>
    </row>
    <row r="46" spans="1:9" ht="15" customHeight="1" thickTop="1" x14ac:dyDescent="0.2">
      <c r="I46" s="124"/>
    </row>
    <row r="47" spans="1:9" ht="15" customHeight="1" thickBot="1" x14ac:dyDescent="0.25">
      <c r="A47" s="494" cm="1">
        <f t="array" ref="A47">MAX($A$12:A45+1)</f>
        <v>26</v>
      </c>
      <c r="C47" s="134" t="s">
        <v>283</v>
      </c>
      <c r="I47" s="136">
        <f>I16+I22+I31+I39+I45</f>
        <v>1196939.5495536583</v>
      </c>
    </row>
    <row r="48" spans="1:9" ht="15" customHeight="1" thickTop="1" x14ac:dyDescent="0.2"/>
    <row r="49" spans="1:10" ht="15" customHeight="1" x14ac:dyDescent="0.2">
      <c r="A49" s="297" t="s">
        <v>5</v>
      </c>
      <c r="B49" s="134"/>
      <c r="C49" s="134"/>
      <c r="D49" s="134"/>
      <c r="E49" s="134"/>
      <c r="F49" s="134"/>
      <c r="G49" s="134"/>
      <c r="H49" s="134"/>
    </row>
    <row r="50" spans="1:10" ht="15.75" customHeight="1" x14ac:dyDescent="0.2">
      <c r="A50" s="298" t="s">
        <v>6</v>
      </c>
      <c r="B50" s="299"/>
      <c r="C50" s="523" t="s">
        <v>557</v>
      </c>
      <c r="D50" s="523"/>
      <c r="E50" s="523"/>
      <c r="F50" s="523"/>
      <c r="G50" s="523"/>
      <c r="H50" s="523"/>
      <c r="I50" s="523"/>
    </row>
    <row r="51" spans="1:10" ht="21.75" customHeight="1" x14ac:dyDescent="0.2">
      <c r="A51" s="96"/>
      <c r="C51" s="523"/>
      <c r="D51" s="523"/>
      <c r="E51" s="523"/>
      <c r="F51" s="523"/>
      <c r="G51" s="523"/>
      <c r="H51" s="523"/>
      <c r="I51" s="523"/>
    </row>
    <row r="52" spans="1:10" ht="15" customHeight="1" x14ac:dyDescent="0.2">
      <c r="A52" s="96" t="s">
        <v>190</v>
      </c>
      <c r="C52" s="83" t="s">
        <v>558</v>
      </c>
    </row>
    <row r="53" spans="1:10" ht="14.25" customHeight="1" x14ac:dyDescent="0.2">
      <c r="A53" s="96" t="s">
        <v>191</v>
      </c>
      <c r="C53" s="521" t="s">
        <v>679</v>
      </c>
      <c r="D53" s="521"/>
      <c r="E53" s="521"/>
      <c r="F53" s="521"/>
      <c r="G53" s="521"/>
      <c r="H53" s="521"/>
      <c r="I53" s="521"/>
    </row>
    <row r="54" spans="1:10" ht="15" customHeight="1" x14ac:dyDescent="0.2">
      <c r="A54" s="96"/>
      <c r="C54" s="521"/>
      <c r="D54" s="521"/>
      <c r="E54" s="521"/>
      <c r="F54" s="521"/>
      <c r="G54" s="521"/>
      <c r="H54" s="521"/>
      <c r="I54" s="521"/>
    </row>
    <row r="55" spans="1:10" ht="15" customHeight="1" x14ac:dyDescent="0.2">
      <c r="J55" s="263"/>
    </row>
    <row r="56" spans="1:10" ht="15" customHeight="1" x14ac:dyDescent="0.2">
      <c r="J56" s="250"/>
    </row>
    <row r="57" spans="1:10" ht="15" customHeight="1" x14ac:dyDescent="0.2">
      <c r="J57" s="250"/>
    </row>
    <row r="58" spans="1:10" ht="15" customHeight="1" x14ac:dyDescent="0.2">
      <c r="J58" s="250"/>
    </row>
    <row r="59" spans="1:10" ht="15" customHeight="1" x14ac:dyDescent="0.2">
      <c r="J59" s="250"/>
    </row>
    <row r="60" spans="1:10" ht="15" customHeight="1" x14ac:dyDescent="0.2">
      <c r="A60" s="373" t="s">
        <v>550</v>
      </c>
      <c r="B60" s="236"/>
      <c r="C60" s="236"/>
      <c r="D60" s="236"/>
      <c r="E60" s="236"/>
      <c r="F60" s="236"/>
      <c r="G60" s="236"/>
      <c r="H60" s="236"/>
      <c r="I60" s="236"/>
      <c r="J60" s="250"/>
    </row>
    <row r="61" spans="1:10" ht="15" customHeight="1" x14ac:dyDescent="0.2">
      <c r="A61" s="373" t="s">
        <v>559</v>
      </c>
      <c r="B61" s="236"/>
      <c r="C61" s="236"/>
      <c r="D61" s="236"/>
      <c r="E61" s="236"/>
      <c r="F61" s="236"/>
      <c r="G61" s="236"/>
      <c r="H61" s="236"/>
      <c r="I61" s="236"/>
      <c r="J61" s="250"/>
    </row>
    <row r="63" spans="1:10" ht="15" customHeight="1" x14ac:dyDescent="0.2">
      <c r="A63" s="116" t="s">
        <v>0</v>
      </c>
      <c r="B63" s="117"/>
      <c r="C63" s="117"/>
      <c r="E63" s="494" t="s">
        <v>141</v>
      </c>
      <c r="F63" s="116"/>
      <c r="G63" s="494" t="s">
        <v>552</v>
      </c>
      <c r="H63" s="494"/>
      <c r="I63" s="494" t="s">
        <v>284</v>
      </c>
    </row>
    <row r="64" spans="1:10" ht="15" customHeight="1" x14ac:dyDescent="0.2">
      <c r="A64" s="118" t="s">
        <v>285</v>
      </c>
      <c r="B64" s="117"/>
      <c r="C64" s="119" t="s">
        <v>286</v>
      </c>
      <c r="E64" s="488" t="s">
        <v>287</v>
      </c>
      <c r="F64" s="116"/>
      <c r="G64" s="488" t="s">
        <v>104</v>
      </c>
      <c r="H64" s="494"/>
      <c r="I64" s="488" t="s">
        <v>288</v>
      </c>
    </row>
    <row r="65" spans="1:9" ht="15" customHeight="1" x14ac:dyDescent="0.2">
      <c r="A65" s="116"/>
      <c r="B65" s="117"/>
      <c r="C65" s="117"/>
      <c r="E65" s="96" t="s">
        <v>3</v>
      </c>
      <c r="F65" s="494"/>
      <c r="G65" s="96" t="s">
        <v>4</v>
      </c>
      <c r="H65" s="494"/>
      <c r="I65" s="96" t="s">
        <v>86</v>
      </c>
    </row>
    <row r="66" spans="1:9" ht="15" customHeight="1" x14ac:dyDescent="0.2">
      <c r="A66" s="116"/>
      <c r="B66" s="117"/>
      <c r="C66" s="117"/>
      <c r="E66" s="494"/>
      <c r="F66" s="494"/>
      <c r="G66" s="494"/>
      <c r="H66" s="494"/>
      <c r="I66" s="494"/>
    </row>
    <row r="67" spans="1:9" ht="15" customHeight="1" x14ac:dyDescent="0.2">
      <c r="A67" s="116"/>
      <c r="B67" s="117"/>
      <c r="C67" s="120" t="s">
        <v>560</v>
      </c>
      <c r="E67" s="494"/>
      <c r="F67" s="494"/>
      <c r="G67" s="494"/>
      <c r="H67" s="494"/>
      <c r="I67" s="494"/>
    </row>
    <row r="68" spans="1:9" ht="15" customHeight="1" x14ac:dyDescent="0.2">
      <c r="A68" s="121">
        <v>1</v>
      </c>
      <c r="B68" s="117"/>
      <c r="C68" s="238" t="s">
        <v>314</v>
      </c>
      <c r="E68" s="300">
        <v>738612</v>
      </c>
      <c r="F68" s="123"/>
      <c r="G68" s="133">
        <v>4.428930490011751E-2</v>
      </c>
      <c r="H68" s="123"/>
      <c r="I68" s="124">
        <f>E68*G68</f>
        <v>32712.612070885592</v>
      </c>
    </row>
    <row r="69" spans="1:9" ht="15" customHeight="1" x14ac:dyDescent="0.2">
      <c r="A69" s="125">
        <f>A68+1</f>
        <v>2</v>
      </c>
      <c r="C69" s="238" t="s">
        <v>553</v>
      </c>
      <c r="E69" s="300">
        <v>738612</v>
      </c>
      <c r="F69" s="123"/>
      <c r="G69" s="133">
        <v>2.568728230135613E-2</v>
      </c>
      <c r="H69" s="123"/>
      <c r="I69" s="124">
        <f t="shared" ref="I69:I70" si="3">E69*G69</f>
        <v>18972.934955169254</v>
      </c>
    </row>
    <row r="70" spans="1:9" ht="15" customHeight="1" x14ac:dyDescent="0.2">
      <c r="A70" s="125">
        <f>A69+1</f>
        <v>3</v>
      </c>
      <c r="C70" s="238" t="s">
        <v>554</v>
      </c>
      <c r="E70" s="300">
        <v>738612</v>
      </c>
      <c r="F70" s="123"/>
      <c r="G70" s="133">
        <v>5.5612100870745453E-2</v>
      </c>
      <c r="H70" s="123"/>
      <c r="I70" s="126">
        <f t="shared" si="3"/>
        <v>41075.765048343041</v>
      </c>
    </row>
    <row r="71" spans="1:9" ht="15" customHeight="1" thickBot="1" x14ac:dyDescent="0.25">
      <c r="A71" s="127">
        <f>A70+1</f>
        <v>4</v>
      </c>
      <c r="C71" s="117" t="s">
        <v>267</v>
      </c>
      <c r="E71" s="128"/>
      <c r="F71" s="123"/>
      <c r="G71" s="129"/>
      <c r="H71" s="123"/>
      <c r="I71" s="130">
        <f>SUM(I68:I70)</f>
        <v>92761.312074397894</v>
      </c>
    </row>
    <row r="72" spans="1:9" ht="15" customHeight="1" thickTop="1" x14ac:dyDescent="0.2">
      <c r="C72" s="117"/>
      <c r="E72" s="128"/>
      <c r="F72" s="123"/>
      <c r="G72" s="129"/>
      <c r="H72" s="123"/>
      <c r="I72" s="123"/>
    </row>
    <row r="73" spans="1:9" ht="15" customHeight="1" x14ac:dyDescent="0.2">
      <c r="A73" s="116"/>
      <c r="B73" s="117"/>
      <c r="C73" s="120" t="s">
        <v>561</v>
      </c>
      <c r="E73" s="124"/>
      <c r="F73" s="131"/>
      <c r="G73" s="132"/>
      <c r="H73" s="131"/>
      <c r="I73" s="131"/>
    </row>
    <row r="74" spans="1:9" ht="15" customHeight="1" x14ac:dyDescent="0.2">
      <c r="A74" s="121">
        <f>A71+1</f>
        <v>5</v>
      </c>
      <c r="B74" s="117"/>
      <c r="C74" s="238" t="s">
        <v>314</v>
      </c>
      <c r="E74" s="300">
        <v>418156</v>
      </c>
      <c r="F74" s="123"/>
      <c r="G74" s="133">
        <f>+G68</f>
        <v>4.428930490011751E-2</v>
      </c>
      <c r="H74" s="123"/>
      <c r="I74" s="124">
        <f>E74*G74</f>
        <v>18519.838579813539</v>
      </c>
    </row>
    <row r="75" spans="1:9" ht="15" customHeight="1" x14ac:dyDescent="0.2">
      <c r="A75" s="127">
        <f>A74+1</f>
        <v>6</v>
      </c>
      <c r="B75" s="134"/>
      <c r="C75" s="238" t="s">
        <v>553</v>
      </c>
      <c r="E75" s="300">
        <v>418156</v>
      </c>
      <c r="F75" s="123"/>
      <c r="G75" s="133">
        <v>2.568728230135613E-2</v>
      </c>
      <c r="H75" s="123"/>
      <c r="I75" s="124">
        <f t="shared" ref="I75:I76" si="4">E75*G75</f>
        <v>10741.291218005874</v>
      </c>
    </row>
    <row r="76" spans="1:9" ht="15" customHeight="1" x14ac:dyDescent="0.2">
      <c r="A76" s="127">
        <f>A75+1</f>
        <v>7</v>
      </c>
      <c r="B76" s="134"/>
      <c r="C76" s="238" t="s">
        <v>554</v>
      </c>
      <c r="E76" s="300">
        <v>418156</v>
      </c>
      <c r="F76" s="123"/>
      <c r="G76" s="133">
        <v>2.568728230135613E-2</v>
      </c>
      <c r="H76" s="123"/>
      <c r="I76" s="126">
        <f t="shared" si="4"/>
        <v>10741.291218005874</v>
      </c>
    </row>
    <row r="77" spans="1:9" ht="15" customHeight="1" thickBot="1" x14ac:dyDescent="0.25">
      <c r="A77" s="127">
        <f>A76+1</f>
        <v>8</v>
      </c>
      <c r="B77" s="134"/>
      <c r="C77" s="134" t="s">
        <v>269</v>
      </c>
      <c r="E77" s="123"/>
      <c r="F77" s="123"/>
      <c r="G77" s="135"/>
      <c r="H77" s="123"/>
      <c r="I77" s="136">
        <f>SUM(I74:I76)</f>
        <v>40002.421015825283</v>
      </c>
    </row>
    <row r="78" spans="1:9" ht="15" customHeight="1" thickTop="1" x14ac:dyDescent="0.2">
      <c r="A78" s="127"/>
      <c r="B78" s="134"/>
      <c r="C78" s="134"/>
      <c r="E78" s="123"/>
      <c r="F78" s="123"/>
      <c r="G78" s="135"/>
      <c r="H78" s="123"/>
      <c r="I78" s="137"/>
    </row>
    <row r="79" spans="1:9" ht="15" customHeight="1" x14ac:dyDescent="0.2">
      <c r="A79" s="116"/>
      <c r="B79" s="117"/>
      <c r="C79" s="120" t="s">
        <v>562</v>
      </c>
      <c r="E79" s="131"/>
      <c r="F79" s="131"/>
      <c r="G79" s="133"/>
      <c r="H79" s="131"/>
      <c r="I79" s="124"/>
    </row>
    <row r="80" spans="1:9" ht="15" customHeight="1" x14ac:dyDescent="0.2">
      <c r="A80" s="121">
        <f>A77+1</f>
        <v>9</v>
      </c>
      <c r="B80" s="117"/>
      <c r="C80" s="238" t="s">
        <v>289</v>
      </c>
      <c r="E80" s="300">
        <v>6330960</v>
      </c>
      <c r="F80" s="123"/>
      <c r="G80" s="133">
        <v>9.0889241635057055E-3</v>
      </c>
      <c r="H80" s="123"/>
      <c r="I80" s="124">
        <f>E80*G80*12</f>
        <v>690499.38386625703</v>
      </c>
    </row>
    <row r="81" spans="1:9" ht="15" customHeight="1" x14ac:dyDescent="0.2">
      <c r="A81" s="121">
        <f>A80+1</f>
        <v>10</v>
      </c>
      <c r="B81" s="117"/>
      <c r="C81" s="238" t="s">
        <v>290</v>
      </c>
      <c r="E81" s="300">
        <v>110791.79999999999</v>
      </c>
      <c r="F81" s="123"/>
      <c r="G81" s="133">
        <v>0.96728599267556625</v>
      </c>
      <c r="H81" s="123"/>
      <c r="I81" s="124">
        <f>E81*G81*12</f>
        <v>1286008.2749197534</v>
      </c>
    </row>
    <row r="82" spans="1:9" ht="15" customHeight="1" x14ac:dyDescent="0.2">
      <c r="A82" s="121">
        <f t="shared" ref="A82:A85" si="5">A81+1</f>
        <v>11</v>
      </c>
      <c r="B82" s="117"/>
      <c r="C82" s="238" t="s">
        <v>273</v>
      </c>
      <c r="E82" s="300">
        <v>12661920</v>
      </c>
      <c r="F82" s="123"/>
      <c r="G82" s="133">
        <v>4.4263773931520103E-2</v>
      </c>
      <c r="H82" s="123"/>
      <c r="I82" s="126">
        <f t="shared" ref="I82" si="6">E82*G82</f>
        <v>560464.36441899301</v>
      </c>
    </row>
    <row r="83" spans="1:9" ht="15" customHeight="1" x14ac:dyDescent="0.2">
      <c r="A83" s="121">
        <f>A82+1</f>
        <v>12</v>
      </c>
      <c r="B83" s="134"/>
      <c r="C83" s="238" t="s">
        <v>274</v>
      </c>
      <c r="E83" s="300"/>
      <c r="F83" s="123"/>
      <c r="G83" s="133"/>
      <c r="H83" s="123"/>
      <c r="I83" s="124">
        <f>SUM(I80:I82)</f>
        <v>2536972.0232050037</v>
      </c>
    </row>
    <row r="84" spans="1:9" ht="15" customHeight="1" x14ac:dyDescent="0.2">
      <c r="A84" s="121">
        <f t="shared" si="5"/>
        <v>13</v>
      </c>
      <c r="B84" s="134"/>
      <c r="C84" s="238" t="s">
        <v>275</v>
      </c>
      <c r="E84" s="134"/>
      <c r="F84" s="123"/>
      <c r="G84" s="133"/>
      <c r="H84" s="123"/>
      <c r="I84" s="138">
        <v>0.40083538794946261</v>
      </c>
    </row>
    <row r="85" spans="1:9" ht="15" customHeight="1" thickBot="1" x14ac:dyDescent="0.25">
      <c r="A85" s="121">
        <f t="shared" si="5"/>
        <v>14</v>
      </c>
      <c r="B85" s="134"/>
      <c r="C85" s="134" t="s">
        <v>276</v>
      </c>
      <c r="E85" s="123"/>
      <c r="F85" s="123"/>
      <c r="G85" s="135"/>
      <c r="H85" s="123"/>
      <c r="I85" s="136">
        <f>I83*I84</f>
        <v>1016908.1651383108</v>
      </c>
    </row>
    <row r="86" spans="1:9" ht="15" customHeight="1" thickTop="1" x14ac:dyDescent="0.2">
      <c r="A86" s="127"/>
      <c r="B86" s="134"/>
      <c r="C86" s="117"/>
      <c r="E86" s="123"/>
      <c r="F86" s="123"/>
      <c r="G86" s="133"/>
      <c r="H86" s="123"/>
      <c r="I86" s="124"/>
    </row>
    <row r="87" spans="1:9" ht="15" customHeight="1" x14ac:dyDescent="0.2">
      <c r="A87" s="116"/>
      <c r="B87" s="117"/>
      <c r="C87" s="120" t="s">
        <v>563</v>
      </c>
      <c r="E87" s="131"/>
      <c r="F87" s="131"/>
      <c r="G87" s="133"/>
      <c r="H87" s="131"/>
      <c r="I87" s="124"/>
    </row>
    <row r="88" spans="1:9" ht="15" customHeight="1" x14ac:dyDescent="0.2">
      <c r="A88" s="116">
        <f>A85+1</f>
        <v>15</v>
      </c>
      <c r="B88" s="117"/>
      <c r="C88" s="238" t="s">
        <v>289</v>
      </c>
      <c r="E88" s="300">
        <v>1105964</v>
      </c>
      <c r="F88" s="123"/>
      <c r="G88" s="133">
        <f>+G80</f>
        <v>9.0889241635057055E-3</v>
      </c>
      <c r="H88" s="123"/>
      <c r="I88" s="124">
        <f>E88*G88*12</f>
        <v>120624.27508280908</v>
      </c>
    </row>
    <row r="89" spans="1:9" ht="15" customHeight="1" x14ac:dyDescent="0.2">
      <c r="A89" s="116">
        <f t="shared" ref="A89:A93" si="7">A88+1</f>
        <v>16</v>
      </c>
      <c r="B89" s="117"/>
      <c r="C89" s="238" t="s">
        <v>290</v>
      </c>
      <c r="E89" s="300">
        <v>11059.64</v>
      </c>
      <c r="F89" s="123"/>
      <c r="G89" s="133">
        <f>+G81</f>
        <v>0.96728599267556625</v>
      </c>
      <c r="H89" s="123"/>
      <c r="I89" s="124">
        <f>E89*G89*12</f>
        <v>128374.01827241278</v>
      </c>
    </row>
    <row r="90" spans="1:9" ht="15" customHeight="1" x14ac:dyDescent="0.2">
      <c r="A90" s="116">
        <f t="shared" si="7"/>
        <v>17</v>
      </c>
      <c r="B90" s="117"/>
      <c r="C90" s="238" t="s">
        <v>273</v>
      </c>
      <c r="E90" s="300">
        <v>2211928</v>
      </c>
      <c r="F90" s="123"/>
      <c r="G90" s="133">
        <f>+G82</f>
        <v>4.4263773931520103E-2</v>
      </c>
      <c r="H90" s="123"/>
      <c r="I90" s="126">
        <f>E90*G90</f>
        <v>97908.280944799393</v>
      </c>
    </row>
    <row r="91" spans="1:9" ht="15" customHeight="1" x14ac:dyDescent="0.2">
      <c r="A91" s="116">
        <f t="shared" si="7"/>
        <v>18</v>
      </c>
      <c r="B91" s="134"/>
      <c r="C91" s="238" t="s">
        <v>274</v>
      </c>
      <c r="E91" s="134"/>
      <c r="F91" s="123"/>
      <c r="G91" s="132"/>
      <c r="H91" s="123"/>
      <c r="I91" s="124">
        <f>SUM(I88:I90)</f>
        <v>346906.57430002128</v>
      </c>
    </row>
    <row r="92" spans="1:9" ht="15" customHeight="1" x14ac:dyDescent="0.2">
      <c r="A92" s="116">
        <f t="shared" si="7"/>
        <v>19</v>
      </c>
      <c r="B92" s="134"/>
      <c r="C92" s="238" t="s">
        <v>275</v>
      </c>
      <c r="E92" s="134"/>
      <c r="F92" s="123"/>
      <c r="G92" s="132"/>
      <c r="H92" s="123"/>
      <c r="I92" s="138">
        <v>0.40083538794946261</v>
      </c>
    </row>
    <row r="93" spans="1:9" ht="15" customHeight="1" thickBot="1" x14ac:dyDescent="0.25">
      <c r="A93" s="116">
        <f t="shared" si="7"/>
        <v>20</v>
      </c>
      <c r="B93" s="134"/>
      <c r="C93" s="134" t="s">
        <v>278</v>
      </c>
      <c r="E93" s="123"/>
      <c r="F93" s="123"/>
      <c r="G93" s="129"/>
      <c r="H93" s="123"/>
      <c r="I93" s="136">
        <f>I91*I92</f>
        <v>139052.43129176809</v>
      </c>
    </row>
    <row r="94" spans="1:9" ht="15" customHeight="1" thickTop="1" x14ac:dyDescent="0.2">
      <c r="A94" s="127"/>
      <c r="B94" s="134"/>
      <c r="C94" s="117"/>
      <c r="E94" s="123"/>
      <c r="F94" s="123"/>
      <c r="G94" s="132"/>
      <c r="H94" s="123"/>
      <c r="I94" s="124"/>
    </row>
    <row r="95" spans="1:9" ht="15" customHeight="1" x14ac:dyDescent="0.2">
      <c r="A95" s="116"/>
      <c r="B95" s="117"/>
      <c r="C95" s="120" t="s">
        <v>564</v>
      </c>
      <c r="E95" s="131"/>
      <c r="F95" s="131"/>
      <c r="G95" s="132"/>
      <c r="H95" s="131"/>
      <c r="I95" s="124"/>
    </row>
    <row r="96" spans="1:9" ht="15" customHeight="1" x14ac:dyDescent="0.2">
      <c r="A96" s="121">
        <f>A93+1</f>
        <v>21</v>
      </c>
      <c r="B96" s="117"/>
      <c r="C96" s="238" t="s">
        <v>279</v>
      </c>
      <c r="E96" s="123">
        <v>210443.7923858515</v>
      </c>
      <c r="F96" s="123"/>
      <c r="G96" s="133">
        <v>0.45835129797816565</v>
      </c>
      <c r="H96" s="123"/>
      <c r="I96" s="137">
        <f>E96*G96</f>
        <v>96457.185391502644</v>
      </c>
    </row>
    <row r="97" spans="1:9" ht="15" customHeight="1" x14ac:dyDescent="0.2">
      <c r="A97" s="121">
        <f>A96+1</f>
        <v>22</v>
      </c>
      <c r="B97" s="134"/>
      <c r="C97" s="238" t="s">
        <v>281</v>
      </c>
      <c r="E97" s="123">
        <v>726145.89829701511</v>
      </c>
      <c r="F97" s="123"/>
      <c r="G97" s="133">
        <v>0.45835129797816565</v>
      </c>
      <c r="H97" s="123"/>
      <c r="I97" s="126">
        <f>E97*G97</f>
        <v>332829.91500595794</v>
      </c>
    </row>
    <row r="98" spans="1:9" ht="15" customHeight="1" thickBot="1" x14ac:dyDescent="0.25">
      <c r="A98" s="121">
        <f t="shared" ref="A98" si="8">A97+1</f>
        <v>23</v>
      </c>
      <c r="B98" s="134"/>
      <c r="C98" s="134" t="s">
        <v>565</v>
      </c>
      <c r="E98" s="123"/>
      <c r="F98" s="123"/>
      <c r="G98" s="128"/>
      <c r="H98" s="123"/>
      <c r="I98" s="136">
        <f>SUM(I96:I97)</f>
        <v>429287.10039746057</v>
      </c>
    </row>
    <row r="99" spans="1:9" ht="15" customHeight="1" thickTop="1" x14ac:dyDescent="0.2">
      <c r="A99" s="127"/>
      <c r="B99" s="134"/>
      <c r="C99" s="117"/>
      <c r="E99" s="123"/>
      <c r="F99" s="123"/>
      <c r="G99" s="131"/>
      <c r="H99" s="123"/>
      <c r="I99" s="124"/>
    </row>
    <row r="100" spans="1:9" ht="15" customHeight="1" thickBot="1" x14ac:dyDescent="0.25">
      <c r="A100" s="127">
        <f>A98+1</f>
        <v>24</v>
      </c>
      <c r="B100" s="134"/>
      <c r="C100" s="134" t="s">
        <v>283</v>
      </c>
      <c r="E100" s="123"/>
      <c r="F100" s="123"/>
      <c r="G100" s="123"/>
      <c r="H100" s="123"/>
      <c r="I100" s="136">
        <f>I71+I77+I85+I93+I98</f>
        <v>1718011.4299177628</v>
      </c>
    </row>
    <row r="101" spans="1:9" ht="15" customHeight="1" thickTop="1" x14ac:dyDescent="0.2"/>
    <row r="102" spans="1:9" ht="15" customHeight="1" x14ac:dyDescent="0.2">
      <c r="A102" s="297" t="s">
        <v>5</v>
      </c>
      <c r="B102" s="134"/>
      <c r="C102" s="134"/>
      <c r="D102" s="134"/>
      <c r="E102" s="134"/>
      <c r="F102" s="134"/>
      <c r="G102" s="134"/>
      <c r="H102" s="134"/>
    </row>
    <row r="103" spans="1:9" ht="12.75" customHeight="1" x14ac:dyDescent="0.2">
      <c r="A103" s="298" t="s">
        <v>6</v>
      </c>
      <c r="B103" s="299"/>
      <c r="C103" s="524" t="s">
        <v>864</v>
      </c>
      <c r="D103" s="524"/>
      <c r="E103" s="524"/>
      <c r="F103" s="524"/>
      <c r="G103" s="524"/>
      <c r="H103" s="524"/>
      <c r="I103" s="524"/>
    </row>
    <row r="104" spans="1:9" ht="12.75" customHeight="1" x14ac:dyDescent="0.2">
      <c r="A104" s="298"/>
      <c r="B104" s="299"/>
      <c r="C104" s="524"/>
      <c r="D104" s="524"/>
      <c r="E104" s="524"/>
      <c r="F104" s="524"/>
      <c r="G104" s="524"/>
      <c r="H104" s="524"/>
      <c r="I104" s="524"/>
    </row>
    <row r="105" spans="1:9" ht="12.75" customHeight="1" x14ac:dyDescent="0.2">
      <c r="A105" s="298" t="s">
        <v>190</v>
      </c>
      <c r="B105" s="299"/>
      <c r="C105" s="523" t="s">
        <v>891</v>
      </c>
      <c r="D105" s="523"/>
      <c r="E105" s="523"/>
      <c r="F105" s="523"/>
      <c r="G105" s="523"/>
      <c r="H105" s="523"/>
      <c r="I105" s="523"/>
    </row>
    <row r="106" spans="1:9" ht="12.75" customHeight="1" x14ac:dyDescent="0.2">
      <c r="A106" s="298"/>
      <c r="B106" s="299"/>
      <c r="C106" s="523"/>
      <c r="D106" s="523"/>
      <c r="E106" s="523"/>
      <c r="F106" s="523"/>
      <c r="G106" s="523"/>
      <c r="H106" s="523"/>
      <c r="I106" s="523"/>
    </row>
    <row r="107" spans="1:9" ht="12.75" customHeight="1" x14ac:dyDescent="0.2">
      <c r="A107" s="96"/>
      <c r="C107" s="523"/>
      <c r="D107" s="523"/>
      <c r="E107" s="523"/>
      <c r="F107" s="523"/>
      <c r="G107" s="523"/>
      <c r="H107" s="523"/>
      <c r="I107" s="523"/>
    </row>
    <row r="108" spans="1:9" ht="12.75" customHeight="1" x14ac:dyDescent="0.2">
      <c r="A108" s="96" t="s">
        <v>191</v>
      </c>
      <c r="C108" s="83" t="s">
        <v>682</v>
      </c>
    </row>
  </sheetData>
  <mergeCells count="4">
    <mergeCell ref="C50:I51"/>
    <mergeCell ref="C53:I54"/>
    <mergeCell ref="C103:I104"/>
    <mergeCell ref="C105:I107"/>
  </mergeCells>
  <pageMargins left="0.7" right="0.7" top="0.75" bottom="0.75" header="0.3" footer="0.3"/>
  <pageSetup scale="85" fitToHeight="0" orientation="portrait" r:id="rId1"/>
  <headerFooter>
    <oddHeader>&amp;R&amp;"Arial,Regular"&amp;10Filed: 2022-11-30
EB-2022-0200
Exhibit 8
Tab 2
Schedule 9
Attachment 17
Page &amp;P of &amp;N</oddHeader>
  </headerFooter>
  <rowBreaks count="1" manualBreakCount="1">
    <brk id="54"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01BF6-C2EA-486C-AA25-0CC4BDA9DC6C}">
  <sheetPr>
    <pageSetUpPr fitToPage="1"/>
  </sheetPr>
  <dimension ref="B6:M86"/>
  <sheetViews>
    <sheetView view="pageLayout" zoomScale="90" zoomScaleNormal="70" zoomScaleSheetLayoutView="80" zoomScalePageLayoutView="90" workbookViewId="0"/>
  </sheetViews>
  <sheetFormatPr defaultColWidth="8.85546875" defaultRowHeight="12.75" x14ac:dyDescent="0.2"/>
  <cols>
    <col min="1" max="1" width="1.5703125" style="1" customWidth="1"/>
    <col min="2" max="2" width="6.42578125" style="254" customWidth="1"/>
    <col min="3" max="3" width="1.5703125" style="1" customWidth="1"/>
    <col min="4" max="4" width="46.5703125" style="1" customWidth="1"/>
    <col min="5" max="5" width="1.5703125" style="1" customWidth="1"/>
    <col min="6" max="6" width="13.140625" style="1" customWidth="1"/>
    <col min="7" max="7" width="1.5703125" style="1" customWidth="1"/>
    <col min="8" max="13" width="13.5703125" style="1" customWidth="1"/>
    <col min="14" max="14" width="1.5703125" style="1" customWidth="1"/>
    <col min="15" max="16384" width="8.85546875" style="1"/>
  </cols>
  <sheetData>
    <row r="6" spans="2:13" x14ac:dyDescent="0.2">
      <c r="B6" s="4" t="s">
        <v>522</v>
      </c>
      <c r="C6" s="4"/>
      <c r="D6" s="4"/>
      <c r="E6" s="4"/>
      <c r="F6" s="4"/>
      <c r="G6" s="4"/>
      <c r="H6" s="4"/>
      <c r="I6" s="4"/>
      <c r="J6" s="4"/>
      <c r="K6" s="4"/>
      <c r="L6" s="4"/>
      <c r="M6" s="4"/>
    </row>
    <row r="7" spans="2:13" s="26" customFormat="1" x14ac:dyDescent="0.2">
      <c r="B7" s="25"/>
      <c r="C7" s="25"/>
      <c r="D7" s="25"/>
      <c r="E7" s="25"/>
      <c r="G7" s="25"/>
    </row>
    <row r="8" spans="2:13" s="26" customFormat="1" ht="25.5" x14ac:dyDescent="0.2">
      <c r="B8" s="365" t="s">
        <v>341</v>
      </c>
      <c r="C8" s="25"/>
      <c r="D8" s="366" t="s">
        <v>9</v>
      </c>
      <c r="E8" s="25"/>
      <c r="F8" s="365" t="s">
        <v>99</v>
      </c>
      <c r="G8" s="25"/>
      <c r="H8" s="365" t="s">
        <v>49</v>
      </c>
      <c r="I8" s="365" t="s">
        <v>50</v>
      </c>
      <c r="J8" s="365" t="s">
        <v>51</v>
      </c>
      <c r="K8" s="365" t="s">
        <v>55</v>
      </c>
      <c r="L8" s="365" t="s">
        <v>56</v>
      </c>
      <c r="M8" s="365" t="s">
        <v>58</v>
      </c>
    </row>
    <row r="9" spans="2:13" x14ac:dyDescent="0.2">
      <c r="B9" s="252"/>
      <c r="C9" s="7"/>
      <c r="D9" s="5"/>
      <c r="E9" s="252"/>
      <c r="F9" s="252" t="s">
        <v>90</v>
      </c>
      <c r="G9" s="252"/>
      <c r="H9" s="252" t="s">
        <v>4</v>
      </c>
      <c r="I9" s="252" t="s">
        <v>86</v>
      </c>
      <c r="J9" s="252" t="s">
        <v>133</v>
      </c>
      <c r="K9" s="252" t="s">
        <v>32</v>
      </c>
      <c r="L9" s="252" t="s">
        <v>135</v>
      </c>
      <c r="M9" s="252" t="s">
        <v>15</v>
      </c>
    </row>
    <row r="10" spans="2:13" x14ac:dyDescent="0.2">
      <c r="B10" s="252"/>
      <c r="C10" s="7"/>
      <c r="D10" s="5"/>
      <c r="E10" s="252"/>
      <c r="F10" s="6"/>
      <c r="G10" s="252"/>
      <c r="H10" s="6"/>
      <c r="I10" s="6"/>
      <c r="J10" s="6"/>
      <c r="K10" s="6"/>
      <c r="L10" s="6"/>
      <c r="M10" s="6"/>
    </row>
    <row r="11" spans="2:13" x14ac:dyDescent="0.2">
      <c r="B11" s="252"/>
      <c r="C11" s="7"/>
      <c r="D11" s="48" t="s">
        <v>453</v>
      </c>
      <c r="E11" s="252"/>
      <c r="F11" s="15"/>
      <c r="G11" s="252"/>
      <c r="H11" s="15"/>
      <c r="I11" s="15"/>
      <c r="J11" s="15"/>
      <c r="K11" s="15"/>
      <c r="L11" s="15"/>
      <c r="M11" s="15"/>
    </row>
    <row r="12" spans="2:13" x14ac:dyDescent="0.2">
      <c r="B12" s="252"/>
      <c r="C12" s="7"/>
      <c r="D12" s="48"/>
      <c r="E12" s="252"/>
      <c r="F12" s="15"/>
      <c r="G12" s="252"/>
      <c r="H12" s="15"/>
      <c r="I12" s="15"/>
      <c r="J12" s="15"/>
      <c r="K12" s="15"/>
      <c r="L12" s="15"/>
      <c r="M12" s="15"/>
    </row>
    <row r="13" spans="2:13" x14ac:dyDescent="0.2">
      <c r="B13" s="252"/>
      <c r="C13" s="7"/>
      <c r="D13" s="48" t="s">
        <v>456</v>
      </c>
      <c r="E13" s="252"/>
      <c r="F13" s="15"/>
      <c r="G13" s="252"/>
      <c r="H13" s="15"/>
      <c r="I13" s="15"/>
      <c r="J13" s="15"/>
      <c r="K13" s="15"/>
      <c r="L13" s="15"/>
      <c r="M13" s="15"/>
    </row>
    <row r="14" spans="2:13" x14ac:dyDescent="0.2">
      <c r="B14" s="252">
        <v>1</v>
      </c>
      <c r="C14" s="7"/>
      <c r="D14" s="13" t="s">
        <v>94</v>
      </c>
      <c r="E14" s="252"/>
      <c r="F14" s="141">
        <f>SUM(H14:M14)</f>
        <v>-7886.2983457805813</v>
      </c>
      <c r="G14" s="151"/>
      <c r="H14" s="141">
        <v>-4346.3853742694937</v>
      </c>
      <c r="I14" s="141">
        <v>-2862.2268613166075</v>
      </c>
      <c r="J14" s="141">
        <v>-614.30434990057677</v>
      </c>
      <c r="K14" s="141">
        <v>-5.316279885588801E-2</v>
      </c>
      <c r="L14" s="141">
        <v>0</v>
      </c>
      <c r="M14" s="141">
        <v>-63.328597495048015</v>
      </c>
    </row>
    <row r="15" spans="2:13" x14ac:dyDescent="0.2">
      <c r="B15" s="252">
        <f>MAX(B$14:B14)+1</f>
        <v>2</v>
      </c>
      <c r="C15" s="7"/>
      <c r="D15" s="13" t="s">
        <v>95</v>
      </c>
      <c r="E15" s="252"/>
      <c r="F15" s="141">
        <f>SUM(H15:M15)</f>
        <v>-7324.9937368649253</v>
      </c>
      <c r="G15" s="151"/>
      <c r="H15" s="141">
        <v>-3464.860837696323</v>
      </c>
      <c r="I15" s="141">
        <v>-2452.1153053847779</v>
      </c>
      <c r="J15" s="141">
        <v>-1103.2807736360739</v>
      </c>
      <c r="K15" s="141">
        <v>-178.82976365300041</v>
      </c>
      <c r="L15" s="141">
        <v>-20.681263424014226</v>
      </c>
      <c r="M15" s="141">
        <v>-105.22579307073579</v>
      </c>
    </row>
    <row r="16" spans="2:13" x14ac:dyDescent="0.2">
      <c r="B16" s="252">
        <f>MAX(B$14:B15)+1</f>
        <v>3</v>
      </c>
      <c r="C16" s="7"/>
      <c r="D16" s="13" t="s">
        <v>68</v>
      </c>
      <c r="E16" s="252"/>
      <c r="F16" s="200">
        <f>SUM(H16:M16)</f>
        <v>0</v>
      </c>
      <c r="G16" s="151"/>
      <c r="H16" s="200">
        <v>0</v>
      </c>
      <c r="I16" s="200">
        <v>0</v>
      </c>
      <c r="J16" s="200">
        <v>0</v>
      </c>
      <c r="K16" s="200">
        <v>0</v>
      </c>
      <c r="L16" s="200">
        <v>0</v>
      </c>
      <c r="M16" s="200">
        <v>0</v>
      </c>
    </row>
    <row r="17" spans="2:13" x14ac:dyDescent="0.2">
      <c r="B17" s="252">
        <f>MAX(B$14:B16)+1</f>
        <v>4</v>
      </c>
      <c r="D17" s="20" t="s">
        <v>47</v>
      </c>
      <c r="E17" s="252"/>
      <c r="F17" s="141">
        <f>SUM(F14:F16)</f>
        <v>-15211.292082645507</v>
      </c>
      <c r="G17" s="151"/>
      <c r="H17" s="141">
        <f t="shared" ref="H17:M17" si="0">SUM(H14:H16)</f>
        <v>-7811.2462119658167</v>
      </c>
      <c r="I17" s="141">
        <f t="shared" si="0"/>
        <v>-5314.3421667013854</v>
      </c>
      <c r="J17" s="141">
        <f t="shared" si="0"/>
        <v>-1717.5851235366508</v>
      </c>
      <c r="K17" s="141">
        <f t="shared" si="0"/>
        <v>-178.88292645185629</v>
      </c>
      <c r="L17" s="141">
        <f t="shared" si="0"/>
        <v>-20.681263424014226</v>
      </c>
      <c r="M17" s="141">
        <f t="shared" si="0"/>
        <v>-168.55439056578382</v>
      </c>
    </row>
    <row r="18" spans="2:13" x14ac:dyDescent="0.2">
      <c r="B18" s="252"/>
      <c r="C18" s="7"/>
      <c r="D18" s="20"/>
      <c r="E18" s="252"/>
      <c r="F18" s="141"/>
      <c r="G18" s="151"/>
      <c r="H18" s="141"/>
      <c r="I18" s="141"/>
      <c r="J18" s="141"/>
      <c r="K18" s="141"/>
      <c r="L18" s="141"/>
      <c r="M18" s="141"/>
    </row>
    <row r="19" spans="2:13" x14ac:dyDescent="0.2">
      <c r="B19" s="252"/>
      <c r="C19" s="7"/>
      <c r="D19" s="48" t="s">
        <v>457</v>
      </c>
      <c r="E19" s="252"/>
      <c r="F19" s="141"/>
      <c r="G19" s="151"/>
      <c r="H19" s="141"/>
      <c r="I19" s="141"/>
      <c r="J19" s="141"/>
      <c r="K19" s="141"/>
      <c r="L19" s="141"/>
      <c r="M19" s="141"/>
    </row>
    <row r="20" spans="2:13" x14ac:dyDescent="0.2">
      <c r="B20" s="252">
        <f>MAX(B$14:B19)+1</f>
        <v>5</v>
      </c>
      <c r="C20" s="7"/>
      <c r="D20" s="13" t="s">
        <v>94</v>
      </c>
      <c r="E20" s="252"/>
      <c r="F20" s="141">
        <f>SUM(H20:M20)</f>
        <v>173437.62958622936</v>
      </c>
      <c r="G20" s="151"/>
      <c r="H20" s="141">
        <v>95586.895591501219</v>
      </c>
      <c r="I20" s="141">
        <v>62946.875758306152</v>
      </c>
      <c r="J20" s="141">
        <v>13509.949233441033</v>
      </c>
      <c r="K20" s="141">
        <v>1.1691708088456916</v>
      </c>
      <c r="L20" s="141">
        <v>0</v>
      </c>
      <c r="M20" s="141">
        <v>1392.7398321720991</v>
      </c>
    </row>
    <row r="21" spans="2:13" x14ac:dyDescent="0.2">
      <c r="B21" s="252">
        <f>MAX(B$14:B20)+1</f>
        <v>6</v>
      </c>
      <c r="C21" s="7"/>
      <c r="D21" s="13" t="s">
        <v>95</v>
      </c>
      <c r="E21" s="252"/>
      <c r="F21" s="141">
        <f>SUM(H21:M21)</f>
        <v>161093.26514835033</v>
      </c>
      <c r="G21" s="151"/>
      <c r="H21" s="141">
        <v>74560.612211800588</v>
      </c>
      <c r="I21" s="141">
        <v>55819.91836396385</v>
      </c>
      <c r="J21" s="141">
        <v>24228.389026866553</v>
      </c>
      <c r="K21" s="141">
        <v>3805.209102467908</v>
      </c>
      <c r="L21" s="141">
        <v>440.06394810372592</v>
      </c>
      <c r="M21" s="141">
        <v>2239.0724951477218</v>
      </c>
    </row>
    <row r="22" spans="2:13" x14ac:dyDescent="0.2">
      <c r="B22" s="252">
        <f>MAX(B$14:B21)+1</f>
        <v>7</v>
      </c>
      <c r="C22" s="7"/>
      <c r="D22" s="13" t="s">
        <v>68</v>
      </c>
      <c r="E22" s="252"/>
      <c r="F22" s="200">
        <f>SUM(H22:M22)</f>
        <v>23783.374604849203</v>
      </c>
      <c r="G22" s="151"/>
      <c r="H22" s="200">
        <v>11249.986855534542</v>
      </c>
      <c r="I22" s="200">
        <v>7961.7237880685152</v>
      </c>
      <c r="J22" s="200">
        <v>3582.2201187226005</v>
      </c>
      <c r="K22" s="200">
        <v>580.63875714333392</v>
      </c>
      <c r="L22" s="200">
        <v>67.149577594781064</v>
      </c>
      <c r="M22" s="200">
        <v>341.65550778542649</v>
      </c>
    </row>
    <row r="23" spans="2:13" x14ac:dyDescent="0.2">
      <c r="B23" s="252">
        <f>MAX(B$14:B22)+1</f>
        <v>8</v>
      </c>
      <c r="D23" s="20" t="s">
        <v>47</v>
      </c>
      <c r="E23" s="252"/>
      <c r="F23" s="141">
        <f>SUM(F20:F22)</f>
        <v>358314.26933942892</v>
      </c>
      <c r="G23" s="151"/>
      <c r="H23" s="141">
        <f t="shared" ref="H23:M23" si="1">SUM(H20:H22)</f>
        <v>181397.49465883634</v>
      </c>
      <c r="I23" s="141">
        <f t="shared" si="1"/>
        <v>126728.51791033852</v>
      </c>
      <c r="J23" s="141">
        <f t="shared" si="1"/>
        <v>41320.55837903019</v>
      </c>
      <c r="K23" s="141">
        <f t="shared" si="1"/>
        <v>4387.0170304200874</v>
      </c>
      <c r="L23" s="141">
        <f t="shared" si="1"/>
        <v>507.213525698507</v>
      </c>
      <c r="M23" s="141">
        <f t="shared" si="1"/>
        <v>3973.4678351052471</v>
      </c>
    </row>
    <row r="24" spans="2:13" x14ac:dyDescent="0.2">
      <c r="B24" s="252"/>
      <c r="C24" s="7"/>
      <c r="D24" s="20"/>
      <c r="E24" s="252"/>
      <c r="F24" s="141"/>
      <c r="G24" s="151"/>
      <c r="H24" s="141"/>
      <c r="I24" s="141"/>
      <c r="J24" s="141"/>
      <c r="K24" s="141"/>
      <c r="L24" s="141"/>
      <c r="M24" s="141"/>
    </row>
    <row r="25" spans="2:13" ht="14.25" x14ac:dyDescent="0.2">
      <c r="B25" s="252">
        <f>MAX(B$14:B24)+1</f>
        <v>9</v>
      </c>
      <c r="C25" s="7"/>
      <c r="D25" s="20" t="s">
        <v>458</v>
      </c>
      <c r="E25" s="252"/>
      <c r="F25" s="170">
        <v>1.8619669054930092</v>
      </c>
      <c r="G25" s="151"/>
      <c r="H25" s="141"/>
      <c r="I25" s="141"/>
      <c r="J25" s="141"/>
      <c r="K25" s="141"/>
      <c r="L25" s="141"/>
      <c r="M25" s="141"/>
    </row>
    <row r="26" spans="2:13" x14ac:dyDescent="0.2">
      <c r="B26" s="252"/>
      <c r="C26" s="7"/>
      <c r="D26" s="20"/>
      <c r="E26" s="252"/>
      <c r="F26" s="141"/>
      <c r="G26" s="151"/>
      <c r="H26" s="141"/>
      <c r="I26" s="141"/>
      <c r="J26" s="141"/>
      <c r="K26" s="141"/>
      <c r="L26" s="141"/>
      <c r="M26" s="141"/>
    </row>
    <row r="27" spans="2:13" x14ac:dyDescent="0.2">
      <c r="B27" s="252">
        <f>MAX(B$14:B26)+1</f>
        <v>10</v>
      </c>
      <c r="C27" s="7"/>
      <c r="D27" s="13" t="s">
        <v>459</v>
      </c>
      <c r="E27" s="252"/>
      <c r="F27" s="141">
        <f>SUM(H27:M27)</f>
        <v>5229.2060920313579</v>
      </c>
      <c r="G27" s="151"/>
      <c r="H27" s="141">
        <f t="shared" ref="H27:M27" si="2">H33*$F$25/100</f>
        <v>833.95883451522877</v>
      </c>
      <c r="I27" s="141">
        <f t="shared" si="2"/>
        <v>3642.857399680257</v>
      </c>
      <c r="J27" s="141">
        <f t="shared" si="2"/>
        <v>752.35261849776225</v>
      </c>
      <c r="K27" s="141">
        <f t="shared" si="2"/>
        <v>0</v>
      </c>
      <c r="L27" s="141">
        <f t="shared" si="2"/>
        <v>0</v>
      </c>
      <c r="M27" s="141">
        <f t="shared" si="2"/>
        <v>3.7239338109860187E-2</v>
      </c>
    </row>
    <row r="28" spans="2:13" x14ac:dyDescent="0.2">
      <c r="B28" s="252">
        <f>MAX(B$14:B27)+1</f>
        <v>11</v>
      </c>
      <c r="C28" s="7"/>
      <c r="D28" s="13" t="s">
        <v>96</v>
      </c>
      <c r="E28" s="252"/>
      <c r="F28" s="200">
        <f>SUM(H28:M28)</f>
        <v>353085.06324739754</v>
      </c>
      <c r="G28" s="151"/>
      <c r="H28" s="200">
        <f t="shared" ref="H28:M28" si="3">H23-H27</f>
        <v>180563.53582432112</v>
      </c>
      <c r="I28" s="200">
        <f t="shared" si="3"/>
        <v>123085.66051065826</v>
      </c>
      <c r="J28" s="200">
        <f t="shared" si="3"/>
        <v>40568.20576053243</v>
      </c>
      <c r="K28" s="200">
        <f t="shared" si="3"/>
        <v>4387.0170304200874</v>
      </c>
      <c r="L28" s="200">
        <f t="shared" si="3"/>
        <v>507.213525698507</v>
      </c>
      <c r="M28" s="200">
        <f t="shared" si="3"/>
        <v>3973.4305957671372</v>
      </c>
    </row>
    <row r="29" spans="2:13" x14ac:dyDescent="0.2">
      <c r="B29" s="252">
        <f>MAX(B$14:B28)+1</f>
        <v>12</v>
      </c>
      <c r="C29" s="7"/>
      <c r="D29" s="20" t="s">
        <v>47</v>
      </c>
      <c r="E29" s="252"/>
      <c r="F29" s="141">
        <f>SUM(F27:F28)</f>
        <v>358314.26933942892</v>
      </c>
      <c r="G29" s="151"/>
      <c r="H29" s="141">
        <f t="shared" ref="H29:M29" si="4">SUM(H27:H28)</f>
        <v>181397.49465883634</v>
      </c>
      <c r="I29" s="141">
        <f t="shared" si="4"/>
        <v>126728.51791033852</v>
      </c>
      <c r="J29" s="141">
        <f t="shared" si="4"/>
        <v>41320.55837903019</v>
      </c>
      <c r="K29" s="141">
        <f t="shared" si="4"/>
        <v>4387.0170304200874</v>
      </c>
      <c r="L29" s="141">
        <f t="shared" si="4"/>
        <v>507.213525698507</v>
      </c>
      <c r="M29" s="141">
        <f t="shared" si="4"/>
        <v>3973.4678351052471</v>
      </c>
    </row>
    <row r="30" spans="2:13" x14ac:dyDescent="0.2">
      <c r="B30" s="252"/>
      <c r="C30" s="7"/>
      <c r="D30" s="20"/>
      <c r="E30" s="252"/>
      <c r="F30" s="141"/>
      <c r="G30" s="151"/>
      <c r="H30" s="141"/>
      <c r="I30" s="141"/>
      <c r="J30" s="141"/>
      <c r="K30" s="141"/>
      <c r="L30" s="141"/>
      <c r="M30" s="141"/>
    </row>
    <row r="31" spans="2:13" ht="14.25" x14ac:dyDescent="0.2">
      <c r="B31" s="252"/>
      <c r="C31" s="7"/>
      <c r="D31" s="48" t="s">
        <v>460</v>
      </c>
      <c r="E31" s="252"/>
      <c r="F31" s="141"/>
      <c r="G31" s="151"/>
      <c r="H31" s="141"/>
      <c r="I31" s="141"/>
      <c r="J31" s="141"/>
      <c r="K31" s="141"/>
      <c r="L31" s="141"/>
      <c r="M31" s="141"/>
    </row>
    <row r="32" spans="2:13" x14ac:dyDescent="0.2">
      <c r="B32" s="252">
        <f>MAX(B$14:B31)+1</f>
        <v>13</v>
      </c>
      <c r="C32" s="7"/>
      <c r="D32" s="199" t="s">
        <v>154</v>
      </c>
      <c r="E32" s="252"/>
      <c r="F32" s="141">
        <f>SUM(H32:M32)</f>
        <v>19135762.534517642</v>
      </c>
      <c r="G32" s="151"/>
      <c r="H32" s="141">
        <v>9139633.2673529088</v>
      </c>
      <c r="I32" s="141">
        <v>6304258.3193573309</v>
      </c>
      <c r="J32" s="141">
        <v>2884096.8758970415</v>
      </c>
      <c r="K32" s="141">
        <v>474030.03009035997</v>
      </c>
      <c r="L32" s="141">
        <v>54820.516019999995</v>
      </c>
      <c r="M32" s="141">
        <v>278923.5258</v>
      </c>
    </row>
    <row r="33" spans="2:13" x14ac:dyDescent="0.2">
      <c r="B33" s="252">
        <f>MAX(B$14:B32)+1</f>
        <v>14</v>
      </c>
      <c r="C33" s="7"/>
      <c r="D33" s="13" t="s">
        <v>465</v>
      </c>
      <c r="E33" s="252"/>
      <c r="F33" s="200">
        <f>SUM(H33:M33)</f>
        <v>280843.12758753228</v>
      </c>
      <c r="G33" s="151"/>
      <c r="H33" s="200">
        <v>44789.133042856862</v>
      </c>
      <c r="I33" s="200">
        <v>195645.6577683214</v>
      </c>
      <c r="J33" s="200">
        <v>40406.336776354001</v>
      </c>
      <c r="K33" s="200">
        <v>0</v>
      </c>
      <c r="L33" s="200">
        <v>0</v>
      </c>
      <c r="M33" s="200">
        <v>2</v>
      </c>
    </row>
    <row r="34" spans="2:13" x14ac:dyDescent="0.2">
      <c r="B34" s="252">
        <f>MAX(B$14:B33)+1</f>
        <v>15</v>
      </c>
      <c r="D34" s="20" t="s">
        <v>47</v>
      </c>
      <c r="E34" s="252"/>
      <c r="F34" s="141">
        <f>SUM(F32:F33)</f>
        <v>19416605.662105173</v>
      </c>
      <c r="G34" s="151"/>
      <c r="H34" s="141">
        <f t="shared" ref="H34:M34" si="5">SUM(H32:H33)</f>
        <v>9184422.4003957659</v>
      </c>
      <c r="I34" s="141">
        <f t="shared" si="5"/>
        <v>6499903.9771256521</v>
      </c>
      <c r="J34" s="141">
        <f t="shared" si="5"/>
        <v>2924503.2126733954</v>
      </c>
      <c r="K34" s="141">
        <f t="shared" si="5"/>
        <v>474030.03009035997</v>
      </c>
      <c r="L34" s="141">
        <f t="shared" si="5"/>
        <v>54820.516019999995</v>
      </c>
      <c r="M34" s="141">
        <f t="shared" si="5"/>
        <v>278925.5258</v>
      </c>
    </row>
    <row r="35" spans="2:13" x14ac:dyDescent="0.2">
      <c r="B35" s="252"/>
      <c r="C35" s="7"/>
      <c r="D35" s="20"/>
      <c r="E35" s="252"/>
      <c r="F35" s="141"/>
      <c r="G35" s="151"/>
      <c r="H35" s="141"/>
      <c r="I35" s="141"/>
      <c r="J35" s="141"/>
      <c r="K35" s="141"/>
      <c r="L35" s="141"/>
      <c r="M35" s="141"/>
    </row>
    <row r="36" spans="2:13" ht="14.25" x14ac:dyDescent="0.2">
      <c r="B36" s="252"/>
      <c r="C36" s="7"/>
      <c r="D36" s="48" t="s">
        <v>338</v>
      </c>
      <c r="E36" s="252"/>
      <c r="F36" s="141"/>
      <c r="G36" s="151"/>
      <c r="H36" s="141"/>
      <c r="I36" s="141"/>
      <c r="J36" s="141"/>
      <c r="K36" s="141"/>
      <c r="L36" s="141"/>
      <c r="M36" s="141"/>
    </row>
    <row r="37" spans="2:13" x14ac:dyDescent="0.2">
      <c r="B37" s="252">
        <f>MAX(B$14:B36)+1</f>
        <v>16</v>
      </c>
      <c r="C37" s="7"/>
      <c r="D37" s="20" t="s">
        <v>397</v>
      </c>
      <c r="E37" s="252"/>
      <c r="F37" s="141"/>
      <c r="G37" s="151"/>
      <c r="H37" s="170">
        <f t="shared" ref="H37:M37" si="6">H17/H34*100</f>
        <v>-8.5048856329051487E-2</v>
      </c>
      <c r="I37" s="170">
        <f t="shared" si="6"/>
        <v>-8.1760318081675123E-2</v>
      </c>
      <c r="J37" s="170">
        <f t="shared" si="6"/>
        <v>-5.8730833876107912E-2</v>
      </c>
      <c r="K37" s="170">
        <f t="shared" si="6"/>
        <v>-3.7736623229915937E-2</v>
      </c>
      <c r="L37" s="170">
        <f t="shared" si="6"/>
        <v>-3.77254081600931E-2</v>
      </c>
      <c r="M37" s="170">
        <f t="shared" si="6"/>
        <v>-6.0429890768277546E-2</v>
      </c>
    </row>
    <row r="38" spans="2:13" x14ac:dyDescent="0.2">
      <c r="B38" s="252">
        <f>MAX(B$14:B37)+1</f>
        <v>17</v>
      </c>
      <c r="C38" s="7"/>
      <c r="D38" s="20" t="s">
        <v>398</v>
      </c>
      <c r="E38" s="252"/>
      <c r="F38" s="141"/>
      <c r="G38" s="151"/>
      <c r="H38" s="170">
        <f t="shared" ref="H38:M38" si="7">H37</f>
        <v>-8.5048856329051487E-2</v>
      </c>
      <c r="I38" s="170">
        <f t="shared" si="7"/>
        <v>-8.1760318081675123E-2</v>
      </c>
      <c r="J38" s="170">
        <f t="shared" si="7"/>
        <v>-5.8730833876107912E-2</v>
      </c>
      <c r="K38" s="170">
        <f t="shared" si="7"/>
        <v>-3.7736623229915937E-2</v>
      </c>
      <c r="L38" s="170">
        <f t="shared" si="7"/>
        <v>-3.77254081600931E-2</v>
      </c>
      <c r="M38" s="170">
        <f t="shared" si="7"/>
        <v>-6.0429890768277546E-2</v>
      </c>
    </row>
    <row r="39" spans="2:13" x14ac:dyDescent="0.2">
      <c r="B39" s="252"/>
      <c r="C39" s="7"/>
      <c r="D39" s="20"/>
      <c r="E39" s="252"/>
      <c r="F39" s="141"/>
      <c r="G39" s="151"/>
      <c r="H39" s="141"/>
      <c r="I39" s="141"/>
      <c r="J39" s="141"/>
      <c r="K39" s="141"/>
      <c r="L39" s="141"/>
      <c r="M39" s="141"/>
    </row>
    <row r="40" spans="2:13" ht="14.25" x14ac:dyDescent="0.2">
      <c r="B40" s="252"/>
      <c r="C40" s="7"/>
      <c r="D40" s="48" t="s">
        <v>339</v>
      </c>
      <c r="E40" s="252"/>
      <c r="F40" s="141"/>
      <c r="G40" s="151"/>
      <c r="H40" s="141"/>
      <c r="I40" s="141"/>
      <c r="J40" s="141"/>
      <c r="K40" s="141"/>
      <c r="L40" s="141"/>
      <c r="M40" s="141"/>
    </row>
    <row r="41" spans="2:13" x14ac:dyDescent="0.2">
      <c r="B41" s="252">
        <f>MAX(B$14:B40)+1</f>
        <v>18</v>
      </c>
      <c r="C41" s="7"/>
      <c r="D41" s="20" t="s">
        <v>399</v>
      </c>
      <c r="E41" s="252"/>
      <c r="F41" s="141"/>
      <c r="G41" s="151"/>
      <c r="H41" s="170">
        <f t="shared" ref="H41:M41" si="8">H28/H34*100</f>
        <v>1.9659759531153582</v>
      </c>
      <c r="I41" s="170">
        <f t="shared" si="8"/>
        <v>1.8936535207876786</v>
      </c>
      <c r="J41" s="170">
        <f t="shared" si="8"/>
        <v>1.3871828071423984</v>
      </c>
      <c r="K41" s="170">
        <f t="shared" si="8"/>
        <v>0.92547238612368732</v>
      </c>
      <c r="L41" s="170">
        <f t="shared" si="8"/>
        <v>0.9252257412415853</v>
      </c>
      <c r="M41" s="170">
        <f t="shared" si="8"/>
        <v>1.4245489308914074</v>
      </c>
    </row>
    <row r="42" spans="2:13" x14ac:dyDescent="0.2">
      <c r="B42" s="252">
        <f>MAX(B$14:B41)+1</f>
        <v>19</v>
      </c>
      <c r="C42" s="7"/>
      <c r="D42" s="20" t="s">
        <v>400</v>
      </c>
      <c r="E42" s="252"/>
      <c r="F42" s="141"/>
      <c r="G42" s="151"/>
      <c r="H42" s="170">
        <f t="shared" ref="H42:M42" si="9">H41+$F$25</f>
        <v>3.8279428586083677</v>
      </c>
      <c r="I42" s="170">
        <f t="shared" si="9"/>
        <v>3.7556204262806876</v>
      </c>
      <c r="J42" s="170">
        <f t="shared" si="9"/>
        <v>3.2491497126354076</v>
      </c>
      <c r="K42" s="170">
        <f t="shared" si="9"/>
        <v>2.7874392916166966</v>
      </c>
      <c r="L42" s="170">
        <f t="shared" si="9"/>
        <v>2.7871926467345944</v>
      </c>
      <c r="M42" s="170">
        <f t="shared" si="9"/>
        <v>3.2865158363844165</v>
      </c>
    </row>
    <row r="43" spans="2:13" x14ac:dyDescent="0.2">
      <c r="B43" s="252"/>
      <c r="C43" s="7"/>
      <c r="D43" s="20"/>
      <c r="E43" s="252"/>
      <c r="F43" s="141"/>
      <c r="G43" s="151"/>
      <c r="H43" s="141"/>
      <c r="I43" s="141"/>
      <c r="J43" s="141"/>
      <c r="K43" s="141"/>
      <c r="L43" s="141"/>
      <c r="M43" s="141"/>
    </row>
    <row r="44" spans="2:13" ht="14.25" x14ac:dyDescent="0.2">
      <c r="B44" s="252"/>
      <c r="C44" s="7"/>
      <c r="D44" s="48" t="s">
        <v>340</v>
      </c>
      <c r="E44" s="252"/>
      <c r="F44" s="141"/>
      <c r="G44" s="151"/>
      <c r="H44" s="141"/>
      <c r="I44" s="141"/>
      <c r="J44" s="141"/>
      <c r="K44" s="141"/>
      <c r="L44" s="141"/>
      <c r="M44" s="141"/>
    </row>
    <row r="45" spans="2:13" x14ac:dyDescent="0.2">
      <c r="B45" s="252">
        <f>MAX(B$14:B44)+1</f>
        <v>20</v>
      </c>
      <c r="C45" s="7"/>
      <c r="D45" s="20" t="s">
        <v>43</v>
      </c>
      <c r="F45" s="144"/>
      <c r="G45" s="144"/>
      <c r="H45" s="170">
        <f t="shared" ref="H45:M46" si="10">H37+H41</f>
        <v>1.8809270967863068</v>
      </c>
      <c r="I45" s="170">
        <f t="shared" si="10"/>
        <v>1.8118932027060035</v>
      </c>
      <c r="J45" s="170">
        <f t="shared" si="10"/>
        <v>1.3284519732662905</v>
      </c>
      <c r="K45" s="170">
        <f t="shared" si="10"/>
        <v>0.88773576289377143</v>
      </c>
      <c r="L45" s="170">
        <f t="shared" si="10"/>
        <v>0.88750033308149223</v>
      </c>
      <c r="M45" s="170">
        <f t="shared" si="10"/>
        <v>1.3641190401231298</v>
      </c>
    </row>
    <row r="46" spans="2:13" x14ac:dyDescent="0.2">
      <c r="B46" s="252">
        <f>MAX(B$14:B45)+1</f>
        <v>21</v>
      </c>
      <c r="C46" s="7"/>
      <c r="D46" s="20" t="s">
        <v>93</v>
      </c>
      <c r="F46" s="144"/>
      <c r="G46" s="144"/>
      <c r="H46" s="170">
        <f t="shared" si="10"/>
        <v>3.742894002279316</v>
      </c>
      <c r="I46" s="170">
        <f t="shared" si="10"/>
        <v>3.6738601081990123</v>
      </c>
      <c r="J46" s="170">
        <f t="shared" si="10"/>
        <v>3.1904188787592997</v>
      </c>
      <c r="K46" s="170">
        <f t="shared" si="10"/>
        <v>2.7497026683867807</v>
      </c>
      <c r="L46" s="170">
        <f t="shared" si="10"/>
        <v>2.7494672385745011</v>
      </c>
      <c r="M46" s="170">
        <f t="shared" si="10"/>
        <v>3.226085945616139</v>
      </c>
    </row>
    <row r="47" spans="2:13" x14ac:dyDescent="0.2">
      <c r="B47" s="252"/>
      <c r="C47" s="7"/>
      <c r="D47" s="5"/>
      <c r="E47" s="252"/>
      <c r="F47" s="6"/>
      <c r="G47" s="252"/>
      <c r="H47" s="170"/>
      <c r="I47" s="6"/>
      <c r="J47" s="6"/>
      <c r="K47" s="6"/>
      <c r="L47" s="6"/>
      <c r="M47" s="6"/>
    </row>
    <row r="48" spans="2:13" x14ac:dyDescent="0.2">
      <c r="B48" s="252"/>
      <c r="C48" s="7"/>
      <c r="D48" s="5"/>
      <c r="E48" s="252"/>
      <c r="F48" s="6"/>
      <c r="G48" s="252"/>
      <c r="H48" s="6"/>
      <c r="I48" s="6"/>
      <c r="J48" s="6"/>
      <c r="K48" s="6"/>
      <c r="L48" s="6"/>
      <c r="M48" s="6"/>
    </row>
    <row r="52" spans="2:13" x14ac:dyDescent="0.2">
      <c r="B52" s="4" t="s">
        <v>782</v>
      </c>
      <c r="C52" s="4"/>
      <c r="D52" s="4"/>
      <c r="E52" s="4"/>
      <c r="F52" s="4"/>
      <c r="G52" s="4"/>
      <c r="H52" s="4"/>
      <c r="I52" s="4"/>
      <c r="J52" s="4"/>
      <c r="K52" s="4"/>
      <c r="L52" s="4"/>
      <c r="M52" s="4"/>
    </row>
    <row r="53" spans="2:13" s="26" customFormat="1" x14ac:dyDescent="0.2">
      <c r="B53" s="25"/>
      <c r="C53" s="25"/>
      <c r="D53" s="25"/>
      <c r="E53" s="25"/>
      <c r="G53" s="25"/>
    </row>
    <row r="54" spans="2:13" s="26" customFormat="1" ht="25.5" x14ac:dyDescent="0.2">
      <c r="B54" s="365" t="s">
        <v>341</v>
      </c>
      <c r="C54" s="25"/>
      <c r="D54" s="366" t="s">
        <v>9</v>
      </c>
      <c r="E54" s="25"/>
      <c r="F54" s="365" t="s">
        <v>99</v>
      </c>
      <c r="G54" s="25"/>
      <c r="H54" s="365" t="s">
        <v>49</v>
      </c>
      <c r="I54" s="365" t="s">
        <v>50</v>
      </c>
      <c r="J54" s="365" t="s">
        <v>51</v>
      </c>
      <c r="K54" s="365" t="s">
        <v>55</v>
      </c>
      <c r="L54" s="365" t="s">
        <v>56</v>
      </c>
      <c r="M54" s="365" t="s">
        <v>58</v>
      </c>
    </row>
    <row r="55" spans="2:13" x14ac:dyDescent="0.2">
      <c r="B55" s="252"/>
      <c r="C55" s="7"/>
      <c r="D55" s="5"/>
      <c r="E55" s="252"/>
      <c r="F55" s="252" t="s">
        <v>90</v>
      </c>
      <c r="G55" s="252"/>
      <c r="H55" s="252" t="s">
        <v>4</v>
      </c>
      <c r="I55" s="252" t="s">
        <v>86</v>
      </c>
      <c r="J55" s="252" t="s">
        <v>133</v>
      </c>
      <c r="K55" s="252" t="s">
        <v>32</v>
      </c>
      <c r="L55" s="252" t="s">
        <v>135</v>
      </c>
      <c r="M55" s="252" t="s">
        <v>15</v>
      </c>
    </row>
    <row r="56" spans="2:13" x14ac:dyDescent="0.2">
      <c r="B56" s="252"/>
      <c r="C56" s="7"/>
      <c r="D56" s="5"/>
      <c r="E56" s="252"/>
      <c r="F56" s="252"/>
      <c r="G56" s="252"/>
      <c r="H56" s="252"/>
      <c r="I56" s="252"/>
      <c r="J56" s="252"/>
      <c r="K56" s="252"/>
      <c r="L56" s="252"/>
      <c r="M56" s="252"/>
    </row>
    <row r="57" spans="2:13" x14ac:dyDescent="0.2">
      <c r="B57" s="252"/>
      <c r="C57" s="7"/>
      <c r="D57" s="48" t="s">
        <v>454</v>
      </c>
      <c r="E57" s="252"/>
      <c r="F57" s="15"/>
      <c r="G57" s="252"/>
      <c r="H57" s="15"/>
      <c r="I57" s="15"/>
      <c r="J57" s="15"/>
      <c r="K57" s="15"/>
      <c r="L57" s="15"/>
      <c r="M57" s="15"/>
    </row>
    <row r="58" spans="2:13" x14ac:dyDescent="0.2">
      <c r="B58" s="252"/>
      <c r="C58" s="7"/>
      <c r="D58" s="48"/>
      <c r="E58" s="252"/>
      <c r="F58" s="15"/>
      <c r="G58" s="252"/>
      <c r="H58" s="15"/>
      <c r="I58" s="15"/>
      <c r="J58" s="15"/>
      <c r="K58" s="15"/>
      <c r="L58" s="15"/>
      <c r="M58" s="15"/>
    </row>
    <row r="59" spans="2:13" x14ac:dyDescent="0.2">
      <c r="B59" s="252"/>
      <c r="C59" s="7"/>
      <c r="D59" s="48" t="s">
        <v>456</v>
      </c>
      <c r="E59" s="252"/>
      <c r="F59" s="15"/>
      <c r="G59" s="252"/>
      <c r="H59" s="15"/>
      <c r="I59" s="15"/>
      <c r="J59" s="15"/>
      <c r="K59" s="15"/>
      <c r="L59" s="15"/>
      <c r="M59" s="15"/>
    </row>
    <row r="60" spans="2:13" x14ac:dyDescent="0.2">
      <c r="B60" s="252">
        <f>MAX(B$14:B59)+1</f>
        <v>22</v>
      </c>
      <c r="C60" s="7"/>
      <c r="D60" s="13" t="s">
        <v>97</v>
      </c>
      <c r="E60" s="252"/>
      <c r="F60" s="141">
        <f>SUM(H60:M60)</f>
        <v>0</v>
      </c>
      <c r="G60" s="151"/>
      <c r="H60" s="141">
        <v>0</v>
      </c>
      <c r="I60" s="141">
        <v>0</v>
      </c>
      <c r="J60" s="141">
        <v>0</v>
      </c>
      <c r="K60" s="141">
        <v>0</v>
      </c>
      <c r="L60" s="141">
        <v>0</v>
      </c>
      <c r="M60" s="141">
        <v>0</v>
      </c>
    </row>
    <row r="61" spans="2:13" x14ac:dyDescent="0.2">
      <c r="B61" s="252">
        <f>MAX(B$14:B60)+1</f>
        <v>23</v>
      </c>
      <c r="C61" s="7"/>
      <c r="D61" s="13" t="s">
        <v>98</v>
      </c>
      <c r="E61" s="252"/>
      <c r="F61" s="141">
        <f>SUM(H61:M61)</f>
        <v>15491.673000000001</v>
      </c>
      <c r="G61" s="151"/>
      <c r="H61" s="141">
        <v>10247.630738583643</v>
      </c>
      <c r="I61" s="141">
        <v>4768.5925618686751</v>
      </c>
      <c r="J61" s="141">
        <v>267.87868750186783</v>
      </c>
      <c r="K61" s="141">
        <v>15.903122682127261</v>
      </c>
      <c r="L61" s="141">
        <v>7.7360795696272389</v>
      </c>
      <c r="M61" s="141">
        <v>183.93180979405838</v>
      </c>
    </row>
    <row r="62" spans="2:13" x14ac:dyDescent="0.2">
      <c r="B62" s="252">
        <f>MAX(B$14:B61)+1</f>
        <v>24</v>
      </c>
      <c r="C62" s="7"/>
      <c r="D62" s="13" t="s">
        <v>455</v>
      </c>
      <c r="E62" s="252"/>
      <c r="F62" s="200">
        <f>SUM(H62:M62)</f>
        <v>4766.3813808033201</v>
      </c>
      <c r="G62" s="151"/>
      <c r="H62" s="200">
        <v>3152.927146715067</v>
      </c>
      <c r="I62" s="200">
        <v>1467.1708342622553</v>
      </c>
      <c r="J62" s="200">
        <v>82.41924474025069</v>
      </c>
      <c r="K62" s="200">
        <v>4.8929736542155462</v>
      </c>
      <c r="L62" s="200">
        <v>2.3801887388847045</v>
      </c>
      <c r="M62" s="200">
        <v>56.590992692645756</v>
      </c>
    </row>
    <row r="63" spans="2:13" x14ac:dyDescent="0.2">
      <c r="B63" s="252">
        <f>MAX(B$14:B62)+1</f>
        <v>25</v>
      </c>
      <c r="C63" s="7"/>
      <c r="D63" s="20" t="s">
        <v>47</v>
      </c>
      <c r="E63" s="252"/>
      <c r="F63" s="141">
        <f>SUM(F60:F62)</f>
        <v>20258.054380803322</v>
      </c>
      <c r="G63" s="151"/>
      <c r="H63" s="141">
        <f t="shared" ref="H63:M63" si="11">SUM(H60:H62)</f>
        <v>13400.557885298709</v>
      </c>
      <c r="I63" s="141">
        <f t="shared" si="11"/>
        <v>6235.7633961309302</v>
      </c>
      <c r="J63" s="141">
        <f t="shared" si="11"/>
        <v>350.29793224211852</v>
      </c>
      <c r="K63" s="141">
        <f t="shared" si="11"/>
        <v>20.796096336342806</v>
      </c>
      <c r="L63" s="141">
        <f t="shared" si="11"/>
        <v>10.116268308511943</v>
      </c>
      <c r="M63" s="141">
        <f t="shared" si="11"/>
        <v>240.52280248670414</v>
      </c>
    </row>
    <row r="64" spans="2:13" x14ac:dyDescent="0.2">
      <c r="B64" s="252"/>
      <c r="D64" s="20"/>
      <c r="E64" s="252"/>
      <c r="F64" s="141"/>
      <c r="G64" s="151"/>
      <c r="H64" s="141"/>
      <c r="I64" s="141"/>
      <c r="J64" s="141"/>
      <c r="K64" s="141"/>
      <c r="L64" s="141"/>
      <c r="M64" s="141"/>
    </row>
    <row r="65" spans="2:13" x14ac:dyDescent="0.2">
      <c r="B65" s="252"/>
      <c r="D65" s="48" t="s">
        <v>457</v>
      </c>
      <c r="E65" s="252"/>
      <c r="F65" s="141"/>
      <c r="G65" s="151"/>
      <c r="H65" s="141"/>
      <c r="I65" s="141"/>
      <c r="J65" s="141"/>
      <c r="K65" s="141"/>
      <c r="L65" s="141"/>
      <c r="M65" s="141"/>
    </row>
    <row r="66" spans="2:13" x14ac:dyDescent="0.2">
      <c r="B66" s="252">
        <f>MAX(B$14:B65)+1</f>
        <v>26</v>
      </c>
      <c r="D66" s="13" t="s">
        <v>97</v>
      </c>
      <c r="E66" s="252"/>
      <c r="F66" s="141">
        <f>SUM(H66:M66)</f>
        <v>2728040.5732561173</v>
      </c>
      <c r="G66" s="151"/>
      <c r="H66" s="141">
        <v>1804579.3010608174</v>
      </c>
      <c r="I66" s="141">
        <v>839735.90109377354</v>
      </c>
      <c r="J66" s="141">
        <v>47172.692595285997</v>
      </c>
      <c r="K66" s="141">
        <v>2800.4957191074732</v>
      </c>
      <c r="L66" s="141">
        <v>1362.3021182980583</v>
      </c>
      <c r="M66" s="141">
        <v>32389.880668835336</v>
      </c>
    </row>
    <row r="67" spans="2:13" x14ac:dyDescent="0.2">
      <c r="B67" s="252">
        <f>MAX(B$14:B66)+1</f>
        <v>27</v>
      </c>
      <c r="D67" s="13" t="s">
        <v>98</v>
      </c>
      <c r="E67" s="252"/>
      <c r="F67" s="141">
        <f>SUM(H67:M67)</f>
        <v>0</v>
      </c>
      <c r="G67" s="151"/>
      <c r="H67" s="141">
        <v>0</v>
      </c>
      <c r="I67" s="141">
        <v>0</v>
      </c>
      <c r="J67" s="141">
        <v>0</v>
      </c>
      <c r="K67" s="141">
        <v>0</v>
      </c>
      <c r="L67" s="141">
        <v>0</v>
      </c>
      <c r="M67" s="141">
        <v>0</v>
      </c>
    </row>
    <row r="68" spans="2:13" x14ac:dyDescent="0.2">
      <c r="B68" s="252">
        <f>MAX(B$14:B67)+1</f>
        <v>28</v>
      </c>
      <c r="D68" s="13" t="s">
        <v>455</v>
      </c>
      <c r="E68" s="252"/>
      <c r="F68" s="200">
        <f>SUM(H68:M68)</f>
        <v>0</v>
      </c>
      <c r="G68" s="151"/>
      <c r="H68" s="200">
        <v>0</v>
      </c>
      <c r="I68" s="200">
        <v>0</v>
      </c>
      <c r="J68" s="200">
        <v>0</v>
      </c>
      <c r="K68" s="200">
        <v>0</v>
      </c>
      <c r="L68" s="200">
        <v>0</v>
      </c>
      <c r="M68" s="200">
        <v>0</v>
      </c>
    </row>
    <row r="69" spans="2:13" x14ac:dyDescent="0.2">
      <c r="B69" s="252">
        <f>MAX(B$14:B68)+1</f>
        <v>29</v>
      </c>
      <c r="D69" s="20" t="s">
        <v>47</v>
      </c>
      <c r="E69" s="252"/>
      <c r="F69" s="141">
        <f>SUM(F66:F68)</f>
        <v>2728040.5732561173</v>
      </c>
      <c r="G69" s="151"/>
      <c r="H69" s="141">
        <f t="shared" ref="H69:M69" si="12">SUM(H66:H68)</f>
        <v>1804579.3010608174</v>
      </c>
      <c r="I69" s="141">
        <f t="shared" si="12"/>
        <v>839735.90109377354</v>
      </c>
      <c r="J69" s="141">
        <f t="shared" si="12"/>
        <v>47172.692595285997</v>
      </c>
      <c r="K69" s="141">
        <f t="shared" si="12"/>
        <v>2800.4957191074732</v>
      </c>
      <c r="L69" s="141">
        <f t="shared" si="12"/>
        <v>1362.3021182980583</v>
      </c>
      <c r="M69" s="141">
        <f t="shared" si="12"/>
        <v>32389.880668835336</v>
      </c>
    </row>
    <row r="70" spans="2:13" x14ac:dyDescent="0.2">
      <c r="B70" s="252"/>
      <c r="D70" s="20"/>
      <c r="E70" s="252"/>
      <c r="F70" s="141"/>
      <c r="G70" s="151"/>
      <c r="H70" s="170"/>
      <c r="I70" s="141"/>
      <c r="J70" s="141"/>
      <c r="K70" s="141"/>
      <c r="L70" s="141"/>
      <c r="M70" s="141"/>
    </row>
    <row r="71" spans="2:13" ht="14.25" x14ac:dyDescent="0.2">
      <c r="B71" s="252">
        <f>MAX(B$14:B70)+1</f>
        <v>30</v>
      </c>
      <c r="D71" s="20" t="s">
        <v>461</v>
      </c>
      <c r="E71" s="252"/>
      <c r="F71" s="141">
        <f>SUM(H71:M71)</f>
        <v>13147613.980869565</v>
      </c>
      <c r="G71" s="151"/>
      <c r="H71" s="141">
        <v>8697052.4855121206</v>
      </c>
      <c r="I71" s="141">
        <v>4047052.5188270635</v>
      </c>
      <c r="J71" s="141">
        <v>227345.72160001998</v>
      </c>
      <c r="K71" s="141">
        <v>13496.806840359997</v>
      </c>
      <c r="L71" s="141">
        <v>6565.5263900000009</v>
      </c>
      <c r="M71" s="141">
        <v>156100.92169999998</v>
      </c>
    </row>
    <row r="72" spans="2:13" x14ac:dyDescent="0.2">
      <c r="B72" s="252"/>
      <c r="D72" s="20"/>
      <c r="E72" s="252"/>
      <c r="F72" s="141"/>
      <c r="G72" s="151"/>
      <c r="H72" s="141"/>
      <c r="I72" s="141"/>
      <c r="J72" s="141"/>
      <c r="K72" s="141"/>
      <c r="L72" s="141"/>
      <c r="M72" s="141"/>
    </row>
    <row r="73" spans="2:13" ht="14.25" x14ac:dyDescent="0.2">
      <c r="B73" s="252">
        <f>MAX(B$14:B72)+1</f>
        <v>31</v>
      </c>
      <c r="D73" s="20" t="s">
        <v>342</v>
      </c>
      <c r="E73" s="252"/>
      <c r="F73" s="141"/>
      <c r="G73" s="170"/>
      <c r="H73" s="170">
        <f t="shared" ref="H73:M73" si="13">H63/H71*100</f>
        <v>0.15408160302150486</v>
      </c>
      <c r="I73" s="170">
        <f t="shared" si="13"/>
        <v>0.15408160302150486</v>
      </c>
      <c r="J73" s="170">
        <f t="shared" si="13"/>
        <v>0.15408160302150489</v>
      </c>
      <c r="K73" s="170">
        <f t="shared" si="13"/>
        <v>0.15408160302150486</v>
      </c>
      <c r="L73" s="170">
        <f t="shared" si="13"/>
        <v>0.15408160302150489</v>
      </c>
      <c r="M73" s="170">
        <f t="shared" si="13"/>
        <v>0.15408160302150486</v>
      </c>
    </row>
    <row r="74" spans="2:13" x14ac:dyDescent="0.2">
      <c r="B74" s="252"/>
      <c r="D74" s="20"/>
      <c r="E74" s="252"/>
      <c r="F74" s="141"/>
      <c r="G74" s="151"/>
      <c r="H74" s="141"/>
      <c r="I74" s="141"/>
      <c r="J74" s="141"/>
      <c r="K74" s="141"/>
      <c r="L74" s="141"/>
      <c r="M74" s="141"/>
    </row>
    <row r="75" spans="2:13" ht="14.25" x14ac:dyDescent="0.2">
      <c r="B75" s="252">
        <f>MAX(B$14:B74)+1</f>
        <v>32</v>
      </c>
      <c r="D75" s="20" t="s">
        <v>343</v>
      </c>
      <c r="E75" s="252"/>
      <c r="F75" s="141"/>
      <c r="G75" s="151"/>
      <c r="H75" s="170">
        <f t="shared" ref="H75:M75" si="14">H69/H71*100</f>
        <v>20.749320578057382</v>
      </c>
      <c r="I75" s="170">
        <f t="shared" si="14"/>
        <v>20.749320578057386</v>
      </c>
      <c r="J75" s="170">
        <f t="shared" si="14"/>
        <v>20.749320578057386</v>
      </c>
      <c r="K75" s="170">
        <f t="shared" si="14"/>
        <v>20.749320578057382</v>
      </c>
      <c r="L75" s="170">
        <f t="shared" si="14"/>
        <v>20.749320578057386</v>
      </c>
      <c r="M75" s="170">
        <f t="shared" si="14"/>
        <v>20.749320578057382</v>
      </c>
    </row>
    <row r="76" spans="2:13" x14ac:dyDescent="0.2">
      <c r="B76" s="252"/>
      <c r="D76" s="20"/>
      <c r="E76" s="252"/>
      <c r="F76" s="141"/>
      <c r="G76" s="151"/>
      <c r="H76" s="141"/>
      <c r="I76" s="141"/>
      <c r="J76" s="141"/>
      <c r="K76" s="141"/>
      <c r="L76" s="141"/>
      <c r="M76" s="141"/>
    </row>
    <row r="77" spans="2:13" ht="14.25" x14ac:dyDescent="0.2">
      <c r="B77" s="252">
        <f>MAX(B$14:B76)+1</f>
        <v>33</v>
      </c>
      <c r="D77" s="20" t="s">
        <v>344</v>
      </c>
      <c r="E77" s="252"/>
      <c r="F77" s="141"/>
      <c r="G77" s="151"/>
      <c r="H77" s="170">
        <f t="shared" ref="H77:M77" si="15">H73+H75</f>
        <v>20.903402181078889</v>
      </c>
      <c r="I77" s="170">
        <f t="shared" si="15"/>
        <v>20.903402181078892</v>
      </c>
      <c r="J77" s="170">
        <f t="shared" si="15"/>
        <v>20.903402181078892</v>
      </c>
      <c r="K77" s="170">
        <f t="shared" si="15"/>
        <v>20.903402181078889</v>
      </c>
      <c r="L77" s="170">
        <f t="shared" si="15"/>
        <v>20.903402181078892</v>
      </c>
      <c r="M77" s="170">
        <f t="shared" si="15"/>
        <v>20.903402181078889</v>
      </c>
    </row>
    <row r="78" spans="2:13" x14ac:dyDescent="0.2">
      <c r="B78" s="252"/>
      <c r="D78" s="20"/>
      <c r="E78" s="252"/>
      <c r="F78" s="15"/>
      <c r="G78" s="252"/>
      <c r="H78" s="15"/>
      <c r="I78" s="15"/>
      <c r="J78" s="15"/>
      <c r="K78" s="15"/>
      <c r="L78" s="15"/>
      <c r="M78" s="15"/>
    </row>
    <row r="79" spans="2:13" ht="11.45" customHeight="1" x14ac:dyDescent="0.2">
      <c r="B79" s="23" t="s">
        <v>5</v>
      </c>
      <c r="C79" s="7"/>
      <c r="D79" s="7"/>
      <c r="E79" s="7"/>
      <c r="F79" s="7"/>
      <c r="G79" s="7"/>
      <c r="H79" s="7"/>
      <c r="I79" s="7"/>
      <c r="J79" s="7"/>
      <c r="K79" s="7"/>
      <c r="L79" s="7"/>
      <c r="M79" s="7"/>
    </row>
    <row r="80" spans="2:13" ht="11.45" customHeight="1" x14ac:dyDescent="0.2">
      <c r="B80" s="24" t="s">
        <v>6</v>
      </c>
      <c r="D80" s="56" t="s">
        <v>462</v>
      </c>
    </row>
    <row r="81" spans="2:13" ht="11.45" customHeight="1" x14ac:dyDescent="0.2">
      <c r="B81" s="24" t="s">
        <v>7</v>
      </c>
      <c r="D81" s="56" t="s">
        <v>463</v>
      </c>
    </row>
    <row r="82" spans="2:13" x14ac:dyDescent="0.2">
      <c r="B82" s="24" t="s">
        <v>8</v>
      </c>
      <c r="D82" s="83" t="s">
        <v>464</v>
      </c>
    </row>
    <row r="83" spans="2:13" x14ac:dyDescent="0.2">
      <c r="B83" s="24" t="s">
        <v>192</v>
      </c>
      <c r="D83" s="1" t="s">
        <v>834</v>
      </c>
    </row>
    <row r="84" spans="2:13" ht="11.45" customHeight="1" x14ac:dyDescent="0.2">
      <c r="B84" s="24" t="s">
        <v>19</v>
      </c>
      <c r="D84" s="20" t="s">
        <v>672</v>
      </c>
      <c r="E84" s="20"/>
      <c r="F84" s="20"/>
      <c r="G84" s="20"/>
      <c r="H84" s="20"/>
      <c r="I84" s="20"/>
      <c r="J84" s="20"/>
      <c r="K84" s="20"/>
      <c r="L84" s="20"/>
      <c r="M84" s="20"/>
    </row>
    <row r="85" spans="2:13" ht="11.45" customHeight="1" x14ac:dyDescent="0.2">
      <c r="B85" s="24"/>
      <c r="D85" s="20" t="s">
        <v>673</v>
      </c>
      <c r="E85" s="20"/>
      <c r="F85" s="20"/>
      <c r="G85" s="20"/>
      <c r="H85" s="20"/>
      <c r="I85" s="20"/>
      <c r="J85" s="20"/>
      <c r="K85" s="20"/>
      <c r="L85" s="20"/>
      <c r="M85" s="20"/>
    </row>
    <row r="86" spans="2:13" x14ac:dyDescent="0.2">
      <c r="B86" s="24" t="s">
        <v>401</v>
      </c>
      <c r="D86" s="20" t="s">
        <v>671</v>
      </c>
    </row>
  </sheetData>
  <pageMargins left="0.70866141732283505" right="0.70866141732283505" top="0.74803149606299202" bottom="0.74803149606299202" header="0.31496062992126" footer="0.31496062992126"/>
  <pageSetup scale="79" fitToHeight="0" orientation="landscape" blackAndWhite="1" useFirstPageNumber="1" r:id="rId1"/>
  <headerFooter>
    <oddHeader>&amp;R&amp;"Arial,Regular"&amp;10Filed: 2022-11-30
EB-2022-0200
Exhibit 8
Tab 2
Schedule 9
Attachment 3
Page &amp;P of &amp;N</oddHeader>
  </headerFooter>
  <rowBreaks count="1" manualBreakCount="1">
    <brk id="46" min="1" max="1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CE596-9857-4516-AD73-D0694A225FC8}">
  <sheetPr>
    <pageSetUpPr fitToPage="1"/>
  </sheetPr>
  <dimension ref="B6:Y292"/>
  <sheetViews>
    <sheetView view="pageLayout" zoomScale="80" zoomScaleNormal="90" zoomScaleSheetLayoutView="90" zoomScalePageLayoutView="80" workbookViewId="0"/>
  </sheetViews>
  <sheetFormatPr defaultRowHeight="15" customHeight="1" x14ac:dyDescent="0.2"/>
  <cols>
    <col min="1" max="1" width="1.7109375" style="40" customWidth="1"/>
    <col min="2" max="2" width="6.28515625" style="74" customWidth="1"/>
    <col min="3" max="3" width="1.7109375" style="40" customWidth="1"/>
    <col min="4" max="4" width="9" style="40" customWidth="1"/>
    <col min="5" max="5" width="1.7109375" style="40" customWidth="1"/>
    <col min="6" max="6" width="53.42578125" style="40" customWidth="1"/>
    <col min="7" max="7" width="1.7109375" style="40" customWidth="1"/>
    <col min="8" max="8" width="14.42578125" style="40" customWidth="1"/>
    <col min="9" max="9" width="1.7109375" style="40" customWidth="1"/>
    <col min="10" max="10" width="11.140625" style="40" customWidth="1"/>
    <col min="11" max="11" width="1.7109375" style="40" customWidth="1"/>
    <col min="12" max="12" width="11.140625" style="40" customWidth="1"/>
    <col min="13" max="13" width="1.7109375" style="40" customWidth="1"/>
    <col min="14" max="14" width="11.5703125" style="40" customWidth="1"/>
    <col min="15" max="15" width="3.140625" style="40" customWidth="1"/>
    <col min="16" max="16" width="11.7109375" style="40" customWidth="1"/>
    <col min="17" max="17" width="1.7109375" style="40" customWidth="1"/>
    <col min="18" max="18" width="11.140625" style="40" customWidth="1"/>
    <col min="19" max="218" width="9.140625" style="40"/>
    <col min="219" max="219" width="4.5703125" style="40" customWidth="1"/>
    <col min="220" max="220" width="1" style="40" customWidth="1"/>
    <col min="221" max="221" width="18" style="40" customWidth="1"/>
    <col min="222" max="222" width="1.85546875" style="40" customWidth="1"/>
    <col min="223" max="223" width="12.7109375" style="40" customWidth="1"/>
    <col min="224" max="224" width="1.5703125" style="40" customWidth="1"/>
    <col min="225" max="225" width="9.5703125" style="40" customWidth="1"/>
    <col min="226" max="226" width="1.85546875" style="40" customWidth="1"/>
    <col min="227" max="227" width="11.85546875" style="40" customWidth="1"/>
    <col min="228" max="228" width="1.5703125" style="40" customWidth="1"/>
    <col min="229" max="229" width="10.140625" style="40" customWidth="1"/>
    <col min="230" max="230" width="2" style="40" customWidth="1"/>
    <col min="231" max="231" width="9.7109375" style="40" customWidth="1"/>
    <col min="232" max="474" width="9.140625" style="40"/>
    <col min="475" max="475" width="4.5703125" style="40" customWidth="1"/>
    <col min="476" max="476" width="1" style="40" customWidth="1"/>
    <col min="477" max="477" width="18" style="40" customWidth="1"/>
    <col min="478" max="478" width="1.85546875" style="40" customWidth="1"/>
    <col min="479" max="479" width="12.7109375" style="40" customWidth="1"/>
    <col min="480" max="480" width="1.5703125" style="40" customWidth="1"/>
    <col min="481" max="481" width="9.5703125" style="40" customWidth="1"/>
    <col min="482" max="482" width="1.85546875" style="40" customWidth="1"/>
    <col min="483" max="483" width="11.85546875" style="40" customWidth="1"/>
    <col min="484" max="484" width="1.5703125" style="40" customWidth="1"/>
    <col min="485" max="485" width="10.140625" style="40" customWidth="1"/>
    <col min="486" max="486" width="2" style="40" customWidth="1"/>
    <col min="487" max="487" width="9.7109375" style="40" customWidth="1"/>
    <col min="488" max="730" width="9.140625" style="40"/>
    <col min="731" max="731" width="4.5703125" style="40" customWidth="1"/>
    <col min="732" max="732" width="1" style="40" customWidth="1"/>
    <col min="733" max="733" width="18" style="40" customWidth="1"/>
    <col min="734" max="734" width="1.85546875" style="40" customWidth="1"/>
    <col min="735" max="735" width="12.7109375" style="40" customWidth="1"/>
    <col min="736" max="736" width="1.5703125" style="40" customWidth="1"/>
    <col min="737" max="737" width="9.5703125" style="40" customWidth="1"/>
    <col min="738" max="738" width="1.85546875" style="40" customWidth="1"/>
    <col min="739" max="739" width="11.85546875" style="40" customWidth="1"/>
    <col min="740" max="740" width="1.5703125" style="40" customWidth="1"/>
    <col min="741" max="741" width="10.140625" style="40" customWidth="1"/>
    <col min="742" max="742" width="2" style="40" customWidth="1"/>
    <col min="743" max="743" width="9.7109375" style="40" customWidth="1"/>
    <col min="744" max="986" width="9.140625" style="40"/>
    <col min="987" max="987" width="4.5703125" style="40" customWidth="1"/>
    <col min="988" max="988" width="1" style="40" customWidth="1"/>
    <col min="989" max="989" width="18" style="40" customWidth="1"/>
    <col min="990" max="990" width="1.85546875" style="40" customWidth="1"/>
    <col min="991" max="991" width="12.7109375" style="40" customWidth="1"/>
    <col min="992" max="992" width="1.5703125" style="40" customWidth="1"/>
    <col min="993" max="993" width="9.5703125" style="40" customWidth="1"/>
    <col min="994" max="994" width="1.85546875" style="40" customWidth="1"/>
    <col min="995" max="995" width="11.85546875" style="40" customWidth="1"/>
    <col min="996" max="996" width="1.5703125" style="40" customWidth="1"/>
    <col min="997" max="997" width="10.140625" style="40" customWidth="1"/>
    <col min="998" max="998" width="2" style="40" customWidth="1"/>
    <col min="999" max="999" width="9.7109375" style="40" customWidth="1"/>
    <col min="1000" max="1242" width="9.140625" style="40"/>
    <col min="1243" max="1243" width="4.5703125" style="40" customWidth="1"/>
    <col min="1244" max="1244" width="1" style="40" customWidth="1"/>
    <col min="1245" max="1245" width="18" style="40" customWidth="1"/>
    <col min="1246" max="1246" width="1.85546875" style="40" customWidth="1"/>
    <col min="1247" max="1247" width="12.7109375" style="40" customWidth="1"/>
    <col min="1248" max="1248" width="1.5703125" style="40" customWidth="1"/>
    <col min="1249" max="1249" width="9.5703125" style="40" customWidth="1"/>
    <col min="1250" max="1250" width="1.85546875" style="40" customWidth="1"/>
    <col min="1251" max="1251" width="11.85546875" style="40" customWidth="1"/>
    <col min="1252" max="1252" width="1.5703125" style="40" customWidth="1"/>
    <col min="1253" max="1253" width="10.140625" style="40" customWidth="1"/>
    <col min="1254" max="1254" width="2" style="40" customWidth="1"/>
    <col min="1255" max="1255" width="9.7109375" style="40" customWidth="1"/>
    <col min="1256" max="1498" width="9.140625" style="40"/>
    <col min="1499" max="1499" width="4.5703125" style="40" customWidth="1"/>
    <col min="1500" max="1500" width="1" style="40" customWidth="1"/>
    <col min="1501" max="1501" width="18" style="40" customWidth="1"/>
    <col min="1502" max="1502" width="1.85546875" style="40" customWidth="1"/>
    <col min="1503" max="1503" width="12.7109375" style="40" customWidth="1"/>
    <col min="1504" max="1504" width="1.5703125" style="40" customWidth="1"/>
    <col min="1505" max="1505" width="9.5703125" style="40" customWidth="1"/>
    <col min="1506" max="1506" width="1.85546875" style="40" customWidth="1"/>
    <col min="1507" max="1507" width="11.85546875" style="40" customWidth="1"/>
    <col min="1508" max="1508" width="1.5703125" style="40" customWidth="1"/>
    <col min="1509" max="1509" width="10.140625" style="40" customWidth="1"/>
    <col min="1510" max="1510" width="2" style="40" customWidth="1"/>
    <col min="1511" max="1511" width="9.7109375" style="40" customWidth="1"/>
    <col min="1512" max="1754" width="9.140625" style="40"/>
    <col min="1755" max="1755" width="4.5703125" style="40" customWidth="1"/>
    <col min="1756" max="1756" width="1" style="40" customWidth="1"/>
    <col min="1757" max="1757" width="18" style="40" customWidth="1"/>
    <col min="1758" max="1758" width="1.85546875" style="40" customWidth="1"/>
    <col min="1759" max="1759" width="12.7109375" style="40" customWidth="1"/>
    <col min="1760" max="1760" width="1.5703125" style="40" customWidth="1"/>
    <col min="1761" max="1761" width="9.5703125" style="40" customWidth="1"/>
    <col min="1762" max="1762" width="1.85546875" style="40" customWidth="1"/>
    <col min="1763" max="1763" width="11.85546875" style="40" customWidth="1"/>
    <col min="1764" max="1764" width="1.5703125" style="40" customWidth="1"/>
    <col min="1765" max="1765" width="10.140625" style="40" customWidth="1"/>
    <col min="1766" max="1766" width="2" style="40" customWidth="1"/>
    <col min="1767" max="1767" width="9.7109375" style="40" customWidth="1"/>
    <col min="1768" max="2010" width="9.140625" style="40"/>
    <col min="2011" max="2011" width="4.5703125" style="40" customWidth="1"/>
    <col min="2012" max="2012" width="1" style="40" customWidth="1"/>
    <col min="2013" max="2013" width="18" style="40" customWidth="1"/>
    <col min="2014" max="2014" width="1.85546875" style="40" customWidth="1"/>
    <col min="2015" max="2015" width="12.7109375" style="40" customWidth="1"/>
    <col min="2016" max="2016" width="1.5703125" style="40" customWidth="1"/>
    <col min="2017" max="2017" width="9.5703125" style="40" customWidth="1"/>
    <col min="2018" max="2018" width="1.85546875" style="40" customWidth="1"/>
    <col min="2019" max="2019" width="11.85546875" style="40" customWidth="1"/>
    <col min="2020" max="2020" width="1.5703125" style="40" customWidth="1"/>
    <col min="2021" max="2021" width="10.140625" style="40" customWidth="1"/>
    <col min="2022" max="2022" width="2" style="40" customWidth="1"/>
    <col min="2023" max="2023" width="9.7109375" style="40" customWidth="1"/>
    <col min="2024" max="2266" width="9.140625" style="40"/>
    <col min="2267" max="2267" width="4.5703125" style="40" customWidth="1"/>
    <col min="2268" max="2268" width="1" style="40" customWidth="1"/>
    <col min="2269" max="2269" width="18" style="40" customWidth="1"/>
    <col min="2270" max="2270" width="1.85546875" style="40" customWidth="1"/>
    <col min="2271" max="2271" width="12.7109375" style="40" customWidth="1"/>
    <col min="2272" max="2272" width="1.5703125" style="40" customWidth="1"/>
    <col min="2273" max="2273" width="9.5703125" style="40" customWidth="1"/>
    <col min="2274" max="2274" width="1.85546875" style="40" customWidth="1"/>
    <col min="2275" max="2275" width="11.85546875" style="40" customWidth="1"/>
    <col min="2276" max="2276" width="1.5703125" style="40" customWidth="1"/>
    <col min="2277" max="2277" width="10.140625" style="40" customWidth="1"/>
    <col min="2278" max="2278" width="2" style="40" customWidth="1"/>
    <col min="2279" max="2279" width="9.7109375" style="40" customWidth="1"/>
    <col min="2280" max="2522" width="9.140625" style="40"/>
    <col min="2523" max="2523" width="4.5703125" style="40" customWidth="1"/>
    <col min="2524" max="2524" width="1" style="40" customWidth="1"/>
    <col min="2525" max="2525" width="18" style="40" customWidth="1"/>
    <col min="2526" max="2526" width="1.85546875" style="40" customWidth="1"/>
    <col min="2527" max="2527" width="12.7109375" style="40" customWidth="1"/>
    <col min="2528" max="2528" width="1.5703125" style="40" customWidth="1"/>
    <col min="2529" max="2529" width="9.5703125" style="40" customWidth="1"/>
    <col min="2530" max="2530" width="1.85546875" style="40" customWidth="1"/>
    <col min="2531" max="2531" width="11.85546875" style="40" customWidth="1"/>
    <col min="2532" max="2532" width="1.5703125" style="40" customWidth="1"/>
    <col min="2533" max="2533" width="10.140625" style="40" customWidth="1"/>
    <col min="2534" max="2534" width="2" style="40" customWidth="1"/>
    <col min="2535" max="2535" width="9.7109375" style="40" customWidth="1"/>
    <col min="2536" max="2778" width="9.140625" style="40"/>
    <col min="2779" max="2779" width="4.5703125" style="40" customWidth="1"/>
    <col min="2780" max="2780" width="1" style="40" customWidth="1"/>
    <col min="2781" max="2781" width="18" style="40" customWidth="1"/>
    <col min="2782" max="2782" width="1.85546875" style="40" customWidth="1"/>
    <col min="2783" max="2783" width="12.7109375" style="40" customWidth="1"/>
    <col min="2784" max="2784" width="1.5703125" style="40" customWidth="1"/>
    <col min="2785" max="2785" width="9.5703125" style="40" customWidth="1"/>
    <col min="2786" max="2786" width="1.85546875" style="40" customWidth="1"/>
    <col min="2787" max="2787" width="11.85546875" style="40" customWidth="1"/>
    <col min="2788" max="2788" width="1.5703125" style="40" customWidth="1"/>
    <col min="2789" max="2789" width="10.140625" style="40" customWidth="1"/>
    <col min="2790" max="2790" width="2" style="40" customWidth="1"/>
    <col min="2791" max="2791" width="9.7109375" style="40" customWidth="1"/>
    <col min="2792" max="3034" width="9.140625" style="40"/>
    <col min="3035" max="3035" width="4.5703125" style="40" customWidth="1"/>
    <col min="3036" max="3036" width="1" style="40" customWidth="1"/>
    <col min="3037" max="3037" width="18" style="40" customWidth="1"/>
    <col min="3038" max="3038" width="1.85546875" style="40" customWidth="1"/>
    <col min="3039" max="3039" width="12.7109375" style="40" customWidth="1"/>
    <col min="3040" max="3040" width="1.5703125" style="40" customWidth="1"/>
    <col min="3041" max="3041" width="9.5703125" style="40" customWidth="1"/>
    <col min="3042" max="3042" width="1.85546875" style="40" customWidth="1"/>
    <col min="3043" max="3043" width="11.85546875" style="40" customWidth="1"/>
    <col min="3044" max="3044" width="1.5703125" style="40" customWidth="1"/>
    <col min="3045" max="3045" width="10.140625" style="40" customWidth="1"/>
    <col min="3046" max="3046" width="2" style="40" customWidth="1"/>
    <col min="3047" max="3047" width="9.7109375" style="40" customWidth="1"/>
    <col min="3048" max="3290" width="9.140625" style="40"/>
    <col min="3291" max="3291" width="4.5703125" style="40" customWidth="1"/>
    <col min="3292" max="3292" width="1" style="40" customWidth="1"/>
    <col min="3293" max="3293" width="18" style="40" customWidth="1"/>
    <col min="3294" max="3294" width="1.85546875" style="40" customWidth="1"/>
    <col min="3295" max="3295" width="12.7109375" style="40" customWidth="1"/>
    <col min="3296" max="3296" width="1.5703125" style="40" customWidth="1"/>
    <col min="3297" max="3297" width="9.5703125" style="40" customWidth="1"/>
    <col min="3298" max="3298" width="1.85546875" style="40" customWidth="1"/>
    <col min="3299" max="3299" width="11.85546875" style="40" customWidth="1"/>
    <col min="3300" max="3300" width="1.5703125" style="40" customWidth="1"/>
    <col min="3301" max="3301" width="10.140625" style="40" customWidth="1"/>
    <col min="3302" max="3302" width="2" style="40" customWidth="1"/>
    <col min="3303" max="3303" width="9.7109375" style="40" customWidth="1"/>
    <col min="3304" max="3546" width="9.140625" style="40"/>
    <col min="3547" max="3547" width="4.5703125" style="40" customWidth="1"/>
    <col min="3548" max="3548" width="1" style="40" customWidth="1"/>
    <col min="3549" max="3549" width="18" style="40" customWidth="1"/>
    <col min="3550" max="3550" width="1.85546875" style="40" customWidth="1"/>
    <col min="3551" max="3551" width="12.7109375" style="40" customWidth="1"/>
    <col min="3552" max="3552" width="1.5703125" style="40" customWidth="1"/>
    <col min="3553" max="3553" width="9.5703125" style="40" customWidth="1"/>
    <col min="3554" max="3554" width="1.85546875" style="40" customWidth="1"/>
    <col min="3555" max="3555" width="11.85546875" style="40" customWidth="1"/>
    <col min="3556" max="3556" width="1.5703125" style="40" customWidth="1"/>
    <col min="3557" max="3557" width="10.140625" style="40" customWidth="1"/>
    <col min="3558" max="3558" width="2" style="40" customWidth="1"/>
    <col min="3559" max="3559" width="9.7109375" style="40" customWidth="1"/>
    <col min="3560" max="3802" width="9.140625" style="40"/>
    <col min="3803" max="3803" width="4.5703125" style="40" customWidth="1"/>
    <col min="3804" max="3804" width="1" style="40" customWidth="1"/>
    <col min="3805" max="3805" width="18" style="40" customWidth="1"/>
    <col min="3806" max="3806" width="1.85546875" style="40" customWidth="1"/>
    <col min="3807" max="3807" width="12.7109375" style="40" customWidth="1"/>
    <col min="3808" max="3808" width="1.5703125" style="40" customWidth="1"/>
    <col min="3809" max="3809" width="9.5703125" style="40" customWidth="1"/>
    <col min="3810" max="3810" width="1.85546875" style="40" customWidth="1"/>
    <col min="3811" max="3811" width="11.85546875" style="40" customWidth="1"/>
    <col min="3812" max="3812" width="1.5703125" style="40" customWidth="1"/>
    <col min="3813" max="3813" width="10.140625" style="40" customWidth="1"/>
    <col min="3814" max="3814" width="2" style="40" customWidth="1"/>
    <col min="3815" max="3815" width="9.7109375" style="40" customWidth="1"/>
    <col min="3816" max="4058" width="9.140625" style="40"/>
    <col min="4059" max="4059" width="4.5703125" style="40" customWidth="1"/>
    <col min="4060" max="4060" width="1" style="40" customWidth="1"/>
    <col min="4061" max="4061" width="18" style="40" customWidth="1"/>
    <col min="4062" max="4062" width="1.85546875" style="40" customWidth="1"/>
    <col min="4063" max="4063" width="12.7109375" style="40" customWidth="1"/>
    <col min="4064" max="4064" width="1.5703125" style="40" customWidth="1"/>
    <col min="4065" max="4065" width="9.5703125" style="40" customWidth="1"/>
    <col min="4066" max="4066" width="1.85546875" style="40" customWidth="1"/>
    <col min="4067" max="4067" width="11.85546875" style="40" customWidth="1"/>
    <col min="4068" max="4068" width="1.5703125" style="40" customWidth="1"/>
    <col min="4069" max="4069" width="10.140625" style="40" customWidth="1"/>
    <col min="4070" max="4070" width="2" style="40" customWidth="1"/>
    <col min="4071" max="4071" width="9.7109375" style="40" customWidth="1"/>
    <col min="4072" max="4314" width="9.140625" style="40"/>
    <col min="4315" max="4315" width="4.5703125" style="40" customWidth="1"/>
    <col min="4316" max="4316" width="1" style="40" customWidth="1"/>
    <col min="4317" max="4317" width="18" style="40" customWidth="1"/>
    <col min="4318" max="4318" width="1.85546875" style="40" customWidth="1"/>
    <col min="4319" max="4319" width="12.7109375" style="40" customWidth="1"/>
    <col min="4320" max="4320" width="1.5703125" style="40" customWidth="1"/>
    <col min="4321" max="4321" width="9.5703125" style="40" customWidth="1"/>
    <col min="4322" max="4322" width="1.85546875" style="40" customWidth="1"/>
    <col min="4323" max="4323" width="11.85546875" style="40" customWidth="1"/>
    <col min="4324" max="4324" width="1.5703125" style="40" customWidth="1"/>
    <col min="4325" max="4325" width="10.140625" style="40" customWidth="1"/>
    <col min="4326" max="4326" width="2" style="40" customWidth="1"/>
    <col min="4327" max="4327" width="9.7109375" style="40" customWidth="1"/>
    <col min="4328" max="4570" width="9.140625" style="40"/>
    <col min="4571" max="4571" width="4.5703125" style="40" customWidth="1"/>
    <col min="4572" max="4572" width="1" style="40" customWidth="1"/>
    <col min="4573" max="4573" width="18" style="40" customWidth="1"/>
    <col min="4574" max="4574" width="1.85546875" style="40" customWidth="1"/>
    <col min="4575" max="4575" width="12.7109375" style="40" customWidth="1"/>
    <col min="4576" max="4576" width="1.5703125" style="40" customWidth="1"/>
    <col min="4577" max="4577" width="9.5703125" style="40" customWidth="1"/>
    <col min="4578" max="4578" width="1.85546875" style="40" customWidth="1"/>
    <col min="4579" max="4579" width="11.85546875" style="40" customWidth="1"/>
    <col min="4580" max="4580" width="1.5703125" style="40" customWidth="1"/>
    <col min="4581" max="4581" width="10.140625" style="40" customWidth="1"/>
    <col min="4582" max="4582" width="2" style="40" customWidth="1"/>
    <col min="4583" max="4583" width="9.7109375" style="40" customWidth="1"/>
    <col min="4584" max="4826" width="9.140625" style="40"/>
    <col min="4827" max="4827" width="4.5703125" style="40" customWidth="1"/>
    <col min="4828" max="4828" width="1" style="40" customWidth="1"/>
    <col min="4829" max="4829" width="18" style="40" customWidth="1"/>
    <col min="4830" max="4830" width="1.85546875" style="40" customWidth="1"/>
    <col min="4831" max="4831" width="12.7109375" style="40" customWidth="1"/>
    <col min="4832" max="4832" width="1.5703125" style="40" customWidth="1"/>
    <col min="4833" max="4833" width="9.5703125" style="40" customWidth="1"/>
    <col min="4834" max="4834" width="1.85546875" style="40" customWidth="1"/>
    <col min="4835" max="4835" width="11.85546875" style="40" customWidth="1"/>
    <col min="4836" max="4836" width="1.5703125" style="40" customWidth="1"/>
    <col min="4837" max="4837" width="10.140625" style="40" customWidth="1"/>
    <col min="4838" max="4838" width="2" style="40" customWidth="1"/>
    <col min="4839" max="4839" width="9.7109375" style="40" customWidth="1"/>
    <col min="4840" max="5082" width="9.140625" style="40"/>
    <col min="5083" max="5083" width="4.5703125" style="40" customWidth="1"/>
    <col min="5084" max="5084" width="1" style="40" customWidth="1"/>
    <col min="5085" max="5085" width="18" style="40" customWidth="1"/>
    <col min="5086" max="5086" width="1.85546875" style="40" customWidth="1"/>
    <col min="5087" max="5087" width="12.7109375" style="40" customWidth="1"/>
    <col min="5088" max="5088" width="1.5703125" style="40" customWidth="1"/>
    <col min="5089" max="5089" width="9.5703125" style="40" customWidth="1"/>
    <col min="5090" max="5090" width="1.85546875" style="40" customWidth="1"/>
    <col min="5091" max="5091" width="11.85546875" style="40" customWidth="1"/>
    <col min="5092" max="5092" width="1.5703125" style="40" customWidth="1"/>
    <col min="5093" max="5093" width="10.140625" style="40" customWidth="1"/>
    <col min="5094" max="5094" width="2" style="40" customWidth="1"/>
    <col min="5095" max="5095" width="9.7109375" style="40" customWidth="1"/>
    <col min="5096" max="5338" width="9.140625" style="40"/>
    <col min="5339" max="5339" width="4.5703125" style="40" customWidth="1"/>
    <col min="5340" max="5340" width="1" style="40" customWidth="1"/>
    <col min="5341" max="5341" width="18" style="40" customWidth="1"/>
    <col min="5342" max="5342" width="1.85546875" style="40" customWidth="1"/>
    <col min="5343" max="5343" width="12.7109375" style="40" customWidth="1"/>
    <col min="5344" max="5344" width="1.5703125" style="40" customWidth="1"/>
    <col min="5345" max="5345" width="9.5703125" style="40" customWidth="1"/>
    <col min="5346" max="5346" width="1.85546875" style="40" customWidth="1"/>
    <col min="5347" max="5347" width="11.85546875" style="40" customWidth="1"/>
    <col min="5348" max="5348" width="1.5703125" style="40" customWidth="1"/>
    <col min="5349" max="5349" width="10.140625" style="40" customWidth="1"/>
    <col min="5350" max="5350" width="2" style="40" customWidth="1"/>
    <col min="5351" max="5351" width="9.7109375" style="40" customWidth="1"/>
    <col min="5352" max="5594" width="9.140625" style="40"/>
    <col min="5595" max="5595" width="4.5703125" style="40" customWidth="1"/>
    <col min="5596" max="5596" width="1" style="40" customWidth="1"/>
    <col min="5597" max="5597" width="18" style="40" customWidth="1"/>
    <col min="5598" max="5598" width="1.85546875" style="40" customWidth="1"/>
    <col min="5599" max="5599" width="12.7109375" style="40" customWidth="1"/>
    <col min="5600" max="5600" width="1.5703125" style="40" customWidth="1"/>
    <col min="5601" max="5601" width="9.5703125" style="40" customWidth="1"/>
    <col min="5602" max="5602" width="1.85546875" style="40" customWidth="1"/>
    <col min="5603" max="5603" width="11.85546875" style="40" customWidth="1"/>
    <col min="5604" max="5604" width="1.5703125" style="40" customWidth="1"/>
    <col min="5605" max="5605" width="10.140625" style="40" customWidth="1"/>
    <col min="5606" max="5606" width="2" style="40" customWidth="1"/>
    <col min="5607" max="5607" width="9.7109375" style="40" customWidth="1"/>
    <col min="5608" max="5850" width="9.140625" style="40"/>
    <col min="5851" max="5851" width="4.5703125" style="40" customWidth="1"/>
    <col min="5852" max="5852" width="1" style="40" customWidth="1"/>
    <col min="5853" max="5853" width="18" style="40" customWidth="1"/>
    <col min="5854" max="5854" width="1.85546875" style="40" customWidth="1"/>
    <col min="5855" max="5855" width="12.7109375" style="40" customWidth="1"/>
    <col min="5856" max="5856" width="1.5703125" style="40" customWidth="1"/>
    <col min="5857" max="5857" width="9.5703125" style="40" customWidth="1"/>
    <col min="5858" max="5858" width="1.85546875" style="40" customWidth="1"/>
    <col min="5859" max="5859" width="11.85546875" style="40" customWidth="1"/>
    <col min="5860" max="5860" width="1.5703125" style="40" customWidth="1"/>
    <col min="5861" max="5861" width="10.140625" style="40" customWidth="1"/>
    <col min="5862" max="5862" width="2" style="40" customWidth="1"/>
    <col min="5863" max="5863" width="9.7109375" style="40" customWidth="1"/>
    <col min="5864" max="6106" width="9.140625" style="40"/>
    <col min="6107" max="6107" width="4.5703125" style="40" customWidth="1"/>
    <col min="6108" max="6108" width="1" style="40" customWidth="1"/>
    <col min="6109" max="6109" width="18" style="40" customWidth="1"/>
    <col min="6110" max="6110" width="1.85546875" style="40" customWidth="1"/>
    <col min="6111" max="6111" width="12.7109375" style="40" customWidth="1"/>
    <col min="6112" max="6112" width="1.5703125" style="40" customWidth="1"/>
    <col min="6113" max="6113" width="9.5703125" style="40" customWidth="1"/>
    <col min="6114" max="6114" width="1.85546875" style="40" customWidth="1"/>
    <col min="6115" max="6115" width="11.85546875" style="40" customWidth="1"/>
    <col min="6116" max="6116" width="1.5703125" style="40" customWidth="1"/>
    <col min="6117" max="6117" width="10.140625" style="40" customWidth="1"/>
    <col min="6118" max="6118" width="2" style="40" customWidth="1"/>
    <col min="6119" max="6119" width="9.7109375" style="40" customWidth="1"/>
    <col min="6120" max="6362" width="9.140625" style="40"/>
    <col min="6363" max="6363" width="4.5703125" style="40" customWidth="1"/>
    <col min="6364" max="6364" width="1" style="40" customWidth="1"/>
    <col min="6365" max="6365" width="18" style="40" customWidth="1"/>
    <col min="6366" max="6366" width="1.85546875" style="40" customWidth="1"/>
    <col min="6367" max="6367" width="12.7109375" style="40" customWidth="1"/>
    <col min="6368" max="6368" width="1.5703125" style="40" customWidth="1"/>
    <col min="6369" max="6369" width="9.5703125" style="40" customWidth="1"/>
    <col min="6370" max="6370" width="1.85546875" style="40" customWidth="1"/>
    <col min="6371" max="6371" width="11.85546875" style="40" customWidth="1"/>
    <col min="6372" max="6372" width="1.5703125" style="40" customWidth="1"/>
    <col min="6373" max="6373" width="10.140625" style="40" customWidth="1"/>
    <col min="6374" max="6374" width="2" style="40" customWidth="1"/>
    <col min="6375" max="6375" width="9.7109375" style="40" customWidth="1"/>
    <col min="6376" max="6618" width="9.140625" style="40"/>
    <col min="6619" max="6619" width="4.5703125" style="40" customWidth="1"/>
    <col min="6620" max="6620" width="1" style="40" customWidth="1"/>
    <col min="6621" max="6621" width="18" style="40" customWidth="1"/>
    <col min="6622" max="6622" width="1.85546875" style="40" customWidth="1"/>
    <col min="6623" max="6623" width="12.7109375" style="40" customWidth="1"/>
    <col min="6624" max="6624" width="1.5703125" style="40" customWidth="1"/>
    <col min="6625" max="6625" width="9.5703125" style="40" customWidth="1"/>
    <col min="6626" max="6626" width="1.85546875" style="40" customWidth="1"/>
    <col min="6627" max="6627" width="11.85546875" style="40" customWidth="1"/>
    <col min="6628" max="6628" width="1.5703125" style="40" customWidth="1"/>
    <col min="6629" max="6629" width="10.140625" style="40" customWidth="1"/>
    <col min="6630" max="6630" width="2" style="40" customWidth="1"/>
    <col min="6631" max="6631" width="9.7109375" style="40" customWidth="1"/>
    <col min="6632" max="6874" width="9.140625" style="40"/>
    <col min="6875" max="6875" width="4.5703125" style="40" customWidth="1"/>
    <col min="6876" max="6876" width="1" style="40" customWidth="1"/>
    <col min="6877" max="6877" width="18" style="40" customWidth="1"/>
    <col min="6878" max="6878" width="1.85546875" style="40" customWidth="1"/>
    <col min="6879" max="6879" width="12.7109375" style="40" customWidth="1"/>
    <col min="6880" max="6880" width="1.5703125" style="40" customWidth="1"/>
    <col min="6881" max="6881" width="9.5703125" style="40" customWidth="1"/>
    <col min="6882" max="6882" width="1.85546875" style="40" customWidth="1"/>
    <col min="6883" max="6883" width="11.85546875" style="40" customWidth="1"/>
    <col min="6884" max="6884" width="1.5703125" style="40" customWidth="1"/>
    <col min="6885" max="6885" width="10.140625" style="40" customWidth="1"/>
    <col min="6886" max="6886" width="2" style="40" customWidth="1"/>
    <col min="6887" max="6887" width="9.7109375" style="40" customWidth="1"/>
    <col min="6888" max="7130" width="9.140625" style="40"/>
    <col min="7131" max="7131" width="4.5703125" style="40" customWidth="1"/>
    <col min="7132" max="7132" width="1" style="40" customWidth="1"/>
    <col min="7133" max="7133" width="18" style="40" customWidth="1"/>
    <col min="7134" max="7134" width="1.85546875" style="40" customWidth="1"/>
    <col min="7135" max="7135" width="12.7109375" style="40" customWidth="1"/>
    <col min="7136" max="7136" width="1.5703125" style="40" customWidth="1"/>
    <col min="7137" max="7137" width="9.5703125" style="40" customWidth="1"/>
    <col min="7138" max="7138" width="1.85546875" style="40" customWidth="1"/>
    <col min="7139" max="7139" width="11.85546875" style="40" customWidth="1"/>
    <col min="7140" max="7140" width="1.5703125" style="40" customWidth="1"/>
    <col min="7141" max="7141" width="10.140625" style="40" customWidth="1"/>
    <col min="7142" max="7142" width="2" style="40" customWidth="1"/>
    <col min="7143" max="7143" width="9.7109375" style="40" customWidth="1"/>
    <col min="7144" max="7386" width="9.140625" style="40"/>
    <col min="7387" max="7387" width="4.5703125" style="40" customWidth="1"/>
    <col min="7388" max="7388" width="1" style="40" customWidth="1"/>
    <col min="7389" max="7389" width="18" style="40" customWidth="1"/>
    <col min="7390" max="7390" width="1.85546875" style="40" customWidth="1"/>
    <col min="7391" max="7391" width="12.7109375" style="40" customWidth="1"/>
    <col min="7392" max="7392" width="1.5703125" style="40" customWidth="1"/>
    <col min="7393" max="7393" width="9.5703125" style="40" customWidth="1"/>
    <col min="7394" max="7394" width="1.85546875" style="40" customWidth="1"/>
    <col min="7395" max="7395" width="11.85546875" style="40" customWidth="1"/>
    <col min="7396" max="7396" width="1.5703125" style="40" customWidth="1"/>
    <col min="7397" max="7397" width="10.140625" style="40" customWidth="1"/>
    <col min="7398" max="7398" width="2" style="40" customWidth="1"/>
    <col min="7399" max="7399" width="9.7109375" style="40" customWidth="1"/>
    <col min="7400" max="7642" width="9.140625" style="40"/>
    <col min="7643" max="7643" width="4.5703125" style="40" customWidth="1"/>
    <col min="7644" max="7644" width="1" style="40" customWidth="1"/>
    <col min="7645" max="7645" width="18" style="40" customWidth="1"/>
    <col min="7646" max="7646" width="1.85546875" style="40" customWidth="1"/>
    <col min="7647" max="7647" width="12.7109375" style="40" customWidth="1"/>
    <col min="7648" max="7648" width="1.5703125" style="40" customWidth="1"/>
    <col min="7649" max="7649" width="9.5703125" style="40" customWidth="1"/>
    <col min="7650" max="7650" width="1.85546875" style="40" customWidth="1"/>
    <col min="7651" max="7651" width="11.85546875" style="40" customWidth="1"/>
    <col min="7652" max="7652" width="1.5703125" style="40" customWidth="1"/>
    <col min="7653" max="7653" width="10.140625" style="40" customWidth="1"/>
    <col min="7654" max="7654" width="2" style="40" customWidth="1"/>
    <col min="7655" max="7655" width="9.7109375" style="40" customWidth="1"/>
    <col min="7656" max="7898" width="9.140625" style="40"/>
    <col min="7899" max="7899" width="4.5703125" style="40" customWidth="1"/>
    <col min="7900" max="7900" width="1" style="40" customWidth="1"/>
    <col min="7901" max="7901" width="18" style="40" customWidth="1"/>
    <col min="7902" max="7902" width="1.85546875" style="40" customWidth="1"/>
    <col min="7903" max="7903" width="12.7109375" style="40" customWidth="1"/>
    <col min="7904" max="7904" width="1.5703125" style="40" customWidth="1"/>
    <col min="7905" max="7905" width="9.5703125" style="40" customWidth="1"/>
    <col min="7906" max="7906" width="1.85546875" style="40" customWidth="1"/>
    <col min="7907" max="7907" width="11.85546875" style="40" customWidth="1"/>
    <col min="7908" max="7908" width="1.5703125" style="40" customWidth="1"/>
    <col min="7909" max="7909" width="10.140625" style="40" customWidth="1"/>
    <col min="7910" max="7910" width="2" style="40" customWidth="1"/>
    <col min="7911" max="7911" width="9.7109375" style="40" customWidth="1"/>
    <col min="7912" max="8154" width="9.140625" style="40"/>
    <col min="8155" max="8155" width="4.5703125" style="40" customWidth="1"/>
    <col min="8156" max="8156" width="1" style="40" customWidth="1"/>
    <col min="8157" max="8157" width="18" style="40" customWidth="1"/>
    <col min="8158" max="8158" width="1.85546875" style="40" customWidth="1"/>
    <col min="8159" max="8159" width="12.7109375" style="40" customWidth="1"/>
    <col min="8160" max="8160" width="1.5703125" style="40" customWidth="1"/>
    <col min="8161" max="8161" width="9.5703125" style="40" customWidth="1"/>
    <col min="8162" max="8162" width="1.85546875" style="40" customWidth="1"/>
    <col min="8163" max="8163" width="11.85546875" style="40" customWidth="1"/>
    <col min="8164" max="8164" width="1.5703125" style="40" customWidth="1"/>
    <col min="8165" max="8165" width="10.140625" style="40" customWidth="1"/>
    <col min="8166" max="8166" width="2" style="40" customWidth="1"/>
    <col min="8167" max="8167" width="9.7109375" style="40" customWidth="1"/>
    <col min="8168" max="8410" width="9.140625" style="40"/>
    <col min="8411" max="8411" width="4.5703125" style="40" customWidth="1"/>
    <col min="8412" max="8412" width="1" style="40" customWidth="1"/>
    <col min="8413" max="8413" width="18" style="40" customWidth="1"/>
    <col min="8414" max="8414" width="1.85546875" style="40" customWidth="1"/>
    <col min="8415" max="8415" width="12.7109375" style="40" customWidth="1"/>
    <col min="8416" max="8416" width="1.5703125" style="40" customWidth="1"/>
    <col min="8417" max="8417" width="9.5703125" style="40" customWidth="1"/>
    <col min="8418" max="8418" width="1.85546875" style="40" customWidth="1"/>
    <col min="8419" max="8419" width="11.85546875" style="40" customWidth="1"/>
    <col min="8420" max="8420" width="1.5703125" style="40" customWidth="1"/>
    <col min="8421" max="8421" width="10.140625" style="40" customWidth="1"/>
    <col min="8422" max="8422" width="2" style="40" customWidth="1"/>
    <col min="8423" max="8423" width="9.7109375" style="40" customWidth="1"/>
    <col min="8424" max="8666" width="9.140625" style="40"/>
    <col min="8667" max="8667" width="4.5703125" style="40" customWidth="1"/>
    <col min="8668" max="8668" width="1" style="40" customWidth="1"/>
    <col min="8669" max="8669" width="18" style="40" customWidth="1"/>
    <col min="8670" max="8670" width="1.85546875" style="40" customWidth="1"/>
    <col min="8671" max="8671" width="12.7109375" style="40" customWidth="1"/>
    <col min="8672" max="8672" width="1.5703125" style="40" customWidth="1"/>
    <col min="8673" max="8673" width="9.5703125" style="40" customWidth="1"/>
    <col min="8674" max="8674" width="1.85546875" style="40" customWidth="1"/>
    <col min="8675" max="8675" width="11.85546875" style="40" customWidth="1"/>
    <col min="8676" max="8676" width="1.5703125" style="40" customWidth="1"/>
    <col min="8677" max="8677" width="10.140625" style="40" customWidth="1"/>
    <col min="8678" max="8678" width="2" style="40" customWidth="1"/>
    <col min="8679" max="8679" width="9.7109375" style="40" customWidth="1"/>
    <col min="8680" max="8922" width="9.140625" style="40"/>
    <col min="8923" max="8923" width="4.5703125" style="40" customWidth="1"/>
    <col min="8924" max="8924" width="1" style="40" customWidth="1"/>
    <col min="8925" max="8925" width="18" style="40" customWidth="1"/>
    <col min="8926" max="8926" width="1.85546875" style="40" customWidth="1"/>
    <col min="8927" max="8927" width="12.7109375" style="40" customWidth="1"/>
    <col min="8928" max="8928" width="1.5703125" style="40" customWidth="1"/>
    <col min="8929" max="8929" width="9.5703125" style="40" customWidth="1"/>
    <col min="8930" max="8930" width="1.85546875" style="40" customWidth="1"/>
    <col min="8931" max="8931" width="11.85546875" style="40" customWidth="1"/>
    <col min="8932" max="8932" width="1.5703125" style="40" customWidth="1"/>
    <col min="8933" max="8933" width="10.140625" style="40" customWidth="1"/>
    <col min="8934" max="8934" width="2" style="40" customWidth="1"/>
    <col min="8935" max="8935" width="9.7109375" style="40" customWidth="1"/>
    <col min="8936" max="9178" width="9.140625" style="40"/>
    <col min="9179" max="9179" width="4.5703125" style="40" customWidth="1"/>
    <col min="9180" max="9180" width="1" style="40" customWidth="1"/>
    <col min="9181" max="9181" width="18" style="40" customWidth="1"/>
    <col min="9182" max="9182" width="1.85546875" style="40" customWidth="1"/>
    <col min="9183" max="9183" width="12.7109375" style="40" customWidth="1"/>
    <col min="9184" max="9184" width="1.5703125" style="40" customWidth="1"/>
    <col min="9185" max="9185" width="9.5703125" style="40" customWidth="1"/>
    <col min="9186" max="9186" width="1.85546875" style="40" customWidth="1"/>
    <col min="9187" max="9187" width="11.85546875" style="40" customWidth="1"/>
    <col min="9188" max="9188" width="1.5703125" style="40" customWidth="1"/>
    <col min="9189" max="9189" width="10.140625" style="40" customWidth="1"/>
    <col min="9190" max="9190" width="2" style="40" customWidth="1"/>
    <col min="9191" max="9191" width="9.7109375" style="40" customWidth="1"/>
    <col min="9192" max="9434" width="9.140625" style="40"/>
    <col min="9435" max="9435" width="4.5703125" style="40" customWidth="1"/>
    <col min="9436" max="9436" width="1" style="40" customWidth="1"/>
    <col min="9437" max="9437" width="18" style="40" customWidth="1"/>
    <col min="9438" max="9438" width="1.85546875" style="40" customWidth="1"/>
    <col min="9439" max="9439" width="12.7109375" style="40" customWidth="1"/>
    <col min="9440" max="9440" width="1.5703125" style="40" customWidth="1"/>
    <col min="9441" max="9441" width="9.5703125" style="40" customWidth="1"/>
    <col min="9442" max="9442" width="1.85546875" style="40" customWidth="1"/>
    <col min="9443" max="9443" width="11.85546875" style="40" customWidth="1"/>
    <col min="9444" max="9444" width="1.5703125" style="40" customWidth="1"/>
    <col min="9445" max="9445" width="10.140625" style="40" customWidth="1"/>
    <col min="9446" max="9446" width="2" style="40" customWidth="1"/>
    <col min="9447" max="9447" width="9.7109375" style="40" customWidth="1"/>
    <col min="9448" max="9690" width="9.140625" style="40"/>
    <col min="9691" max="9691" width="4.5703125" style="40" customWidth="1"/>
    <col min="9692" max="9692" width="1" style="40" customWidth="1"/>
    <col min="9693" max="9693" width="18" style="40" customWidth="1"/>
    <col min="9694" max="9694" width="1.85546875" style="40" customWidth="1"/>
    <col min="9695" max="9695" width="12.7109375" style="40" customWidth="1"/>
    <col min="9696" max="9696" width="1.5703125" style="40" customWidth="1"/>
    <col min="9697" max="9697" width="9.5703125" style="40" customWidth="1"/>
    <col min="9698" max="9698" width="1.85546875" style="40" customWidth="1"/>
    <col min="9699" max="9699" width="11.85546875" style="40" customWidth="1"/>
    <col min="9700" max="9700" width="1.5703125" style="40" customWidth="1"/>
    <col min="9701" max="9701" width="10.140625" style="40" customWidth="1"/>
    <col min="9702" max="9702" width="2" style="40" customWidth="1"/>
    <col min="9703" max="9703" width="9.7109375" style="40" customWidth="1"/>
    <col min="9704" max="9946" width="9.140625" style="40"/>
    <col min="9947" max="9947" width="4.5703125" style="40" customWidth="1"/>
    <col min="9948" max="9948" width="1" style="40" customWidth="1"/>
    <col min="9949" max="9949" width="18" style="40" customWidth="1"/>
    <col min="9950" max="9950" width="1.85546875" style="40" customWidth="1"/>
    <col min="9951" max="9951" width="12.7109375" style="40" customWidth="1"/>
    <col min="9952" max="9952" width="1.5703125" style="40" customWidth="1"/>
    <col min="9953" max="9953" width="9.5703125" style="40" customWidth="1"/>
    <col min="9954" max="9954" width="1.85546875" style="40" customWidth="1"/>
    <col min="9955" max="9955" width="11.85546875" style="40" customWidth="1"/>
    <col min="9956" max="9956" width="1.5703125" style="40" customWidth="1"/>
    <col min="9957" max="9957" width="10.140625" style="40" customWidth="1"/>
    <col min="9958" max="9958" width="2" style="40" customWidth="1"/>
    <col min="9959" max="9959" width="9.7109375" style="40" customWidth="1"/>
    <col min="9960" max="10202" width="9.140625" style="40"/>
    <col min="10203" max="10203" width="4.5703125" style="40" customWidth="1"/>
    <col min="10204" max="10204" width="1" style="40" customWidth="1"/>
    <col min="10205" max="10205" width="18" style="40" customWidth="1"/>
    <col min="10206" max="10206" width="1.85546875" style="40" customWidth="1"/>
    <col min="10207" max="10207" width="12.7109375" style="40" customWidth="1"/>
    <col min="10208" max="10208" width="1.5703125" style="40" customWidth="1"/>
    <col min="10209" max="10209" width="9.5703125" style="40" customWidth="1"/>
    <col min="10210" max="10210" width="1.85546875" style="40" customWidth="1"/>
    <col min="10211" max="10211" width="11.85546875" style="40" customWidth="1"/>
    <col min="10212" max="10212" width="1.5703125" style="40" customWidth="1"/>
    <col min="10213" max="10213" width="10.140625" style="40" customWidth="1"/>
    <col min="10214" max="10214" width="2" style="40" customWidth="1"/>
    <col min="10215" max="10215" width="9.7109375" style="40" customWidth="1"/>
    <col min="10216" max="10458" width="9.140625" style="40"/>
    <col min="10459" max="10459" width="4.5703125" style="40" customWidth="1"/>
    <col min="10460" max="10460" width="1" style="40" customWidth="1"/>
    <col min="10461" max="10461" width="18" style="40" customWidth="1"/>
    <col min="10462" max="10462" width="1.85546875" style="40" customWidth="1"/>
    <col min="10463" max="10463" width="12.7109375" style="40" customWidth="1"/>
    <col min="10464" max="10464" width="1.5703125" style="40" customWidth="1"/>
    <col min="10465" max="10465" width="9.5703125" style="40" customWidth="1"/>
    <col min="10466" max="10466" width="1.85546875" style="40" customWidth="1"/>
    <col min="10467" max="10467" width="11.85546875" style="40" customWidth="1"/>
    <col min="10468" max="10468" width="1.5703125" style="40" customWidth="1"/>
    <col min="10469" max="10469" width="10.140625" style="40" customWidth="1"/>
    <col min="10470" max="10470" width="2" style="40" customWidth="1"/>
    <col min="10471" max="10471" width="9.7109375" style="40" customWidth="1"/>
    <col min="10472" max="10714" width="9.140625" style="40"/>
    <col min="10715" max="10715" width="4.5703125" style="40" customWidth="1"/>
    <col min="10716" max="10716" width="1" style="40" customWidth="1"/>
    <col min="10717" max="10717" width="18" style="40" customWidth="1"/>
    <col min="10718" max="10718" width="1.85546875" style="40" customWidth="1"/>
    <col min="10719" max="10719" width="12.7109375" style="40" customWidth="1"/>
    <col min="10720" max="10720" width="1.5703125" style="40" customWidth="1"/>
    <col min="10721" max="10721" width="9.5703125" style="40" customWidth="1"/>
    <col min="10722" max="10722" width="1.85546875" style="40" customWidth="1"/>
    <col min="10723" max="10723" width="11.85546875" style="40" customWidth="1"/>
    <col min="10724" max="10724" width="1.5703125" style="40" customWidth="1"/>
    <col min="10725" max="10725" width="10.140625" style="40" customWidth="1"/>
    <col min="10726" max="10726" width="2" style="40" customWidth="1"/>
    <col min="10727" max="10727" width="9.7109375" style="40" customWidth="1"/>
    <col min="10728" max="10970" width="9.140625" style="40"/>
    <col min="10971" max="10971" width="4.5703125" style="40" customWidth="1"/>
    <col min="10972" max="10972" width="1" style="40" customWidth="1"/>
    <col min="10973" max="10973" width="18" style="40" customWidth="1"/>
    <col min="10974" max="10974" width="1.85546875" style="40" customWidth="1"/>
    <col min="10975" max="10975" width="12.7109375" style="40" customWidth="1"/>
    <col min="10976" max="10976" width="1.5703125" style="40" customWidth="1"/>
    <col min="10977" max="10977" width="9.5703125" style="40" customWidth="1"/>
    <col min="10978" max="10978" width="1.85546875" style="40" customWidth="1"/>
    <col min="10979" max="10979" width="11.85546875" style="40" customWidth="1"/>
    <col min="10980" max="10980" width="1.5703125" style="40" customWidth="1"/>
    <col min="10981" max="10981" width="10.140625" style="40" customWidth="1"/>
    <col min="10982" max="10982" width="2" style="40" customWidth="1"/>
    <col min="10983" max="10983" width="9.7109375" style="40" customWidth="1"/>
    <col min="10984" max="11226" width="9.140625" style="40"/>
    <col min="11227" max="11227" width="4.5703125" style="40" customWidth="1"/>
    <col min="11228" max="11228" width="1" style="40" customWidth="1"/>
    <col min="11229" max="11229" width="18" style="40" customWidth="1"/>
    <col min="11230" max="11230" width="1.85546875" style="40" customWidth="1"/>
    <col min="11231" max="11231" width="12.7109375" style="40" customWidth="1"/>
    <col min="11232" max="11232" width="1.5703125" style="40" customWidth="1"/>
    <col min="11233" max="11233" width="9.5703125" style="40" customWidth="1"/>
    <col min="11234" max="11234" width="1.85546875" style="40" customWidth="1"/>
    <col min="11235" max="11235" width="11.85546875" style="40" customWidth="1"/>
    <col min="11236" max="11236" width="1.5703125" style="40" customWidth="1"/>
    <col min="11237" max="11237" width="10.140625" style="40" customWidth="1"/>
    <col min="11238" max="11238" width="2" style="40" customWidth="1"/>
    <col min="11239" max="11239" width="9.7109375" style="40" customWidth="1"/>
    <col min="11240" max="11482" width="9.140625" style="40"/>
    <col min="11483" max="11483" width="4.5703125" style="40" customWidth="1"/>
    <col min="11484" max="11484" width="1" style="40" customWidth="1"/>
    <col min="11485" max="11485" width="18" style="40" customWidth="1"/>
    <col min="11486" max="11486" width="1.85546875" style="40" customWidth="1"/>
    <col min="11487" max="11487" width="12.7109375" style="40" customWidth="1"/>
    <col min="11488" max="11488" width="1.5703125" style="40" customWidth="1"/>
    <col min="11489" max="11489" width="9.5703125" style="40" customWidth="1"/>
    <col min="11490" max="11490" width="1.85546875" style="40" customWidth="1"/>
    <col min="11491" max="11491" width="11.85546875" style="40" customWidth="1"/>
    <col min="11492" max="11492" width="1.5703125" style="40" customWidth="1"/>
    <col min="11493" max="11493" width="10.140625" style="40" customWidth="1"/>
    <col min="11494" max="11494" width="2" style="40" customWidth="1"/>
    <col min="11495" max="11495" width="9.7109375" style="40" customWidth="1"/>
    <col min="11496" max="11738" width="9.140625" style="40"/>
    <col min="11739" max="11739" width="4.5703125" style="40" customWidth="1"/>
    <col min="11740" max="11740" width="1" style="40" customWidth="1"/>
    <col min="11741" max="11741" width="18" style="40" customWidth="1"/>
    <col min="11742" max="11742" width="1.85546875" style="40" customWidth="1"/>
    <col min="11743" max="11743" width="12.7109375" style="40" customWidth="1"/>
    <col min="11744" max="11744" width="1.5703125" style="40" customWidth="1"/>
    <col min="11745" max="11745" width="9.5703125" style="40" customWidth="1"/>
    <col min="11746" max="11746" width="1.85546875" style="40" customWidth="1"/>
    <col min="11747" max="11747" width="11.85546875" style="40" customWidth="1"/>
    <col min="11748" max="11748" width="1.5703125" style="40" customWidth="1"/>
    <col min="11749" max="11749" width="10.140625" style="40" customWidth="1"/>
    <col min="11750" max="11750" width="2" style="40" customWidth="1"/>
    <col min="11751" max="11751" width="9.7109375" style="40" customWidth="1"/>
    <col min="11752" max="11994" width="9.140625" style="40"/>
    <col min="11995" max="11995" width="4.5703125" style="40" customWidth="1"/>
    <col min="11996" max="11996" width="1" style="40" customWidth="1"/>
    <col min="11997" max="11997" width="18" style="40" customWidth="1"/>
    <col min="11998" max="11998" width="1.85546875" style="40" customWidth="1"/>
    <col min="11999" max="11999" width="12.7109375" style="40" customWidth="1"/>
    <col min="12000" max="12000" width="1.5703125" style="40" customWidth="1"/>
    <col min="12001" max="12001" width="9.5703125" style="40" customWidth="1"/>
    <col min="12002" max="12002" width="1.85546875" style="40" customWidth="1"/>
    <col min="12003" max="12003" width="11.85546875" style="40" customWidth="1"/>
    <col min="12004" max="12004" width="1.5703125" style="40" customWidth="1"/>
    <col min="12005" max="12005" width="10.140625" style="40" customWidth="1"/>
    <col min="12006" max="12006" width="2" style="40" customWidth="1"/>
    <col min="12007" max="12007" width="9.7109375" style="40" customWidth="1"/>
    <col min="12008" max="12250" width="9.140625" style="40"/>
    <col min="12251" max="12251" width="4.5703125" style="40" customWidth="1"/>
    <col min="12252" max="12252" width="1" style="40" customWidth="1"/>
    <col min="12253" max="12253" width="18" style="40" customWidth="1"/>
    <col min="12254" max="12254" width="1.85546875" style="40" customWidth="1"/>
    <col min="12255" max="12255" width="12.7109375" style="40" customWidth="1"/>
    <col min="12256" max="12256" width="1.5703125" style="40" customWidth="1"/>
    <col min="12257" max="12257" width="9.5703125" style="40" customWidth="1"/>
    <col min="12258" max="12258" width="1.85546875" style="40" customWidth="1"/>
    <col min="12259" max="12259" width="11.85546875" style="40" customWidth="1"/>
    <col min="12260" max="12260" width="1.5703125" style="40" customWidth="1"/>
    <col min="12261" max="12261" width="10.140625" style="40" customWidth="1"/>
    <col min="12262" max="12262" width="2" style="40" customWidth="1"/>
    <col min="12263" max="12263" width="9.7109375" style="40" customWidth="1"/>
    <col min="12264" max="12506" width="9.140625" style="40"/>
    <col min="12507" max="12507" width="4.5703125" style="40" customWidth="1"/>
    <col min="12508" max="12508" width="1" style="40" customWidth="1"/>
    <col min="12509" max="12509" width="18" style="40" customWidth="1"/>
    <col min="12510" max="12510" width="1.85546875" style="40" customWidth="1"/>
    <col min="12511" max="12511" width="12.7109375" style="40" customWidth="1"/>
    <col min="12512" max="12512" width="1.5703125" style="40" customWidth="1"/>
    <col min="12513" max="12513" width="9.5703125" style="40" customWidth="1"/>
    <col min="12514" max="12514" width="1.85546875" style="40" customWidth="1"/>
    <col min="12515" max="12515" width="11.85546875" style="40" customWidth="1"/>
    <col min="12516" max="12516" width="1.5703125" style="40" customWidth="1"/>
    <col min="12517" max="12517" width="10.140625" style="40" customWidth="1"/>
    <col min="12518" max="12518" width="2" style="40" customWidth="1"/>
    <col min="12519" max="12519" width="9.7109375" style="40" customWidth="1"/>
    <col min="12520" max="12762" width="9.140625" style="40"/>
    <col min="12763" max="12763" width="4.5703125" style="40" customWidth="1"/>
    <col min="12764" max="12764" width="1" style="40" customWidth="1"/>
    <col min="12765" max="12765" width="18" style="40" customWidth="1"/>
    <col min="12766" max="12766" width="1.85546875" style="40" customWidth="1"/>
    <col min="12767" max="12767" width="12.7109375" style="40" customWidth="1"/>
    <col min="12768" max="12768" width="1.5703125" style="40" customWidth="1"/>
    <col min="12769" max="12769" width="9.5703125" style="40" customWidth="1"/>
    <col min="12770" max="12770" width="1.85546875" style="40" customWidth="1"/>
    <col min="12771" max="12771" width="11.85546875" style="40" customWidth="1"/>
    <col min="12772" max="12772" width="1.5703125" style="40" customWidth="1"/>
    <col min="12773" max="12773" width="10.140625" style="40" customWidth="1"/>
    <col min="12774" max="12774" width="2" style="40" customWidth="1"/>
    <col min="12775" max="12775" width="9.7109375" style="40" customWidth="1"/>
    <col min="12776" max="13018" width="9.140625" style="40"/>
    <col min="13019" max="13019" width="4.5703125" style="40" customWidth="1"/>
    <col min="13020" max="13020" width="1" style="40" customWidth="1"/>
    <col min="13021" max="13021" width="18" style="40" customWidth="1"/>
    <col min="13022" max="13022" width="1.85546875" style="40" customWidth="1"/>
    <col min="13023" max="13023" width="12.7109375" style="40" customWidth="1"/>
    <col min="13024" max="13024" width="1.5703125" style="40" customWidth="1"/>
    <col min="13025" max="13025" width="9.5703125" style="40" customWidth="1"/>
    <col min="13026" max="13026" width="1.85546875" style="40" customWidth="1"/>
    <col min="13027" max="13027" width="11.85546875" style="40" customWidth="1"/>
    <col min="13028" max="13028" width="1.5703125" style="40" customWidth="1"/>
    <col min="13029" max="13029" width="10.140625" style="40" customWidth="1"/>
    <col min="13030" max="13030" width="2" style="40" customWidth="1"/>
    <col min="13031" max="13031" width="9.7109375" style="40" customWidth="1"/>
    <col min="13032" max="13274" width="9.140625" style="40"/>
    <col min="13275" max="13275" width="4.5703125" style="40" customWidth="1"/>
    <col min="13276" max="13276" width="1" style="40" customWidth="1"/>
    <col min="13277" max="13277" width="18" style="40" customWidth="1"/>
    <col min="13278" max="13278" width="1.85546875" style="40" customWidth="1"/>
    <col min="13279" max="13279" width="12.7109375" style="40" customWidth="1"/>
    <col min="13280" max="13280" width="1.5703125" style="40" customWidth="1"/>
    <col min="13281" max="13281" width="9.5703125" style="40" customWidth="1"/>
    <col min="13282" max="13282" width="1.85546875" style="40" customWidth="1"/>
    <col min="13283" max="13283" width="11.85546875" style="40" customWidth="1"/>
    <col min="13284" max="13284" width="1.5703125" style="40" customWidth="1"/>
    <col min="13285" max="13285" width="10.140625" style="40" customWidth="1"/>
    <col min="13286" max="13286" width="2" style="40" customWidth="1"/>
    <col min="13287" max="13287" width="9.7109375" style="40" customWidth="1"/>
    <col min="13288" max="13530" width="9.140625" style="40"/>
    <col min="13531" max="13531" width="4.5703125" style="40" customWidth="1"/>
    <col min="13532" max="13532" width="1" style="40" customWidth="1"/>
    <col min="13533" max="13533" width="18" style="40" customWidth="1"/>
    <col min="13534" max="13534" width="1.85546875" style="40" customWidth="1"/>
    <col min="13535" max="13535" width="12.7109375" style="40" customWidth="1"/>
    <col min="13536" max="13536" width="1.5703125" style="40" customWidth="1"/>
    <col min="13537" max="13537" width="9.5703125" style="40" customWidth="1"/>
    <col min="13538" max="13538" width="1.85546875" style="40" customWidth="1"/>
    <col min="13539" max="13539" width="11.85546875" style="40" customWidth="1"/>
    <col min="13540" max="13540" width="1.5703125" style="40" customWidth="1"/>
    <col min="13541" max="13541" width="10.140625" style="40" customWidth="1"/>
    <col min="13542" max="13542" width="2" style="40" customWidth="1"/>
    <col min="13543" max="13543" width="9.7109375" style="40" customWidth="1"/>
    <col min="13544" max="13786" width="9.140625" style="40"/>
    <col min="13787" max="13787" width="4.5703125" style="40" customWidth="1"/>
    <col min="13788" max="13788" width="1" style="40" customWidth="1"/>
    <col min="13789" max="13789" width="18" style="40" customWidth="1"/>
    <col min="13790" max="13790" width="1.85546875" style="40" customWidth="1"/>
    <col min="13791" max="13791" width="12.7109375" style="40" customWidth="1"/>
    <col min="13792" max="13792" width="1.5703125" style="40" customWidth="1"/>
    <col min="13793" max="13793" width="9.5703125" style="40" customWidth="1"/>
    <col min="13794" max="13794" width="1.85546875" style="40" customWidth="1"/>
    <col min="13795" max="13795" width="11.85546875" style="40" customWidth="1"/>
    <col min="13796" max="13796" width="1.5703125" style="40" customWidth="1"/>
    <col min="13797" max="13797" width="10.140625" style="40" customWidth="1"/>
    <col min="13798" max="13798" width="2" style="40" customWidth="1"/>
    <col min="13799" max="13799" width="9.7109375" style="40" customWidth="1"/>
    <col min="13800" max="14042" width="9.140625" style="40"/>
    <col min="14043" max="14043" width="4.5703125" style="40" customWidth="1"/>
    <col min="14044" max="14044" width="1" style="40" customWidth="1"/>
    <col min="14045" max="14045" width="18" style="40" customWidth="1"/>
    <col min="14046" max="14046" width="1.85546875" style="40" customWidth="1"/>
    <col min="14047" max="14047" width="12.7109375" style="40" customWidth="1"/>
    <col min="14048" max="14048" width="1.5703125" style="40" customWidth="1"/>
    <col min="14049" max="14049" width="9.5703125" style="40" customWidth="1"/>
    <col min="14050" max="14050" width="1.85546875" style="40" customWidth="1"/>
    <col min="14051" max="14051" width="11.85546875" style="40" customWidth="1"/>
    <col min="14052" max="14052" width="1.5703125" style="40" customWidth="1"/>
    <col min="14053" max="14053" width="10.140625" style="40" customWidth="1"/>
    <col min="14054" max="14054" width="2" style="40" customWidth="1"/>
    <col min="14055" max="14055" width="9.7109375" style="40" customWidth="1"/>
    <col min="14056" max="14298" width="9.140625" style="40"/>
    <col min="14299" max="14299" width="4.5703125" style="40" customWidth="1"/>
    <col min="14300" max="14300" width="1" style="40" customWidth="1"/>
    <col min="14301" max="14301" width="18" style="40" customWidth="1"/>
    <col min="14302" max="14302" width="1.85546875" style="40" customWidth="1"/>
    <col min="14303" max="14303" width="12.7109375" style="40" customWidth="1"/>
    <col min="14304" max="14304" width="1.5703125" style="40" customWidth="1"/>
    <col min="14305" max="14305" width="9.5703125" style="40" customWidth="1"/>
    <col min="14306" max="14306" width="1.85546875" style="40" customWidth="1"/>
    <col min="14307" max="14307" width="11.85546875" style="40" customWidth="1"/>
    <col min="14308" max="14308" width="1.5703125" style="40" customWidth="1"/>
    <col min="14309" max="14309" width="10.140625" style="40" customWidth="1"/>
    <col min="14310" max="14310" width="2" style="40" customWidth="1"/>
    <col min="14311" max="14311" width="9.7109375" style="40" customWidth="1"/>
    <col min="14312" max="14554" width="9.140625" style="40"/>
    <col min="14555" max="14555" width="4.5703125" style="40" customWidth="1"/>
    <col min="14556" max="14556" width="1" style="40" customWidth="1"/>
    <col min="14557" max="14557" width="18" style="40" customWidth="1"/>
    <col min="14558" max="14558" width="1.85546875" style="40" customWidth="1"/>
    <col min="14559" max="14559" width="12.7109375" style="40" customWidth="1"/>
    <col min="14560" max="14560" width="1.5703125" style="40" customWidth="1"/>
    <col min="14561" max="14561" width="9.5703125" style="40" customWidth="1"/>
    <col min="14562" max="14562" width="1.85546875" style="40" customWidth="1"/>
    <col min="14563" max="14563" width="11.85546875" style="40" customWidth="1"/>
    <col min="14564" max="14564" width="1.5703125" style="40" customWidth="1"/>
    <col min="14565" max="14565" width="10.140625" style="40" customWidth="1"/>
    <col min="14566" max="14566" width="2" style="40" customWidth="1"/>
    <col min="14567" max="14567" width="9.7109375" style="40" customWidth="1"/>
    <col min="14568" max="14810" width="9.140625" style="40"/>
    <col min="14811" max="14811" width="4.5703125" style="40" customWidth="1"/>
    <col min="14812" max="14812" width="1" style="40" customWidth="1"/>
    <col min="14813" max="14813" width="18" style="40" customWidth="1"/>
    <col min="14814" max="14814" width="1.85546875" style="40" customWidth="1"/>
    <col min="14815" max="14815" width="12.7109375" style="40" customWidth="1"/>
    <col min="14816" max="14816" width="1.5703125" style="40" customWidth="1"/>
    <col min="14817" max="14817" width="9.5703125" style="40" customWidth="1"/>
    <col min="14818" max="14818" width="1.85546875" style="40" customWidth="1"/>
    <col min="14819" max="14819" width="11.85546875" style="40" customWidth="1"/>
    <col min="14820" max="14820" width="1.5703125" style="40" customWidth="1"/>
    <col min="14821" max="14821" width="10.140625" style="40" customWidth="1"/>
    <col min="14822" max="14822" width="2" style="40" customWidth="1"/>
    <col min="14823" max="14823" width="9.7109375" style="40" customWidth="1"/>
    <col min="14824" max="15066" width="9.140625" style="40"/>
    <col min="15067" max="15067" width="4.5703125" style="40" customWidth="1"/>
    <col min="15068" max="15068" width="1" style="40" customWidth="1"/>
    <col min="15069" max="15069" width="18" style="40" customWidth="1"/>
    <col min="15070" max="15070" width="1.85546875" style="40" customWidth="1"/>
    <col min="15071" max="15071" width="12.7109375" style="40" customWidth="1"/>
    <col min="15072" max="15072" width="1.5703125" style="40" customWidth="1"/>
    <col min="15073" max="15073" width="9.5703125" style="40" customWidth="1"/>
    <col min="15074" max="15074" width="1.85546875" style="40" customWidth="1"/>
    <col min="15075" max="15075" width="11.85546875" style="40" customWidth="1"/>
    <col min="15076" max="15076" width="1.5703125" style="40" customWidth="1"/>
    <col min="15077" max="15077" width="10.140625" style="40" customWidth="1"/>
    <col min="15078" max="15078" width="2" style="40" customWidth="1"/>
    <col min="15079" max="15079" width="9.7109375" style="40" customWidth="1"/>
    <col min="15080" max="15322" width="9.140625" style="40"/>
    <col min="15323" max="15323" width="4.5703125" style="40" customWidth="1"/>
    <col min="15324" max="15324" width="1" style="40" customWidth="1"/>
    <col min="15325" max="15325" width="18" style="40" customWidth="1"/>
    <col min="15326" max="15326" width="1.85546875" style="40" customWidth="1"/>
    <col min="15327" max="15327" width="12.7109375" style="40" customWidth="1"/>
    <col min="15328" max="15328" width="1.5703125" style="40" customWidth="1"/>
    <col min="15329" max="15329" width="9.5703125" style="40" customWidth="1"/>
    <col min="15330" max="15330" width="1.85546875" style="40" customWidth="1"/>
    <col min="15331" max="15331" width="11.85546875" style="40" customWidth="1"/>
    <col min="15332" max="15332" width="1.5703125" style="40" customWidth="1"/>
    <col min="15333" max="15333" width="10.140625" style="40" customWidth="1"/>
    <col min="15334" max="15334" width="2" style="40" customWidth="1"/>
    <col min="15335" max="15335" width="9.7109375" style="40" customWidth="1"/>
    <col min="15336" max="15578" width="9.140625" style="40"/>
    <col min="15579" max="15579" width="4.5703125" style="40" customWidth="1"/>
    <col min="15580" max="15580" width="1" style="40" customWidth="1"/>
    <col min="15581" max="15581" width="18" style="40" customWidth="1"/>
    <col min="15582" max="15582" width="1.85546875" style="40" customWidth="1"/>
    <col min="15583" max="15583" width="12.7109375" style="40" customWidth="1"/>
    <col min="15584" max="15584" width="1.5703125" style="40" customWidth="1"/>
    <col min="15585" max="15585" width="9.5703125" style="40" customWidth="1"/>
    <col min="15586" max="15586" width="1.85546875" style="40" customWidth="1"/>
    <col min="15587" max="15587" width="11.85546875" style="40" customWidth="1"/>
    <col min="15588" max="15588" width="1.5703125" style="40" customWidth="1"/>
    <col min="15589" max="15589" width="10.140625" style="40" customWidth="1"/>
    <col min="15590" max="15590" width="2" style="40" customWidth="1"/>
    <col min="15591" max="15591" width="9.7109375" style="40" customWidth="1"/>
    <col min="15592" max="15834" width="9.140625" style="40"/>
    <col min="15835" max="15835" width="4.5703125" style="40" customWidth="1"/>
    <col min="15836" max="15836" width="1" style="40" customWidth="1"/>
    <col min="15837" max="15837" width="18" style="40" customWidth="1"/>
    <col min="15838" max="15838" width="1.85546875" style="40" customWidth="1"/>
    <col min="15839" max="15839" width="12.7109375" style="40" customWidth="1"/>
    <col min="15840" max="15840" width="1.5703125" style="40" customWidth="1"/>
    <col min="15841" max="15841" width="9.5703125" style="40" customWidth="1"/>
    <col min="15842" max="15842" width="1.85546875" style="40" customWidth="1"/>
    <col min="15843" max="15843" width="11.85546875" style="40" customWidth="1"/>
    <col min="15844" max="15844" width="1.5703125" style="40" customWidth="1"/>
    <col min="15845" max="15845" width="10.140625" style="40" customWidth="1"/>
    <col min="15846" max="15846" width="2" style="40" customWidth="1"/>
    <col min="15847" max="15847" width="9.7109375" style="40" customWidth="1"/>
    <col min="15848" max="16090" width="9.140625" style="40"/>
    <col min="16091" max="16091" width="4.5703125" style="40" customWidth="1"/>
    <col min="16092" max="16092" width="1" style="40" customWidth="1"/>
    <col min="16093" max="16093" width="18" style="40" customWidth="1"/>
    <col min="16094" max="16094" width="1.85546875" style="40" customWidth="1"/>
    <col min="16095" max="16095" width="12.7109375" style="40" customWidth="1"/>
    <col min="16096" max="16096" width="1.5703125" style="40" customWidth="1"/>
    <col min="16097" max="16097" width="9.5703125" style="40" customWidth="1"/>
    <col min="16098" max="16098" width="1.85546875" style="40" customWidth="1"/>
    <col min="16099" max="16099" width="11.85546875" style="40" customWidth="1"/>
    <col min="16100" max="16100" width="1.5703125" style="40" customWidth="1"/>
    <col min="16101" max="16101" width="10.140625" style="40" customWidth="1"/>
    <col min="16102" max="16102" width="2" style="40" customWidth="1"/>
    <col min="16103" max="16103" width="9.7109375" style="40" customWidth="1"/>
    <col min="16104" max="16384" width="9.140625" style="40"/>
  </cols>
  <sheetData>
    <row r="6" spans="2:25" ht="15" customHeight="1" x14ac:dyDescent="0.2">
      <c r="B6" s="179" t="s">
        <v>566</v>
      </c>
      <c r="C6" s="179"/>
      <c r="D6" s="179"/>
      <c r="E6" s="179"/>
      <c r="F6" s="179"/>
      <c r="G6" s="179"/>
      <c r="H6" s="179"/>
      <c r="I6" s="179"/>
      <c r="J6" s="179"/>
      <c r="K6" s="179"/>
      <c r="L6" s="179"/>
      <c r="M6" s="176"/>
      <c r="N6" s="176"/>
      <c r="O6" s="176"/>
      <c r="P6" s="176"/>
      <c r="Q6" s="176"/>
      <c r="R6" s="176"/>
    </row>
    <row r="7" spans="2:25" ht="15" customHeight="1" x14ac:dyDescent="0.2">
      <c r="B7" s="177" t="s">
        <v>567</v>
      </c>
      <c r="C7" s="255"/>
      <c r="D7" s="255"/>
      <c r="E7" s="255"/>
      <c r="F7" s="255"/>
      <c r="G7" s="255"/>
      <c r="H7" s="255"/>
      <c r="I7" s="255"/>
      <c r="J7" s="176"/>
      <c r="K7" s="176"/>
      <c r="L7" s="255"/>
      <c r="M7" s="176"/>
      <c r="N7" s="176"/>
      <c r="O7" s="176"/>
      <c r="P7" s="176"/>
      <c r="Q7" s="176"/>
      <c r="R7" s="176"/>
    </row>
    <row r="8" spans="2:25" ht="15" customHeight="1" x14ac:dyDescent="0.2">
      <c r="B8" s="255"/>
      <c r="C8" s="255"/>
      <c r="D8" s="255"/>
      <c r="E8" s="255"/>
      <c r="F8" s="255"/>
      <c r="G8" s="255"/>
      <c r="H8" s="181"/>
      <c r="I8" s="181"/>
      <c r="J8" s="176"/>
      <c r="L8" s="255"/>
      <c r="U8" s="38"/>
      <c r="V8" s="38"/>
      <c r="W8" s="38"/>
      <c r="X8" s="38"/>
      <c r="Y8" s="38"/>
    </row>
    <row r="9" spans="2:25" ht="15" customHeight="1" x14ac:dyDescent="0.2">
      <c r="B9" s="255"/>
      <c r="C9" s="255"/>
      <c r="D9" s="255"/>
      <c r="E9" s="255"/>
      <c r="F9" s="255"/>
      <c r="G9" s="255"/>
      <c r="J9" s="74"/>
      <c r="K9" s="181"/>
      <c r="N9" s="74"/>
      <c r="P9" s="506" t="s">
        <v>568</v>
      </c>
      <c r="Q9" s="506"/>
      <c r="R9" s="506"/>
    </row>
    <row r="10" spans="2:25" s="486" customFormat="1" ht="15" customHeight="1" x14ac:dyDescent="0.2">
      <c r="B10" s="268" t="s">
        <v>0</v>
      </c>
      <c r="C10" s="268"/>
      <c r="D10" s="356" t="s">
        <v>170</v>
      </c>
      <c r="E10" s="268"/>
      <c r="F10" s="268"/>
      <c r="G10" s="268"/>
      <c r="J10" s="45" t="s">
        <v>88</v>
      </c>
      <c r="K10" s="255"/>
      <c r="L10" s="45" t="s">
        <v>170</v>
      </c>
      <c r="N10" s="74" t="s">
        <v>39</v>
      </c>
      <c r="P10" s="507"/>
      <c r="Q10" s="507"/>
      <c r="R10" s="507"/>
    </row>
    <row r="11" spans="2:25" ht="15" customHeight="1" x14ac:dyDescent="0.2">
      <c r="B11" s="256" t="s">
        <v>1</v>
      </c>
      <c r="C11" s="46"/>
      <c r="D11" s="257" t="s">
        <v>569</v>
      </c>
      <c r="E11" s="45"/>
      <c r="F11" s="357" t="s">
        <v>9</v>
      </c>
      <c r="G11" s="45"/>
      <c r="H11" s="358" t="s">
        <v>21</v>
      </c>
      <c r="J11" s="487" t="s">
        <v>89</v>
      </c>
      <c r="K11" s="268"/>
      <c r="L11" s="487" t="s">
        <v>14</v>
      </c>
      <c r="N11" s="487" t="s">
        <v>31</v>
      </c>
      <c r="P11" s="487" t="s">
        <v>168</v>
      </c>
      <c r="Q11" s="486"/>
      <c r="R11" s="487" t="s">
        <v>169</v>
      </c>
    </row>
    <row r="12" spans="2:25" ht="15" customHeight="1" x14ac:dyDescent="0.2">
      <c r="B12" s="45"/>
      <c r="C12" s="46"/>
      <c r="D12" s="46"/>
      <c r="E12" s="45"/>
      <c r="F12" s="45"/>
      <c r="G12" s="45"/>
      <c r="J12" s="45" t="s">
        <v>90</v>
      </c>
      <c r="K12" s="45"/>
      <c r="L12" s="45" t="s">
        <v>826</v>
      </c>
      <c r="N12" s="45" t="s">
        <v>86</v>
      </c>
      <c r="P12" s="45" t="s">
        <v>133</v>
      </c>
      <c r="Q12" s="45"/>
      <c r="R12" s="45" t="s">
        <v>32</v>
      </c>
    </row>
    <row r="13" spans="2:25" ht="15" customHeight="1" x14ac:dyDescent="0.2">
      <c r="B13" s="45"/>
      <c r="C13" s="46"/>
      <c r="D13" s="46"/>
      <c r="E13" s="45"/>
      <c r="F13" s="45"/>
      <c r="G13" s="45"/>
      <c r="J13" s="45"/>
      <c r="K13" s="45"/>
      <c r="L13" s="45"/>
    </row>
    <row r="14" spans="2:25" ht="15" customHeight="1" x14ac:dyDescent="0.2">
      <c r="B14" s="45"/>
      <c r="C14" s="46"/>
      <c r="D14" s="40" t="s">
        <v>49</v>
      </c>
      <c r="E14" s="45"/>
      <c r="F14" s="45"/>
      <c r="G14" s="45"/>
      <c r="J14" s="45"/>
      <c r="K14" s="45"/>
      <c r="L14" s="45"/>
    </row>
    <row r="15" spans="2:25" ht="15" customHeight="1" x14ac:dyDescent="0.2">
      <c r="B15" s="45">
        <v>1</v>
      </c>
      <c r="C15" s="46"/>
      <c r="E15" s="45"/>
      <c r="F15" s="86" t="s">
        <v>41</v>
      </c>
      <c r="G15" s="45"/>
      <c r="H15" s="224" t="s">
        <v>163</v>
      </c>
      <c r="J15" s="359"/>
      <c r="K15" s="360"/>
      <c r="N15" s="471">
        <v>28.37</v>
      </c>
      <c r="P15" s="471">
        <v>28.374384810331698</v>
      </c>
      <c r="Q15" s="163"/>
      <c r="R15" s="471">
        <v>0</v>
      </c>
    </row>
    <row r="16" spans="2:25" ht="15" customHeight="1" x14ac:dyDescent="0.2">
      <c r="B16" s="45">
        <f>MAX(B$15:B15)+1</f>
        <v>2</v>
      </c>
      <c r="C16" s="46"/>
      <c r="E16" s="45"/>
      <c r="F16" s="20" t="s">
        <v>91</v>
      </c>
      <c r="G16" s="45"/>
      <c r="H16" s="224" t="s">
        <v>164</v>
      </c>
      <c r="J16" s="54"/>
      <c r="K16" s="360"/>
      <c r="N16" s="170">
        <v>0.39369999999999999</v>
      </c>
      <c r="P16" s="170">
        <v>0</v>
      </c>
      <c r="Q16" s="163"/>
      <c r="R16" s="170">
        <v>0.39368900562195763</v>
      </c>
    </row>
    <row r="17" spans="2:18" ht="15" customHeight="1" x14ac:dyDescent="0.2">
      <c r="B17" s="45">
        <f>MAX(B$15:B16)+1</f>
        <v>3</v>
      </c>
      <c r="C17" s="46"/>
      <c r="E17" s="45"/>
      <c r="F17" s="86" t="s">
        <v>876</v>
      </c>
      <c r="G17" s="45"/>
      <c r="H17" s="224" t="s">
        <v>165</v>
      </c>
      <c r="J17" s="54"/>
      <c r="K17" s="360"/>
      <c r="N17" s="170">
        <v>68.338499999999996</v>
      </c>
      <c r="P17" s="170">
        <v>67.271899220793728</v>
      </c>
      <c r="Q17" s="163"/>
      <c r="R17" s="170">
        <v>1.0665675519568045</v>
      </c>
    </row>
    <row r="18" spans="2:18" ht="15" customHeight="1" x14ac:dyDescent="0.2">
      <c r="B18" s="45">
        <f>MAX(B$15:B17)+1</f>
        <v>4</v>
      </c>
      <c r="C18" s="46"/>
      <c r="D18" s="38"/>
      <c r="E18" s="45"/>
      <c r="F18" s="86" t="s">
        <v>43</v>
      </c>
      <c r="G18" s="45"/>
      <c r="H18" s="224" t="s">
        <v>164</v>
      </c>
      <c r="J18" s="54"/>
      <c r="K18" s="360"/>
      <c r="N18" s="170">
        <v>1.8809</v>
      </c>
      <c r="P18" s="170">
        <v>-8.5048856329051487E-2</v>
      </c>
      <c r="Q18" s="163"/>
      <c r="R18" s="170">
        <v>1.9659759531153582</v>
      </c>
    </row>
    <row r="19" spans="2:18" ht="15" customHeight="1" x14ac:dyDescent="0.2">
      <c r="B19" s="45">
        <f>MAX(B$15:B18)+1</f>
        <v>5</v>
      </c>
      <c r="C19" s="46"/>
      <c r="E19" s="45"/>
      <c r="F19" s="86" t="s">
        <v>93</v>
      </c>
      <c r="G19" s="45"/>
      <c r="H19" s="224" t="s">
        <v>164</v>
      </c>
      <c r="J19" s="54"/>
      <c r="K19" s="360"/>
      <c r="N19" s="170">
        <v>3.7429000000000001</v>
      </c>
      <c r="P19" s="170">
        <v>-8.5048856329051487E-2</v>
      </c>
      <c r="Q19" s="163"/>
      <c r="R19" s="170">
        <v>3.8279428586083677</v>
      </c>
    </row>
    <row r="20" spans="2:18" ht="15" customHeight="1" x14ac:dyDescent="0.2">
      <c r="B20" s="45">
        <f>MAX(B$15:B19)+1</f>
        <v>6</v>
      </c>
      <c r="C20" s="46"/>
      <c r="E20" s="45"/>
      <c r="F20" s="86" t="s">
        <v>92</v>
      </c>
      <c r="G20" s="45"/>
      <c r="H20" s="224" t="s">
        <v>164</v>
      </c>
      <c r="J20" s="54"/>
      <c r="K20" s="360"/>
      <c r="N20" s="170">
        <v>20.903400000000001</v>
      </c>
      <c r="P20" s="170">
        <v>0.15408160302150489</v>
      </c>
      <c r="Q20" s="163"/>
      <c r="R20" s="170">
        <v>20.749320578059301</v>
      </c>
    </row>
    <row r="21" spans="2:18" ht="15" customHeight="1" x14ac:dyDescent="0.2">
      <c r="B21" s="45"/>
      <c r="C21" s="46"/>
      <c r="E21" s="45"/>
      <c r="N21" s="163"/>
      <c r="P21" s="163"/>
      <c r="Q21" s="163"/>
      <c r="R21" s="163"/>
    </row>
    <row r="22" spans="2:18" ht="15" customHeight="1" x14ac:dyDescent="0.2">
      <c r="B22" s="45"/>
      <c r="C22" s="46"/>
      <c r="D22" s="40" t="s">
        <v>50</v>
      </c>
      <c r="E22" s="223"/>
      <c r="F22" s="223"/>
      <c r="G22" s="223"/>
      <c r="H22" s="223"/>
      <c r="I22" s="360"/>
      <c r="J22" s="54"/>
      <c r="L22" s="54"/>
      <c r="N22" s="163"/>
      <c r="P22" s="163"/>
      <c r="Q22" s="163"/>
      <c r="R22" s="163"/>
    </row>
    <row r="23" spans="2:18" ht="15" customHeight="1" x14ac:dyDescent="0.2">
      <c r="B23" s="45">
        <f>MAX(B$15:B22)+1</f>
        <v>7</v>
      </c>
      <c r="C23" s="46"/>
      <c r="E23" s="223"/>
      <c r="F23" s="86" t="s">
        <v>41</v>
      </c>
      <c r="G23" s="223"/>
      <c r="H23" s="224" t="s">
        <v>163</v>
      </c>
      <c r="I23" s="45"/>
      <c r="J23" s="45"/>
      <c r="K23" s="45"/>
      <c r="L23" s="45"/>
      <c r="N23" s="471">
        <v>28.37</v>
      </c>
      <c r="P23" s="471">
        <v>28.374384810331698</v>
      </c>
      <c r="Q23" s="163"/>
      <c r="R23" s="471">
        <v>0</v>
      </c>
    </row>
    <row r="24" spans="2:18" ht="15" customHeight="1" x14ac:dyDescent="0.2">
      <c r="B24" s="45">
        <f>MAX(B$15:B23)+1</f>
        <v>8</v>
      </c>
      <c r="E24" s="223"/>
      <c r="F24" s="20" t="s">
        <v>91</v>
      </c>
      <c r="G24" s="223"/>
      <c r="H24" s="224" t="s">
        <v>164</v>
      </c>
      <c r="I24" s="360"/>
      <c r="J24" s="54"/>
      <c r="L24" s="54"/>
      <c r="N24" s="170">
        <v>0.38429999999999997</v>
      </c>
      <c r="P24" s="170">
        <v>0</v>
      </c>
      <c r="Q24" s="163"/>
      <c r="R24" s="170">
        <v>0.38428520881731681</v>
      </c>
    </row>
    <row r="25" spans="2:18" ht="15" customHeight="1" x14ac:dyDescent="0.2">
      <c r="B25" s="45">
        <f>MAX(B$15:B24)+1</f>
        <v>9</v>
      </c>
      <c r="E25" s="223"/>
      <c r="F25" s="86" t="s">
        <v>876</v>
      </c>
      <c r="G25" s="223"/>
      <c r="H25" s="224" t="s">
        <v>165</v>
      </c>
      <c r="I25" s="360"/>
      <c r="J25" s="54"/>
      <c r="L25" s="54"/>
      <c r="N25" s="170">
        <v>74.880600000000001</v>
      </c>
      <c r="P25" s="170">
        <v>73.8403195071932</v>
      </c>
      <c r="Q25" s="163"/>
      <c r="R25" s="170">
        <v>1.0402495906832565</v>
      </c>
    </row>
    <row r="26" spans="2:18" ht="15" customHeight="1" x14ac:dyDescent="0.2">
      <c r="B26" s="45">
        <f>MAX(B$15:B25)+1</f>
        <v>10</v>
      </c>
      <c r="F26" s="86" t="s">
        <v>43</v>
      </c>
      <c r="H26" s="224" t="s">
        <v>164</v>
      </c>
      <c r="N26" s="170">
        <v>1.8119000000000001</v>
      </c>
      <c r="P26" s="170">
        <v>-8.1760318081675123E-2</v>
      </c>
      <c r="Q26" s="163"/>
      <c r="R26" s="170">
        <v>1.8936535207876786</v>
      </c>
    </row>
    <row r="27" spans="2:18" ht="15" customHeight="1" x14ac:dyDescent="0.2">
      <c r="B27" s="45">
        <f>MAX(B$15:B26)+1</f>
        <v>11</v>
      </c>
      <c r="F27" s="86" t="s">
        <v>93</v>
      </c>
      <c r="G27" s="223"/>
      <c r="H27" s="224" t="s">
        <v>164</v>
      </c>
      <c r="I27" s="360"/>
      <c r="J27" s="54"/>
      <c r="L27" s="54"/>
      <c r="N27" s="170">
        <v>3.6739000000000002</v>
      </c>
      <c r="P27" s="170">
        <v>-8.1760318081675123E-2</v>
      </c>
      <c r="Q27" s="163"/>
      <c r="R27" s="170">
        <v>3.7556204262806876</v>
      </c>
    </row>
    <row r="28" spans="2:18" ht="15" customHeight="1" x14ac:dyDescent="0.2">
      <c r="B28" s="45">
        <f>MAX(B$15:B27)+1</f>
        <v>12</v>
      </c>
      <c r="C28" s="46"/>
      <c r="E28" s="223"/>
      <c r="F28" s="86" t="s">
        <v>92</v>
      </c>
      <c r="G28" s="223"/>
      <c r="H28" s="224" t="s">
        <v>164</v>
      </c>
      <c r="I28" s="360"/>
      <c r="J28" s="54"/>
      <c r="L28" s="54"/>
      <c r="N28" s="170">
        <v>20.903400000000001</v>
      </c>
      <c r="P28" s="170">
        <v>0.15408160302150489</v>
      </c>
      <c r="Q28" s="163"/>
      <c r="R28" s="170">
        <v>20.749320578059301</v>
      </c>
    </row>
    <row r="29" spans="2:18" ht="15" customHeight="1" x14ac:dyDescent="0.2">
      <c r="B29" s="45"/>
      <c r="C29" s="46"/>
      <c r="E29" s="223"/>
      <c r="N29" s="163"/>
      <c r="P29" s="163"/>
      <c r="Q29" s="163"/>
      <c r="R29" s="163"/>
    </row>
    <row r="30" spans="2:18" ht="15" customHeight="1" x14ac:dyDescent="0.2">
      <c r="B30" s="45"/>
      <c r="C30" s="46"/>
      <c r="D30" s="40" t="s">
        <v>51</v>
      </c>
      <c r="E30" s="223"/>
      <c r="F30" s="223"/>
      <c r="G30" s="223"/>
      <c r="H30" s="223"/>
      <c r="I30" s="45"/>
      <c r="J30" s="45"/>
      <c r="K30" s="45"/>
      <c r="L30" s="45"/>
      <c r="N30" s="163"/>
      <c r="P30" s="163"/>
      <c r="Q30" s="163"/>
      <c r="R30" s="163"/>
    </row>
    <row r="31" spans="2:18" ht="15" customHeight="1" x14ac:dyDescent="0.2">
      <c r="B31" s="45">
        <f>MAX(B$15:B30)+1</f>
        <v>13</v>
      </c>
      <c r="E31" s="223"/>
      <c r="F31" s="86" t="s">
        <v>41</v>
      </c>
      <c r="G31" s="223"/>
      <c r="H31" s="224" t="s">
        <v>163</v>
      </c>
      <c r="I31" s="360"/>
      <c r="J31" s="53"/>
      <c r="L31" s="359"/>
      <c r="N31" s="471">
        <v>500</v>
      </c>
      <c r="P31" s="471">
        <v>500</v>
      </c>
      <c r="Q31" s="163"/>
      <c r="R31" s="471">
        <v>0</v>
      </c>
    </row>
    <row r="32" spans="2:18" ht="15" customHeight="1" x14ac:dyDescent="0.2">
      <c r="B32" s="45">
        <f>MAX(B$15:B31)+1</f>
        <v>14</v>
      </c>
      <c r="E32" s="223"/>
      <c r="F32" s="20" t="s">
        <v>91</v>
      </c>
      <c r="G32" s="223"/>
      <c r="H32" s="224" t="s">
        <v>164</v>
      </c>
      <c r="I32" s="360"/>
      <c r="J32" s="54"/>
      <c r="K32" s="45"/>
      <c r="L32" s="54"/>
      <c r="N32" s="170">
        <v>0.31979999999999997</v>
      </c>
      <c r="P32" s="170">
        <v>0</v>
      </c>
      <c r="Q32" s="163"/>
      <c r="R32" s="170">
        <v>0.31976264910718183</v>
      </c>
    </row>
    <row r="33" spans="2:18" ht="15" customHeight="1" x14ac:dyDescent="0.2">
      <c r="B33" s="45"/>
      <c r="C33" s="46"/>
      <c r="E33" s="223"/>
      <c r="F33" s="86" t="s">
        <v>876</v>
      </c>
      <c r="G33" s="223"/>
      <c r="H33" s="223"/>
      <c r="I33" s="360"/>
      <c r="J33" s="54"/>
      <c r="L33" s="54"/>
      <c r="N33" s="163"/>
      <c r="P33" s="163"/>
      <c r="Q33" s="163"/>
      <c r="R33" s="163"/>
    </row>
    <row r="34" spans="2:18" ht="15" customHeight="1" x14ac:dyDescent="0.2">
      <c r="B34" s="45">
        <f>MAX(B$15:B33)+1</f>
        <v>15</v>
      </c>
      <c r="C34" s="46"/>
      <c r="E34" s="223"/>
      <c r="F34" s="39" t="s">
        <v>66</v>
      </c>
      <c r="G34" s="223"/>
      <c r="H34" s="224" t="s">
        <v>165</v>
      </c>
      <c r="I34" s="360"/>
      <c r="J34" s="54"/>
      <c r="L34" s="54"/>
      <c r="N34" s="170">
        <v>61.630299999999998</v>
      </c>
      <c r="P34" s="170">
        <v>60.802621530666002</v>
      </c>
      <c r="Q34" s="163"/>
      <c r="R34" s="170">
        <v>0.82766288296472545</v>
      </c>
    </row>
    <row r="35" spans="2:18" ht="15" customHeight="1" x14ac:dyDescent="0.2">
      <c r="B35" s="45">
        <f>MAX(B$15:B34)+1</f>
        <v>16</v>
      </c>
      <c r="C35" s="46"/>
      <c r="E35" s="223"/>
      <c r="F35" s="39" t="s">
        <v>67</v>
      </c>
      <c r="G35" s="223"/>
      <c r="H35" s="224" t="s">
        <v>165</v>
      </c>
      <c r="I35" s="360"/>
      <c r="J35" s="54"/>
      <c r="L35" s="54"/>
      <c r="N35" s="170">
        <v>41.893599999999999</v>
      </c>
      <c r="P35" s="170">
        <v>41.065971776736141</v>
      </c>
      <c r="Q35" s="163"/>
      <c r="R35" s="170">
        <v>0.82766288296472534</v>
      </c>
    </row>
    <row r="36" spans="2:18" ht="15" customHeight="1" x14ac:dyDescent="0.2">
      <c r="B36" s="45">
        <f>MAX(B$15:B35)+1</f>
        <v>17</v>
      </c>
      <c r="C36" s="46"/>
      <c r="E36" s="223"/>
      <c r="F36" s="86" t="s">
        <v>43</v>
      </c>
      <c r="G36" s="223"/>
      <c r="H36" s="224" t="s">
        <v>164</v>
      </c>
      <c r="I36" s="360"/>
      <c r="J36" s="54"/>
      <c r="L36" s="54"/>
      <c r="N36" s="170">
        <v>1.3285</v>
      </c>
      <c r="P36" s="170">
        <v>-5.8730833876107912E-2</v>
      </c>
      <c r="Q36" s="163"/>
      <c r="R36" s="170">
        <v>1.3871828071423984</v>
      </c>
    </row>
    <row r="37" spans="2:18" ht="15" customHeight="1" x14ac:dyDescent="0.2">
      <c r="B37" s="45">
        <f>MAX(B$15:B36)+1</f>
        <v>18</v>
      </c>
      <c r="C37" s="46"/>
      <c r="E37" s="223"/>
      <c r="F37" s="86" t="s">
        <v>93</v>
      </c>
      <c r="G37" s="223"/>
      <c r="H37" s="224" t="s">
        <v>164</v>
      </c>
      <c r="I37" s="360"/>
      <c r="J37" s="54"/>
      <c r="L37" s="54"/>
      <c r="N37" s="170">
        <v>3.1903999999999999</v>
      </c>
      <c r="P37" s="170">
        <v>-5.8730833876107912E-2</v>
      </c>
      <c r="Q37" s="163"/>
      <c r="R37" s="170">
        <v>3.2491497126354076</v>
      </c>
    </row>
    <row r="38" spans="2:18" ht="15" customHeight="1" x14ac:dyDescent="0.2">
      <c r="B38" s="45">
        <f>MAX(B$15:B37)+1</f>
        <v>19</v>
      </c>
      <c r="C38" s="46"/>
      <c r="E38" s="223"/>
      <c r="F38" s="86" t="s">
        <v>92</v>
      </c>
      <c r="G38" s="223"/>
      <c r="H38" s="224" t="s">
        <v>164</v>
      </c>
      <c r="N38" s="170">
        <v>20.903400000000001</v>
      </c>
      <c r="P38" s="170">
        <v>0.15408160302150489</v>
      </c>
      <c r="Q38" s="163"/>
      <c r="R38" s="170">
        <v>20.749320578059301</v>
      </c>
    </row>
    <row r="39" spans="2:18" ht="15" customHeight="1" x14ac:dyDescent="0.2">
      <c r="B39" s="45"/>
      <c r="C39" s="46"/>
      <c r="N39" s="163"/>
      <c r="P39" s="163"/>
      <c r="Q39" s="163"/>
      <c r="R39" s="163"/>
    </row>
    <row r="40" spans="2:18" ht="15" customHeight="1" x14ac:dyDescent="0.2">
      <c r="B40" s="45"/>
      <c r="C40" s="46"/>
      <c r="D40" s="40" t="s">
        <v>52</v>
      </c>
      <c r="E40" s="223"/>
      <c r="F40" s="223"/>
      <c r="G40" s="223"/>
      <c r="H40" s="223"/>
      <c r="N40" s="163"/>
      <c r="P40" s="163"/>
      <c r="Q40" s="163"/>
      <c r="R40" s="163"/>
    </row>
    <row r="41" spans="2:18" ht="15" customHeight="1" x14ac:dyDescent="0.2">
      <c r="B41" s="45">
        <f>MAX(B$15:B40)+1</f>
        <v>20</v>
      </c>
      <c r="C41" s="46"/>
      <c r="E41" s="223"/>
      <c r="F41" s="86" t="s">
        <v>41</v>
      </c>
      <c r="G41" s="223"/>
      <c r="H41" s="224" t="s">
        <v>163</v>
      </c>
      <c r="N41" s="471">
        <v>3000</v>
      </c>
      <c r="P41" s="471">
        <v>3000</v>
      </c>
      <c r="Q41" s="163"/>
      <c r="R41" s="471">
        <v>0</v>
      </c>
    </row>
    <row r="42" spans="2:18" ht="15" customHeight="1" x14ac:dyDescent="0.2">
      <c r="B42" s="45"/>
      <c r="C42" s="46"/>
      <c r="E42" s="223"/>
      <c r="F42" s="86" t="s">
        <v>154</v>
      </c>
      <c r="G42" s="223"/>
      <c r="H42" s="223"/>
      <c r="N42" s="163"/>
      <c r="P42" s="163"/>
      <c r="Q42" s="163"/>
      <c r="R42" s="163"/>
    </row>
    <row r="43" spans="2:18" ht="15" customHeight="1" x14ac:dyDescent="0.2">
      <c r="B43" s="45">
        <f>MAX(B$15:B42)+1</f>
        <v>21</v>
      </c>
      <c r="C43" s="46"/>
      <c r="E43" s="223"/>
      <c r="F43" s="39" t="s">
        <v>161</v>
      </c>
      <c r="G43" s="223"/>
      <c r="H43" s="224" t="s">
        <v>164</v>
      </c>
      <c r="N43" s="170">
        <v>0</v>
      </c>
      <c r="P43" s="170">
        <v>0</v>
      </c>
      <c r="Q43" s="163"/>
      <c r="R43" s="170">
        <v>0</v>
      </c>
    </row>
    <row r="44" spans="2:18" ht="15" customHeight="1" x14ac:dyDescent="0.2">
      <c r="B44" s="45">
        <f>MAX(B$15:B43)+1</f>
        <v>22</v>
      </c>
      <c r="C44" s="46"/>
      <c r="E44" s="223"/>
      <c r="F44" s="39" t="s">
        <v>822</v>
      </c>
      <c r="G44" s="223"/>
      <c r="H44" s="224" t="s">
        <v>879</v>
      </c>
      <c r="N44" s="362">
        <v>8.0300000000000007E-3</v>
      </c>
      <c r="P44" s="170">
        <v>0</v>
      </c>
      <c r="Q44" s="163"/>
      <c r="R44" s="362">
        <v>8.0300000000000007E-3</v>
      </c>
    </row>
    <row r="45" spans="2:18" ht="15" customHeight="1" x14ac:dyDescent="0.2">
      <c r="B45" s="45"/>
      <c r="E45" s="223"/>
      <c r="F45" s="39" t="s">
        <v>145</v>
      </c>
      <c r="G45" s="223"/>
      <c r="H45" s="223"/>
      <c r="N45" s="163"/>
      <c r="P45" s="163"/>
      <c r="Q45" s="163"/>
      <c r="R45" s="163"/>
    </row>
    <row r="46" spans="2:18" ht="15" customHeight="1" x14ac:dyDescent="0.2">
      <c r="B46" s="45">
        <f>MAX(B$15:B45)+1</f>
        <v>23</v>
      </c>
      <c r="C46" s="46"/>
      <c r="E46" s="223"/>
      <c r="F46" s="337" t="s">
        <v>71</v>
      </c>
      <c r="G46" s="223"/>
      <c r="H46" s="224" t="s">
        <v>165</v>
      </c>
      <c r="N46" s="170">
        <v>42.6126</v>
      </c>
      <c r="P46" s="170">
        <v>42.10637187475141</v>
      </c>
      <c r="Q46" s="163"/>
      <c r="R46" s="170">
        <v>0.50626940387100927</v>
      </c>
    </row>
    <row r="47" spans="2:18" ht="15" customHeight="1" x14ac:dyDescent="0.2">
      <c r="B47" s="45">
        <f>MAX(B$15:B46)+1</f>
        <v>24</v>
      </c>
      <c r="C47" s="46"/>
      <c r="E47" s="223"/>
      <c r="F47" s="337" t="s">
        <v>70</v>
      </c>
      <c r="G47" s="223"/>
      <c r="H47" s="224" t="s">
        <v>165</v>
      </c>
      <c r="N47" s="170">
        <v>28.327200000000001</v>
      </c>
      <c r="P47" s="170">
        <v>27.820957297565819</v>
      </c>
      <c r="Q47" s="163"/>
      <c r="R47" s="170">
        <v>0.50626940387100938</v>
      </c>
    </row>
    <row r="48" spans="2:18" ht="15" customHeight="1" x14ac:dyDescent="0.2">
      <c r="B48" s="45">
        <f>MAX(B$15:B47)+1</f>
        <v>25</v>
      </c>
      <c r="C48" s="46"/>
      <c r="E48" s="223"/>
      <c r="F48" s="337" t="s">
        <v>72</v>
      </c>
      <c r="G48" s="223"/>
      <c r="H48" s="224" t="s">
        <v>165</v>
      </c>
      <c r="N48" s="170">
        <v>23.403700000000001</v>
      </c>
      <c r="P48" s="170">
        <v>22.897418811760183</v>
      </c>
      <c r="Q48" s="163"/>
      <c r="R48" s="170">
        <v>0.50626940387100916</v>
      </c>
    </row>
    <row r="49" spans="2:18" ht="15" customHeight="1" x14ac:dyDescent="0.2">
      <c r="B49" s="45">
        <f>MAX(B$15:B48)+1</f>
        <v>26</v>
      </c>
      <c r="C49" s="46"/>
      <c r="E49" s="223"/>
      <c r="F49" s="39" t="s">
        <v>147</v>
      </c>
      <c r="G49" s="223"/>
      <c r="H49" s="224" t="s">
        <v>165</v>
      </c>
      <c r="N49" s="170">
        <v>1.2038</v>
      </c>
      <c r="P49" s="170">
        <v>1.1755612151677295</v>
      </c>
      <c r="Q49" s="163"/>
      <c r="R49" s="170">
        <v>2.8272073089642535E-2</v>
      </c>
    </row>
    <row r="50" spans="2:18" ht="15" customHeight="1" x14ac:dyDescent="0.2">
      <c r="B50" s="45">
        <f>MAX(B$15:B49)+1</f>
        <v>27</v>
      </c>
      <c r="C50" s="46"/>
      <c r="E50" s="223"/>
      <c r="F50" s="86" t="s">
        <v>820</v>
      </c>
      <c r="G50" s="223"/>
      <c r="H50" s="224" t="s">
        <v>164</v>
      </c>
      <c r="N50" s="170">
        <v>3.9600000000000003E-2</v>
      </c>
      <c r="P50" s="170">
        <v>3.8648587895925353E-2</v>
      </c>
      <c r="Q50" s="163"/>
      <c r="R50" s="170">
        <v>9.2949281390605591E-4</v>
      </c>
    </row>
    <row r="51" spans="2:18" ht="15" customHeight="1" x14ac:dyDescent="0.2">
      <c r="B51" s="45">
        <f>MAX(B$15:B50)+1</f>
        <v>28</v>
      </c>
      <c r="C51" s="46"/>
      <c r="E51" s="223"/>
      <c r="F51" s="86" t="s">
        <v>337</v>
      </c>
      <c r="G51" s="223"/>
      <c r="H51" s="224" t="s">
        <v>164</v>
      </c>
      <c r="N51" s="170">
        <v>1.2552503506433288</v>
      </c>
      <c r="P51" s="170">
        <v>-0.13520724224292971</v>
      </c>
      <c r="Q51" s="163"/>
      <c r="R51" s="170">
        <v>1.3904575928862584</v>
      </c>
    </row>
    <row r="52" spans="2:18" ht="15" customHeight="1" x14ac:dyDescent="0.2">
      <c r="E52" s="223"/>
      <c r="N52" s="163"/>
      <c r="P52" s="163"/>
      <c r="Q52" s="163"/>
      <c r="R52" s="163"/>
    </row>
    <row r="53" spans="2:18" ht="15" customHeight="1" x14ac:dyDescent="0.2">
      <c r="B53" s="45"/>
      <c r="E53" s="223"/>
      <c r="F53" s="82" t="s">
        <v>74</v>
      </c>
      <c r="G53" s="223"/>
      <c r="H53" s="223"/>
      <c r="N53" s="163"/>
      <c r="P53" s="163"/>
      <c r="Q53" s="163"/>
      <c r="R53" s="163"/>
    </row>
    <row r="54" spans="2:18" ht="15" customHeight="1" x14ac:dyDescent="0.2">
      <c r="B54" s="45">
        <f>MAX(B$15:B53)+1</f>
        <v>29</v>
      </c>
      <c r="E54" s="223"/>
      <c r="F54" s="39" t="s">
        <v>75</v>
      </c>
      <c r="G54" s="223"/>
      <c r="H54" s="224" t="s">
        <v>166</v>
      </c>
      <c r="N54" s="227">
        <v>1.6E-2</v>
      </c>
      <c r="P54" s="227">
        <v>1.5120989694891167E-2</v>
      </c>
      <c r="Q54" s="338"/>
      <c r="R54" s="227">
        <v>1.2605643528747624E-3</v>
      </c>
    </row>
    <row r="55" spans="2:18" ht="15" customHeight="1" x14ac:dyDescent="0.2">
      <c r="B55" s="45"/>
      <c r="C55" s="46"/>
      <c r="E55" s="223"/>
      <c r="F55" s="39" t="s">
        <v>76</v>
      </c>
      <c r="G55" s="223"/>
      <c r="H55" s="223"/>
      <c r="N55" s="338"/>
      <c r="P55" s="338"/>
      <c r="Q55" s="338"/>
      <c r="R55" s="338"/>
    </row>
    <row r="56" spans="2:18" ht="15" customHeight="1" x14ac:dyDescent="0.2">
      <c r="B56" s="45">
        <f>MAX(B$15:B55)+1</f>
        <v>30</v>
      </c>
      <c r="C56" s="46"/>
      <c r="E56" s="223"/>
      <c r="F56" s="337" t="s">
        <v>570</v>
      </c>
      <c r="G56" s="223"/>
      <c r="H56" s="224" t="s">
        <v>166</v>
      </c>
      <c r="N56" s="227">
        <v>2.468</v>
      </c>
      <c r="P56" s="227">
        <v>1.9200109546404482</v>
      </c>
      <c r="Q56" s="338"/>
      <c r="R56" s="227">
        <v>0.5477500217084077</v>
      </c>
    </row>
    <row r="57" spans="2:18" ht="15" customHeight="1" x14ac:dyDescent="0.2">
      <c r="B57" s="45">
        <f>MAX(B$15:B56)+1</f>
        <v>31</v>
      </c>
      <c r="C57" s="46"/>
      <c r="E57" s="223"/>
      <c r="F57" s="337" t="s">
        <v>78</v>
      </c>
      <c r="G57" s="223"/>
      <c r="H57" s="224" t="s">
        <v>166</v>
      </c>
      <c r="N57" s="227">
        <v>2.218</v>
      </c>
      <c r="P57" s="227">
        <v>1.6700581789577129</v>
      </c>
      <c r="Q57" s="338"/>
      <c r="R57" s="227">
        <v>0.5477500217084077</v>
      </c>
    </row>
    <row r="58" spans="2:18" ht="15" customHeight="1" x14ac:dyDescent="0.2">
      <c r="B58" s="45">
        <f>MAX(B$15:B57)+1</f>
        <v>32</v>
      </c>
      <c r="C58" s="46"/>
      <c r="E58" s="223"/>
      <c r="F58" s="337" t="s">
        <v>79</v>
      </c>
      <c r="G58" s="223"/>
      <c r="H58" s="224" t="s">
        <v>166</v>
      </c>
      <c r="N58" s="227">
        <v>2.218</v>
      </c>
      <c r="P58" s="227">
        <v>1.6700581789577129</v>
      </c>
      <c r="Q58" s="338"/>
      <c r="R58" s="227">
        <v>0.5477500217084077</v>
      </c>
    </row>
    <row r="59" spans="2:18" ht="15" customHeight="1" x14ac:dyDescent="0.2">
      <c r="B59" s="45">
        <f>MAX(B$15:B58)+1</f>
        <v>33</v>
      </c>
      <c r="C59" s="46"/>
      <c r="E59" s="223"/>
      <c r="F59" s="39" t="s">
        <v>786</v>
      </c>
      <c r="G59" s="223"/>
      <c r="H59" s="224" t="s">
        <v>167</v>
      </c>
      <c r="N59" s="227">
        <v>0</v>
      </c>
      <c r="P59" s="227">
        <v>0</v>
      </c>
      <c r="Q59" s="338"/>
      <c r="R59" s="227">
        <v>0</v>
      </c>
    </row>
    <row r="60" spans="2:18" ht="15" customHeight="1" x14ac:dyDescent="0.2">
      <c r="B60" s="45">
        <f>MAX(B$15:B59)+1</f>
        <v>34</v>
      </c>
      <c r="C60" s="46"/>
      <c r="E60" s="223"/>
      <c r="F60" s="39" t="s">
        <v>798</v>
      </c>
      <c r="G60" s="223"/>
      <c r="H60" s="224" t="s">
        <v>879</v>
      </c>
      <c r="N60" s="362">
        <v>8.3400000000000002E-3</v>
      </c>
      <c r="P60" s="227">
        <v>0</v>
      </c>
      <c r="Q60" s="338"/>
      <c r="R60" s="362">
        <v>8.3400000000000002E-3</v>
      </c>
    </row>
    <row r="61" spans="2:18" ht="15" customHeight="1" x14ac:dyDescent="0.2">
      <c r="B61" s="45"/>
      <c r="C61" s="46"/>
      <c r="E61" s="223"/>
      <c r="N61" s="163"/>
      <c r="P61" s="163"/>
      <c r="Q61" s="163"/>
      <c r="R61" s="163"/>
    </row>
    <row r="62" spans="2:18" ht="15" customHeight="1" x14ac:dyDescent="0.2">
      <c r="B62" s="45"/>
      <c r="C62" s="46"/>
      <c r="D62" s="40" t="s">
        <v>53</v>
      </c>
      <c r="E62" s="223"/>
      <c r="F62" s="223"/>
      <c r="G62" s="223"/>
      <c r="H62" s="223"/>
      <c r="N62" s="163"/>
      <c r="P62" s="163"/>
      <c r="Q62" s="163"/>
      <c r="R62" s="163"/>
    </row>
    <row r="63" spans="2:18" ht="15" customHeight="1" x14ac:dyDescent="0.2">
      <c r="B63" s="45">
        <f>MAX(B$15:B62)+1</f>
        <v>35</v>
      </c>
      <c r="C63" s="46"/>
      <c r="E63" s="223"/>
      <c r="F63" s="86" t="s">
        <v>41</v>
      </c>
      <c r="G63" s="223"/>
      <c r="H63" s="224" t="s">
        <v>163</v>
      </c>
      <c r="N63" s="471">
        <v>1500</v>
      </c>
      <c r="P63" s="471">
        <v>1500</v>
      </c>
      <c r="Q63" s="163"/>
      <c r="R63" s="471">
        <v>0</v>
      </c>
    </row>
    <row r="64" spans="2:18" ht="15" customHeight="1" x14ac:dyDescent="0.2">
      <c r="B64" s="45">
        <f>MAX(B$15:B63)+1</f>
        <v>36</v>
      </c>
      <c r="C64" s="46"/>
      <c r="E64" s="223"/>
      <c r="F64" s="86" t="s">
        <v>68</v>
      </c>
      <c r="G64" s="223"/>
      <c r="H64" s="224" t="s">
        <v>164</v>
      </c>
      <c r="N64" s="170">
        <v>0</v>
      </c>
      <c r="P64" s="170">
        <v>0</v>
      </c>
      <c r="Q64" s="163"/>
      <c r="R64" s="170">
        <v>0</v>
      </c>
    </row>
    <row r="65" spans="2:18" ht="15" customHeight="1" x14ac:dyDescent="0.2">
      <c r="B65" s="45"/>
      <c r="C65" s="46"/>
      <c r="E65" s="223"/>
      <c r="F65" s="86" t="s">
        <v>145</v>
      </c>
      <c r="G65" s="223"/>
      <c r="H65" s="223"/>
      <c r="N65" s="163"/>
      <c r="P65" s="163"/>
      <c r="Q65" s="163"/>
      <c r="R65" s="163"/>
    </row>
    <row r="66" spans="2:18" ht="15" customHeight="1" x14ac:dyDescent="0.2">
      <c r="B66" s="45">
        <f>MAX(B$15:B65)+1</f>
        <v>37</v>
      </c>
      <c r="E66" s="223"/>
      <c r="F66" s="39" t="s">
        <v>71</v>
      </c>
      <c r="G66" s="223"/>
      <c r="H66" s="224" t="s">
        <v>165</v>
      </c>
      <c r="N66" s="170">
        <v>22.745100000000001</v>
      </c>
      <c r="P66" s="170">
        <v>22.346103117307312</v>
      </c>
      <c r="Q66" s="163"/>
      <c r="R66" s="170">
        <v>0.39900317197345297</v>
      </c>
    </row>
    <row r="67" spans="2:18" ht="15" customHeight="1" x14ac:dyDescent="0.2">
      <c r="B67" s="45">
        <f>MAX(B$15:B66)+1</f>
        <v>38</v>
      </c>
      <c r="E67" s="223"/>
      <c r="F67" s="39" t="s">
        <v>683</v>
      </c>
      <c r="G67" s="223"/>
      <c r="H67" s="224" t="s">
        <v>165</v>
      </c>
      <c r="N67" s="170">
        <v>11.584300000000001</v>
      </c>
      <c r="P67" s="170">
        <v>11.185259657861145</v>
      </c>
      <c r="Q67" s="163"/>
      <c r="R67" s="170">
        <v>0.39900317197345297</v>
      </c>
    </row>
    <row r="68" spans="2:18" ht="15" customHeight="1" x14ac:dyDescent="0.2">
      <c r="B68" s="45">
        <f>MAX(B$15:B67)+1</f>
        <v>39</v>
      </c>
      <c r="E68" s="223"/>
      <c r="F68" s="86" t="s">
        <v>147</v>
      </c>
      <c r="G68" s="223"/>
      <c r="H68" s="224" t="s">
        <v>165</v>
      </c>
      <c r="N68" s="170">
        <v>1.1374</v>
      </c>
      <c r="P68" s="170">
        <v>1.1373747771920355</v>
      </c>
      <c r="Q68" s="163"/>
      <c r="R68" s="170">
        <v>0</v>
      </c>
    </row>
    <row r="69" spans="2:18" ht="15" customHeight="1" x14ac:dyDescent="0.2">
      <c r="B69" s="45">
        <f>MAX(B$15:B68)+1</f>
        <v>40</v>
      </c>
      <c r="E69" s="223"/>
      <c r="F69" s="86" t="s">
        <v>820</v>
      </c>
      <c r="G69" s="223"/>
      <c r="H69" s="224" t="s">
        <v>164</v>
      </c>
      <c r="N69" s="170">
        <v>3.7400000000000003E-2</v>
      </c>
      <c r="P69" s="170">
        <v>3.7393143359738153E-2</v>
      </c>
      <c r="Q69" s="163"/>
      <c r="R69" s="170">
        <v>0</v>
      </c>
    </row>
    <row r="70" spans="2:18" ht="15" customHeight="1" x14ac:dyDescent="0.2">
      <c r="B70" s="45">
        <f>MAX(B$15:B69)+1</f>
        <v>41</v>
      </c>
      <c r="E70" s="223"/>
      <c r="F70" s="86" t="s">
        <v>148</v>
      </c>
      <c r="G70" s="223"/>
      <c r="H70" s="224" t="s">
        <v>165</v>
      </c>
      <c r="N70" s="170">
        <v>13.2789</v>
      </c>
      <c r="P70" s="170">
        <v>13.006798118977045</v>
      </c>
      <c r="Q70" s="163"/>
      <c r="R70" s="170">
        <v>0.27206113238159918</v>
      </c>
    </row>
    <row r="71" spans="2:18" ht="15" customHeight="1" x14ac:dyDescent="0.2">
      <c r="B71" s="45">
        <f>MAX(B$15:B70)+1</f>
        <v>42</v>
      </c>
      <c r="E71" s="223"/>
      <c r="F71" s="86" t="s">
        <v>787</v>
      </c>
      <c r="G71" s="223"/>
      <c r="H71" s="224" t="s">
        <v>879</v>
      </c>
      <c r="N71" s="362">
        <v>2.8700000000000002E-3</v>
      </c>
      <c r="P71" s="227">
        <v>0</v>
      </c>
      <c r="Q71" s="163"/>
      <c r="R71" s="362">
        <v>2.8700000000000002E-3</v>
      </c>
    </row>
    <row r="72" spans="2:18" ht="15" customHeight="1" x14ac:dyDescent="0.2">
      <c r="B72" s="45"/>
      <c r="E72" s="223"/>
      <c r="F72" s="86"/>
      <c r="G72" s="223"/>
      <c r="H72" s="224"/>
      <c r="N72" s="362"/>
      <c r="P72" s="163"/>
      <c r="Q72" s="163"/>
      <c r="R72" s="362"/>
    </row>
    <row r="73" spans="2:18" ht="15" customHeight="1" x14ac:dyDescent="0.2">
      <c r="B73" s="45"/>
      <c r="E73" s="223"/>
      <c r="F73" s="86"/>
      <c r="G73" s="223"/>
      <c r="H73" s="224"/>
      <c r="N73" s="362"/>
      <c r="P73" s="163"/>
      <c r="Q73" s="163"/>
      <c r="R73" s="362"/>
    </row>
    <row r="74" spans="2:18" ht="15" customHeight="1" x14ac:dyDescent="0.2">
      <c r="B74" s="45"/>
      <c r="E74" s="223"/>
      <c r="F74" s="86"/>
      <c r="G74" s="223"/>
      <c r="H74" s="224"/>
      <c r="N74" s="362"/>
      <c r="P74" s="163"/>
      <c r="Q74" s="163"/>
      <c r="R74" s="362"/>
    </row>
    <row r="75" spans="2:18" ht="15" customHeight="1" x14ac:dyDescent="0.2">
      <c r="B75" s="45"/>
      <c r="E75" s="223"/>
      <c r="F75" s="86"/>
      <c r="G75" s="223"/>
      <c r="H75" s="224"/>
      <c r="N75" s="362"/>
      <c r="P75" s="163"/>
      <c r="Q75" s="163"/>
      <c r="R75" s="362"/>
    </row>
    <row r="76" spans="2:18" ht="15" customHeight="1" x14ac:dyDescent="0.2">
      <c r="B76" s="45"/>
      <c r="E76" s="223"/>
      <c r="N76" s="163"/>
      <c r="P76" s="163"/>
      <c r="Q76" s="163"/>
      <c r="R76" s="163"/>
    </row>
    <row r="77" spans="2:18" ht="15" customHeight="1" x14ac:dyDescent="0.2">
      <c r="B77" s="177" t="str">
        <f>+$B$6</f>
        <v>Summary of Proposed Rate Changes and Unit Rate Component by Rate Class</v>
      </c>
      <c r="C77" s="179"/>
      <c r="D77" s="179"/>
      <c r="E77" s="179"/>
      <c r="F77" s="179"/>
      <c r="G77" s="179"/>
      <c r="H77" s="179"/>
      <c r="I77" s="179"/>
      <c r="J77" s="179"/>
      <c r="K77" s="179"/>
      <c r="L77" s="179"/>
      <c r="M77" s="176"/>
      <c r="N77" s="176"/>
      <c r="O77" s="176"/>
      <c r="P77" s="176"/>
      <c r="Q77" s="176"/>
      <c r="R77" s="176"/>
    </row>
    <row r="78" spans="2:18" ht="15" customHeight="1" x14ac:dyDescent="0.2">
      <c r="B78" s="177" t="s">
        <v>783</v>
      </c>
      <c r="C78" s="255"/>
      <c r="D78" s="255"/>
      <c r="E78" s="255"/>
      <c r="F78" s="255"/>
      <c r="G78" s="255"/>
      <c r="H78" s="255"/>
      <c r="I78" s="255"/>
      <c r="J78" s="176"/>
      <c r="K78" s="176"/>
      <c r="L78" s="255"/>
      <c r="M78" s="176"/>
      <c r="N78" s="176"/>
      <c r="O78" s="176"/>
      <c r="P78" s="176"/>
      <c r="Q78" s="176"/>
      <c r="R78" s="176"/>
    </row>
    <row r="79" spans="2:18" ht="15" customHeight="1" x14ac:dyDescent="0.2">
      <c r="B79" s="255"/>
      <c r="C79" s="255"/>
      <c r="D79" s="255"/>
      <c r="E79" s="255"/>
      <c r="F79" s="255"/>
      <c r="G79" s="255"/>
      <c r="H79" s="181"/>
      <c r="I79" s="181"/>
      <c r="J79" s="176"/>
      <c r="L79" s="255"/>
    </row>
    <row r="80" spans="2:18" ht="15" customHeight="1" x14ac:dyDescent="0.2">
      <c r="B80" s="255"/>
      <c r="C80" s="255"/>
      <c r="D80" s="255"/>
      <c r="E80" s="255"/>
      <c r="F80" s="255"/>
      <c r="G80" s="255"/>
      <c r="J80" s="74"/>
      <c r="K80" s="181"/>
      <c r="N80" s="74"/>
      <c r="P80" s="506" t="s">
        <v>568</v>
      </c>
      <c r="Q80" s="506"/>
      <c r="R80" s="506"/>
    </row>
    <row r="81" spans="2:18" ht="15" customHeight="1" x14ac:dyDescent="0.2">
      <c r="B81" s="268" t="s">
        <v>0</v>
      </c>
      <c r="C81" s="268"/>
      <c r="D81" s="356" t="s">
        <v>170</v>
      </c>
      <c r="E81" s="268"/>
      <c r="F81" s="268"/>
      <c r="G81" s="268"/>
      <c r="H81" s="486"/>
      <c r="I81" s="486"/>
      <c r="J81" s="45" t="s">
        <v>88</v>
      </c>
      <c r="K81" s="255"/>
      <c r="L81" s="45" t="s">
        <v>170</v>
      </c>
      <c r="M81" s="486"/>
      <c r="N81" s="74" t="s">
        <v>39</v>
      </c>
      <c r="O81" s="486"/>
      <c r="P81" s="507"/>
      <c r="Q81" s="507"/>
      <c r="R81" s="507"/>
    </row>
    <row r="82" spans="2:18" ht="15" customHeight="1" x14ac:dyDescent="0.2">
      <c r="B82" s="256" t="s">
        <v>1</v>
      </c>
      <c r="C82" s="46"/>
      <c r="D82" s="257" t="s">
        <v>569</v>
      </c>
      <c r="E82" s="45"/>
      <c r="F82" s="357" t="s">
        <v>9</v>
      </c>
      <c r="G82" s="45"/>
      <c r="H82" s="358" t="s">
        <v>21</v>
      </c>
      <c r="J82" s="487" t="s">
        <v>89</v>
      </c>
      <c r="K82" s="268"/>
      <c r="L82" s="487" t="s">
        <v>14</v>
      </c>
      <c r="N82" s="487" t="s">
        <v>31</v>
      </c>
      <c r="P82" s="487" t="s">
        <v>168</v>
      </c>
      <c r="Q82" s="486"/>
      <c r="R82" s="487" t="s">
        <v>169</v>
      </c>
    </row>
    <row r="83" spans="2:18" ht="15" customHeight="1" x14ac:dyDescent="0.2">
      <c r="B83" s="45"/>
      <c r="C83" s="46"/>
      <c r="D83" s="46"/>
      <c r="E83" s="45"/>
      <c r="F83" s="45"/>
      <c r="G83" s="45"/>
      <c r="J83" s="45" t="s">
        <v>90</v>
      </c>
      <c r="K83" s="45"/>
      <c r="L83" s="45" t="s">
        <v>826</v>
      </c>
      <c r="N83" s="45" t="s">
        <v>86</v>
      </c>
      <c r="P83" s="45" t="s">
        <v>133</v>
      </c>
      <c r="Q83" s="45"/>
      <c r="R83" s="45" t="s">
        <v>32</v>
      </c>
    </row>
    <row r="84" spans="2:18" ht="15" customHeight="1" x14ac:dyDescent="0.2">
      <c r="B84" s="45"/>
      <c r="E84" s="223"/>
      <c r="N84" s="163"/>
      <c r="P84" s="163"/>
      <c r="Q84" s="163"/>
      <c r="R84" s="163"/>
    </row>
    <row r="85" spans="2:18" ht="15" customHeight="1" x14ac:dyDescent="0.2">
      <c r="B85" s="45"/>
      <c r="C85" s="46"/>
      <c r="D85" s="40" t="s">
        <v>54</v>
      </c>
      <c r="E85" s="223"/>
      <c r="F85" s="223"/>
      <c r="G85" s="223"/>
      <c r="H85" s="223"/>
      <c r="N85" s="163"/>
      <c r="P85" s="163"/>
      <c r="Q85" s="163"/>
      <c r="R85" s="163"/>
    </row>
    <row r="86" spans="2:18" ht="15" customHeight="1" x14ac:dyDescent="0.2">
      <c r="B86" s="45">
        <f>MAX(B$15:B85)+1</f>
        <v>43</v>
      </c>
      <c r="C86" s="46"/>
      <c r="E86" s="223"/>
      <c r="F86" s="86" t="s">
        <v>41</v>
      </c>
      <c r="G86" s="223"/>
      <c r="H86" s="224" t="s">
        <v>163</v>
      </c>
      <c r="N86" s="471">
        <v>15031.46</v>
      </c>
      <c r="P86" s="471">
        <v>15031.460300767496</v>
      </c>
      <c r="Q86" s="163"/>
      <c r="R86" s="471">
        <v>0</v>
      </c>
    </row>
    <row r="87" spans="2:18" ht="15" customHeight="1" x14ac:dyDescent="0.2">
      <c r="B87" s="45">
        <f>MAX(B$15:B86)+1</f>
        <v>44</v>
      </c>
      <c r="C87" s="46"/>
      <c r="E87" s="223"/>
      <c r="F87" s="86" t="s">
        <v>68</v>
      </c>
      <c r="G87" s="223"/>
      <c r="H87" s="224" t="s">
        <v>164</v>
      </c>
      <c r="N87" s="170">
        <v>7.7000000000000002E-3</v>
      </c>
      <c r="P87" s="170">
        <v>0</v>
      </c>
      <c r="Q87" s="163"/>
      <c r="R87" s="170">
        <v>7.684035380698874E-3</v>
      </c>
    </row>
    <row r="88" spans="2:18" ht="15" customHeight="1" x14ac:dyDescent="0.2">
      <c r="B88" s="45">
        <f>MAX(B$15:B87)+1</f>
        <v>45</v>
      </c>
      <c r="C88" s="46"/>
      <c r="E88" s="223"/>
      <c r="F88" s="86" t="s">
        <v>822</v>
      </c>
      <c r="G88" s="223"/>
      <c r="H88" s="224" t="s">
        <v>879</v>
      </c>
      <c r="N88" s="362">
        <v>4.7099999999999998E-3</v>
      </c>
      <c r="P88" s="170">
        <v>0</v>
      </c>
      <c r="Q88" s="163"/>
      <c r="R88" s="362">
        <v>4.7099999999999998E-3</v>
      </c>
    </row>
    <row r="89" spans="2:18" ht="15" customHeight="1" x14ac:dyDescent="0.2">
      <c r="B89" s="45">
        <f>MAX(B$15:B88)+1</f>
        <v>46</v>
      </c>
      <c r="C89" s="46"/>
      <c r="E89" s="223"/>
      <c r="F89" s="86" t="s">
        <v>145</v>
      </c>
      <c r="G89" s="223"/>
      <c r="H89" s="224" t="s">
        <v>165</v>
      </c>
      <c r="N89" s="170">
        <v>9.7469000000000001</v>
      </c>
      <c r="P89" s="170">
        <v>9.3447011531186543</v>
      </c>
      <c r="Q89" s="163"/>
      <c r="R89" s="170">
        <v>0.40223894628816403</v>
      </c>
    </row>
    <row r="90" spans="2:18" ht="15" customHeight="1" x14ac:dyDescent="0.2">
      <c r="B90" s="45">
        <f>MAX(B$15:B89)+1</f>
        <v>47</v>
      </c>
      <c r="E90" s="223"/>
      <c r="F90" s="86" t="s">
        <v>147</v>
      </c>
      <c r="G90" s="223"/>
      <c r="H90" s="224" t="s">
        <v>165</v>
      </c>
      <c r="N90" s="170">
        <v>0.98129999999999995</v>
      </c>
      <c r="P90" s="170">
        <v>0.98132352892113595</v>
      </c>
      <c r="Q90" s="163"/>
      <c r="R90" s="170">
        <v>0</v>
      </c>
    </row>
    <row r="91" spans="2:18" ht="15" customHeight="1" x14ac:dyDescent="0.2">
      <c r="B91" s="45">
        <f>MAX(B$15:B90)+1</f>
        <v>48</v>
      </c>
      <c r="E91" s="223"/>
      <c r="F91" s="86" t="s">
        <v>820</v>
      </c>
      <c r="G91" s="223"/>
      <c r="H91" s="224" t="s">
        <v>164</v>
      </c>
      <c r="N91" s="170">
        <v>3.9899999999999998E-2</v>
      </c>
      <c r="P91" s="170">
        <v>3.2262691361790774E-2</v>
      </c>
      <c r="Q91" s="163"/>
      <c r="R91" s="170">
        <v>7.684035380698874E-3</v>
      </c>
    </row>
    <row r="92" spans="2:18" ht="15" customHeight="1" x14ac:dyDescent="0.2">
      <c r="B92" s="45">
        <f>MAX(B$15:B91)+1</f>
        <v>49</v>
      </c>
      <c r="C92" s="46"/>
      <c r="E92" s="223"/>
      <c r="F92" s="40" t="s">
        <v>148</v>
      </c>
      <c r="G92" s="223"/>
      <c r="H92" s="224" t="s">
        <v>165</v>
      </c>
      <c r="N92" s="170">
        <v>13.2789</v>
      </c>
      <c r="P92" s="170">
        <v>13.006798118977045</v>
      </c>
      <c r="Q92" s="163"/>
      <c r="R92" s="170">
        <v>0.27206113238159918</v>
      </c>
    </row>
    <row r="93" spans="2:18" ht="15" customHeight="1" x14ac:dyDescent="0.2">
      <c r="B93" s="45">
        <f>MAX(B$15:B92)+1</f>
        <v>50</v>
      </c>
      <c r="E93" s="223"/>
      <c r="F93" s="86" t="s">
        <v>787</v>
      </c>
      <c r="G93" s="223"/>
      <c r="H93" s="224" t="s">
        <v>879</v>
      </c>
      <c r="N93" s="362">
        <v>2.8700000000000002E-3</v>
      </c>
      <c r="P93" s="170">
        <v>0</v>
      </c>
      <c r="Q93" s="163"/>
      <c r="R93" s="362">
        <v>2.8700000000000002E-3</v>
      </c>
    </row>
    <row r="94" spans="2:18" ht="15" customHeight="1" x14ac:dyDescent="0.2">
      <c r="B94" s="45"/>
      <c r="E94" s="223"/>
      <c r="N94" s="163"/>
      <c r="P94" s="163"/>
      <c r="Q94" s="163"/>
      <c r="R94" s="163"/>
    </row>
    <row r="95" spans="2:18" ht="15" customHeight="1" x14ac:dyDescent="0.2">
      <c r="B95" s="45"/>
      <c r="C95" s="46"/>
      <c r="D95" s="40" t="s">
        <v>55</v>
      </c>
      <c r="E95" s="223"/>
      <c r="F95" s="223"/>
      <c r="G95" s="223"/>
      <c r="H95" s="223"/>
      <c r="N95" s="163"/>
      <c r="P95" s="163"/>
      <c r="Q95" s="163"/>
      <c r="R95" s="163"/>
    </row>
    <row r="96" spans="2:18" ht="15" customHeight="1" x14ac:dyDescent="0.2">
      <c r="B96" s="45">
        <f>MAX(B$15:B95)+1</f>
        <v>51</v>
      </c>
      <c r="C96" s="46"/>
      <c r="E96" s="223"/>
      <c r="F96" s="86" t="s">
        <v>41</v>
      </c>
      <c r="G96" s="223"/>
      <c r="H96" s="224" t="s">
        <v>163</v>
      </c>
      <c r="N96" s="471">
        <v>500</v>
      </c>
      <c r="P96" s="471">
        <v>500</v>
      </c>
      <c r="Q96" s="163"/>
      <c r="R96" s="471">
        <v>0</v>
      </c>
    </row>
    <row r="97" spans="2:18" ht="15" customHeight="1" x14ac:dyDescent="0.2">
      <c r="B97" s="45">
        <f>MAX(B$15:B96)+1</f>
        <v>52</v>
      </c>
      <c r="C97" s="46"/>
      <c r="E97" s="223"/>
      <c r="F97" s="20" t="s">
        <v>91</v>
      </c>
      <c r="G97" s="223"/>
      <c r="H97" s="224" t="s">
        <v>164</v>
      </c>
      <c r="N97" s="170">
        <v>0.26069999999999999</v>
      </c>
      <c r="P97" s="170">
        <v>0</v>
      </c>
      <c r="Q97" s="163"/>
      <c r="R97" s="170">
        <v>0.26073285223317477</v>
      </c>
    </row>
    <row r="98" spans="2:18" ht="15" customHeight="1" x14ac:dyDescent="0.2">
      <c r="B98" s="45">
        <f>MAX(B$15:B97)+1</f>
        <v>53</v>
      </c>
      <c r="C98" s="46"/>
      <c r="E98" s="223"/>
      <c r="F98" s="40" t="s">
        <v>877</v>
      </c>
      <c r="G98" s="223"/>
      <c r="H98" s="224" t="s">
        <v>165</v>
      </c>
      <c r="N98" s="170">
        <v>7.75</v>
      </c>
      <c r="P98" s="170">
        <v>7.7259888673307726</v>
      </c>
      <c r="Q98" s="163"/>
      <c r="R98" s="170">
        <v>2.4001473000243821E-2</v>
      </c>
    </row>
    <row r="99" spans="2:18" ht="15" customHeight="1" x14ac:dyDescent="0.2">
      <c r="B99" s="45">
        <f>MAX(B$15:B98)+1</f>
        <v>54</v>
      </c>
      <c r="C99" s="46"/>
      <c r="E99" s="223"/>
      <c r="F99" s="40" t="s">
        <v>878</v>
      </c>
      <c r="G99" s="223"/>
      <c r="H99" s="224" t="s">
        <v>165</v>
      </c>
      <c r="N99" s="170">
        <v>74.880600000000001</v>
      </c>
      <c r="P99" s="170">
        <v>73.8403195071932</v>
      </c>
      <c r="Q99" s="163"/>
      <c r="R99" s="170">
        <v>1.0402495906832565</v>
      </c>
    </row>
    <row r="100" spans="2:18" ht="15" customHeight="1" x14ac:dyDescent="0.2">
      <c r="B100" s="45">
        <f>MAX(B$15:B99)+1</f>
        <v>55</v>
      </c>
      <c r="C100" s="46"/>
      <c r="E100" s="223"/>
      <c r="F100" s="86" t="s">
        <v>820</v>
      </c>
      <c r="G100" s="223"/>
      <c r="H100" s="224" t="s">
        <v>164</v>
      </c>
      <c r="N100" s="170">
        <v>0.51549999999999996</v>
      </c>
      <c r="P100" s="170">
        <v>0.25400511344649113</v>
      </c>
      <c r="Q100" s="163"/>
      <c r="R100" s="170">
        <v>0.26152194175647048</v>
      </c>
    </row>
    <row r="101" spans="2:18" ht="15" customHeight="1" x14ac:dyDescent="0.2">
      <c r="B101" s="45">
        <f>MAX(B$15:B100)+1</f>
        <v>56</v>
      </c>
      <c r="C101" s="46"/>
      <c r="E101" s="223"/>
      <c r="F101" s="86" t="s">
        <v>43</v>
      </c>
      <c r="G101" s="223"/>
      <c r="H101" s="224" t="s">
        <v>164</v>
      </c>
      <c r="N101" s="170">
        <v>0.88770000000000004</v>
      </c>
      <c r="P101" s="170">
        <v>-3.7736623229915937E-2</v>
      </c>
      <c r="Q101" s="163"/>
      <c r="R101" s="170">
        <v>0.92547238612368732</v>
      </c>
    </row>
    <row r="102" spans="2:18" ht="15" customHeight="1" x14ac:dyDescent="0.2">
      <c r="B102" s="45">
        <f>MAX(B$15:B101)+1</f>
        <v>57</v>
      </c>
      <c r="C102" s="46"/>
      <c r="E102" s="223"/>
      <c r="F102" s="86" t="s">
        <v>93</v>
      </c>
      <c r="G102" s="223"/>
      <c r="H102" s="224" t="s">
        <v>164</v>
      </c>
      <c r="N102" s="170">
        <v>2.7496999999999998</v>
      </c>
      <c r="P102" s="170">
        <v>-3.7736623229915937E-2</v>
      </c>
      <c r="Q102" s="163"/>
      <c r="R102" s="170">
        <v>2.7874392916166966</v>
      </c>
    </row>
    <row r="103" spans="2:18" ht="15" customHeight="1" x14ac:dyDescent="0.2">
      <c r="B103" s="45">
        <f>MAX(B$15:B102)+1</f>
        <v>58</v>
      </c>
      <c r="C103" s="46"/>
      <c r="E103" s="223"/>
      <c r="F103" s="86" t="s">
        <v>92</v>
      </c>
      <c r="G103" s="223"/>
      <c r="H103" s="224" t="s">
        <v>164</v>
      </c>
      <c r="N103" s="170">
        <v>20.903400000000001</v>
      </c>
      <c r="P103" s="170">
        <v>0.15408160302150489</v>
      </c>
      <c r="Q103" s="163"/>
      <c r="R103" s="170">
        <v>20.749320578059301</v>
      </c>
    </row>
    <row r="104" spans="2:18" ht="15" customHeight="1" x14ac:dyDescent="0.2">
      <c r="B104" s="45"/>
      <c r="C104" s="46"/>
      <c r="E104" s="223"/>
      <c r="N104" s="163"/>
      <c r="P104" s="163"/>
      <c r="Q104" s="163"/>
      <c r="R104" s="163"/>
    </row>
    <row r="105" spans="2:18" ht="15" customHeight="1" x14ac:dyDescent="0.2">
      <c r="B105" s="45"/>
      <c r="C105" s="46"/>
      <c r="D105" s="40" t="s">
        <v>56</v>
      </c>
      <c r="E105" s="223"/>
      <c r="F105" s="223"/>
      <c r="G105" s="223"/>
      <c r="H105" s="223"/>
      <c r="N105" s="163"/>
      <c r="P105" s="163"/>
      <c r="Q105" s="163"/>
      <c r="R105" s="163"/>
    </row>
    <row r="106" spans="2:18" ht="15" customHeight="1" x14ac:dyDescent="0.2">
      <c r="B106" s="45">
        <f>MAX(B$15:B105)+1</f>
        <v>59</v>
      </c>
      <c r="C106" s="46"/>
      <c r="E106" s="223"/>
      <c r="F106" s="86" t="s">
        <v>41</v>
      </c>
      <c r="G106" s="223"/>
      <c r="H106" s="224" t="s">
        <v>163</v>
      </c>
      <c r="N106" s="471">
        <v>500</v>
      </c>
      <c r="P106" s="471">
        <v>500</v>
      </c>
      <c r="Q106" s="163"/>
      <c r="R106" s="471">
        <v>0</v>
      </c>
    </row>
    <row r="107" spans="2:18" ht="15" customHeight="1" x14ac:dyDescent="0.2">
      <c r="B107" s="45">
        <f>MAX(B$15:B106)+1</f>
        <v>60</v>
      </c>
      <c r="C107" s="46"/>
      <c r="E107" s="223"/>
      <c r="F107" s="20" t="s">
        <v>91</v>
      </c>
      <c r="G107" s="223"/>
      <c r="H107" s="224" t="s">
        <v>164</v>
      </c>
      <c r="N107" s="170">
        <v>0.26069999999999999</v>
      </c>
      <c r="P107" s="170">
        <v>0</v>
      </c>
      <c r="Q107" s="163"/>
      <c r="R107" s="170">
        <v>0.26074609847113434</v>
      </c>
    </row>
    <row r="108" spans="2:18" ht="15" customHeight="1" x14ac:dyDescent="0.2">
      <c r="B108" s="45">
        <f>MAX(B$15:B107)+1</f>
        <v>61</v>
      </c>
      <c r="C108" s="46"/>
      <c r="E108" s="223"/>
      <c r="F108" s="86" t="s">
        <v>876</v>
      </c>
      <c r="G108" s="223"/>
      <c r="H108" s="224" t="s">
        <v>165</v>
      </c>
      <c r="N108" s="170">
        <v>11.0953</v>
      </c>
      <c r="P108" s="170">
        <v>11.086909482406092</v>
      </c>
      <c r="Q108" s="163"/>
      <c r="R108" s="170">
        <v>8.3489255540007915E-3</v>
      </c>
    </row>
    <row r="109" spans="2:18" ht="15" customHeight="1" x14ac:dyDescent="0.2">
      <c r="B109" s="45">
        <f>MAX(B$15:B108)+1</f>
        <v>62</v>
      </c>
      <c r="C109" s="46"/>
      <c r="E109" s="223"/>
      <c r="F109" s="86" t="s">
        <v>43</v>
      </c>
      <c r="G109" s="223"/>
      <c r="H109" s="224" t="s">
        <v>164</v>
      </c>
      <c r="N109" s="170">
        <v>0.88749999999999996</v>
      </c>
      <c r="P109" s="170">
        <v>-3.77254081600931E-2</v>
      </c>
      <c r="Q109" s="163"/>
      <c r="R109" s="170">
        <v>0.9252257412415853</v>
      </c>
    </row>
    <row r="110" spans="2:18" ht="15" customHeight="1" x14ac:dyDescent="0.2">
      <c r="B110" s="45">
        <f>MAX(B$15:B109)+1</f>
        <v>63</v>
      </c>
      <c r="C110" s="46"/>
      <c r="E110" s="223"/>
      <c r="F110" s="86" t="s">
        <v>93</v>
      </c>
      <c r="G110" s="223"/>
      <c r="H110" s="224" t="s">
        <v>164</v>
      </c>
      <c r="N110" s="170">
        <v>2.7494999999999998</v>
      </c>
      <c r="P110" s="170">
        <v>-3.77254081600931E-2</v>
      </c>
      <c r="Q110" s="163"/>
      <c r="R110" s="170">
        <v>2.7871926467345944</v>
      </c>
    </row>
    <row r="111" spans="2:18" ht="15" customHeight="1" x14ac:dyDescent="0.2">
      <c r="B111" s="45">
        <f>MAX(B$15:B110)+1</f>
        <v>64</v>
      </c>
      <c r="C111" s="46"/>
      <c r="E111" s="223"/>
      <c r="F111" s="86" t="s">
        <v>92</v>
      </c>
      <c r="G111" s="223"/>
      <c r="H111" s="224" t="s">
        <v>164</v>
      </c>
      <c r="N111" s="170">
        <v>20.903400000000001</v>
      </c>
      <c r="P111" s="170">
        <v>0.15408160302150489</v>
      </c>
      <c r="Q111" s="163"/>
      <c r="R111" s="170">
        <v>20.749320578059301</v>
      </c>
    </row>
    <row r="112" spans="2:18" ht="15" customHeight="1" x14ac:dyDescent="0.2">
      <c r="B112" s="45"/>
      <c r="E112" s="223"/>
      <c r="N112" s="163"/>
      <c r="P112" s="163"/>
      <c r="Q112" s="163"/>
      <c r="R112" s="163"/>
    </row>
    <row r="113" spans="2:18" ht="15" customHeight="1" x14ac:dyDescent="0.2">
      <c r="B113" s="45"/>
      <c r="D113" s="40" t="s">
        <v>57</v>
      </c>
      <c r="E113" s="223"/>
      <c r="F113" s="223"/>
      <c r="G113" s="223"/>
      <c r="H113" s="223"/>
      <c r="N113" s="163"/>
      <c r="P113" s="163"/>
      <c r="Q113" s="163"/>
      <c r="R113" s="163"/>
    </row>
    <row r="114" spans="2:18" ht="15" customHeight="1" x14ac:dyDescent="0.2">
      <c r="B114" s="45">
        <f>MAX(B$15:B113)+1</f>
        <v>65</v>
      </c>
      <c r="E114" s="223"/>
      <c r="F114" s="40" t="s">
        <v>75</v>
      </c>
      <c r="G114" s="223"/>
      <c r="H114" s="224" t="s">
        <v>166</v>
      </c>
      <c r="N114" s="227">
        <v>1.6E-2</v>
      </c>
      <c r="P114" s="227">
        <v>1.5120989694891167E-2</v>
      </c>
      <c r="Q114" s="338"/>
      <c r="R114" s="227">
        <v>1.2605643528747624E-3</v>
      </c>
    </row>
    <row r="115" spans="2:18" ht="15" customHeight="1" x14ac:dyDescent="0.2">
      <c r="B115" s="45"/>
      <c r="F115" s="86" t="s">
        <v>76</v>
      </c>
      <c r="G115" s="223"/>
      <c r="H115" s="223"/>
      <c r="N115" s="338"/>
      <c r="P115" s="338"/>
      <c r="Q115" s="338"/>
      <c r="R115" s="338"/>
    </row>
    <row r="116" spans="2:18" ht="15" customHeight="1" x14ac:dyDescent="0.2">
      <c r="B116" s="45">
        <f>MAX(B$15:B115)+1</f>
        <v>66</v>
      </c>
      <c r="E116" s="223"/>
      <c r="F116" s="39" t="s">
        <v>570</v>
      </c>
      <c r="G116" s="223"/>
      <c r="H116" s="224" t="s">
        <v>166</v>
      </c>
      <c r="N116" s="227">
        <v>2.468</v>
      </c>
      <c r="P116" s="227">
        <v>1.9200109546404482</v>
      </c>
      <c r="Q116" s="338"/>
      <c r="R116" s="227">
        <v>0.5477500217084077</v>
      </c>
    </row>
    <row r="117" spans="2:18" ht="15" customHeight="1" x14ac:dyDescent="0.2">
      <c r="B117" s="45">
        <f>MAX(B$15:B116)+1</f>
        <v>67</v>
      </c>
      <c r="E117" s="223"/>
      <c r="F117" s="39" t="s">
        <v>78</v>
      </c>
      <c r="G117" s="223"/>
      <c r="H117" s="224" t="s">
        <v>166</v>
      </c>
      <c r="N117" s="227">
        <v>2.218</v>
      </c>
      <c r="P117" s="227">
        <v>1.6700581789577129</v>
      </c>
      <c r="Q117" s="338"/>
      <c r="R117" s="227">
        <v>0.5477500217084077</v>
      </c>
    </row>
    <row r="118" spans="2:18" ht="15" customHeight="1" x14ac:dyDescent="0.2">
      <c r="B118" s="45">
        <f>MAX(B$15:B117)+1</f>
        <v>68</v>
      </c>
      <c r="E118" s="223"/>
      <c r="F118" s="39" t="s">
        <v>79</v>
      </c>
      <c r="G118" s="223"/>
      <c r="H118" s="224" t="s">
        <v>166</v>
      </c>
      <c r="N118" s="227">
        <v>2.218</v>
      </c>
      <c r="P118" s="227">
        <v>1.6700581789577129</v>
      </c>
      <c r="Q118" s="338"/>
      <c r="R118" s="227">
        <v>0.5477500217084077</v>
      </c>
    </row>
    <row r="119" spans="2:18" ht="15" customHeight="1" x14ac:dyDescent="0.2">
      <c r="B119" s="45">
        <f>MAX(B$15:B118)+1</f>
        <v>69</v>
      </c>
      <c r="E119" s="223"/>
      <c r="F119" s="40" t="s">
        <v>95</v>
      </c>
      <c r="G119" s="223"/>
      <c r="H119" s="224" t="s">
        <v>166</v>
      </c>
      <c r="N119" s="227">
        <v>17.268999999999998</v>
      </c>
      <c r="P119" s="227">
        <v>2.8084831952378009</v>
      </c>
      <c r="Q119" s="338"/>
      <c r="R119" s="227">
        <v>14.46008</v>
      </c>
    </row>
    <row r="120" spans="2:18" ht="15" customHeight="1" x14ac:dyDescent="0.2">
      <c r="B120" s="45">
        <f>MAX(B$15:B119)+1</f>
        <v>70</v>
      </c>
      <c r="E120" s="223"/>
      <c r="F120" s="40" t="s">
        <v>68</v>
      </c>
      <c r="G120" s="223"/>
      <c r="H120" s="224" t="s">
        <v>167</v>
      </c>
      <c r="N120" s="227">
        <v>6.3E-2</v>
      </c>
      <c r="P120" s="227">
        <v>0</v>
      </c>
      <c r="Q120" s="338"/>
      <c r="R120" s="227">
        <v>6.3458902197356948E-2</v>
      </c>
    </row>
    <row r="121" spans="2:18" ht="15" customHeight="1" x14ac:dyDescent="0.2">
      <c r="B121" s="45">
        <f>MAX(B$15:B120)+1</f>
        <v>71</v>
      </c>
      <c r="E121" s="223"/>
      <c r="F121" s="40" t="s">
        <v>786</v>
      </c>
      <c r="G121" s="223"/>
      <c r="H121" s="224" t="s">
        <v>167</v>
      </c>
      <c r="N121" s="227">
        <v>0</v>
      </c>
      <c r="P121" s="227">
        <v>0</v>
      </c>
      <c r="Q121" s="338"/>
      <c r="R121" s="227">
        <v>0</v>
      </c>
    </row>
    <row r="122" spans="2:18" ht="15" customHeight="1" x14ac:dyDescent="0.2">
      <c r="B122" s="45">
        <f>MAX(B$15:B121)+1</f>
        <v>72</v>
      </c>
      <c r="E122" s="223"/>
      <c r="F122" s="40" t="s">
        <v>336</v>
      </c>
      <c r="G122" s="223"/>
      <c r="H122" s="224" t="s">
        <v>879</v>
      </c>
      <c r="N122" s="362">
        <v>8.3400000000000002E-3</v>
      </c>
      <c r="P122" s="227">
        <v>0</v>
      </c>
      <c r="Q122" s="163"/>
      <c r="R122" s="362">
        <v>8.3400000000000002E-3</v>
      </c>
    </row>
    <row r="123" spans="2:18" ht="15" customHeight="1" x14ac:dyDescent="0.2">
      <c r="E123" s="223"/>
      <c r="N123" s="163"/>
      <c r="P123" s="163"/>
      <c r="Q123" s="163"/>
      <c r="R123" s="163"/>
    </row>
    <row r="124" spans="2:18" ht="15" customHeight="1" x14ac:dyDescent="0.2">
      <c r="B124" s="45"/>
      <c r="D124" s="40" t="s">
        <v>58</v>
      </c>
      <c r="E124" s="223"/>
      <c r="F124" s="223"/>
      <c r="G124" s="223"/>
      <c r="H124" s="223"/>
      <c r="N124" s="163"/>
      <c r="P124" s="163"/>
      <c r="Q124" s="163"/>
      <c r="R124" s="163"/>
    </row>
    <row r="125" spans="2:18" ht="15" customHeight="1" x14ac:dyDescent="0.2">
      <c r="B125" s="45">
        <f>MAX(B$15:B124)+1</f>
        <v>73</v>
      </c>
      <c r="E125" s="223"/>
      <c r="F125" s="86" t="s">
        <v>41</v>
      </c>
      <c r="G125" s="223"/>
      <c r="H125" s="224" t="s">
        <v>163</v>
      </c>
      <c r="N125" s="471">
        <v>500</v>
      </c>
      <c r="P125" s="471">
        <v>500</v>
      </c>
      <c r="Q125" s="163"/>
      <c r="R125" s="471">
        <v>0</v>
      </c>
    </row>
    <row r="126" spans="2:18" ht="15" customHeight="1" x14ac:dyDescent="0.2">
      <c r="B126" s="45">
        <f>MAX(B$15:B125)+1</f>
        <v>74</v>
      </c>
      <c r="E126" s="223"/>
      <c r="F126" s="20" t="s">
        <v>91</v>
      </c>
      <c r="G126" s="223"/>
      <c r="H126" s="224" t="s">
        <v>164</v>
      </c>
      <c r="N126" s="170">
        <v>0.32450000000000001</v>
      </c>
      <c r="P126" s="170">
        <v>0</v>
      </c>
      <c r="Q126" s="163"/>
      <c r="R126" s="170">
        <v>0.32452845505788441</v>
      </c>
    </row>
    <row r="127" spans="2:18" ht="15" customHeight="1" x14ac:dyDescent="0.2">
      <c r="B127" s="45">
        <f>MAX(B$15:B126)+1</f>
        <v>75</v>
      </c>
      <c r="E127" s="223"/>
      <c r="F127" s="86" t="s">
        <v>876</v>
      </c>
      <c r="G127" s="223"/>
      <c r="H127" s="224" t="s">
        <v>165</v>
      </c>
      <c r="N127" s="170">
        <v>30.352599999999999</v>
      </c>
      <c r="P127" s="170">
        <v>29.393230014606626</v>
      </c>
      <c r="Q127" s="163"/>
      <c r="R127" s="170">
        <v>0.95933149078777091</v>
      </c>
    </row>
    <row r="128" spans="2:18" ht="15" customHeight="1" x14ac:dyDescent="0.2">
      <c r="B128" s="45">
        <f>MAX(B$15:B127)+1</f>
        <v>76</v>
      </c>
      <c r="E128" s="223"/>
      <c r="F128" s="86" t="s">
        <v>43</v>
      </c>
      <c r="G128" s="223"/>
      <c r="H128" s="224" t="s">
        <v>164</v>
      </c>
      <c r="N128" s="170">
        <v>1.3641000000000001</v>
      </c>
      <c r="P128" s="170">
        <v>-6.0429890768277546E-2</v>
      </c>
      <c r="Q128" s="163"/>
      <c r="R128" s="170">
        <v>1.4245489308914074</v>
      </c>
    </row>
    <row r="129" spans="2:18" ht="15" customHeight="1" x14ac:dyDescent="0.2">
      <c r="B129" s="45">
        <f>MAX(B$15:B128)+1</f>
        <v>77</v>
      </c>
      <c r="E129" s="223"/>
      <c r="F129" s="86" t="s">
        <v>93</v>
      </c>
      <c r="G129" s="223"/>
      <c r="H129" s="224" t="s">
        <v>164</v>
      </c>
      <c r="N129" s="170">
        <v>3.2261000000000002</v>
      </c>
      <c r="P129" s="170">
        <v>-6.0429890768277546E-2</v>
      </c>
      <c r="Q129" s="163"/>
      <c r="R129" s="170">
        <v>3.2865158363844165</v>
      </c>
    </row>
    <row r="130" spans="2:18" ht="15" customHeight="1" x14ac:dyDescent="0.2">
      <c r="B130" s="45">
        <f>MAX(B$15:B129)+1</f>
        <v>78</v>
      </c>
      <c r="E130" s="223"/>
      <c r="F130" s="86" t="s">
        <v>92</v>
      </c>
      <c r="G130" s="223"/>
      <c r="H130" s="224" t="s">
        <v>164</v>
      </c>
      <c r="N130" s="170">
        <v>20.903400000000001</v>
      </c>
      <c r="P130" s="170">
        <v>0.15408160302150489</v>
      </c>
      <c r="Q130" s="163"/>
      <c r="R130" s="170">
        <v>20.749320578059301</v>
      </c>
    </row>
    <row r="131" spans="2:18" ht="15" customHeight="1" x14ac:dyDescent="0.2">
      <c r="E131" s="223"/>
      <c r="N131" s="163"/>
      <c r="P131" s="163"/>
      <c r="Q131" s="163"/>
      <c r="R131" s="163"/>
    </row>
    <row r="132" spans="2:18" ht="15" customHeight="1" x14ac:dyDescent="0.2">
      <c r="D132" s="40" t="s">
        <v>59</v>
      </c>
      <c r="E132" s="223"/>
      <c r="F132" s="223"/>
      <c r="G132" s="223"/>
      <c r="H132" s="223"/>
      <c r="N132" s="163"/>
      <c r="P132" s="163"/>
      <c r="Q132" s="163"/>
      <c r="R132" s="163"/>
    </row>
    <row r="133" spans="2:18" ht="15" customHeight="1" x14ac:dyDescent="0.2">
      <c r="B133" s="45">
        <f>MAX(B$15:B132)+1</f>
        <v>79</v>
      </c>
      <c r="E133" s="223"/>
      <c r="F133" s="86" t="s">
        <v>41</v>
      </c>
      <c r="G133" s="223"/>
      <c r="H133" s="224" t="s">
        <v>163</v>
      </c>
      <c r="N133" s="471">
        <v>31938.65</v>
      </c>
      <c r="P133" s="471">
        <v>31938.652986799236</v>
      </c>
      <c r="Q133" s="163"/>
      <c r="R133" s="471">
        <v>0</v>
      </c>
    </row>
    <row r="134" spans="2:18" ht="15" customHeight="1" x14ac:dyDescent="0.2">
      <c r="E134" s="223"/>
      <c r="F134" s="40" t="s">
        <v>154</v>
      </c>
      <c r="G134" s="223"/>
      <c r="H134" s="223"/>
      <c r="N134" s="163"/>
      <c r="P134" s="163"/>
      <c r="Q134" s="163"/>
      <c r="R134" s="163"/>
    </row>
    <row r="135" spans="2:18" ht="15" customHeight="1" x14ac:dyDescent="0.2">
      <c r="B135" s="45">
        <f>MAX(B$15:B134)+1</f>
        <v>80</v>
      </c>
      <c r="E135" s="223"/>
      <c r="F135" s="39" t="s">
        <v>161</v>
      </c>
      <c r="G135" s="223"/>
      <c r="H135" s="224" t="s">
        <v>164</v>
      </c>
      <c r="N135" s="170">
        <v>0</v>
      </c>
      <c r="P135" s="170">
        <v>0</v>
      </c>
      <c r="Q135" s="163"/>
      <c r="R135" s="170">
        <v>0</v>
      </c>
    </row>
    <row r="136" spans="2:18" ht="15" customHeight="1" x14ac:dyDescent="0.2">
      <c r="B136" s="45">
        <f>MAX(B$15:B135)+1</f>
        <v>81</v>
      </c>
      <c r="C136" s="46"/>
      <c r="E136" s="223"/>
      <c r="F136" s="39" t="s">
        <v>822</v>
      </c>
      <c r="G136" s="223"/>
      <c r="H136" s="224" t="s">
        <v>879</v>
      </c>
      <c r="N136" s="362">
        <v>8.0300000000000007E-3</v>
      </c>
      <c r="P136" s="227">
        <v>0</v>
      </c>
      <c r="Q136" s="163"/>
      <c r="R136" s="362">
        <v>8.0300000000000007E-3</v>
      </c>
    </row>
    <row r="137" spans="2:18" ht="15" customHeight="1" x14ac:dyDescent="0.2">
      <c r="B137" s="45">
        <f>MAX(B$15:B136)+1</f>
        <v>82</v>
      </c>
      <c r="E137" s="223"/>
      <c r="F137" s="39" t="s">
        <v>145</v>
      </c>
      <c r="G137" s="223"/>
      <c r="H137" s="224" t="s">
        <v>165</v>
      </c>
      <c r="N137" s="170">
        <v>25.275500000000001</v>
      </c>
      <c r="P137" s="170">
        <v>24.576098942713358</v>
      </c>
      <c r="Q137" s="163"/>
      <c r="R137" s="170">
        <v>0.69939169167369231</v>
      </c>
    </row>
    <row r="138" spans="2:18" ht="15" customHeight="1" x14ac:dyDescent="0.2">
      <c r="B138" s="45"/>
      <c r="E138" s="223"/>
      <c r="F138" s="40" t="s">
        <v>74</v>
      </c>
      <c r="G138" s="223"/>
      <c r="H138" s="223"/>
      <c r="N138" s="163"/>
      <c r="P138" s="163"/>
      <c r="Q138" s="163"/>
      <c r="R138" s="163"/>
    </row>
    <row r="139" spans="2:18" ht="15" customHeight="1" x14ac:dyDescent="0.2">
      <c r="B139" s="45">
        <f>MAX(B$15:B138)+1</f>
        <v>83</v>
      </c>
      <c r="E139" s="223"/>
      <c r="F139" s="38" t="s">
        <v>75</v>
      </c>
      <c r="G139" s="223"/>
      <c r="H139" s="224" t="s">
        <v>166</v>
      </c>
      <c r="N139" s="227">
        <v>1.6E-2</v>
      </c>
      <c r="P139" s="227">
        <v>1.5120989694891167E-2</v>
      </c>
      <c r="Q139" s="338"/>
      <c r="R139" s="227">
        <v>1.2605643528747624E-3</v>
      </c>
    </row>
    <row r="140" spans="2:18" ht="15" customHeight="1" x14ac:dyDescent="0.2">
      <c r="B140" s="45"/>
      <c r="E140" s="223"/>
      <c r="F140" s="38" t="s">
        <v>76</v>
      </c>
      <c r="G140" s="223"/>
      <c r="H140" s="223"/>
      <c r="N140" s="338"/>
      <c r="P140" s="338"/>
      <c r="Q140" s="338"/>
      <c r="R140" s="338"/>
    </row>
    <row r="141" spans="2:18" ht="15" customHeight="1" x14ac:dyDescent="0.2">
      <c r="B141" s="45">
        <f>MAX(B$15:B140)+1</f>
        <v>84</v>
      </c>
      <c r="E141" s="223"/>
      <c r="F141" s="51" t="s">
        <v>570</v>
      </c>
      <c r="G141" s="223"/>
      <c r="H141" s="224" t="s">
        <v>166</v>
      </c>
      <c r="N141" s="227">
        <v>2.468</v>
      </c>
      <c r="P141" s="227">
        <v>1.9200109546404482</v>
      </c>
      <c r="Q141" s="338"/>
      <c r="R141" s="227">
        <v>0.5477500217084077</v>
      </c>
    </row>
    <row r="142" spans="2:18" ht="15" customHeight="1" x14ac:dyDescent="0.2">
      <c r="B142" s="45">
        <f>MAX(B$15:B141)+1</f>
        <v>85</v>
      </c>
      <c r="E142" s="223"/>
      <c r="F142" s="51" t="s">
        <v>78</v>
      </c>
      <c r="G142" s="223"/>
      <c r="H142" s="224" t="s">
        <v>166</v>
      </c>
      <c r="N142" s="227">
        <v>2.218</v>
      </c>
      <c r="P142" s="227">
        <v>1.6700581789577129</v>
      </c>
      <c r="Q142" s="338"/>
      <c r="R142" s="227">
        <v>0.5477500217084077</v>
      </c>
    </row>
    <row r="143" spans="2:18" ht="15" customHeight="1" x14ac:dyDescent="0.2">
      <c r="B143" s="45">
        <f>MAX(B$15:B142)+1</f>
        <v>86</v>
      </c>
      <c r="E143" s="223"/>
      <c r="F143" s="51" t="s">
        <v>79</v>
      </c>
      <c r="G143" s="223"/>
      <c r="H143" s="224" t="s">
        <v>166</v>
      </c>
      <c r="N143" s="227">
        <v>2.218</v>
      </c>
      <c r="P143" s="227">
        <v>1.6700581789577129</v>
      </c>
      <c r="Q143" s="338"/>
      <c r="R143" s="227">
        <v>0.5477500217084077</v>
      </c>
    </row>
    <row r="144" spans="2:18" ht="15" customHeight="1" x14ac:dyDescent="0.2">
      <c r="B144" s="45">
        <f>MAX(B$15:B143)+1</f>
        <v>87</v>
      </c>
      <c r="E144" s="223"/>
      <c r="F144" s="40" t="s">
        <v>786</v>
      </c>
      <c r="G144" s="223"/>
      <c r="H144" s="224" t="s">
        <v>167</v>
      </c>
      <c r="N144" s="227">
        <v>0</v>
      </c>
      <c r="P144" s="227">
        <v>0</v>
      </c>
      <c r="Q144" s="338"/>
      <c r="R144" s="227">
        <v>0</v>
      </c>
    </row>
    <row r="145" spans="2:18" ht="15" customHeight="1" x14ac:dyDescent="0.2">
      <c r="B145" s="45">
        <f>MAX(B$15:B144)+1</f>
        <v>88</v>
      </c>
      <c r="E145" s="223"/>
      <c r="F145" s="40" t="s">
        <v>336</v>
      </c>
      <c r="H145" s="224" t="s">
        <v>879</v>
      </c>
      <c r="N145" s="362">
        <v>8.3400000000000002E-3</v>
      </c>
      <c r="P145" s="227">
        <v>0</v>
      </c>
      <c r="Q145" s="163"/>
      <c r="R145" s="362">
        <v>8.3400000000000002E-3</v>
      </c>
    </row>
    <row r="146" spans="2:18" ht="15" customHeight="1" x14ac:dyDescent="0.2">
      <c r="B146" s="45"/>
      <c r="E146" s="223"/>
      <c r="F146" s="38"/>
      <c r="N146" s="362"/>
      <c r="P146" s="163"/>
      <c r="Q146" s="163"/>
      <c r="R146" s="362"/>
    </row>
    <row r="147" spans="2:18" ht="15" customHeight="1" x14ac:dyDescent="0.2">
      <c r="B147" s="43" t="s">
        <v>5</v>
      </c>
      <c r="E147" s="223"/>
      <c r="F147" s="38"/>
      <c r="N147" s="362"/>
      <c r="P147" s="163"/>
      <c r="Q147" s="163"/>
      <c r="R147" s="362"/>
    </row>
    <row r="148" spans="2:18" ht="15" customHeight="1" x14ac:dyDescent="0.2">
      <c r="B148" s="339" t="s">
        <v>189</v>
      </c>
      <c r="D148" s="363" t="s">
        <v>880</v>
      </c>
      <c r="E148" s="223"/>
      <c r="F148" s="38"/>
      <c r="N148" s="362"/>
      <c r="P148" s="163"/>
      <c r="Q148" s="163"/>
      <c r="R148" s="362"/>
    </row>
    <row r="149" spans="2:18" ht="15" customHeight="1" x14ac:dyDescent="0.2">
      <c r="B149" s="339" t="s">
        <v>190</v>
      </c>
      <c r="D149" s="363" t="s">
        <v>674</v>
      </c>
      <c r="E149" s="223"/>
      <c r="F149" s="38"/>
      <c r="N149" s="362"/>
      <c r="P149" s="163"/>
      <c r="Q149" s="163"/>
      <c r="R149" s="362"/>
    </row>
    <row r="150" spans="2:18" ht="15" customHeight="1" x14ac:dyDescent="0.2">
      <c r="E150" s="223"/>
      <c r="N150" s="163"/>
      <c r="P150" s="163"/>
      <c r="Q150" s="163"/>
      <c r="R150" s="163"/>
    </row>
    <row r="151" spans="2:18" ht="15" customHeight="1" x14ac:dyDescent="0.2">
      <c r="E151" s="223"/>
      <c r="N151" s="163"/>
      <c r="P151" s="163"/>
      <c r="Q151" s="163"/>
      <c r="R151" s="163"/>
    </row>
    <row r="152" spans="2:18" ht="15" customHeight="1" x14ac:dyDescent="0.2">
      <c r="B152" s="40"/>
      <c r="C152" s="176"/>
      <c r="D152" s="176"/>
      <c r="E152" s="176"/>
      <c r="F152" s="176"/>
      <c r="G152" s="176"/>
      <c r="H152" s="176"/>
      <c r="I152" s="176"/>
      <c r="J152" s="176"/>
      <c r="K152" s="176"/>
      <c r="L152" s="176"/>
      <c r="N152" s="176"/>
      <c r="P152" s="176"/>
      <c r="Q152" s="176"/>
      <c r="R152" s="176"/>
    </row>
    <row r="153" spans="2:18" ht="15" customHeight="1" x14ac:dyDescent="0.2">
      <c r="B153" s="179"/>
      <c r="C153" s="176"/>
      <c r="D153" s="176"/>
      <c r="E153" s="176"/>
      <c r="F153" s="176"/>
      <c r="G153" s="176"/>
      <c r="H153" s="176"/>
      <c r="I153" s="176"/>
      <c r="J153" s="176"/>
      <c r="K153" s="176"/>
      <c r="L153" s="176"/>
      <c r="N153" s="176"/>
      <c r="P153" s="176"/>
      <c r="Q153" s="176"/>
      <c r="R153" s="176"/>
    </row>
    <row r="154" spans="2:18" ht="15" customHeight="1" x14ac:dyDescent="0.2">
      <c r="B154" s="179"/>
      <c r="C154" s="176"/>
      <c r="D154" s="176"/>
      <c r="E154" s="176"/>
      <c r="F154" s="176"/>
      <c r="G154" s="176"/>
      <c r="H154" s="176"/>
      <c r="I154" s="176"/>
      <c r="J154" s="176"/>
      <c r="K154" s="176"/>
      <c r="L154" s="176"/>
      <c r="N154" s="176"/>
      <c r="P154" s="176"/>
      <c r="Q154" s="176"/>
      <c r="R154" s="176"/>
    </row>
    <row r="155" spans="2:18" ht="15" customHeight="1" x14ac:dyDescent="0.2">
      <c r="B155" s="177" t="str">
        <f>+$B$6</f>
        <v>Summary of Proposed Rate Changes and Unit Rate Component by Rate Class</v>
      </c>
      <c r="C155" s="176"/>
      <c r="D155" s="176"/>
      <c r="E155" s="176"/>
      <c r="F155" s="176"/>
      <c r="G155" s="176"/>
      <c r="H155" s="176"/>
      <c r="I155" s="176"/>
      <c r="J155" s="176"/>
      <c r="K155" s="176"/>
      <c r="L155" s="176"/>
      <c r="M155" s="176"/>
      <c r="N155" s="176"/>
      <c r="O155" s="176"/>
      <c r="P155" s="176"/>
      <c r="Q155" s="176"/>
      <c r="R155" s="176"/>
    </row>
    <row r="156" spans="2:18" ht="15" customHeight="1" x14ac:dyDescent="0.2">
      <c r="B156" s="177" t="s">
        <v>571</v>
      </c>
      <c r="C156" s="176"/>
      <c r="D156" s="176"/>
      <c r="E156" s="176"/>
      <c r="F156" s="176"/>
      <c r="G156" s="176"/>
      <c r="H156" s="176"/>
      <c r="I156" s="176"/>
      <c r="J156" s="176"/>
      <c r="K156" s="176"/>
      <c r="L156" s="176"/>
      <c r="M156" s="176"/>
      <c r="N156" s="176"/>
      <c r="O156" s="176"/>
      <c r="P156" s="176"/>
      <c r="Q156" s="176"/>
      <c r="R156" s="176"/>
    </row>
    <row r="157" spans="2:18" ht="15" customHeight="1" x14ac:dyDescent="0.2">
      <c r="B157" s="179"/>
      <c r="C157" s="176"/>
      <c r="D157" s="176"/>
      <c r="E157" s="176"/>
      <c r="F157" s="176"/>
      <c r="G157" s="176"/>
      <c r="H157" s="176"/>
      <c r="I157" s="176"/>
      <c r="J157" s="176"/>
      <c r="K157" s="176"/>
      <c r="L157" s="176"/>
      <c r="M157" s="176"/>
      <c r="N157" s="176"/>
      <c r="O157" s="176"/>
      <c r="P157" s="176"/>
      <c r="Q157" s="176"/>
      <c r="R157" s="176"/>
    </row>
    <row r="158" spans="2:18" ht="15" customHeight="1" x14ac:dyDescent="0.2">
      <c r="B158" s="255"/>
      <c r="C158" s="255"/>
      <c r="D158" s="255"/>
      <c r="E158" s="255"/>
      <c r="F158" s="255"/>
      <c r="G158" s="255"/>
      <c r="J158" s="74"/>
      <c r="K158" s="181"/>
      <c r="N158" s="74"/>
      <c r="P158" s="506" t="s">
        <v>568</v>
      </c>
      <c r="Q158" s="506"/>
      <c r="R158" s="506"/>
    </row>
    <row r="159" spans="2:18" ht="15" customHeight="1" x14ac:dyDescent="0.2">
      <c r="B159" s="268" t="s">
        <v>0</v>
      </c>
      <c r="C159" s="268"/>
      <c r="D159" s="356" t="s">
        <v>170</v>
      </c>
      <c r="E159" s="268"/>
      <c r="F159" s="268"/>
      <c r="G159" s="268"/>
      <c r="H159" s="486"/>
      <c r="I159" s="486"/>
      <c r="J159" s="45" t="s">
        <v>88</v>
      </c>
      <c r="K159" s="45"/>
      <c r="L159" s="45" t="s">
        <v>170</v>
      </c>
      <c r="M159" s="486"/>
      <c r="N159" s="74" t="s">
        <v>39</v>
      </c>
      <c r="O159" s="486"/>
      <c r="P159" s="507"/>
      <c r="Q159" s="507"/>
      <c r="R159" s="507"/>
    </row>
    <row r="160" spans="2:18" ht="15" customHeight="1" x14ac:dyDescent="0.2">
      <c r="B160" s="256" t="s">
        <v>1</v>
      </c>
      <c r="C160" s="46"/>
      <c r="D160" s="257" t="s">
        <v>569</v>
      </c>
      <c r="E160" s="45"/>
      <c r="F160" s="357" t="s">
        <v>9</v>
      </c>
      <c r="G160" s="45"/>
      <c r="H160" s="358" t="s">
        <v>21</v>
      </c>
      <c r="J160" s="487" t="s">
        <v>89</v>
      </c>
      <c r="K160" s="268"/>
      <c r="L160" s="487" t="s">
        <v>14</v>
      </c>
      <c r="N160" s="487" t="s">
        <v>31</v>
      </c>
      <c r="P160" s="487" t="s">
        <v>168</v>
      </c>
      <c r="Q160" s="486"/>
      <c r="R160" s="487" t="s">
        <v>169</v>
      </c>
    </row>
    <row r="161" spans="2:18" ht="15" customHeight="1" x14ac:dyDescent="0.2">
      <c r="B161" s="45"/>
      <c r="C161" s="46"/>
      <c r="D161" s="46"/>
      <c r="E161" s="45"/>
      <c r="F161" s="45"/>
      <c r="G161" s="45"/>
      <c r="J161" s="45" t="s">
        <v>90</v>
      </c>
      <c r="K161" s="45"/>
      <c r="L161" s="45" t="s">
        <v>826</v>
      </c>
      <c r="N161" s="45" t="s">
        <v>86</v>
      </c>
      <c r="P161" s="45" t="s">
        <v>133</v>
      </c>
      <c r="Q161" s="45"/>
      <c r="R161" s="45" t="s">
        <v>32</v>
      </c>
    </row>
    <row r="163" spans="2:18" ht="15" customHeight="1" x14ac:dyDescent="0.2">
      <c r="B163" s="40"/>
      <c r="D163" s="40" t="s">
        <v>100</v>
      </c>
      <c r="E163" s="223"/>
      <c r="F163" s="86"/>
      <c r="G163" s="223"/>
      <c r="H163" s="223"/>
      <c r="N163" s="163"/>
      <c r="P163" s="163"/>
      <c r="Q163" s="163"/>
      <c r="R163" s="163"/>
    </row>
    <row r="164" spans="2:18" ht="15" customHeight="1" x14ac:dyDescent="0.2">
      <c r="B164" s="45">
        <v>1</v>
      </c>
      <c r="E164" s="223"/>
      <c r="F164" s="86" t="s">
        <v>41</v>
      </c>
      <c r="G164" s="223"/>
      <c r="H164" s="224" t="s">
        <v>163</v>
      </c>
      <c r="J164" s="301"/>
      <c r="L164" s="340"/>
      <c r="N164" s="471">
        <v>2112.1364999999996</v>
      </c>
      <c r="P164" s="471">
        <v>2112.1364999999996</v>
      </c>
      <c r="Q164" s="163"/>
      <c r="R164" s="471">
        <v>0</v>
      </c>
    </row>
    <row r="165" spans="2:18" ht="15" customHeight="1" x14ac:dyDescent="0.2">
      <c r="B165" s="45"/>
      <c r="E165" s="223"/>
      <c r="F165" s="86" t="s">
        <v>293</v>
      </c>
      <c r="G165" s="223"/>
      <c r="H165" s="223"/>
      <c r="N165" s="163"/>
      <c r="P165" s="163"/>
      <c r="Q165" s="163"/>
      <c r="R165" s="163"/>
    </row>
    <row r="166" spans="2:18" ht="15" customHeight="1" x14ac:dyDescent="0.2">
      <c r="B166" s="45">
        <f>MAX(B$164:B165)+1</f>
        <v>2</v>
      </c>
      <c r="E166" s="223"/>
      <c r="F166" s="38" t="s">
        <v>302</v>
      </c>
      <c r="G166" s="223"/>
      <c r="H166" s="224" t="s">
        <v>572</v>
      </c>
      <c r="J166" s="340"/>
      <c r="L166" s="341"/>
      <c r="N166" s="227">
        <v>2.544</v>
      </c>
      <c r="P166" s="227">
        <v>2.544</v>
      </c>
      <c r="Q166" s="163"/>
      <c r="R166" s="303">
        <v>0</v>
      </c>
    </row>
    <row r="167" spans="2:18" ht="15" customHeight="1" x14ac:dyDescent="0.2">
      <c r="E167" s="223"/>
      <c r="F167" s="86"/>
      <c r="G167" s="223"/>
      <c r="H167" s="223"/>
      <c r="N167" s="163"/>
      <c r="P167" s="163"/>
      <c r="Q167" s="163"/>
      <c r="R167" s="163"/>
    </row>
    <row r="168" spans="2:18" ht="15" customHeight="1" x14ac:dyDescent="0.2">
      <c r="B168" s="45">
        <f>MAX(B$164:B167)+1</f>
        <v>3</v>
      </c>
      <c r="E168" s="223"/>
      <c r="F168" s="86" t="s">
        <v>199</v>
      </c>
      <c r="G168" s="223"/>
      <c r="H168" s="224" t="s">
        <v>572</v>
      </c>
      <c r="J168" s="340"/>
      <c r="L168" s="341"/>
      <c r="N168" s="227">
        <v>8.4000000000000005E-2</v>
      </c>
      <c r="P168" s="338">
        <f>N168</f>
        <v>8.4000000000000005E-2</v>
      </c>
      <c r="Q168" s="163"/>
      <c r="R168" s="303">
        <v>0</v>
      </c>
    </row>
    <row r="169" spans="2:18" ht="15" customHeight="1" x14ac:dyDescent="0.2">
      <c r="E169" s="223"/>
      <c r="F169" s="86"/>
      <c r="G169" s="223"/>
      <c r="H169" s="223"/>
      <c r="N169" s="163"/>
      <c r="P169" s="163"/>
      <c r="Q169" s="163"/>
      <c r="R169" s="163"/>
    </row>
    <row r="170" spans="2:18" ht="15" customHeight="1" x14ac:dyDescent="0.2">
      <c r="D170" s="40" t="s">
        <v>101</v>
      </c>
      <c r="E170" s="223"/>
      <c r="F170" s="86"/>
      <c r="G170" s="223"/>
      <c r="H170" s="223"/>
      <c r="N170" s="163"/>
      <c r="P170" s="163"/>
      <c r="Q170" s="163"/>
      <c r="R170" s="163"/>
    </row>
    <row r="171" spans="2:18" ht="15" customHeight="1" x14ac:dyDescent="0.2">
      <c r="E171" s="223"/>
      <c r="F171" s="40" t="s">
        <v>293</v>
      </c>
    </row>
    <row r="172" spans="2:18" ht="15" customHeight="1" x14ac:dyDescent="0.2">
      <c r="D172" s="342"/>
      <c r="E172" s="223"/>
      <c r="F172" s="38" t="s">
        <v>308</v>
      </c>
    </row>
    <row r="173" spans="2:18" ht="15" customHeight="1" x14ac:dyDescent="0.2">
      <c r="B173" s="45">
        <f>MAX(B$164:B172)+1</f>
        <v>4</v>
      </c>
      <c r="D173" s="342"/>
      <c r="E173" s="223"/>
      <c r="F173" s="342" t="s">
        <v>292</v>
      </c>
      <c r="G173" s="223"/>
      <c r="H173" s="224" t="s">
        <v>572</v>
      </c>
      <c r="J173" s="227"/>
      <c r="L173" s="341"/>
      <c r="N173" s="227">
        <v>3.4659904804556181</v>
      </c>
      <c r="P173" s="227">
        <f>N173</f>
        <v>3.4659904804556181</v>
      </c>
      <c r="Q173" s="163"/>
      <c r="R173" s="303">
        <v>0</v>
      </c>
    </row>
    <row r="174" spans="2:18" ht="15" customHeight="1" x14ac:dyDescent="0.2">
      <c r="B174" s="45">
        <f>MAX(B$164:B173)+1</f>
        <v>5</v>
      </c>
      <c r="D174" s="342"/>
      <c r="E174" s="223"/>
      <c r="F174" s="342" t="s">
        <v>109</v>
      </c>
      <c r="H174" s="224" t="s">
        <v>572</v>
      </c>
      <c r="J174" s="227"/>
      <c r="L174" s="341"/>
      <c r="N174" s="227">
        <v>2.5113604084574739</v>
      </c>
      <c r="P174" s="227">
        <f t="shared" ref="P174:P187" si="0">N174</f>
        <v>2.5113604084574739</v>
      </c>
      <c r="Q174" s="163"/>
      <c r="R174" s="303">
        <v>0</v>
      </c>
    </row>
    <row r="175" spans="2:18" ht="15" customHeight="1" x14ac:dyDescent="0.2">
      <c r="B175" s="45">
        <f>MAX(B$164:B174)+1</f>
        <v>6</v>
      </c>
      <c r="D175" s="342"/>
      <c r="E175" s="223"/>
      <c r="F175" s="342" t="s">
        <v>110</v>
      </c>
      <c r="H175" s="224" t="s">
        <v>572</v>
      </c>
      <c r="J175" s="227"/>
      <c r="L175" s="341"/>
      <c r="N175" s="227">
        <v>1.3871075927606822</v>
      </c>
      <c r="P175" s="227">
        <f t="shared" si="0"/>
        <v>1.3871075927606822</v>
      </c>
      <c r="Q175" s="163"/>
      <c r="R175" s="303">
        <v>0</v>
      </c>
    </row>
    <row r="176" spans="2:18" ht="15" customHeight="1" x14ac:dyDescent="0.2">
      <c r="B176" s="45">
        <f>MAX(B$164:B175)+1</f>
        <v>7</v>
      </c>
      <c r="D176" s="342"/>
      <c r="E176" s="223"/>
      <c r="F176" s="342" t="s">
        <v>573</v>
      </c>
      <c r="H176" s="224" t="s">
        <v>572</v>
      </c>
      <c r="J176" s="227"/>
      <c r="L176" s="341"/>
      <c r="N176" s="227">
        <v>0.94958643300153922</v>
      </c>
      <c r="P176" s="227">
        <f t="shared" si="0"/>
        <v>0.94958643300153922</v>
      </c>
      <c r="Q176" s="163"/>
      <c r="R176" s="303">
        <v>0</v>
      </c>
    </row>
    <row r="177" spans="2:18" ht="15" customHeight="1" x14ac:dyDescent="0.2">
      <c r="B177" s="45">
        <f>MAX(B$164:B176)+1</f>
        <v>8</v>
      </c>
      <c r="D177" s="342"/>
      <c r="E177" s="223"/>
      <c r="F177" s="342" t="s">
        <v>574</v>
      </c>
      <c r="H177" s="224" t="s">
        <v>572</v>
      </c>
      <c r="J177" s="227"/>
      <c r="L177" s="341"/>
      <c r="N177" s="227">
        <v>0.94958643300153922</v>
      </c>
      <c r="P177" s="227">
        <f t="shared" si="0"/>
        <v>0.94958643300153922</v>
      </c>
      <c r="Q177" s="163"/>
      <c r="R177" s="303"/>
    </row>
    <row r="178" spans="2:18" ht="15" customHeight="1" x14ac:dyDescent="0.2">
      <c r="B178" s="45">
        <f>MAX(B$164:B177)+1</f>
        <v>9</v>
      </c>
      <c r="D178" s="342"/>
      <c r="E178" s="223"/>
      <c r="F178" s="342" t="s">
        <v>112</v>
      </c>
      <c r="H178" s="224" t="s">
        <v>572</v>
      </c>
      <c r="J178" s="227"/>
      <c r="L178" s="341"/>
      <c r="N178" s="227">
        <v>1.3396493104163629</v>
      </c>
      <c r="P178" s="227">
        <f t="shared" si="0"/>
        <v>1.3396493104163629</v>
      </c>
      <c r="Q178" s="163"/>
      <c r="R178" s="303">
        <v>0</v>
      </c>
    </row>
    <row r="179" spans="2:18" ht="15" customHeight="1" x14ac:dyDescent="0.2">
      <c r="B179" s="45">
        <f>MAX(B$164:B178)+1</f>
        <v>10</v>
      </c>
      <c r="D179" s="342"/>
      <c r="E179" s="223"/>
      <c r="F179" s="342" t="s">
        <v>303</v>
      </c>
      <c r="H179" s="224" t="s">
        <v>572</v>
      </c>
      <c r="J179" s="227"/>
      <c r="L179" s="341"/>
      <c r="N179" s="227">
        <v>2.1396256317605262</v>
      </c>
      <c r="P179" s="227">
        <f t="shared" si="0"/>
        <v>2.1396256317605262</v>
      </c>
      <c r="Q179" s="163"/>
      <c r="R179" s="303">
        <v>0</v>
      </c>
    </row>
    <row r="180" spans="2:18" ht="15" customHeight="1" x14ac:dyDescent="0.2">
      <c r="B180" s="45">
        <f>MAX(B$164:B179)+1</f>
        <v>11</v>
      </c>
      <c r="D180" s="342"/>
      <c r="E180" s="223"/>
      <c r="F180" s="342" t="s">
        <v>575</v>
      </c>
      <c r="H180" s="224" t="s">
        <v>572</v>
      </c>
      <c r="J180" s="227"/>
      <c r="L180" s="341"/>
      <c r="N180" s="227">
        <v>0.94958643300153922</v>
      </c>
      <c r="P180" s="227">
        <f t="shared" si="0"/>
        <v>0.94958643300153922</v>
      </c>
      <c r="Q180" s="163"/>
      <c r="R180" s="303">
        <v>0</v>
      </c>
    </row>
    <row r="181" spans="2:18" ht="15" customHeight="1" x14ac:dyDescent="0.2">
      <c r="B181" s="45">
        <f>MAX(B$164:B180)+1</f>
        <v>12</v>
      </c>
      <c r="D181" s="342"/>
      <c r="E181" s="223"/>
      <c r="F181" s="342" t="s">
        <v>576</v>
      </c>
      <c r="H181" s="224" t="s">
        <v>572</v>
      </c>
      <c r="J181" s="227"/>
      <c r="L181" s="341"/>
      <c r="N181" s="227">
        <v>0.94958643300153922</v>
      </c>
      <c r="P181" s="227">
        <f t="shared" si="0"/>
        <v>0.94958643300153922</v>
      </c>
      <c r="Q181" s="163"/>
      <c r="R181" s="303"/>
    </row>
    <row r="182" spans="2:18" ht="15" customHeight="1" x14ac:dyDescent="0.2">
      <c r="B182" s="45">
        <f>MAX(B$164:B181)+1</f>
        <v>13</v>
      </c>
      <c r="D182" s="342"/>
      <c r="E182" s="223"/>
      <c r="F182" s="342" t="s">
        <v>577</v>
      </c>
      <c r="H182" s="224" t="s">
        <v>572</v>
      </c>
      <c r="J182" s="227"/>
      <c r="L182" s="341"/>
      <c r="N182" s="227">
        <v>6.6401399005200359</v>
      </c>
      <c r="P182" s="227">
        <f t="shared" si="0"/>
        <v>6.6401399005200359</v>
      </c>
      <c r="R182" s="303">
        <v>0</v>
      </c>
    </row>
    <row r="183" spans="2:18" ht="15" customHeight="1" x14ac:dyDescent="0.2">
      <c r="B183" s="45">
        <f>MAX(B$164:B182)+1</f>
        <v>14</v>
      </c>
      <c r="F183" s="342" t="s">
        <v>578</v>
      </c>
      <c r="H183" s="224" t="s">
        <v>572</v>
      </c>
      <c r="J183" s="227"/>
      <c r="L183" s="341"/>
      <c r="N183" s="227">
        <v>1.8192164111013795</v>
      </c>
      <c r="P183" s="227">
        <f t="shared" si="0"/>
        <v>1.8192164111013795</v>
      </c>
      <c r="R183" s="303">
        <v>0</v>
      </c>
    </row>
    <row r="184" spans="2:18" ht="15" customHeight="1" x14ac:dyDescent="0.2">
      <c r="B184" s="45">
        <f>MAX(B$164:B183)+1</f>
        <v>15</v>
      </c>
      <c r="F184" s="39" t="s">
        <v>114</v>
      </c>
      <c r="H184" s="224" t="s">
        <v>572</v>
      </c>
      <c r="J184" s="227"/>
      <c r="L184" s="341"/>
      <c r="N184" s="227">
        <v>1.4922711849025505</v>
      </c>
      <c r="P184" s="227">
        <f t="shared" si="0"/>
        <v>1.4922711849025505</v>
      </c>
      <c r="R184" s="303">
        <v>0</v>
      </c>
    </row>
    <row r="185" spans="2:18" ht="15" customHeight="1" x14ac:dyDescent="0.2">
      <c r="B185" s="45">
        <f>MAX(B$164:B184)+1</f>
        <v>16</v>
      </c>
      <c r="F185" s="342" t="s">
        <v>304</v>
      </c>
      <c r="H185" s="224" t="s">
        <v>572</v>
      </c>
      <c r="J185" s="227"/>
      <c r="L185" s="341"/>
      <c r="N185" s="227">
        <v>5.0999999999999997E-2</v>
      </c>
      <c r="P185" s="227">
        <f t="shared" si="0"/>
        <v>5.0999999999999997E-2</v>
      </c>
      <c r="Q185" s="163"/>
      <c r="R185" s="303">
        <v>0</v>
      </c>
    </row>
    <row r="186" spans="2:18" ht="15" customHeight="1" x14ac:dyDescent="0.2">
      <c r="F186" s="223"/>
      <c r="N186" s="227"/>
      <c r="P186" s="227"/>
      <c r="Q186" s="163"/>
      <c r="R186" s="163"/>
    </row>
    <row r="187" spans="2:18" ht="15" customHeight="1" x14ac:dyDescent="0.2">
      <c r="B187" s="45">
        <f>MAX(B$164:B186)+1</f>
        <v>17</v>
      </c>
      <c r="F187" s="343" t="s">
        <v>310</v>
      </c>
      <c r="H187" s="224" t="s">
        <v>572</v>
      </c>
      <c r="J187" s="227"/>
      <c r="L187" s="341"/>
      <c r="N187" s="227">
        <v>4.4155769134571576</v>
      </c>
      <c r="P187" s="227">
        <f t="shared" si="0"/>
        <v>4.4155769134571576</v>
      </c>
      <c r="R187" s="303">
        <v>0</v>
      </c>
    </row>
    <row r="188" spans="2:18" ht="15" customHeight="1" x14ac:dyDescent="0.2">
      <c r="F188" s="344"/>
    </row>
    <row r="189" spans="2:18" ht="15" customHeight="1" x14ac:dyDescent="0.2">
      <c r="F189" s="343" t="s">
        <v>305</v>
      </c>
    </row>
    <row r="190" spans="2:18" ht="15" customHeight="1" x14ac:dyDescent="0.2">
      <c r="B190" s="45">
        <f>MAX(B$164:B189)+1</f>
        <v>18</v>
      </c>
      <c r="F190" s="344" t="s">
        <v>579</v>
      </c>
      <c r="H190" s="224" t="s">
        <v>572</v>
      </c>
      <c r="J190" s="227"/>
      <c r="L190" s="341"/>
      <c r="N190" s="227">
        <v>1.5911347072514962E-2</v>
      </c>
      <c r="P190" s="227">
        <v>1.5911347072514962E-2</v>
      </c>
      <c r="Q190" s="163"/>
      <c r="R190" s="303">
        <v>0</v>
      </c>
    </row>
    <row r="191" spans="2:18" ht="15" customHeight="1" x14ac:dyDescent="0.2">
      <c r="B191" s="45">
        <f>MAX(B$164:B190)+1</f>
        <v>19</v>
      </c>
      <c r="F191" s="344" t="s">
        <v>580</v>
      </c>
      <c r="H191" s="224" t="s">
        <v>572</v>
      </c>
      <c r="J191" s="227"/>
      <c r="L191" s="341"/>
      <c r="N191" s="227">
        <v>2.3867020608772445E-2</v>
      </c>
      <c r="P191" s="227">
        <v>2.3867020608772445E-2</v>
      </c>
      <c r="Q191" s="163"/>
      <c r="R191" s="303">
        <v>0</v>
      </c>
    </row>
    <row r="192" spans="2:18" ht="15" customHeight="1" x14ac:dyDescent="0.2">
      <c r="B192" s="45">
        <f>MAX(B$164:B191)+1</f>
        <v>20</v>
      </c>
      <c r="F192" s="51" t="s">
        <v>515</v>
      </c>
      <c r="H192" s="224" t="s">
        <v>572</v>
      </c>
      <c r="J192" s="227"/>
      <c r="L192" s="341"/>
      <c r="N192" s="227">
        <v>0.15459999999999999</v>
      </c>
      <c r="P192" s="227">
        <v>0.15459999999999999</v>
      </c>
      <c r="Q192" s="163"/>
      <c r="R192" s="303">
        <v>0</v>
      </c>
    </row>
    <row r="193" spans="2:18" ht="15" customHeight="1" x14ac:dyDescent="0.2">
      <c r="F193" s="38"/>
    </row>
    <row r="194" spans="2:18" ht="15" customHeight="1" x14ac:dyDescent="0.2">
      <c r="F194" s="40" t="s">
        <v>581</v>
      </c>
    </row>
    <row r="195" spans="2:18" ht="15" customHeight="1" x14ac:dyDescent="0.2">
      <c r="B195" s="45">
        <f>MAX(B$164:B194)+1</f>
        <v>21</v>
      </c>
      <c r="F195" s="342" t="s">
        <v>582</v>
      </c>
      <c r="H195" s="224" t="s">
        <v>167</v>
      </c>
      <c r="J195" s="227"/>
      <c r="L195" s="341"/>
      <c r="N195" s="302" t="s">
        <v>593</v>
      </c>
      <c r="P195" s="303">
        <v>0</v>
      </c>
      <c r="R195" s="227" t="str">
        <f>N195</f>
        <v>Note (3)</v>
      </c>
    </row>
    <row r="196" spans="2:18" ht="15" customHeight="1" x14ac:dyDescent="0.2">
      <c r="B196" s="45">
        <f>MAX(B$164:B195)+1</f>
        <v>22</v>
      </c>
      <c r="F196" s="342" t="s">
        <v>583</v>
      </c>
      <c r="H196" s="224" t="s">
        <v>167</v>
      </c>
      <c r="J196" s="227"/>
      <c r="L196" s="341"/>
      <c r="N196" s="302" t="s">
        <v>593</v>
      </c>
      <c r="P196" s="303">
        <v>0</v>
      </c>
      <c r="R196" s="227" t="str">
        <f t="shared" ref="R196:R209" si="1">N196</f>
        <v>Note (3)</v>
      </c>
    </row>
    <row r="197" spans="2:18" ht="15" customHeight="1" x14ac:dyDescent="0.2">
      <c r="B197" s="45">
        <f>MAX(B$164:B196)+1</f>
        <v>23</v>
      </c>
      <c r="F197" s="342" t="s">
        <v>584</v>
      </c>
      <c r="H197" s="224" t="s">
        <v>167</v>
      </c>
      <c r="J197" s="227"/>
      <c r="L197" s="341"/>
      <c r="N197" s="302" t="s">
        <v>593</v>
      </c>
      <c r="P197" s="303">
        <v>0</v>
      </c>
      <c r="R197" s="227" t="str">
        <f t="shared" si="1"/>
        <v>Note (3)</v>
      </c>
    </row>
    <row r="198" spans="2:18" ht="15" customHeight="1" x14ac:dyDescent="0.2">
      <c r="B198" s="45">
        <f>MAX(B$164:B197)+1</f>
        <v>24</v>
      </c>
      <c r="F198" s="342" t="s">
        <v>585</v>
      </c>
      <c r="H198" s="224" t="s">
        <v>167</v>
      </c>
      <c r="J198" s="227"/>
      <c r="L198" s="341"/>
      <c r="N198" s="302" t="s">
        <v>593</v>
      </c>
      <c r="P198" s="303">
        <v>0</v>
      </c>
      <c r="R198" s="227" t="str">
        <f t="shared" si="1"/>
        <v>Note (3)</v>
      </c>
    </row>
    <row r="199" spans="2:18" ht="15" customHeight="1" x14ac:dyDescent="0.2">
      <c r="B199" s="45">
        <f>MAX(B$164:B198)+1</f>
        <v>25</v>
      </c>
      <c r="F199" s="342" t="s">
        <v>586</v>
      </c>
      <c r="H199" s="224" t="s">
        <v>167</v>
      </c>
      <c r="J199" s="227"/>
      <c r="L199" s="341"/>
      <c r="N199" s="302" t="s">
        <v>593</v>
      </c>
      <c r="P199" s="303">
        <v>0</v>
      </c>
      <c r="R199" s="227" t="str">
        <f t="shared" si="1"/>
        <v>Note (3)</v>
      </c>
    </row>
    <row r="200" spans="2:18" ht="15" customHeight="1" x14ac:dyDescent="0.2">
      <c r="B200" s="45">
        <f>MAX(B$164:B199)+1</f>
        <v>26</v>
      </c>
      <c r="F200" s="342" t="s">
        <v>586</v>
      </c>
      <c r="H200" s="224" t="s">
        <v>167</v>
      </c>
      <c r="J200" s="227"/>
      <c r="L200" s="341"/>
      <c r="N200" s="302" t="s">
        <v>593</v>
      </c>
      <c r="P200" s="303">
        <v>0</v>
      </c>
      <c r="R200" s="227" t="str">
        <f t="shared" si="1"/>
        <v>Note (3)</v>
      </c>
    </row>
    <row r="201" spans="2:18" ht="15" customHeight="1" x14ac:dyDescent="0.2">
      <c r="B201" s="45">
        <f>MAX(B$164:B200)+1</f>
        <v>27</v>
      </c>
      <c r="F201" s="342" t="s">
        <v>587</v>
      </c>
      <c r="H201" s="224" t="s">
        <v>167</v>
      </c>
      <c r="J201" s="227"/>
      <c r="L201" s="341"/>
      <c r="N201" s="302" t="s">
        <v>593</v>
      </c>
      <c r="P201" s="303">
        <v>0</v>
      </c>
      <c r="R201" s="227" t="str">
        <f t="shared" si="1"/>
        <v>Note (3)</v>
      </c>
    </row>
    <row r="202" spans="2:18" ht="15" customHeight="1" x14ac:dyDescent="0.2">
      <c r="B202" s="45">
        <f>MAX(B$164:B201)+1</f>
        <v>28</v>
      </c>
      <c r="F202" s="342" t="s">
        <v>588</v>
      </c>
      <c r="H202" s="224" t="s">
        <v>167</v>
      </c>
      <c r="J202" s="227"/>
      <c r="L202" s="341"/>
      <c r="N202" s="302" t="s">
        <v>593</v>
      </c>
      <c r="P202" s="303">
        <v>0</v>
      </c>
      <c r="R202" s="227" t="str">
        <f t="shared" si="1"/>
        <v>Note (3)</v>
      </c>
    </row>
    <row r="203" spans="2:18" ht="15" customHeight="1" x14ac:dyDescent="0.2">
      <c r="B203" s="45">
        <f>MAX(B$164:B202)+1</f>
        <v>29</v>
      </c>
      <c r="F203" s="342" t="s">
        <v>576</v>
      </c>
      <c r="H203" s="224" t="s">
        <v>167</v>
      </c>
      <c r="J203" s="227"/>
      <c r="L203" s="341"/>
      <c r="N203" s="302" t="s">
        <v>593</v>
      </c>
      <c r="P203" s="303">
        <v>0</v>
      </c>
      <c r="R203" s="227" t="str">
        <f t="shared" si="1"/>
        <v>Note (3)</v>
      </c>
    </row>
    <row r="204" spans="2:18" ht="15" customHeight="1" x14ac:dyDescent="0.2">
      <c r="B204" s="45">
        <f>MAX(B$164:B203)+1</f>
        <v>30</v>
      </c>
      <c r="F204" s="342" t="s">
        <v>589</v>
      </c>
      <c r="H204" s="224" t="s">
        <v>167</v>
      </c>
      <c r="J204" s="227"/>
      <c r="L204" s="341"/>
      <c r="N204" s="302" t="s">
        <v>593</v>
      </c>
      <c r="P204" s="303">
        <v>0</v>
      </c>
      <c r="R204" s="227" t="str">
        <f t="shared" si="1"/>
        <v>Note (3)</v>
      </c>
    </row>
    <row r="205" spans="2:18" ht="15" customHeight="1" x14ac:dyDescent="0.2">
      <c r="B205" s="45">
        <f>MAX(B$164:B204)+1</f>
        <v>31</v>
      </c>
      <c r="F205" s="342" t="s">
        <v>590</v>
      </c>
      <c r="H205" s="224" t="s">
        <v>167</v>
      </c>
      <c r="J205" s="227"/>
      <c r="L205" s="341"/>
      <c r="N205" s="302" t="s">
        <v>596</v>
      </c>
      <c r="P205" s="303">
        <v>0</v>
      </c>
      <c r="R205" s="227" t="str">
        <f t="shared" si="1"/>
        <v>Note (4)</v>
      </c>
    </row>
    <row r="206" spans="2:18" ht="15" customHeight="1" x14ac:dyDescent="0.2">
      <c r="B206" s="45">
        <f>MAX(B$164:B205)+1</f>
        <v>32</v>
      </c>
      <c r="F206" s="342" t="s">
        <v>591</v>
      </c>
      <c r="H206" s="224" t="s">
        <v>167</v>
      </c>
      <c r="J206" s="227"/>
      <c r="L206" s="341"/>
      <c r="N206" s="302" t="s">
        <v>596</v>
      </c>
      <c r="P206" s="303">
        <v>0</v>
      </c>
      <c r="R206" s="227" t="str">
        <f t="shared" si="1"/>
        <v>Note (4)</v>
      </c>
    </row>
    <row r="207" spans="2:18" ht="15" customHeight="1" x14ac:dyDescent="0.2">
      <c r="B207" s="45">
        <f>MAX(B$164:B206)+1</f>
        <v>33</v>
      </c>
      <c r="F207" s="342" t="s">
        <v>579</v>
      </c>
      <c r="H207" s="224" t="s">
        <v>167</v>
      </c>
      <c r="J207" s="227"/>
      <c r="L207" s="341"/>
      <c r="N207" s="302" t="s">
        <v>596</v>
      </c>
      <c r="P207" s="303">
        <v>0</v>
      </c>
      <c r="R207" s="227" t="str">
        <f t="shared" si="1"/>
        <v>Note (4)</v>
      </c>
    </row>
    <row r="208" spans="2:18" ht="15" customHeight="1" x14ac:dyDescent="0.2">
      <c r="B208" s="45">
        <f>MAX(B$164:B207)+1</f>
        <v>34</v>
      </c>
      <c r="F208" s="342" t="s">
        <v>580</v>
      </c>
      <c r="H208" s="224" t="s">
        <v>167</v>
      </c>
      <c r="J208" s="227"/>
      <c r="L208" s="341"/>
      <c r="N208" s="302" t="s">
        <v>596</v>
      </c>
      <c r="P208" s="303">
        <v>0</v>
      </c>
      <c r="R208" s="227" t="str">
        <f t="shared" si="1"/>
        <v>Note (4)</v>
      </c>
    </row>
    <row r="209" spans="2:18" ht="15" customHeight="1" x14ac:dyDescent="0.2">
      <c r="B209" s="45">
        <f>MAX(B$164:B208)+1</f>
        <v>35</v>
      </c>
      <c r="F209" s="39" t="s">
        <v>592</v>
      </c>
      <c r="H209" s="224" t="s">
        <v>167</v>
      </c>
      <c r="N209" s="302" t="s">
        <v>593</v>
      </c>
      <c r="P209" s="303">
        <v>0</v>
      </c>
      <c r="R209" s="227" t="str">
        <f t="shared" si="1"/>
        <v>Note (3)</v>
      </c>
    </row>
    <row r="210" spans="2:18" ht="15" customHeight="1" x14ac:dyDescent="0.2">
      <c r="B210" s="45">
        <f>MAX(B$164:B209)+1</f>
        <v>36</v>
      </c>
      <c r="F210" s="39" t="s">
        <v>515</v>
      </c>
      <c r="H210" s="224" t="s">
        <v>167</v>
      </c>
      <c r="J210" s="227"/>
      <c r="L210" s="341"/>
      <c r="N210" s="302">
        <f>IFERROR(ROUND(P210 + R210, 3),R210)</f>
        <v>0</v>
      </c>
      <c r="R210" s="303">
        <v>0</v>
      </c>
    </row>
    <row r="211" spans="2:18" ht="15" customHeight="1" x14ac:dyDescent="0.2">
      <c r="B211" s="45"/>
    </row>
    <row r="212" spans="2:18" ht="15" customHeight="1" x14ac:dyDescent="0.2">
      <c r="B212" s="45">
        <f>MAX(B$164:B211)+1</f>
        <v>37</v>
      </c>
      <c r="F212" s="39" t="s">
        <v>310</v>
      </c>
      <c r="H212" s="224" t="s">
        <v>167</v>
      </c>
      <c r="J212" s="227"/>
      <c r="L212" s="341"/>
      <c r="N212" s="302" t="s">
        <v>593</v>
      </c>
      <c r="P212" s="303">
        <v>0</v>
      </c>
      <c r="R212" s="227" t="s">
        <v>593</v>
      </c>
    </row>
    <row r="213" spans="2:18" ht="15" customHeight="1" x14ac:dyDescent="0.2">
      <c r="B213" s="45"/>
      <c r="F213" s="342"/>
      <c r="H213" s="224"/>
      <c r="J213" s="227"/>
      <c r="L213" s="341"/>
      <c r="N213" s="302"/>
      <c r="P213" s="303"/>
      <c r="R213" s="227"/>
    </row>
    <row r="214" spans="2:18" ht="15" customHeight="1" x14ac:dyDescent="0.2">
      <c r="B214" s="45"/>
      <c r="F214" s="40" t="s">
        <v>309</v>
      </c>
    </row>
    <row r="215" spans="2:18" ht="15" customHeight="1" x14ac:dyDescent="0.2">
      <c r="B215" s="45"/>
      <c r="F215" s="38" t="s">
        <v>306</v>
      </c>
      <c r="H215" s="224"/>
      <c r="J215" s="227"/>
    </row>
    <row r="216" spans="2:18" ht="15" customHeight="1" x14ac:dyDescent="0.2">
      <c r="B216" s="45">
        <f>MAX(B$164:B215)+1</f>
        <v>38</v>
      </c>
      <c r="F216" s="39" t="s">
        <v>307</v>
      </c>
      <c r="H216" s="224" t="s">
        <v>572</v>
      </c>
      <c r="L216" s="341"/>
      <c r="N216" s="302">
        <f>IFERROR(ROUND(P216 + R218, 3),P216)</f>
        <v>8.3179999999999996</v>
      </c>
      <c r="P216" s="227">
        <v>8.3183771530934827</v>
      </c>
      <c r="R216" s="303">
        <v>0</v>
      </c>
    </row>
    <row r="217" spans="2:18" ht="15" customHeight="1" x14ac:dyDescent="0.2">
      <c r="B217" s="45"/>
    </row>
    <row r="218" spans="2:18" ht="15" customHeight="1" x14ac:dyDescent="0.2">
      <c r="B218" s="45"/>
    </row>
    <row r="219" spans="2:18" ht="15" customHeight="1" x14ac:dyDescent="0.2">
      <c r="F219" s="38"/>
      <c r="P219" s="227"/>
    </row>
    <row r="220" spans="2:18" ht="15" customHeight="1" x14ac:dyDescent="0.2">
      <c r="F220" s="38"/>
      <c r="P220" s="227"/>
    </row>
    <row r="221" spans="2:18" ht="15" customHeight="1" x14ac:dyDescent="0.2">
      <c r="F221" s="38"/>
      <c r="P221" s="227"/>
    </row>
    <row r="222" spans="2:18" ht="15" customHeight="1" x14ac:dyDescent="0.2">
      <c r="B222" s="177" t="str">
        <f>+$B$6</f>
        <v>Summary of Proposed Rate Changes and Unit Rate Component by Rate Class</v>
      </c>
      <c r="C222" s="176"/>
      <c r="D222" s="176"/>
      <c r="E222" s="176"/>
      <c r="F222" s="176"/>
      <c r="G222" s="176"/>
      <c r="H222" s="176"/>
      <c r="I222" s="176"/>
      <c r="J222" s="176"/>
      <c r="K222" s="176"/>
      <c r="L222" s="176"/>
      <c r="M222" s="176"/>
      <c r="N222" s="176"/>
      <c r="O222" s="176"/>
      <c r="P222" s="176"/>
      <c r="Q222" s="176"/>
      <c r="R222" s="176"/>
    </row>
    <row r="223" spans="2:18" ht="15" customHeight="1" x14ac:dyDescent="0.2">
      <c r="B223" s="177" t="s">
        <v>784</v>
      </c>
      <c r="C223" s="176"/>
      <c r="D223" s="176"/>
      <c r="E223" s="176"/>
      <c r="F223" s="176"/>
      <c r="G223" s="176"/>
      <c r="H223" s="176"/>
      <c r="I223" s="176"/>
      <c r="J223" s="176"/>
      <c r="K223" s="176"/>
      <c r="L223" s="176"/>
      <c r="M223" s="176"/>
      <c r="N223" s="176"/>
      <c r="O223" s="176"/>
      <c r="P223" s="176"/>
      <c r="Q223" s="176"/>
      <c r="R223" s="176"/>
    </row>
    <row r="224" spans="2:18" ht="15" customHeight="1" x14ac:dyDescent="0.2">
      <c r="B224" s="179"/>
      <c r="C224" s="176"/>
      <c r="D224" s="176"/>
      <c r="E224" s="176"/>
      <c r="F224" s="176"/>
      <c r="G224" s="176"/>
      <c r="H224" s="176"/>
      <c r="I224" s="176"/>
      <c r="J224" s="176"/>
      <c r="K224" s="176"/>
      <c r="L224" s="176"/>
      <c r="M224" s="176"/>
      <c r="N224" s="176"/>
      <c r="O224" s="176"/>
      <c r="P224" s="176"/>
      <c r="Q224" s="176"/>
      <c r="R224" s="176"/>
    </row>
    <row r="225" spans="2:18" ht="15" customHeight="1" x14ac:dyDescent="0.2">
      <c r="B225" s="255"/>
      <c r="C225" s="255"/>
      <c r="D225" s="255"/>
      <c r="E225" s="255"/>
      <c r="F225" s="255"/>
      <c r="G225" s="255"/>
      <c r="J225" s="74"/>
      <c r="K225" s="181"/>
      <c r="N225" s="74"/>
      <c r="P225" s="506" t="s">
        <v>568</v>
      </c>
      <c r="Q225" s="506"/>
      <c r="R225" s="506"/>
    </row>
    <row r="226" spans="2:18" ht="15" customHeight="1" x14ac:dyDescent="0.2">
      <c r="B226" s="268" t="s">
        <v>0</v>
      </c>
      <c r="C226" s="268"/>
      <c r="D226" s="356" t="s">
        <v>170</v>
      </c>
      <c r="E226" s="268"/>
      <c r="F226" s="268"/>
      <c r="G226" s="268"/>
      <c r="H226" s="486"/>
      <c r="I226" s="486"/>
      <c r="J226" s="45" t="s">
        <v>88</v>
      </c>
      <c r="K226" s="45"/>
      <c r="L226" s="45" t="s">
        <v>170</v>
      </c>
      <c r="M226" s="486"/>
      <c r="N226" s="74" t="s">
        <v>39</v>
      </c>
      <c r="O226" s="486"/>
      <c r="P226" s="507"/>
      <c r="Q226" s="507"/>
      <c r="R226" s="507"/>
    </row>
    <row r="227" spans="2:18" ht="15" customHeight="1" x14ac:dyDescent="0.2">
      <c r="B227" s="256" t="s">
        <v>1</v>
      </c>
      <c r="C227" s="46"/>
      <c r="D227" s="257" t="s">
        <v>569</v>
      </c>
      <c r="E227" s="45"/>
      <c r="F227" s="357" t="s">
        <v>9</v>
      </c>
      <c r="G227" s="45"/>
      <c r="H227" s="358" t="s">
        <v>21</v>
      </c>
      <c r="J227" s="487" t="s">
        <v>89</v>
      </c>
      <c r="K227" s="268"/>
      <c r="L227" s="487" t="s">
        <v>14</v>
      </c>
      <c r="N227" s="487" t="s">
        <v>31</v>
      </c>
      <c r="P227" s="487" t="s">
        <v>168</v>
      </c>
      <c r="Q227" s="486"/>
      <c r="R227" s="487" t="s">
        <v>169</v>
      </c>
    </row>
    <row r="228" spans="2:18" ht="15" customHeight="1" x14ac:dyDescent="0.2">
      <c r="B228" s="45"/>
      <c r="C228" s="46"/>
      <c r="D228" s="46"/>
      <c r="E228" s="45"/>
      <c r="F228" s="45"/>
      <c r="G228" s="45"/>
      <c r="J228" s="45" t="s">
        <v>90</v>
      </c>
      <c r="K228" s="45"/>
      <c r="L228" s="45" t="s">
        <v>826</v>
      </c>
      <c r="N228" s="45" t="s">
        <v>86</v>
      </c>
      <c r="P228" s="45" t="s">
        <v>133</v>
      </c>
      <c r="Q228" s="45"/>
      <c r="R228" s="45" t="s">
        <v>32</v>
      </c>
    </row>
    <row r="229" spans="2:18" ht="15" customHeight="1" x14ac:dyDescent="0.2">
      <c r="D229" s="40" t="s">
        <v>785</v>
      </c>
      <c r="F229" s="38"/>
      <c r="P229" s="227"/>
    </row>
    <row r="230" spans="2:18" ht="15" customHeight="1" x14ac:dyDescent="0.2">
      <c r="F230" s="40" t="s">
        <v>199</v>
      </c>
    </row>
    <row r="231" spans="2:18" ht="15" customHeight="1" x14ac:dyDescent="0.2">
      <c r="F231" s="40" t="s">
        <v>581</v>
      </c>
    </row>
    <row r="232" spans="2:18" ht="15" customHeight="1" x14ac:dyDescent="0.2">
      <c r="B232" s="45">
        <f>MAX(B$164:B231)+1</f>
        <v>39</v>
      </c>
      <c r="F232" s="342" t="s">
        <v>108</v>
      </c>
      <c r="H232" s="224" t="s">
        <v>167</v>
      </c>
      <c r="K232" s="364"/>
      <c r="L232" s="341"/>
      <c r="N232" s="227">
        <v>0.114</v>
      </c>
      <c r="O232" s="364" t="s">
        <v>191</v>
      </c>
      <c r="P232" s="227">
        <f>N232</f>
        <v>0.114</v>
      </c>
      <c r="R232" s="227" t="s">
        <v>593</v>
      </c>
    </row>
    <row r="233" spans="2:18" ht="15" customHeight="1" x14ac:dyDescent="0.2">
      <c r="B233" s="45">
        <f>MAX(B$164:B232)+1</f>
        <v>40</v>
      </c>
      <c r="F233" s="342" t="s">
        <v>583</v>
      </c>
      <c r="H233" s="224" t="s">
        <v>167</v>
      </c>
      <c r="K233" s="364"/>
      <c r="L233" s="341"/>
      <c r="N233" s="227">
        <v>8.3000000000000004E-2</v>
      </c>
      <c r="O233" s="364" t="s">
        <v>191</v>
      </c>
      <c r="P233" s="227">
        <f t="shared" ref="P233:P242" si="2">N233</f>
        <v>8.3000000000000004E-2</v>
      </c>
      <c r="R233" s="227" t="s">
        <v>593</v>
      </c>
    </row>
    <row r="234" spans="2:18" ht="15" customHeight="1" x14ac:dyDescent="0.2">
      <c r="B234" s="45">
        <f>MAX(B$164:B233)+1</f>
        <v>41</v>
      </c>
      <c r="F234" s="342" t="s">
        <v>110</v>
      </c>
      <c r="H234" s="224" t="s">
        <v>167</v>
      </c>
      <c r="K234" s="364"/>
      <c r="L234" s="341"/>
      <c r="N234" s="227">
        <v>4.5999999999999999E-2</v>
      </c>
      <c r="O234" s="364" t="s">
        <v>191</v>
      </c>
      <c r="P234" s="227">
        <f t="shared" si="2"/>
        <v>4.5999999999999999E-2</v>
      </c>
      <c r="R234" s="227" t="s">
        <v>593</v>
      </c>
    </row>
    <row r="235" spans="2:18" ht="15" customHeight="1" x14ac:dyDescent="0.2">
      <c r="B235" s="45">
        <f>MAX(B$164:B234)+1</f>
        <v>42</v>
      </c>
      <c r="F235" s="342" t="s">
        <v>594</v>
      </c>
      <c r="H235" s="224" t="s">
        <v>167</v>
      </c>
      <c r="K235" s="364"/>
      <c r="L235" s="341"/>
      <c r="N235" s="227">
        <v>0.1139503719601847</v>
      </c>
      <c r="O235" s="364" t="s">
        <v>191</v>
      </c>
      <c r="P235" s="227">
        <f t="shared" si="2"/>
        <v>0.1139503719601847</v>
      </c>
      <c r="R235" s="227" t="s">
        <v>593</v>
      </c>
    </row>
    <row r="236" spans="2:18" ht="15" customHeight="1" x14ac:dyDescent="0.2">
      <c r="B236" s="45">
        <f>MAX(B$164:B235)+1</f>
        <v>43</v>
      </c>
      <c r="F236" s="342" t="s">
        <v>574</v>
      </c>
      <c r="H236" s="224" t="s">
        <v>167</v>
      </c>
      <c r="K236" s="364"/>
      <c r="L236" s="341"/>
      <c r="N236" s="227">
        <v>0.1139503719601847</v>
      </c>
      <c r="O236" s="364" t="s">
        <v>191</v>
      </c>
      <c r="P236" s="227">
        <f t="shared" si="2"/>
        <v>0.1139503719601847</v>
      </c>
      <c r="R236" s="227" t="s">
        <v>593</v>
      </c>
    </row>
    <row r="237" spans="2:18" ht="15" customHeight="1" x14ac:dyDescent="0.2">
      <c r="B237" s="45">
        <f>MAX(B$164:B236)+1</f>
        <v>44</v>
      </c>
      <c r="F237" s="342" t="s">
        <v>112</v>
      </c>
      <c r="H237" s="224" t="s">
        <v>167</v>
      </c>
      <c r="K237" s="364"/>
      <c r="L237" s="341"/>
      <c r="N237" s="227">
        <v>4.404326499999002E-2</v>
      </c>
      <c r="O237" s="364" t="s">
        <v>191</v>
      </c>
      <c r="P237" s="227">
        <f t="shared" si="2"/>
        <v>4.404326499999002E-2</v>
      </c>
      <c r="R237" s="227" t="s">
        <v>593</v>
      </c>
    </row>
    <row r="238" spans="2:18" ht="15" customHeight="1" x14ac:dyDescent="0.2">
      <c r="B238" s="45">
        <f>MAX(B$164:B237)+1</f>
        <v>45</v>
      </c>
      <c r="F238" s="342" t="s">
        <v>303</v>
      </c>
      <c r="H238" s="224" t="s">
        <v>167</v>
      </c>
      <c r="K238" s="364"/>
      <c r="L238" s="341"/>
      <c r="N238" s="227">
        <v>7.0000000000000007E-2</v>
      </c>
      <c r="O238" s="364" t="s">
        <v>191</v>
      </c>
      <c r="P238" s="227">
        <f t="shared" si="2"/>
        <v>7.0000000000000007E-2</v>
      </c>
      <c r="R238" s="227" t="s">
        <v>593</v>
      </c>
    </row>
    <row r="239" spans="2:18" ht="15" customHeight="1" x14ac:dyDescent="0.2">
      <c r="B239" s="45">
        <f>MAX(B$164:B238)+1</f>
        <v>46</v>
      </c>
      <c r="F239" s="342" t="s">
        <v>576</v>
      </c>
      <c r="H239" s="224" t="s">
        <v>167</v>
      </c>
      <c r="K239" s="364"/>
      <c r="L239" s="341"/>
      <c r="N239" s="227">
        <v>3.1E-2</v>
      </c>
      <c r="O239" s="364" t="s">
        <v>191</v>
      </c>
      <c r="P239" s="227">
        <f t="shared" si="2"/>
        <v>3.1E-2</v>
      </c>
      <c r="R239" s="227" t="s">
        <v>593</v>
      </c>
    </row>
    <row r="240" spans="2:18" ht="15" customHeight="1" x14ac:dyDescent="0.2">
      <c r="B240" s="45">
        <f>MAX(B$164:B239)+1</f>
        <v>47</v>
      </c>
      <c r="F240" s="342" t="s">
        <v>575</v>
      </c>
      <c r="H240" s="224" t="s">
        <v>167</v>
      </c>
      <c r="K240" s="364"/>
      <c r="L240" s="341"/>
      <c r="N240" s="227">
        <v>3.1E-2</v>
      </c>
      <c r="O240" s="364" t="s">
        <v>191</v>
      </c>
      <c r="P240" s="227">
        <f t="shared" si="2"/>
        <v>3.1E-2</v>
      </c>
      <c r="R240" s="227" t="s">
        <v>593</v>
      </c>
    </row>
    <row r="241" spans="2:18" ht="15" customHeight="1" x14ac:dyDescent="0.2">
      <c r="B241" s="45">
        <f>MAX(B$164:B240)+1</f>
        <v>48</v>
      </c>
      <c r="F241" s="39" t="s">
        <v>595</v>
      </c>
      <c r="H241" s="224" t="s">
        <v>167</v>
      </c>
      <c r="K241" s="364"/>
      <c r="L241" s="341"/>
      <c r="N241" s="227">
        <v>0.218</v>
      </c>
      <c r="O241" s="364" t="s">
        <v>192</v>
      </c>
      <c r="P241" s="227">
        <f t="shared" si="2"/>
        <v>0.218</v>
      </c>
      <c r="R241" s="227" t="s">
        <v>596</v>
      </c>
    </row>
    <row r="242" spans="2:18" ht="15" customHeight="1" x14ac:dyDescent="0.2">
      <c r="B242" s="45">
        <f>MAX(B$164:B241)+1</f>
        <v>49</v>
      </c>
      <c r="F242" s="39" t="s">
        <v>597</v>
      </c>
      <c r="H242" s="224" t="s">
        <v>167</v>
      </c>
      <c r="K242" s="364"/>
      <c r="L242" s="341"/>
      <c r="N242" s="227">
        <v>5.9809854611552207E-2</v>
      </c>
      <c r="O242" s="364" t="s">
        <v>192</v>
      </c>
      <c r="P242" s="227">
        <f t="shared" si="2"/>
        <v>5.9809854611552207E-2</v>
      </c>
      <c r="R242" s="227" t="s">
        <v>596</v>
      </c>
    </row>
    <row r="243" spans="2:18" ht="15" customHeight="1" x14ac:dyDescent="0.2">
      <c r="B243" s="45">
        <f>MAX(B$164:B242)+1</f>
        <v>50</v>
      </c>
      <c r="F243" s="342" t="s">
        <v>513</v>
      </c>
      <c r="H243" s="224" t="s">
        <v>167</v>
      </c>
      <c r="K243" s="364"/>
      <c r="L243" s="341"/>
      <c r="N243" s="227">
        <v>5.231127804662454E-4</v>
      </c>
      <c r="O243" s="364" t="s">
        <v>192</v>
      </c>
      <c r="P243" s="227">
        <f>N243</f>
        <v>5.231127804662454E-4</v>
      </c>
      <c r="R243" s="227" t="s">
        <v>596</v>
      </c>
    </row>
    <row r="244" spans="2:18" ht="15" customHeight="1" x14ac:dyDescent="0.2">
      <c r="B244" s="45">
        <f>MAX(B$164:B243)+1</f>
        <v>51</v>
      </c>
      <c r="F244" s="342" t="s">
        <v>514</v>
      </c>
      <c r="H244" s="224" t="s">
        <v>167</v>
      </c>
      <c r="K244" s="364"/>
      <c r="L244" s="341"/>
      <c r="N244" s="227">
        <v>7.8466917069936815E-4</v>
      </c>
      <c r="O244" s="364" t="s">
        <v>192</v>
      </c>
      <c r="P244" s="227">
        <f>N244</f>
        <v>7.8466917069936815E-4</v>
      </c>
      <c r="R244" s="227" t="s">
        <v>596</v>
      </c>
    </row>
    <row r="245" spans="2:18" ht="15" customHeight="1" x14ac:dyDescent="0.2">
      <c r="B245" s="45">
        <f>MAX(B$164:B244)+1</f>
        <v>52</v>
      </c>
      <c r="F245" s="39" t="s">
        <v>114</v>
      </c>
      <c r="H245" s="224" t="s">
        <v>167</v>
      </c>
      <c r="K245" s="364"/>
      <c r="L245" s="341"/>
      <c r="N245" s="227">
        <v>5.8999999999999997E-2</v>
      </c>
      <c r="O245" s="364" t="s">
        <v>191</v>
      </c>
      <c r="P245" s="227">
        <f>N245</f>
        <v>5.8999999999999997E-2</v>
      </c>
      <c r="R245" s="227" t="s">
        <v>593</v>
      </c>
    </row>
    <row r="246" spans="2:18" ht="15" customHeight="1" x14ac:dyDescent="0.2">
      <c r="B246" s="45"/>
      <c r="F246" s="39"/>
    </row>
    <row r="247" spans="2:18" ht="15" customHeight="1" x14ac:dyDescent="0.2">
      <c r="B247" s="45">
        <f>MAX(B$164:B246)+1</f>
        <v>53</v>
      </c>
      <c r="F247" s="39" t="s">
        <v>310</v>
      </c>
      <c r="H247" s="224" t="s">
        <v>167</v>
      </c>
      <c r="J247" s="227"/>
      <c r="L247" s="341"/>
      <c r="N247" s="227">
        <v>0.14499999999999999</v>
      </c>
      <c r="O247" s="364" t="s">
        <v>191</v>
      </c>
      <c r="P247" s="227">
        <f>N247</f>
        <v>0.14499999999999999</v>
      </c>
      <c r="R247" s="227" t="s">
        <v>593</v>
      </c>
    </row>
    <row r="249" spans="2:18" ht="15" customHeight="1" x14ac:dyDescent="0.2">
      <c r="D249" s="40" t="s">
        <v>102</v>
      </c>
    </row>
    <row r="250" spans="2:18" ht="15" customHeight="1" x14ac:dyDescent="0.2">
      <c r="B250" s="45">
        <f>MAX(B$164:B249)+1</f>
        <v>54</v>
      </c>
      <c r="F250" s="345" t="s">
        <v>41</v>
      </c>
      <c r="H250" s="224" t="s">
        <v>163</v>
      </c>
      <c r="J250" s="346"/>
      <c r="L250" s="341"/>
      <c r="N250" s="471">
        <v>1669.1</v>
      </c>
      <c r="P250" s="471">
        <v>1669.1</v>
      </c>
      <c r="Q250" s="163"/>
      <c r="R250" s="471">
        <v>0</v>
      </c>
    </row>
    <row r="251" spans="2:18" ht="15" customHeight="1" x14ac:dyDescent="0.2">
      <c r="B251" s="45"/>
      <c r="F251" s="345" t="s">
        <v>311</v>
      </c>
    </row>
    <row r="252" spans="2:18" ht="15" customHeight="1" x14ac:dyDescent="0.2">
      <c r="B252" s="45">
        <f>MAX(B$164:B251)+1</f>
        <v>55</v>
      </c>
      <c r="F252" s="345" t="s">
        <v>312</v>
      </c>
      <c r="H252" s="224" t="s">
        <v>572</v>
      </c>
      <c r="J252" s="347"/>
      <c r="K252" s="347"/>
      <c r="L252" s="341"/>
      <c r="N252" s="347">
        <v>1.0780132903660307</v>
      </c>
      <c r="P252" s="347">
        <v>1.0780132903660307</v>
      </c>
      <c r="R252" s="303">
        <v>0</v>
      </c>
    </row>
    <row r="253" spans="2:18" ht="15" customHeight="1" x14ac:dyDescent="0.2">
      <c r="B253" s="45">
        <f>MAX(B$164:B252)+1</f>
        <v>56</v>
      </c>
      <c r="F253" s="345" t="s">
        <v>313</v>
      </c>
      <c r="H253" s="224" t="s">
        <v>572</v>
      </c>
      <c r="J253" s="347"/>
      <c r="K253" s="347"/>
      <c r="L253" s="341"/>
      <c r="N253" s="347">
        <v>1.8192164111013795</v>
      </c>
      <c r="P253" s="347">
        <v>1.8192164111013795</v>
      </c>
      <c r="R253" s="303">
        <v>0</v>
      </c>
    </row>
    <row r="254" spans="2:18" ht="15" customHeight="1" x14ac:dyDescent="0.2">
      <c r="B254" s="45">
        <f>MAX(B$164:B253)+1</f>
        <v>57</v>
      </c>
      <c r="F254" s="345" t="s">
        <v>314</v>
      </c>
      <c r="H254" s="224" t="s">
        <v>167</v>
      </c>
      <c r="J254" s="347"/>
      <c r="K254" s="347"/>
      <c r="L254" s="341"/>
      <c r="N254" s="347">
        <v>4.3999999999999997E-2</v>
      </c>
      <c r="P254" s="347">
        <v>4.3999999999999997E-2</v>
      </c>
      <c r="R254" s="303">
        <v>0</v>
      </c>
    </row>
    <row r="255" spans="2:18" ht="15" customHeight="1" x14ac:dyDescent="0.2">
      <c r="F255" s="345" t="s">
        <v>315</v>
      </c>
      <c r="J255" s="346"/>
    </row>
    <row r="256" spans="2:18" ht="15" customHeight="1" x14ac:dyDescent="0.2">
      <c r="B256" s="45">
        <f>MAX(B$164:B255)+1</f>
        <v>58</v>
      </c>
      <c r="F256" s="345" t="s">
        <v>598</v>
      </c>
      <c r="H256" s="224" t="s">
        <v>167</v>
      </c>
      <c r="J256" s="347"/>
      <c r="L256" s="341"/>
      <c r="N256" s="347">
        <v>2.5999999999999999E-2</v>
      </c>
      <c r="P256" s="303">
        <v>0</v>
      </c>
      <c r="R256" s="347">
        <v>2.5999999999999999E-2</v>
      </c>
    </row>
    <row r="257" spans="2:18" ht="15" customHeight="1" x14ac:dyDescent="0.2">
      <c r="B257" s="45">
        <f>MAX(B$164:B256)+1</f>
        <v>59</v>
      </c>
      <c r="F257" s="345" t="s">
        <v>599</v>
      </c>
      <c r="H257" s="224" t="s">
        <v>167</v>
      </c>
      <c r="J257" s="347"/>
      <c r="L257" s="341"/>
      <c r="N257" s="347">
        <v>2.5999999999999999E-2</v>
      </c>
      <c r="P257" s="303">
        <v>0</v>
      </c>
      <c r="R257" s="347">
        <v>2.5999999999999999E-2</v>
      </c>
    </row>
    <row r="258" spans="2:18" ht="15" customHeight="1" x14ac:dyDescent="0.2">
      <c r="B258" s="45">
        <f>MAX(B$164:B257)+1</f>
        <v>60</v>
      </c>
      <c r="F258" s="345" t="s">
        <v>600</v>
      </c>
      <c r="H258" s="224" t="s">
        <v>167</v>
      </c>
      <c r="J258" s="348"/>
      <c r="L258" s="341"/>
      <c r="N258" s="302" t="str">
        <f>IFERROR(ROUND(P258 + R258, 3),R258)</f>
        <v>Note (4)</v>
      </c>
      <c r="P258" s="303">
        <v>0</v>
      </c>
      <c r="R258" s="348" t="s">
        <v>596</v>
      </c>
    </row>
    <row r="259" spans="2:18" ht="15" customHeight="1" x14ac:dyDescent="0.2">
      <c r="B259" s="45">
        <f>MAX(B$164:B258)+1</f>
        <v>61</v>
      </c>
      <c r="F259" s="345" t="s">
        <v>601</v>
      </c>
      <c r="H259" s="224" t="s">
        <v>167</v>
      </c>
      <c r="J259" s="348"/>
      <c r="L259" s="341"/>
      <c r="N259" s="302" t="str">
        <f>IFERROR(ROUND(P259 + R259, 3),R259)</f>
        <v>Note (4)</v>
      </c>
      <c r="P259" s="303">
        <v>0</v>
      </c>
      <c r="R259" s="348" t="s">
        <v>596</v>
      </c>
    </row>
    <row r="260" spans="2:18" ht="15" customHeight="1" x14ac:dyDescent="0.2">
      <c r="F260" s="345" t="s">
        <v>316</v>
      </c>
      <c r="H260" s="224"/>
    </row>
    <row r="261" spans="2:18" ht="15" customHeight="1" x14ac:dyDescent="0.2">
      <c r="B261" s="45">
        <f>MAX(B$164:B260)+1</f>
        <v>62</v>
      </c>
      <c r="F261" s="345" t="s">
        <v>598</v>
      </c>
      <c r="H261" s="224" t="s">
        <v>167</v>
      </c>
      <c r="J261" s="347"/>
      <c r="L261" s="341"/>
      <c r="N261" s="347">
        <v>2.5999999999999999E-2</v>
      </c>
      <c r="P261" s="303">
        <v>0</v>
      </c>
      <c r="R261" s="347">
        <v>2.5999999999999999E-2</v>
      </c>
    </row>
    <row r="262" spans="2:18" ht="15" customHeight="1" x14ac:dyDescent="0.2">
      <c r="B262" s="45">
        <f>MAX(B$164:B261)+1</f>
        <v>63</v>
      </c>
      <c r="F262" s="345" t="s">
        <v>599</v>
      </c>
      <c r="H262" s="224" t="s">
        <v>167</v>
      </c>
      <c r="J262" s="347"/>
      <c r="L262" s="341"/>
      <c r="N262" s="347">
        <v>5.6000000000000001E-2</v>
      </c>
      <c r="P262" s="303">
        <v>0</v>
      </c>
      <c r="R262" s="347">
        <v>5.6000000000000001E-2</v>
      </c>
    </row>
    <row r="263" spans="2:18" ht="15" customHeight="1" x14ac:dyDescent="0.2">
      <c r="B263" s="45">
        <f>MAX(B$164:B262)+1</f>
        <v>64</v>
      </c>
      <c r="E263" s="223"/>
      <c r="F263" s="345" t="s">
        <v>600</v>
      </c>
      <c r="G263" s="223"/>
      <c r="H263" s="224" t="s">
        <v>167</v>
      </c>
      <c r="J263" s="348"/>
      <c r="L263" s="341"/>
      <c r="N263" s="302" t="str">
        <f>IFERROR(ROUND(P263 + R263, 3),R263)</f>
        <v>Note (4)</v>
      </c>
      <c r="P263" s="303">
        <v>0</v>
      </c>
      <c r="R263" s="348" t="s">
        <v>596</v>
      </c>
    </row>
    <row r="264" spans="2:18" ht="15" customHeight="1" x14ac:dyDescent="0.2">
      <c r="B264" s="45">
        <f>MAX(B$164:B263)+1</f>
        <v>65</v>
      </c>
      <c r="F264" s="345" t="s">
        <v>601</v>
      </c>
      <c r="H264" s="224" t="s">
        <v>167</v>
      </c>
      <c r="J264" s="348"/>
      <c r="L264" s="341"/>
      <c r="N264" s="302" t="str">
        <f>IFERROR(ROUND(P264 + R264, 3),R264)</f>
        <v>Note (4)</v>
      </c>
      <c r="P264" s="303">
        <v>0</v>
      </c>
      <c r="R264" s="348" t="s">
        <v>596</v>
      </c>
    </row>
    <row r="265" spans="2:18" ht="15" customHeight="1" x14ac:dyDescent="0.2">
      <c r="B265" s="45"/>
      <c r="F265" s="345"/>
      <c r="H265" s="224"/>
      <c r="J265" s="348"/>
      <c r="L265" s="341"/>
      <c r="N265" s="302"/>
      <c r="R265" s="348"/>
    </row>
    <row r="266" spans="2:18" ht="15" customHeight="1" x14ac:dyDescent="0.2">
      <c r="B266" s="45"/>
      <c r="F266" s="345" t="s">
        <v>199</v>
      </c>
      <c r="H266" s="224"/>
      <c r="J266" s="348"/>
      <c r="L266" s="341"/>
      <c r="N266" s="302"/>
      <c r="R266" s="348"/>
    </row>
    <row r="267" spans="2:18" ht="15" customHeight="1" x14ac:dyDescent="0.2">
      <c r="B267" s="45"/>
      <c r="F267" s="343" t="s">
        <v>315</v>
      </c>
      <c r="H267" s="224"/>
      <c r="J267" s="348"/>
      <c r="L267" s="341"/>
      <c r="N267" s="302"/>
      <c r="R267" s="348"/>
    </row>
    <row r="268" spans="2:18" ht="15" customHeight="1" x14ac:dyDescent="0.2">
      <c r="B268" s="45">
        <f>MAX(B$164:B267)+1</f>
        <v>66</v>
      </c>
      <c r="F268" s="343" t="s">
        <v>598</v>
      </c>
      <c r="H268" s="224" t="s">
        <v>167</v>
      </c>
      <c r="J268" s="349"/>
      <c r="L268" s="341"/>
      <c r="N268" s="302">
        <v>0.105</v>
      </c>
      <c r="P268" s="350">
        <f>P270</f>
        <v>0</v>
      </c>
      <c r="Q268" s="499"/>
      <c r="R268" s="350">
        <f>N268-P268</f>
        <v>0.105</v>
      </c>
    </row>
    <row r="269" spans="2:18" ht="15" customHeight="1" x14ac:dyDescent="0.2">
      <c r="B269" s="45">
        <f>MAX(B$164:B268)+1</f>
        <v>67</v>
      </c>
      <c r="F269" s="343" t="s">
        <v>599</v>
      </c>
      <c r="H269" s="224" t="s">
        <v>167</v>
      </c>
      <c r="J269" s="349"/>
      <c r="L269" s="341"/>
      <c r="N269" s="302">
        <v>0.13</v>
      </c>
      <c r="P269" s="350">
        <f>P271</f>
        <v>0</v>
      </c>
      <c r="Q269" s="499"/>
      <c r="R269" s="350">
        <f>N269-P269</f>
        <v>0.13</v>
      </c>
    </row>
    <row r="270" spans="2:18" ht="15" customHeight="1" x14ac:dyDescent="0.2">
      <c r="B270" s="45">
        <f>MAX(B$164:B269)+1</f>
        <v>68</v>
      </c>
      <c r="F270" s="343" t="s">
        <v>600</v>
      </c>
      <c r="H270" s="224" t="s">
        <v>167</v>
      </c>
      <c r="J270" s="349"/>
      <c r="K270" s="364"/>
      <c r="L270" s="341"/>
      <c r="N270" s="302">
        <v>0.08</v>
      </c>
      <c r="O270" s="364" t="s">
        <v>192</v>
      </c>
      <c r="P270" s="350">
        <f>IFERROR(N270-R270,0)</f>
        <v>0</v>
      </c>
      <c r="Q270" s="499"/>
      <c r="R270" s="348" t="s">
        <v>596</v>
      </c>
    </row>
    <row r="271" spans="2:18" ht="15" customHeight="1" x14ac:dyDescent="0.2">
      <c r="B271" s="45">
        <f>MAX(B$164:B270)+1</f>
        <v>69</v>
      </c>
      <c r="F271" s="343" t="s">
        <v>601</v>
      </c>
      <c r="H271" s="224" t="s">
        <v>167</v>
      </c>
      <c r="J271" s="349"/>
      <c r="K271" s="364"/>
      <c r="L271" s="341"/>
      <c r="N271" s="302">
        <v>0.104</v>
      </c>
      <c r="O271" s="364" t="s">
        <v>192</v>
      </c>
      <c r="P271" s="350">
        <f>IFERROR(N271-R271,0)</f>
        <v>0</v>
      </c>
      <c r="Q271" s="499"/>
      <c r="R271" s="348" t="s">
        <v>596</v>
      </c>
    </row>
    <row r="272" spans="2:18" ht="15" customHeight="1" x14ac:dyDescent="0.2">
      <c r="B272" s="45"/>
      <c r="F272" s="343" t="s">
        <v>316</v>
      </c>
      <c r="H272" s="224"/>
      <c r="J272" s="348"/>
      <c r="K272" s="500"/>
      <c r="L272" s="341"/>
      <c r="N272" s="302"/>
      <c r="O272" s="500"/>
      <c r="P272" s="350"/>
      <c r="Q272" s="499"/>
      <c r="R272" s="499"/>
    </row>
    <row r="273" spans="2:18" ht="15" customHeight="1" x14ac:dyDescent="0.2">
      <c r="B273" s="45">
        <f>MAX(B$164:B272)+1</f>
        <v>70</v>
      </c>
      <c r="F273" s="343" t="s">
        <v>598</v>
      </c>
      <c r="H273" s="224" t="s">
        <v>167</v>
      </c>
      <c r="J273" s="349"/>
      <c r="K273" s="500"/>
      <c r="L273" s="341"/>
      <c r="N273" s="302">
        <v>6.0999999999999999E-2</v>
      </c>
      <c r="O273" s="500"/>
      <c r="P273" s="350">
        <f>P275</f>
        <v>0</v>
      </c>
      <c r="Q273" s="499"/>
      <c r="R273" s="350">
        <f>N273-P273</f>
        <v>6.0999999999999999E-2</v>
      </c>
    </row>
    <row r="274" spans="2:18" ht="15" customHeight="1" x14ac:dyDescent="0.2">
      <c r="B274" s="45">
        <f>MAX(B$164:B273)+1</f>
        <v>71</v>
      </c>
      <c r="F274" s="343" t="s">
        <v>599</v>
      </c>
      <c r="H274" s="224" t="s">
        <v>167</v>
      </c>
      <c r="J274" s="349"/>
      <c r="K274" s="500"/>
      <c r="L274" s="341"/>
      <c r="N274" s="302">
        <v>0.115</v>
      </c>
      <c r="O274" s="500"/>
      <c r="P274" s="350">
        <f>P276</f>
        <v>0</v>
      </c>
      <c r="Q274" s="499"/>
      <c r="R274" s="350">
        <f>N274-P274</f>
        <v>0.115</v>
      </c>
    </row>
    <row r="275" spans="2:18" ht="15" customHeight="1" x14ac:dyDescent="0.2">
      <c r="B275" s="45">
        <f>MAX(B$164:B274)+1</f>
        <v>72</v>
      </c>
      <c r="F275" s="343" t="s">
        <v>600</v>
      </c>
      <c r="H275" s="224" t="s">
        <v>167</v>
      </c>
      <c r="J275" s="349"/>
      <c r="K275" s="364"/>
      <c r="L275" s="341"/>
      <c r="N275" s="302">
        <v>3.5000000000000003E-2</v>
      </c>
      <c r="O275" s="364" t="s">
        <v>192</v>
      </c>
      <c r="P275" s="350">
        <f>IFERROR(N275-R275,0)</f>
        <v>0</v>
      </c>
      <c r="Q275" s="499"/>
      <c r="R275" s="348" t="s">
        <v>596</v>
      </c>
    </row>
    <row r="276" spans="2:18" ht="15" customHeight="1" x14ac:dyDescent="0.2">
      <c r="B276" s="45">
        <f>MAX(B$164:B275)+1</f>
        <v>73</v>
      </c>
      <c r="F276" s="343" t="s">
        <v>601</v>
      </c>
      <c r="H276" s="224" t="s">
        <v>167</v>
      </c>
      <c r="J276" s="349"/>
      <c r="K276" s="364"/>
      <c r="L276" s="341"/>
      <c r="N276" s="302">
        <v>0.06</v>
      </c>
      <c r="O276" s="364" t="s">
        <v>192</v>
      </c>
      <c r="P276" s="350">
        <f>IFERROR(N276-R276,0)</f>
        <v>0</v>
      </c>
      <c r="Q276" s="499"/>
      <c r="R276" s="348" t="s">
        <v>596</v>
      </c>
    </row>
    <row r="277" spans="2:18" ht="15" customHeight="1" x14ac:dyDescent="0.2">
      <c r="R277" s="348"/>
    </row>
    <row r="278" spans="2:18" ht="15" customHeight="1" x14ac:dyDescent="0.2">
      <c r="D278" s="40" t="s">
        <v>103</v>
      </c>
    </row>
    <row r="279" spans="2:18" ht="15" customHeight="1" x14ac:dyDescent="0.2">
      <c r="B279" s="45">
        <f>MAX(B$164:B278)+1</f>
        <v>74</v>
      </c>
      <c r="F279" s="345" t="s">
        <v>317</v>
      </c>
      <c r="H279" s="224" t="s">
        <v>163</v>
      </c>
      <c r="J279" s="346"/>
      <c r="L279" s="340"/>
      <c r="N279" s="471">
        <v>469.19</v>
      </c>
      <c r="P279" s="471">
        <v>469.19</v>
      </c>
      <c r="Q279" s="163"/>
      <c r="R279" s="471">
        <v>0</v>
      </c>
    </row>
    <row r="280" spans="2:18" ht="15" customHeight="1" x14ac:dyDescent="0.2">
      <c r="B280" s="45">
        <f>MAX(B$164:B279)+1</f>
        <v>75</v>
      </c>
      <c r="F280" s="345" t="s">
        <v>318</v>
      </c>
      <c r="H280" s="224" t="s">
        <v>163</v>
      </c>
      <c r="J280" s="346"/>
      <c r="L280" s="341"/>
      <c r="N280" s="471">
        <v>1061.58</v>
      </c>
      <c r="P280" s="471">
        <v>1061.58</v>
      </c>
      <c r="Q280" s="163"/>
      <c r="R280" s="471">
        <v>0</v>
      </c>
    </row>
    <row r="281" spans="2:18" ht="15" customHeight="1" x14ac:dyDescent="0.2">
      <c r="B281" s="45">
        <f>MAX(B$164:B280)+1</f>
        <v>76</v>
      </c>
      <c r="F281" s="345" t="s">
        <v>319</v>
      </c>
      <c r="H281" s="224" t="s">
        <v>167</v>
      </c>
      <c r="J281" s="347"/>
      <c r="L281" s="341"/>
      <c r="N281" s="40">
        <v>4.3999999999999997E-2</v>
      </c>
      <c r="P281" s="40">
        <v>4.3999999999999997E-2</v>
      </c>
      <c r="R281" s="303">
        <v>0</v>
      </c>
    </row>
    <row r="282" spans="2:18" ht="15" customHeight="1" x14ac:dyDescent="0.2">
      <c r="B282" s="45">
        <f>MAX(B$164:B281)+1</f>
        <v>77</v>
      </c>
      <c r="F282" s="345" t="s">
        <v>602</v>
      </c>
      <c r="H282" s="224" t="s">
        <v>167</v>
      </c>
      <c r="J282" s="347"/>
      <c r="L282" s="341"/>
      <c r="N282" s="40">
        <v>2.5999999999999999E-2</v>
      </c>
      <c r="P282" s="303">
        <v>0</v>
      </c>
      <c r="R282" s="303">
        <v>2.5999999999999999E-2</v>
      </c>
    </row>
    <row r="283" spans="2:18" ht="15" customHeight="1" x14ac:dyDescent="0.2">
      <c r="B283" s="45">
        <f>MAX(B$164:B282)+1</f>
        <v>78</v>
      </c>
      <c r="F283" s="345" t="s">
        <v>603</v>
      </c>
      <c r="H283" s="224" t="s">
        <v>167</v>
      </c>
      <c r="J283" s="348"/>
      <c r="L283" s="341"/>
      <c r="N283" s="348" t="s">
        <v>596</v>
      </c>
      <c r="P283" s="303">
        <v>0</v>
      </c>
      <c r="R283" s="348" t="s">
        <v>596</v>
      </c>
    </row>
    <row r="285" spans="2:18" ht="15" customHeight="1" x14ac:dyDescent="0.2">
      <c r="B285" s="45">
        <f>MAX(B$164:B284)+1</f>
        <v>79</v>
      </c>
      <c r="F285" s="345" t="s">
        <v>604</v>
      </c>
      <c r="H285" s="224" t="s">
        <v>167</v>
      </c>
      <c r="L285" s="341"/>
      <c r="N285" s="303">
        <v>0.12978644181302584</v>
      </c>
      <c r="P285" s="303">
        <f>N285-R285</f>
        <v>0.10378644181302585</v>
      </c>
      <c r="R285" s="303">
        <f>R282</f>
        <v>2.5999999999999999E-2</v>
      </c>
    </row>
    <row r="286" spans="2:18" ht="15" customHeight="1" x14ac:dyDescent="0.2">
      <c r="B286" s="45">
        <f>MAX(B$164:B285)+1</f>
        <v>80</v>
      </c>
      <c r="F286" s="345" t="s">
        <v>605</v>
      </c>
      <c r="H286" s="224" t="s">
        <v>167</v>
      </c>
      <c r="L286" s="341"/>
      <c r="N286" s="303">
        <v>0.10409915951166972</v>
      </c>
      <c r="O286" s="364" t="s">
        <v>192</v>
      </c>
      <c r="P286" s="303">
        <v>0.10409915951166972</v>
      </c>
      <c r="R286" s="348" t="s">
        <v>596</v>
      </c>
    </row>
    <row r="288" spans="2:18" ht="15" customHeight="1" x14ac:dyDescent="0.2">
      <c r="B288" s="43" t="s">
        <v>5</v>
      </c>
    </row>
    <row r="289" spans="2:4" ht="15" customHeight="1" x14ac:dyDescent="0.2">
      <c r="B289" s="339" t="s">
        <v>189</v>
      </c>
      <c r="D289" s="363" t="s">
        <v>832</v>
      </c>
    </row>
    <row r="290" spans="2:4" ht="15" customHeight="1" x14ac:dyDescent="0.2">
      <c r="B290" s="339" t="s">
        <v>190</v>
      </c>
      <c r="D290" s="363" t="s">
        <v>674</v>
      </c>
    </row>
    <row r="291" spans="2:4" ht="15" customHeight="1" x14ac:dyDescent="0.2">
      <c r="B291" s="339" t="s">
        <v>191</v>
      </c>
      <c r="D291" s="264" t="s">
        <v>773</v>
      </c>
    </row>
    <row r="292" spans="2:4" ht="15" customHeight="1" x14ac:dyDescent="0.2">
      <c r="B292" s="339" t="s">
        <v>18</v>
      </c>
      <c r="D292" s="351" t="s">
        <v>606</v>
      </c>
    </row>
  </sheetData>
  <mergeCells count="4">
    <mergeCell ref="P9:R10"/>
    <mergeCell ref="P80:R81"/>
    <mergeCell ref="P158:R159"/>
    <mergeCell ref="P225:R226"/>
  </mergeCells>
  <pageMargins left="0.70866141732283505" right="0.70866141732283505" top="0.74803149606299202" bottom="0.74803149606299202" header="0.31496062992126" footer="0.31496062992126"/>
  <pageSetup scale="58" fitToHeight="0" orientation="portrait" blackAndWhite="1" useFirstPageNumber="1" r:id="rId1"/>
  <headerFooter>
    <oddHeader>&amp;R&amp;"Arial,Regular"&amp;10Filed: 2022-11-30
EB-2022-0200
Exhibit 8
Tab 2
Schedule 9
Attachment 4
Page &amp;P of &amp;N</oddHeader>
  </headerFooter>
  <rowBreaks count="3" manualBreakCount="3">
    <brk id="71" min="1" max="17" man="1"/>
    <brk id="149" min="1" max="17" man="1"/>
    <brk id="216" min="1"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F695E-3894-45C4-9971-B4D61BC006B8}">
  <sheetPr>
    <pageSetUpPr fitToPage="1"/>
  </sheetPr>
  <dimension ref="A1:S37"/>
  <sheetViews>
    <sheetView view="pageLayout" zoomScale="80" zoomScaleNormal="85" zoomScaleSheetLayoutView="80" zoomScalePageLayoutView="80" workbookViewId="0"/>
  </sheetViews>
  <sheetFormatPr defaultColWidth="9.140625" defaultRowHeight="12.75" x14ac:dyDescent="0.2"/>
  <cols>
    <col min="1" max="1" width="6.42578125" style="83" customWidth="1"/>
    <col min="2" max="2" width="1.5703125" style="83" customWidth="1"/>
    <col min="3" max="3" width="39" style="83" customWidth="1"/>
    <col min="4" max="4" width="1.5703125" style="83" customWidth="1"/>
    <col min="5" max="5" width="13.42578125" style="83" customWidth="1"/>
    <col min="6" max="6" width="1.5703125" style="83" customWidth="1"/>
    <col min="7" max="7" width="13.42578125" style="83" customWidth="1"/>
    <col min="8" max="8" width="1.5703125" style="83" customWidth="1"/>
    <col min="9" max="9" width="13.42578125" style="83" customWidth="1"/>
    <col min="10" max="10" width="1.5703125" style="83" customWidth="1"/>
    <col min="11" max="11" width="15.140625" style="83" customWidth="1"/>
    <col min="12" max="12" width="1.5703125" style="83" customWidth="1"/>
    <col min="13" max="13" width="13.42578125" style="83" customWidth="1"/>
    <col min="14" max="14" width="1.5703125" style="83" customWidth="1"/>
    <col min="15" max="15" width="13.42578125" style="83" customWidth="1"/>
    <col min="16" max="16" width="1.5703125" style="83" customWidth="1"/>
    <col min="17" max="17" width="13.42578125" style="83" customWidth="1"/>
    <col min="18" max="18" width="1.5703125" style="83" customWidth="1"/>
    <col min="19" max="19" width="13.42578125" style="83" customWidth="1"/>
    <col min="20" max="16384" width="9.140625" style="83"/>
  </cols>
  <sheetData>
    <row r="1" spans="1:19" x14ac:dyDescent="0.2">
      <c r="R1" s="237"/>
      <c r="S1" s="237"/>
    </row>
    <row r="2" spans="1:19" x14ac:dyDescent="0.2">
      <c r="R2" s="237"/>
      <c r="S2" s="237"/>
    </row>
    <row r="3" spans="1:19" x14ac:dyDescent="0.2">
      <c r="R3" s="237"/>
      <c r="S3" s="237"/>
    </row>
    <row r="4" spans="1:19" x14ac:dyDescent="0.2">
      <c r="R4" s="237"/>
      <c r="S4" s="237"/>
    </row>
    <row r="5" spans="1:19" x14ac:dyDescent="0.2">
      <c r="R5" s="237"/>
      <c r="S5" s="237"/>
    </row>
    <row r="6" spans="1:19" x14ac:dyDescent="0.2">
      <c r="A6" s="373" t="s">
        <v>297</v>
      </c>
      <c r="B6" s="373"/>
      <c r="C6" s="373"/>
      <c r="D6" s="373"/>
      <c r="E6" s="373"/>
      <c r="F6" s="373"/>
      <c r="G6" s="373"/>
      <c r="H6" s="373"/>
      <c r="I6" s="373"/>
      <c r="J6" s="373"/>
      <c r="K6" s="373"/>
      <c r="L6" s="373"/>
      <c r="M6" s="373"/>
      <c r="N6" s="373"/>
      <c r="O6" s="373"/>
      <c r="P6" s="373"/>
      <c r="Q6" s="373"/>
      <c r="R6" s="373"/>
      <c r="S6" s="373"/>
    </row>
    <row r="7" spans="1:19" x14ac:dyDescent="0.2">
      <c r="A7" s="496"/>
      <c r="B7" s="496"/>
      <c r="C7" s="496"/>
      <c r="D7" s="496"/>
      <c r="E7" s="496"/>
      <c r="F7" s="496"/>
      <c r="G7" s="496"/>
      <c r="H7" s="496"/>
      <c r="I7" s="496"/>
      <c r="J7" s="496"/>
      <c r="K7" s="496"/>
      <c r="L7" s="496"/>
      <c r="M7" s="496"/>
      <c r="N7" s="496"/>
      <c r="O7" s="496"/>
      <c r="P7" s="496"/>
      <c r="Q7" s="496"/>
      <c r="R7" s="496"/>
      <c r="S7" s="496"/>
    </row>
    <row r="8" spans="1:19" x14ac:dyDescent="0.2">
      <c r="E8" s="508" t="s">
        <v>171</v>
      </c>
      <c r="F8" s="508"/>
      <c r="G8" s="508"/>
      <c r="H8" s="508"/>
      <c r="I8" s="508"/>
      <c r="M8" s="508" t="s">
        <v>172</v>
      </c>
      <c r="N8" s="508"/>
      <c r="O8" s="508"/>
      <c r="P8" s="508"/>
      <c r="Q8" s="508"/>
      <c r="R8" s="494"/>
      <c r="S8" s="494"/>
    </row>
    <row r="9" spans="1:19" ht="25.5" x14ac:dyDescent="0.2">
      <c r="A9" s="374" t="s">
        <v>173</v>
      </c>
      <c r="C9" s="94" t="s">
        <v>9</v>
      </c>
      <c r="E9" s="488" t="s">
        <v>169</v>
      </c>
      <c r="G9" s="488" t="s">
        <v>174</v>
      </c>
      <c r="I9" s="488" t="s">
        <v>47</v>
      </c>
      <c r="J9" s="494"/>
      <c r="K9" s="374" t="s">
        <v>175</v>
      </c>
      <c r="M9" s="488" t="s">
        <v>169</v>
      </c>
      <c r="O9" s="488" t="s">
        <v>174</v>
      </c>
      <c r="Q9" s="488" t="s">
        <v>47</v>
      </c>
      <c r="R9" s="494"/>
      <c r="S9" s="374" t="s">
        <v>176</v>
      </c>
    </row>
    <row r="10" spans="1:19" x14ac:dyDescent="0.2">
      <c r="A10" s="494"/>
      <c r="E10" s="96" t="s">
        <v>3</v>
      </c>
      <c r="G10" s="96" t="s">
        <v>4</v>
      </c>
      <c r="I10" s="96" t="s">
        <v>86</v>
      </c>
      <c r="J10" s="494"/>
      <c r="K10" s="96" t="s">
        <v>133</v>
      </c>
      <c r="M10" s="96" t="s">
        <v>32</v>
      </c>
      <c r="O10" s="96" t="s">
        <v>135</v>
      </c>
      <c r="Q10" s="96" t="s">
        <v>15</v>
      </c>
      <c r="R10" s="96"/>
      <c r="S10" s="96" t="s">
        <v>37</v>
      </c>
    </row>
    <row r="11" spans="1:19" x14ac:dyDescent="0.2">
      <c r="E11" s="494"/>
      <c r="G11" s="494"/>
      <c r="I11" s="494"/>
      <c r="J11" s="494"/>
      <c r="K11" s="494"/>
      <c r="M11" s="494"/>
      <c r="O11" s="494"/>
      <c r="Q11" s="494"/>
      <c r="R11" s="494"/>
      <c r="S11" s="494"/>
    </row>
    <row r="12" spans="1:19" x14ac:dyDescent="0.2">
      <c r="A12" s="494"/>
      <c r="C12" s="95" t="s">
        <v>177</v>
      </c>
      <c r="E12" s="494"/>
      <c r="G12" s="494"/>
      <c r="I12" s="494"/>
      <c r="J12" s="494"/>
      <c r="K12" s="494"/>
      <c r="M12" s="494"/>
      <c r="O12" s="494"/>
      <c r="Q12" s="494"/>
      <c r="R12" s="494"/>
      <c r="S12" s="494"/>
    </row>
    <row r="13" spans="1:19" x14ac:dyDescent="0.2">
      <c r="A13" s="494"/>
      <c r="C13" s="250"/>
      <c r="E13" s="375"/>
      <c r="G13" s="375"/>
      <c r="I13" s="375"/>
      <c r="J13" s="375"/>
      <c r="K13" s="375"/>
      <c r="M13" s="375"/>
      <c r="O13" s="375"/>
      <c r="Q13" s="375"/>
      <c r="R13" s="375"/>
      <c r="S13" s="375"/>
    </row>
    <row r="14" spans="1:19" x14ac:dyDescent="0.2">
      <c r="A14" s="494">
        <v>1</v>
      </c>
      <c r="B14" s="84"/>
      <c r="C14" s="250" t="s">
        <v>178</v>
      </c>
      <c r="E14" s="300">
        <v>3293.8470156641856</v>
      </c>
      <c r="F14" s="253"/>
      <c r="G14" s="300">
        <v>78641.256182514597</v>
      </c>
      <c r="H14" s="253"/>
      <c r="I14" s="300">
        <f>E14+G14</f>
        <v>81935.103198178782</v>
      </c>
      <c r="J14" s="375"/>
      <c r="K14" s="376"/>
      <c r="M14" s="375"/>
      <c r="O14" s="377"/>
      <c r="Q14" s="377"/>
      <c r="R14" s="375"/>
      <c r="S14" s="375"/>
    </row>
    <row r="15" spans="1:19" x14ac:dyDescent="0.2">
      <c r="A15" s="494">
        <v>2</v>
      </c>
      <c r="B15" s="84"/>
      <c r="C15" s="84" t="s">
        <v>179</v>
      </c>
      <c r="E15" s="378">
        <v>0</v>
      </c>
      <c r="F15" s="253"/>
      <c r="G15" s="378">
        <v>-39130.201735495466</v>
      </c>
      <c r="H15" s="253"/>
      <c r="I15" s="378">
        <f t="shared" ref="I15" si="0">E15+G15</f>
        <v>-39130.201735495466</v>
      </c>
      <c r="J15" s="375"/>
      <c r="K15" s="376"/>
      <c r="M15" s="375"/>
      <c r="O15" s="377"/>
      <c r="Q15" s="377"/>
      <c r="R15" s="375"/>
      <c r="S15" s="375"/>
    </row>
    <row r="16" spans="1:19" x14ac:dyDescent="0.2">
      <c r="A16" s="494">
        <v>3</v>
      </c>
      <c r="B16" s="84"/>
      <c r="C16" s="250" t="s">
        <v>180</v>
      </c>
      <c r="E16" s="300">
        <f>SUM(E14:E15)</f>
        <v>3293.8470156641856</v>
      </c>
      <c r="F16" s="253"/>
      <c r="G16" s="300">
        <f>SUM(G14:G15)</f>
        <v>39511.054447019131</v>
      </c>
      <c r="H16" s="253"/>
      <c r="I16" s="300">
        <f>SUM(I14:I15)</f>
        <v>42804.901462683316</v>
      </c>
      <c r="J16" s="375"/>
      <c r="K16" s="376">
        <v>217749495.04114625</v>
      </c>
      <c r="M16" s="377">
        <f>E16/$K16*1000/12</f>
        <v>1.2605643528747624E-3</v>
      </c>
      <c r="O16" s="377">
        <f>G16/$K16*1000/12</f>
        <v>1.5120989694891167E-2</v>
      </c>
      <c r="Q16" s="377">
        <f>SUM(M16:O16)</f>
        <v>1.638155404776593E-2</v>
      </c>
      <c r="R16" s="377"/>
      <c r="S16" s="377"/>
    </row>
    <row r="17" spans="1:19" x14ac:dyDescent="0.2">
      <c r="A17" s="494"/>
      <c r="E17" s="300"/>
      <c r="F17" s="253"/>
      <c r="G17" s="300"/>
      <c r="H17" s="253"/>
      <c r="I17" s="300"/>
      <c r="J17" s="494"/>
      <c r="K17" s="237"/>
      <c r="M17" s="494"/>
      <c r="O17" s="494"/>
      <c r="Q17" s="494"/>
      <c r="R17" s="494"/>
      <c r="S17" s="494"/>
    </row>
    <row r="18" spans="1:19" x14ac:dyDescent="0.2">
      <c r="A18" s="494">
        <v>4</v>
      </c>
      <c r="C18" s="250" t="s">
        <v>181</v>
      </c>
      <c r="E18" s="300">
        <v>9952.0457581929568</v>
      </c>
      <c r="F18" s="253"/>
      <c r="G18" s="300">
        <v>102269.76523412352</v>
      </c>
      <c r="H18" s="253"/>
      <c r="I18" s="300">
        <f>E18+G18</f>
        <v>112221.81099231647</v>
      </c>
      <c r="J18" s="375"/>
    </row>
    <row r="19" spans="1:19" x14ac:dyDescent="0.2">
      <c r="A19" s="494">
        <v>5</v>
      </c>
      <c r="C19" s="250" t="s">
        <v>182</v>
      </c>
      <c r="E19" s="378">
        <v>23590.657623593441</v>
      </c>
      <c r="F19" s="253"/>
      <c r="G19" s="378">
        <v>0</v>
      </c>
      <c r="H19" s="253"/>
      <c r="I19" s="378">
        <f t="shared" ref="I19" si="1">E19+G19</f>
        <v>23590.657623593441</v>
      </c>
      <c r="J19" s="375"/>
      <c r="K19" s="376"/>
      <c r="M19" s="377"/>
      <c r="O19" s="377"/>
      <c r="Q19" s="377"/>
      <c r="R19" s="377"/>
      <c r="S19" s="377"/>
    </row>
    <row r="20" spans="1:19" x14ac:dyDescent="0.2">
      <c r="A20" s="494">
        <v>6</v>
      </c>
      <c r="C20" s="250" t="s">
        <v>183</v>
      </c>
      <c r="E20" s="300">
        <f>SUM(E18:E19)</f>
        <v>33542.703381786399</v>
      </c>
      <c r="F20" s="253"/>
      <c r="G20" s="300">
        <f>SUM(G18:G19)</f>
        <v>102269.76523412352</v>
      </c>
      <c r="H20" s="253"/>
      <c r="I20" s="300">
        <f>SUM(I18:I19)</f>
        <v>135812.46861590992</v>
      </c>
      <c r="J20" s="375"/>
      <c r="K20" s="376">
        <v>5103103.9179101288</v>
      </c>
      <c r="M20" s="377">
        <f>E20/$K20*1000/12</f>
        <v>0.5477500217084077</v>
      </c>
      <c r="O20" s="377">
        <f>G20/$K20*1000/12</f>
        <v>1.6700581789577129</v>
      </c>
      <c r="Q20" s="377">
        <f>SUM(M20:O20)</f>
        <v>2.2178082006661208</v>
      </c>
      <c r="R20" s="377"/>
      <c r="S20" s="377"/>
    </row>
    <row r="21" spans="1:19" x14ac:dyDescent="0.2">
      <c r="A21" s="494">
        <v>7</v>
      </c>
      <c r="C21" s="250" t="s">
        <v>184</v>
      </c>
      <c r="E21" s="378">
        <v>0</v>
      </c>
      <c r="F21" s="253"/>
      <c r="G21" s="378">
        <v>15306.419866548944</v>
      </c>
      <c r="H21" s="253"/>
      <c r="I21" s="378">
        <f t="shared" ref="I21" si="2">E21+G21</f>
        <v>15306.419866548944</v>
      </c>
      <c r="J21" s="375"/>
      <c r="K21" s="376"/>
      <c r="M21" s="375"/>
      <c r="O21" s="375"/>
      <c r="Q21" s="375"/>
      <c r="R21" s="375"/>
      <c r="S21" s="375"/>
    </row>
    <row r="22" spans="1:19" x14ac:dyDescent="0.2">
      <c r="A22" s="494">
        <v>8</v>
      </c>
      <c r="C22" s="250" t="s">
        <v>185</v>
      </c>
      <c r="E22" s="300">
        <f>SUM(E20:E21)</f>
        <v>33542.703381786399</v>
      </c>
      <c r="F22" s="253"/>
      <c r="G22" s="300">
        <f>SUM(G20:G21)</f>
        <v>117576.18510067246</v>
      </c>
      <c r="H22" s="253"/>
      <c r="I22" s="300">
        <f>SUM(I20:I21)</f>
        <v>151118.88848245886</v>
      </c>
      <c r="J22" s="375"/>
      <c r="K22" s="376">
        <f>K$20</f>
        <v>5103103.9179101288</v>
      </c>
      <c r="M22" s="379">
        <f>E22/$K22*1000/12</f>
        <v>0.5477500217084077</v>
      </c>
      <c r="O22" s="379">
        <f>G22/$K22*1000/12</f>
        <v>1.9200109546404482</v>
      </c>
      <c r="Q22" s="379">
        <f>SUM(M22:O22)</f>
        <v>2.4677609763488562</v>
      </c>
      <c r="R22" s="377"/>
      <c r="S22" s="377"/>
    </row>
    <row r="23" spans="1:19" x14ac:dyDescent="0.2">
      <c r="A23" s="494"/>
      <c r="C23" s="250"/>
      <c r="E23" s="300"/>
      <c r="F23" s="253"/>
      <c r="G23" s="300"/>
      <c r="H23" s="253"/>
      <c r="I23" s="300"/>
      <c r="J23" s="375"/>
      <c r="K23" s="376"/>
      <c r="M23" s="377"/>
      <c r="O23" s="377"/>
      <c r="Q23" s="377"/>
      <c r="R23" s="377"/>
      <c r="S23" s="377"/>
    </row>
    <row r="24" spans="1:19" ht="13.5" thickBot="1" x14ac:dyDescent="0.25">
      <c r="A24" s="494">
        <v>9</v>
      </c>
      <c r="B24" s="84"/>
      <c r="C24" s="250" t="s">
        <v>186</v>
      </c>
      <c r="E24" s="380">
        <f>+E16+E22</f>
        <v>36836.550397450585</v>
      </c>
      <c r="F24" s="253"/>
      <c r="G24" s="380">
        <f>+G16+G22</f>
        <v>157087.2395476916</v>
      </c>
      <c r="H24" s="253"/>
      <c r="I24" s="380">
        <f>+I16+I22</f>
        <v>193923.78994514217</v>
      </c>
      <c r="J24" s="375"/>
      <c r="K24" s="376">
        <f>K$20</f>
        <v>5103103.9179101288</v>
      </c>
      <c r="M24" s="377">
        <f>E24/$K24*1000/12</f>
        <v>0.60153831520993595</v>
      </c>
      <c r="O24" s="377">
        <f>G24/$K24*1000/12</f>
        <v>2.5652237356361645</v>
      </c>
      <c r="Q24" s="377">
        <f>SUM(M24:O24)</f>
        <v>3.1667620508461005</v>
      </c>
      <c r="R24" s="377"/>
      <c r="S24" s="377"/>
    </row>
    <row r="25" spans="1:19" ht="13.5" thickTop="1" x14ac:dyDescent="0.2">
      <c r="A25" s="494"/>
      <c r="C25" s="381"/>
      <c r="E25" s="300"/>
      <c r="F25" s="253"/>
      <c r="G25" s="300"/>
      <c r="H25" s="253"/>
      <c r="I25" s="300"/>
      <c r="J25" s="375"/>
      <c r="K25" s="376"/>
      <c r="M25" s="375"/>
      <c r="O25" s="375"/>
      <c r="Q25" s="375"/>
      <c r="R25" s="375"/>
      <c r="S25" s="375"/>
    </row>
    <row r="26" spans="1:19" x14ac:dyDescent="0.2">
      <c r="A26" s="494"/>
      <c r="B26" s="84"/>
      <c r="C26" s="381" t="s">
        <v>187</v>
      </c>
      <c r="E26" s="253"/>
      <c r="F26" s="253"/>
      <c r="G26" s="253"/>
      <c r="H26" s="253"/>
      <c r="I26" s="253"/>
      <c r="J26" s="375"/>
      <c r="K26" s="237"/>
    </row>
    <row r="27" spans="1:19" x14ac:dyDescent="0.2">
      <c r="A27" s="494"/>
      <c r="B27" s="84"/>
      <c r="C27" s="381"/>
      <c r="E27" s="253"/>
      <c r="F27" s="253"/>
      <c r="G27" s="253"/>
      <c r="H27" s="253"/>
      <c r="I27" s="253"/>
      <c r="J27" s="375"/>
      <c r="K27" s="237"/>
    </row>
    <row r="28" spans="1:19" ht="13.5" thickBot="1" x14ac:dyDescent="0.25">
      <c r="A28" s="494">
        <v>10</v>
      </c>
      <c r="B28" s="84"/>
      <c r="C28" s="250" t="s">
        <v>188</v>
      </c>
      <c r="E28" s="380">
        <v>21450.839493121355</v>
      </c>
      <c r="F28" s="253"/>
      <c r="G28" s="380">
        <v>0</v>
      </c>
      <c r="H28" s="253"/>
      <c r="I28" s="380">
        <f t="shared" ref="I28" si="3">SUM(E28:G28)</f>
        <v>21450.839493121355</v>
      </c>
      <c r="J28" s="375"/>
      <c r="K28" s="376">
        <v>484613885.98061395</v>
      </c>
      <c r="M28" s="377">
        <f>E28/$K28*1000</f>
        <v>4.4263773931520103E-2</v>
      </c>
      <c r="N28" s="303"/>
      <c r="O28" s="377">
        <f>G28/$K28*1000</f>
        <v>0</v>
      </c>
      <c r="Q28" s="377">
        <f>SUM(M28:O28)</f>
        <v>4.4263773931520103E-2</v>
      </c>
      <c r="R28" s="377"/>
      <c r="S28" s="382">
        <f>Q28/5.309</f>
        <v>8.3374974442494074E-3</v>
      </c>
    </row>
    <row r="29" spans="1:19" ht="13.5" thickTop="1" x14ac:dyDescent="0.2"/>
    <row r="30" spans="1:19" x14ac:dyDescent="0.2">
      <c r="A30" s="367" t="s">
        <v>5</v>
      </c>
      <c r="B30" s="223"/>
      <c r="C30" s="223"/>
      <c r="D30" s="223"/>
      <c r="E30" s="223"/>
      <c r="F30" s="223"/>
      <c r="G30" s="223"/>
      <c r="H30" s="223"/>
      <c r="I30" s="223"/>
      <c r="J30" s="223"/>
      <c r="K30" s="223"/>
      <c r="L30" s="223"/>
      <c r="M30" s="223"/>
      <c r="N30" s="223"/>
      <c r="O30" s="223"/>
    </row>
    <row r="31" spans="1:19" x14ac:dyDescent="0.2">
      <c r="A31" s="383" t="s">
        <v>189</v>
      </c>
      <c r="B31" s="223"/>
      <c r="C31" s="83" t="s">
        <v>689</v>
      </c>
      <c r="D31" s="223"/>
      <c r="E31" s="223"/>
      <c r="F31" s="223"/>
      <c r="G31" s="223"/>
      <c r="H31" s="223"/>
      <c r="I31" s="223"/>
      <c r="J31" s="223"/>
      <c r="K31" s="223"/>
      <c r="L31" s="223"/>
      <c r="M31" s="223"/>
      <c r="N31" s="223"/>
      <c r="O31" s="223"/>
    </row>
    <row r="32" spans="1:19" x14ac:dyDescent="0.2">
      <c r="A32" s="383" t="s">
        <v>190</v>
      </c>
      <c r="B32" s="223"/>
      <c r="C32" s="83" t="s">
        <v>690</v>
      </c>
      <c r="D32" s="223"/>
      <c r="E32" s="223"/>
      <c r="F32" s="223"/>
      <c r="G32" s="223"/>
      <c r="H32" s="223"/>
      <c r="I32" s="223"/>
      <c r="J32" s="223"/>
      <c r="K32" s="223"/>
      <c r="L32" s="223"/>
      <c r="M32" s="223"/>
      <c r="N32" s="223"/>
      <c r="O32" s="223"/>
    </row>
    <row r="33" spans="1:9" x14ac:dyDescent="0.2">
      <c r="A33" s="383" t="s">
        <v>191</v>
      </c>
      <c r="B33" s="223"/>
      <c r="C33" s="83" t="s">
        <v>691</v>
      </c>
      <c r="D33" s="223"/>
      <c r="E33" s="223"/>
      <c r="F33" s="223"/>
      <c r="G33" s="223"/>
      <c r="H33" s="223"/>
      <c r="I33" s="223"/>
    </row>
    <row r="34" spans="1:9" x14ac:dyDescent="0.2">
      <c r="A34" s="383" t="s">
        <v>192</v>
      </c>
      <c r="B34" s="223"/>
      <c r="C34" s="223" t="s">
        <v>193</v>
      </c>
      <c r="D34" s="223"/>
      <c r="E34" s="223"/>
      <c r="F34" s="223"/>
      <c r="G34" s="223"/>
      <c r="H34" s="223"/>
      <c r="I34" s="223"/>
    </row>
    <row r="35" spans="1:9" x14ac:dyDescent="0.2">
      <c r="A35" s="96" t="s">
        <v>194</v>
      </c>
      <c r="C35" s="83" t="s">
        <v>692</v>
      </c>
    </row>
    <row r="36" spans="1:9" x14ac:dyDescent="0.2">
      <c r="A36" s="96"/>
      <c r="C36" s="83" t="s">
        <v>508</v>
      </c>
    </row>
    <row r="37" spans="1:9" x14ac:dyDescent="0.2">
      <c r="A37" s="96" t="s">
        <v>195</v>
      </c>
      <c r="C37" s="83" t="s">
        <v>688</v>
      </c>
    </row>
  </sheetData>
  <mergeCells count="2">
    <mergeCell ref="M8:Q8"/>
    <mergeCell ref="E8:I8"/>
  </mergeCells>
  <pageMargins left="0.7" right="0.7" top="0.75" bottom="0.75" header="0.3" footer="0.3"/>
  <pageSetup scale="73" fitToHeight="0" orientation="landscape" useFirstPageNumber="1" horizontalDpi="1200" verticalDpi="1200" r:id="rId1"/>
  <headerFooter>
    <oddHeader xml:space="preserve">&amp;R&amp;"Arial,Regular"&amp;10Filed: 2022-11-30
EB-2022-0200
Exhibit 8
Tab 2
Schedule 9
Attachment 5
Page &amp;P of &amp;N&amp;"-,Regular"&amp;11
</oddHeader>
  </headerFooter>
  <colBreaks count="1" manualBreakCount="1">
    <brk id="1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5AB14-6B5C-4252-A149-544082187272}">
  <sheetPr>
    <pageSetUpPr fitToPage="1"/>
  </sheetPr>
  <dimension ref="A1:M240"/>
  <sheetViews>
    <sheetView view="pageLayout" zoomScale="80" zoomScaleNormal="50" zoomScaleSheetLayoutView="80" zoomScalePageLayoutView="80" workbookViewId="0"/>
  </sheetViews>
  <sheetFormatPr defaultColWidth="8.85546875" defaultRowHeight="12.75" x14ac:dyDescent="0.2"/>
  <cols>
    <col min="1" max="1" width="1.5703125" style="83" customWidth="1"/>
    <col min="2" max="2" width="4.85546875" style="83" customWidth="1"/>
    <col min="3" max="3" width="1.5703125" style="83" customWidth="1"/>
    <col min="4" max="4" width="66.140625" style="83" customWidth="1"/>
    <col min="5" max="5" width="1.5703125" style="83" customWidth="1"/>
    <col min="6" max="6" width="15.140625" style="83" customWidth="1"/>
    <col min="7" max="7" width="1.5703125" style="83" customWidth="1"/>
    <col min="8" max="8" width="15.140625" style="83" customWidth="1"/>
    <col min="9" max="9" width="1.5703125" style="83" customWidth="1"/>
    <col min="10" max="10" width="15.140625" style="83" customWidth="1"/>
    <col min="11" max="11" width="1.5703125" style="83" customWidth="1"/>
    <col min="12" max="16384" width="8.85546875" style="83"/>
  </cols>
  <sheetData>
    <row r="1" spans="1:13" x14ac:dyDescent="0.2">
      <c r="A1" s="1"/>
      <c r="B1" s="254"/>
      <c r="C1" s="1"/>
      <c r="D1" s="1"/>
      <c r="E1" s="1"/>
      <c r="F1" s="1"/>
      <c r="G1" s="1"/>
      <c r="H1" s="1"/>
      <c r="I1" s="1"/>
      <c r="J1" s="1"/>
      <c r="K1" s="1"/>
      <c r="L1" s="1"/>
      <c r="M1" s="1"/>
    </row>
    <row r="2" spans="1:13" x14ac:dyDescent="0.2">
      <c r="A2" s="1"/>
      <c r="B2" s="254"/>
      <c r="C2" s="1"/>
      <c r="D2" s="1"/>
      <c r="E2" s="1"/>
      <c r="F2" s="1"/>
      <c r="G2" s="1"/>
      <c r="H2" s="1"/>
      <c r="I2" s="1"/>
      <c r="J2" s="1"/>
      <c r="K2" s="1"/>
      <c r="L2" s="1"/>
      <c r="M2" s="1"/>
    </row>
    <row r="3" spans="1:13" x14ac:dyDescent="0.2">
      <c r="A3" s="1"/>
      <c r="B3" s="254"/>
      <c r="C3" s="1"/>
      <c r="D3" s="1"/>
      <c r="E3" s="1"/>
      <c r="F3" s="1"/>
      <c r="G3" s="1"/>
      <c r="H3" s="1"/>
      <c r="I3" s="1"/>
      <c r="J3" s="1"/>
      <c r="K3" s="1"/>
      <c r="L3" s="1"/>
      <c r="M3" s="1"/>
    </row>
    <row r="4" spans="1:13" x14ac:dyDescent="0.2">
      <c r="A4" s="1"/>
      <c r="B4" s="62"/>
      <c r="C4" s="62"/>
      <c r="D4" s="62"/>
      <c r="E4" s="62"/>
      <c r="F4" s="62"/>
      <c r="G4" s="62"/>
      <c r="H4" s="62"/>
      <c r="I4" s="62"/>
      <c r="J4" s="62"/>
      <c r="K4" s="252"/>
      <c r="L4" s="1"/>
      <c r="M4" s="1"/>
    </row>
    <row r="5" spans="1:13" x14ac:dyDescent="0.2">
      <c r="A5" s="1"/>
      <c r="C5" s="248"/>
      <c r="D5" s="248"/>
      <c r="E5" s="248"/>
      <c r="F5" s="248"/>
      <c r="G5" s="248"/>
      <c r="H5" s="248"/>
      <c r="I5" s="248"/>
      <c r="J5" s="248"/>
      <c r="K5" s="254"/>
      <c r="L5" s="1"/>
      <c r="M5" s="1"/>
    </row>
    <row r="6" spans="1:13" x14ac:dyDescent="0.2">
      <c r="A6" s="1"/>
      <c r="B6" s="4" t="s">
        <v>196</v>
      </c>
      <c r="C6" s="173"/>
      <c r="D6" s="173"/>
      <c r="E6" s="173"/>
      <c r="F6" s="173"/>
      <c r="G6" s="173"/>
      <c r="H6" s="173"/>
      <c r="I6" s="173"/>
      <c r="J6" s="173"/>
      <c r="K6" s="202"/>
      <c r="L6" s="1"/>
      <c r="M6" s="1"/>
    </row>
    <row r="7" spans="1:13" x14ac:dyDescent="0.2">
      <c r="A7" s="1"/>
      <c r="B7" s="252"/>
      <c r="C7" s="252"/>
      <c r="D7" s="252"/>
      <c r="E7" s="252"/>
      <c r="F7" s="254"/>
      <c r="G7" s="252"/>
      <c r="H7" s="254"/>
      <c r="I7" s="1"/>
      <c r="J7" s="254"/>
      <c r="K7" s="1"/>
      <c r="L7" s="1"/>
      <c r="M7" s="1"/>
    </row>
    <row r="8" spans="1:13" x14ac:dyDescent="0.2">
      <c r="A8" s="1"/>
      <c r="B8" s="252" t="s">
        <v>0</v>
      </c>
      <c r="C8" s="7"/>
      <c r="D8" s="7"/>
      <c r="E8" s="7"/>
      <c r="F8" s="254"/>
      <c r="G8" s="7"/>
      <c r="H8" s="254"/>
      <c r="I8" s="1"/>
      <c r="J8" s="252"/>
      <c r="K8" s="1"/>
      <c r="L8" s="1"/>
      <c r="M8" s="1"/>
    </row>
    <row r="9" spans="1:13" x14ac:dyDescent="0.2">
      <c r="A9" s="1"/>
      <c r="B9" s="8" t="s">
        <v>1</v>
      </c>
      <c r="C9" s="7"/>
      <c r="D9" s="9" t="s">
        <v>9</v>
      </c>
      <c r="E9" s="9"/>
      <c r="F9" s="489"/>
      <c r="G9" s="9"/>
      <c r="H9" s="489"/>
      <c r="I9" s="1"/>
      <c r="J9" s="488" t="s">
        <v>198</v>
      </c>
      <c r="K9" s="1"/>
      <c r="L9" s="1"/>
      <c r="M9" s="1"/>
    </row>
    <row r="10" spans="1:13" x14ac:dyDescent="0.2">
      <c r="A10" s="1"/>
      <c r="B10" s="252"/>
      <c r="C10" s="7"/>
      <c r="D10" s="7"/>
      <c r="E10" s="7"/>
      <c r="F10" s="254"/>
      <c r="G10" s="7"/>
      <c r="H10" s="254"/>
      <c r="I10" s="252"/>
      <c r="J10" s="252" t="s">
        <v>3</v>
      </c>
      <c r="K10" s="252"/>
      <c r="L10" s="1"/>
      <c r="M10" s="1"/>
    </row>
    <row r="11" spans="1:13" x14ac:dyDescent="0.2">
      <c r="A11" s="1"/>
      <c r="B11" s="45"/>
      <c r="C11" s="46"/>
      <c r="D11" s="46"/>
      <c r="E11" s="46"/>
      <c r="F11" s="252"/>
      <c r="G11" s="46"/>
      <c r="H11" s="252"/>
      <c r="I11" s="252"/>
      <c r="J11" s="252"/>
      <c r="K11" s="252"/>
      <c r="L11" s="1"/>
      <c r="M11" s="1"/>
    </row>
    <row r="12" spans="1:13" x14ac:dyDescent="0.2">
      <c r="A12" s="1"/>
      <c r="B12" s="45"/>
      <c r="C12" s="46"/>
      <c r="D12" s="5" t="s">
        <v>504</v>
      </c>
      <c r="E12" s="43"/>
      <c r="F12" s="45"/>
      <c r="G12" s="43"/>
      <c r="H12" s="45"/>
      <c r="I12" s="45"/>
      <c r="J12" s="11"/>
      <c r="K12" s="45"/>
      <c r="L12" s="40"/>
      <c r="M12" s="1"/>
    </row>
    <row r="13" spans="1:13" x14ac:dyDescent="0.2">
      <c r="A13" s="1"/>
      <c r="B13" s="45">
        <v>1</v>
      </c>
      <c r="C13" s="46"/>
      <c r="D13" s="39" t="s">
        <v>800</v>
      </c>
      <c r="E13" s="43"/>
      <c r="F13" s="45"/>
      <c r="G13" s="43"/>
      <c r="H13" s="11">
        <v>15491.673000000001</v>
      </c>
      <c r="I13" s="45"/>
      <c r="J13" s="11"/>
      <c r="K13" s="45"/>
      <c r="L13" s="40"/>
      <c r="M13" s="1"/>
    </row>
    <row r="14" spans="1:13" ht="14.25" x14ac:dyDescent="0.2">
      <c r="A14" s="1"/>
      <c r="B14" s="45">
        <f>MAX($B13:B$13)+1</f>
        <v>2</v>
      </c>
      <c r="C14" s="46"/>
      <c r="D14" s="39" t="s">
        <v>345</v>
      </c>
      <c r="E14" s="38"/>
      <c r="F14" s="45"/>
      <c r="G14" s="38"/>
      <c r="H14" s="261">
        <v>13147613.980869565</v>
      </c>
      <c r="I14" s="45"/>
      <c r="J14" s="11"/>
      <c r="K14" s="45"/>
      <c r="L14" s="40"/>
      <c r="M14" s="1"/>
    </row>
    <row r="15" spans="1:13" x14ac:dyDescent="0.2">
      <c r="A15" s="1"/>
      <c r="B15" s="45">
        <f>MAX($B$13:B14)+1</f>
        <v>3</v>
      </c>
      <c r="C15" s="46"/>
      <c r="D15" s="38" t="s">
        <v>346</v>
      </c>
      <c r="E15" s="38"/>
      <c r="F15" s="45"/>
      <c r="G15" s="38"/>
      <c r="H15" s="201">
        <f>H13/H14*100</f>
        <v>0.11782877883805501</v>
      </c>
      <c r="I15" s="45"/>
      <c r="J15" s="384">
        <v>0.11782877883805501</v>
      </c>
      <c r="K15" s="45"/>
      <c r="L15" s="40"/>
      <c r="M15" s="1"/>
    </row>
    <row r="16" spans="1:13" x14ac:dyDescent="0.2">
      <c r="A16" s="1"/>
      <c r="B16" s="45"/>
      <c r="C16" s="46"/>
      <c r="D16" s="38"/>
      <c r="E16" s="38"/>
      <c r="F16" s="45"/>
      <c r="G16" s="38"/>
      <c r="H16" s="223"/>
      <c r="I16" s="45"/>
      <c r="J16" s="11"/>
      <c r="K16" s="45"/>
      <c r="L16" s="40"/>
      <c r="M16" s="1"/>
    </row>
    <row r="17" spans="1:13" x14ac:dyDescent="0.2">
      <c r="A17" s="1"/>
      <c r="B17" s="252"/>
      <c r="C17" s="7"/>
      <c r="D17" s="5" t="s">
        <v>389</v>
      </c>
      <c r="E17" s="13"/>
      <c r="F17" s="45"/>
      <c r="G17" s="13"/>
      <c r="H17" s="11"/>
      <c r="I17" s="252"/>
      <c r="J17" s="11"/>
      <c r="K17" s="252"/>
      <c r="L17" s="1"/>
      <c r="M17" s="1"/>
    </row>
    <row r="18" spans="1:13" x14ac:dyDescent="0.2">
      <c r="A18" s="1"/>
      <c r="B18" s="254"/>
      <c r="C18" s="1"/>
      <c r="D18" s="13"/>
      <c r="E18" s="13"/>
      <c r="F18" s="45"/>
      <c r="G18" s="13"/>
      <c r="H18" s="11"/>
      <c r="I18" s="252"/>
      <c r="J18" s="11"/>
      <c r="K18" s="252"/>
      <c r="L18" s="1"/>
      <c r="M18" s="1"/>
    </row>
    <row r="19" spans="1:13" x14ac:dyDescent="0.2">
      <c r="A19" s="1"/>
      <c r="B19" s="254"/>
      <c r="C19" s="1"/>
      <c r="D19" s="270" t="s">
        <v>404</v>
      </c>
      <c r="E19" s="38"/>
      <c r="F19" s="240" t="s">
        <v>51</v>
      </c>
      <c r="G19" s="38"/>
      <c r="H19" s="240" t="s">
        <v>52</v>
      </c>
      <c r="I19" s="45"/>
      <c r="J19" s="11"/>
      <c r="K19" s="252"/>
      <c r="L19" s="1"/>
      <c r="M19" s="1"/>
    </row>
    <row r="20" spans="1:13" x14ac:dyDescent="0.2">
      <c r="A20" s="1"/>
      <c r="B20" s="45">
        <f>MAX($B$13:B19)+1</f>
        <v>4</v>
      </c>
      <c r="C20" s="7"/>
      <c r="D20" s="205" t="s">
        <v>803</v>
      </c>
      <c r="E20" s="13"/>
      <c r="F20" s="11">
        <v>25179.51567729516</v>
      </c>
      <c r="G20" s="13"/>
      <c r="H20" s="11">
        <v>29461.439806596383</v>
      </c>
      <c r="I20" s="45"/>
      <c r="J20" s="11"/>
      <c r="K20" s="252"/>
      <c r="L20" s="1"/>
    </row>
    <row r="21" spans="1:13" ht="14.25" x14ac:dyDescent="0.2">
      <c r="A21" s="1"/>
      <c r="B21" s="45">
        <f>MAX($B$13:B20)+1</f>
        <v>5</v>
      </c>
      <c r="C21" s="1"/>
      <c r="D21" s="205" t="s">
        <v>684</v>
      </c>
      <c r="E21" s="38"/>
      <c r="F21" s="11">
        <v>222302.96800000002</v>
      </c>
      <c r="G21" s="38"/>
      <c r="H21" s="11">
        <v>214041.79199999999</v>
      </c>
      <c r="I21" s="45"/>
      <c r="J21" s="11"/>
      <c r="K21" s="252"/>
      <c r="L21" s="1"/>
    </row>
    <row r="22" spans="1:13" x14ac:dyDescent="0.2">
      <c r="A22" s="1"/>
      <c r="B22" s="45">
        <f>MAX($B$13:B21)+1</f>
        <v>6</v>
      </c>
      <c r="C22" s="1"/>
      <c r="D22" s="205" t="s">
        <v>405</v>
      </c>
      <c r="E22" s="38"/>
      <c r="F22" s="206">
        <f>F20/F21*100</f>
        <v>11.326666442570914</v>
      </c>
      <c r="G22" s="38"/>
      <c r="H22" s="206">
        <f>H20/H21*100</f>
        <v>13.764339912925221</v>
      </c>
      <c r="I22" s="45"/>
      <c r="J22" s="11"/>
      <c r="K22" s="252"/>
      <c r="L22" s="1"/>
      <c r="M22" s="1"/>
    </row>
    <row r="23" spans="1:13" x14ac:dyDescent="0.2">
      <c r="A23" s="1"/>
      <c r="B23" s="45">
        <f>MAX($B$13:B22)+1</f>
        <v>7</v>
      </c>
      <c r="C23" s="1"/>
      <c r="D23" s="205" t="s">
        <v>418</v>
      </c>
      <c r="E23" s="38"/>
      <c r="F23" s="241">
        <f>F22*12/365</f>
        <v>0.3723835542763041</v>
      </c>
      <c r="G23" s="38"/>
      <c r="H23" s="241">
        <f>H22*12/365</f>
        <v>0.45252624371261002</v>
      </c>
      <c r="I23" s="45"/>
      <c r="J23" s="11"/>
      <c r="K23" s="252"/>
      <c r="L23" s="1"/>
      <c r="M23" s="1"/>
    </row>
    <row r="24" spans="1:13" x14ac:dyDescent="0.2">
      <c r="A24" s="1"/>
      <c r="B24" s="45">
        <f>MAX($B$13:B23)+1</f>
        <v>8</v>
      </c>
      <c r="C24" s="1"/>
      <c r="D24" s="205" t="s">
        <v>128</v>
      </c>
      <c r="E24" s="38"/>
      <c r="F24" s="206"/>
      <c r="G24" s="38"/>
      <c r="H24" s="206">
        <f>F23-H23</f>
        <v>-8.0142689436305925E-2</v>
      </c>
      <c r="I24" s="45"/>
      <c r="J24" s="11"/>
      <c r="K24" s="252"/>
      <c r="L24" s="1"/>
      <c r="M24" s="1"/>
    </row>
    <row r="25" spans="1:13" x14ac:dyDescent="0.2">
      <c r="A25" s="1"/>
      <c r="B25" s="254"/>
      <c r="C25" s="1"/>
      <c r="D25" s="270"/>
      <c r="E25" s="38"/>
      <c r="F25" s="11"/>
      <c r="G25" s="38"/>
      <c r="H25" s="11"/>
      <c r="I25" s="45"/>
      <c r="J25" s="11"/>
      <c r="K25" s="252"/>
      <c r="L25" s="1"/>
      <c r="M25" s="1"/>
    </row>
    <row r="26" spans="1:13" x14ac:dyDescent="0.2">
      <c r="A26" s="1"/>
      <c r="B26" s="45">
        <f>MAX($B$13:B25)+1</f>
        <v>9</v>
      </c>
      <c r="C26" s="7"/>
      <c r="D26" s="205" t="s">
        <v>801</v>
      </c>
      <c r="E26" s="13"/>
      <c r="F26" s="11">
        <v>41145.489783716308</v>
      </c>
      <c r="G26" s="13"/>
      <c r="H26" s="11">
        <v>2811.3402987366708</v>
      </c>
      <c r="I26" s="45"/>
      <c r="J26" s="11"/>
      <c r="K26" s="252"/>
      <c r="L26" s="1"/>
      <c r="M26" s="1"/>
    </row>
    <row r="27" spans="1:13" ht="14.25" x14ac:dyDescent="0.2">
      <c r="A27" s="1"/>
      <c r="B27" s="45">
        <f>MAX($B$13:B26)+1</f>
        <v>10</v>
      </c>
      <c r="C27" s="1"/>
      <c r="D27" s="205" t="s">
        <v>685</v>
      </c>
      <c r="E27" s="38"/>
      <c r="F27" s="11">
        <v>2924503.2126733954</v>
      </c>
      <c r="G27" s="38"/>
      <c r="H27" s="11">
        <v>3930332.4555336796</v>
      </c>
      <c r="I27" s="45"/>
      <c r="J27" s="11"/>
      <c r="K27" s="252"/>
      <c r="L27" s="1"/>
      <c r="M27" s="1"/>
    </row>
    <row r="28" spans="1:13" x14ac:dyDescent="0.2">
      <c r="A28" s="1"/>
      <c r="B28" s="45">
        <f>MAX($B$13:B27)+1</f>
        <v>11</v>
      </c>
      <c r="C28" s="1"/>
      <c r="D28" s="205" t="s">
        <v>406</v>
      </c>
      <c r="E28" s="38"/>
      <c r="F28" s="241">
        <f>F26/F27*100</f>
        <v>1.4069223656657812</v>
      </c>
      <c r="G28" s="38"/>
      <c r="H28" s="241">
        <f>H26/H27*100</f>
        <v>7.1529325586146456E-2</v>
      </c>
      <c r="I28" s="45"/>
      <c r="J28" s="11"/>
      <c r="K28" s="252"/>
      <c r="L28" s="1"/>
      <c r="M28" s="1"/>
    </row>
    <row r="29" spans="1:13" x14ac:dyDescent="0.2">
      <c r="A29" s="1"/>
      <c r="B29" s="45">
        <f>MAX($B$13:B28)+1</f>
        <v>12</v>
      </c>
      <c r="C29" s="1"/>
      <c r="D29" s="205" t="s">
        <v>128</v>
      </c>
      <c r="E29" s="38"/>
      <c r="F29" s="206"/>
      <c r="G29" s="38"/>
      <c r="H29" s="206">
        <f>F28-H28</f>
        <v>1.3353930400796348</v>
      </c>
      <c r="I29" s="45"/>
      <c r="J29" s="11"/>
      <c r="K29" s="252"/>
      <c r="L29" s="1"/>
      <c r="M29" s="1"/>
    </row>
    <row r="30" spans="1:13" x14ac:dyDescent="0.2">
      <c r="A30" s="1"/>
      <c r="B30" s="254"/>
      <c r="C30" s="1"/>
      <c r="D30" s="270"/>
      <c r="E30" s="38"/>
      <c r="F30" s="11"/>
      <c r="G30" s="38"/>
      <c r="H30" s="11"/>
      <c r="I30" s="45"/>
      <c r="J30" s="11"/>
      <c r="K30" s="252"/>
      <c r="L30" s="1"/>
      <c r="M30" s="1"/>
    </row>
    <row r="31" spans="1:13" x14ac:dyDescent="0.2">
      <c r="A31" s="1"/>
      <c r="B31" s="45">
        <f>MAX($B$13:B30)+1</f>
        <v>13</v>
      </c>
      <c r="C31" s="1"/>
      <c r="D31" s="270" t="s">
        <v>407</v>
      </c>
      <c r="E31" s="38"/>
      <c r="F31" s="11"/>
      <c r="G31" s="38"/>
      <c r="H31" s="206">
        <f>H24+H29</f>
        <v>1.2552503506433288</v>
      </c>
      <c r="I31" s="45"/>
      <c r="J31" s="384">
        <v>1.2552503506433288</v>
      </c>
      <c r="K31" s="252"/>
      <c r="L31" s="1"/>
      <c r="M31" s="1"/>
    </row>
    <row r="32" spans="1:13" x14ac:dyDescent="0.2">
      <c r="A32" s="1"/>
      <c r="B32" s="254"/>
      <c r="C32" s="1"/>
      <c r="D32" s="270"/>
      <c r="E32" s="38"/>
      <c r="F32" s="11"/>
      <c r="G32" s="38"/>
      <c r="H32" s="11"/>
      <c r="I32" s="45"/>
      <c r="J32" s="11"/>
      <c r="K32" s="252"/>
      <c r="L32" s="1"/>
      <c r="M32" s="1"/>
    </row>
    <row r="33" spans="1:13" x14ac:dyDescent="0.2">
      <c r="A33" s="1"/>
      <c r="B33" s="252"/>
      <c r="C33" s="7"/>
      <c r="D33" s="270" t="s">
        <v>408</v>
      </c>
      <c r="E33" s="38"/>
      <c r="F33" s="11"/>
      <c r="G33" s="38"/>
      <c r="H33" s="11"/>
      <c r="I33" s="45"/>
      <c r="J33" s="11"/>
      <c r="K33" s="252"/>
      <c r="L33" s="1"/>
      <c r="M33" s="1"/>
    </row>
    <row r="34" spans="1:13" x14ac:dyDescent="0.2">
      <c r="A34" s="1"/>
      <c r="B34" s="45">
        <f>MAX($B$13:B33)+1</f>
        <v>14</v>
      </c>
      <c r="C34" s="7"/>
      <c r="D34" s="205" t="s">
        <v>803</v>
      </c>
      <c r="E34" s="13"/>
      <c r="F34" s="11"/>
      <c r="G34" s="13"/>
      <c r="H34" s="11">
        <v>16095.501825688731</v>
      </c>
      <c r="I34" s="45"/>
      <c r="J34" s="11"/>
      <c r="K34" s="252"/>
      <c r="L34" s="1"/>
      <c r="M34" s="1"/>
    </row>
    <row r="35" spans="1:13" ht="14.25" x14ac:dyDescent="0.2">
      <c r="A35" s="1"/>
      <c r="B35" s="45">
        <f>MAX($B$13:B34)+1</f>
        <v>15</v>
      </c>
      <c r="C35" s="1"/>
      <c r="D35" s="205" t="s">
        <v>684</v>
      </c>
      <c r="E35" s="38"/>
      <c r="F35" s="11"/>
      <c r="G35" s="38"/>
      <c r="H35" s="261">
        <v>121211.48000000001</v>
      </c>
      <c r="I35" s="45"/>
      <c r="J35" s="11"/>
      <c r="K35" s="252"/>
      <c r="L35" s="1"/>
      <c r="M35" s="1"/>
    </row>
    <row r="36" spans="1:13" x14ac:dyDescent="0.2">
      <c r="A36" s="1"/>
      <c r="B36" s="45">
        <f>MAX($B$13:B35)+1</f>
        <v>16</v>
      </c>
      <c r="C36" s="1"/>
      <c r="D36" s="270" t="s">
        <v>409</v>
      </c>
      <c r="E36" s="38"/>
      <c r="F36" s="11"/>
      <c r="G36" s="38"/>
      <c r="H36" s="206">
        <f>H34/H35*100</f>
        <v>13.278859251358641</v>
      </c>
      <c r="I36" s="45"/>
      <c r="J36" s="384">
        <v>13.278859251358641</v>
      </c>
      <c r="K36" s="252"/>
      <c r="L36" s="1"/>
      <c r="M36" s="1"/>
    </row>
    <row r="37" spans="1:13" x14ac:dyDescent="0.2">
      <c r="A37" s="1"/>
      <c r="B37" s="254"/>
      <c r="C37" s="1"/>
      <c r="D37" s="84"/>
      <c r="E37" s="204"/>
      <c r="F37" s="1"/>
      <c r="G37" s="204"/>
      <c r="H37" s="1"/>
      <c r="I37" s="1"/>
      <c r="J37" s="11"/>
      <c r="K37" s="1"/>
      <c r="L37" s="1"/>
      <c r="M37" s="1"/>
    </row>
    <row r="38" spans="1:13" x14ac:dyDescent="0.2">
      <c r="A38" s="1"/>
      <c r="B38" s="252"/>
      <c r="C38" s="7"/>
      <c r="D38" s="5" t="s">
        <v>388</v>
      </c>
      <c r="E38" s="13"/>
      <c r="F38" s="1"/>
      <c r="G38" s="13"/>
      <c r="H38" s="11"/>
      <c r="I38" s="252"/>
      <c r="J38" s="11"/>
      <c r="K38" s="252"/>
      <c r="L38" s="1"/>
      <c r="M38" s="1"/>
    </row>
    <row r="39" spans="1:13" x14ac:dyDescent="0.2">
      <c r="A39" s="1"/>
      <c r="B39" s="254"/>
      <c r="C39" s="1"/>
      <c r="D39" s="13"/>
      <c r="E39" s="13"/>
      <c r="F39" s="1"/>
      <c r="G39" s="13"/>
      <c r="H39" s="11"/>
      <c r="I39" s="252"/>
      <c r="J39" s="11"/>
      <c r="K39" s="252"/>
      <c r="L39" s="1"/>
      <c r="M39" s="1"/>
    </row>
    <row r="40" spans="1:13" x14ac:dyDescent="0.2">
      <c r="A40" s="1"/>
      <c r="B40" s="254"/>
      <c r="C40" s="1"/>
      <c r="D40" s="84" t="s">
        <v>384</v>
      </c>
      <c r="E40" s="13"/>
      <c r="F40" s="1"/>
      <c r="G40" s="13"/>
      <c r="H40" s="11"/>
      <c r="I40" s="252"/>
      <c r="J40" s="11"/>
      <c r="K40" s="252"/>
      <c r="L40" s="1"/>
      <c r="M40" s="1"/>
    </row>
    <row r="41" spans="1:13" x14ac:dyDescent="0.2">
      <c r="A41" s="1"/>
      <c r="B41" s="45">
        <f>MAX($B$13:B40)+1</f>
        <v>17</v>
      </c>
      <c r="C41" s="7"/>
      <c r="D41" s="205" t="s">
        <v>802</v>
      </c>
      <c r="E41" s="13"/>
      <c r="F41" s="1"/>
      <c r="G41" s="13"/>
      <c r="H41" s="385">
        <v>6676.9748431407361</v>
      </c>
      <c r="I41" s="252"/>
      <c r="K41" s="252"/>
      <c r="L41" s="1"/>
      <c r="M41" s="1"/>
    </row>
    <row r="42" spans="1:13" ht="14.25" x14ac:dyDescent="0.2">
      <c r="A42" s="1"/>
      <c r="B42" s="45">
        <f>MAX($B$13:B41)+1</f>
        <v>18</v>
      </c>
      <c r="C42" s="7"/>
      <c r="D42" s="205" t="s">
        <v>685</v>
      </c>
      <c r="E42" s="13"/>
      <c r="F42" s="1"/>
      <c r="G42" s="13"/>
      <c r="H42" s="385">
        <v>4009630.1792336791</v>
      </c>
      <c r="I42" s="252"/>
      <c r="K42" s="252"/>
      <c r="L42" s="1"/>
      <c r="M42" s="1"/>
    </row>
    <row r="43" spans="1:13" x14ac:dyDescent="0.2">
      <c r="A43" s="1"/>
      <c r="B43" s="45">
        <f>MAX($B$13:B42)+1</f>
        <v>19</v>
      </c>
      <c r="C43" s="7"/>
      <c r="D43" s="205" t="s">
        <v>410</v>
      </c>
      <c r="E43" s="13"/>
      <c r="F43" s="1"/>
      <c r="G43" s="13"/>
      <c r="H43" s="206">
        <f>H41/H42*100</f>
        <v>0.16652345839078955</v>
      </c>
      <c r="I43" s="252"/>
      <c r="K43" s="252"/>
      <c r="L43" s="1"/>
      <c r="M43" s="1"/>
    </row>
    <row r="44" spans="1:13" ht="14.25" x14ac:dyDescent="0.2">
      <c r="A44" s="1"/>
      <c r="B44" s="45">
        <f>MAX($B$13:B43)+1</f>
        <v>20</v>
      </c>
      <c r="C44" s="7"/>
      <c r="D44" s="55" t="s">
        <v>481</v>
      </c>
      <c r="E44" s="13"/>
      <c r="F44" s="1"/>
      <c r="G44" s="13"/>
      <c r="H44" s="241">
        <v>20.749320578059301</v>
      </c>
      <c r="I44" s="252"/>
      <c r="K44" s="252"/>
      <c r="L44" s="1"/>
      <c r="M44" s="1"/>
    </row>
    <row r="45" spans="1:13" x14ac:dyDescent="0.2">
      <c r="A45" s="1"/>
      <c r="B45" s="45">
        <f>MAX($B$13:B44)+1</f>
        <v>21</v>
      </c>
      <c r="C45" s="7"/>
      <c r="D45" s="84" t="s">
        <v>411</v>
      </c>
      <c r="E45" s="204"/>
      <c r="F45" s="1"/>
      <c r="G45" s="204"/>
      <c r="H45" s="110">
        <f>H43/H44</f>
        <v>8.0254896908226684E-3</v>
      </c>
      <c r="I45" s="1"/>
      <c r="J45" s="386">
        <v>8.0254896908226684E-3</v>
      </c>
      <c r="K45" s="252"/>
      <c r="L45" s="1"/>
      <c r="M45" s="1"/>
    </row>
    <row r="46" spans="1:13" x14ac:dyDescent="0.2">
      <c r="A46" s="1"/>
      <c r="B46" s="45"/>
      <c r="C46" s="7"/>
      <c r="D46" s="84"/>
      <c r="E46" s="204"/>
      <c r="F46" s="1"/>
      <c r="G46" s="204"/>
      <c r="H46" s="201"/>
      <c r="I46" s="1"/>
      <c r="J46" s="387"/>
      <c r="K46" s="252"/>
      <c r="L46" s="1"/>
      <c r="M46" s="1"/>
    </row>
    <row r="47" spans="1:13" x14ac:dyDescent="0.2">
      <c r="A47" s="1"/>
      <c r="B47" s="254"/>
      <c r="C47" s="1"/>
      <c r="D47" s="84" t="s">
        <v>385</v>
      </c>
      <c r="E47" s="13"/>
      <c r="F47" s="1"/>
      <c r="G47" s="13"/>
      <c r="H47" s="11"/>
      <c r="I47" s="252"/>
      <c r="J47" s="11"/>
      <c r="K47" s="252"/>
      <c r="L47" s="1"/>
      <c r="M47" s="1"/>
    </row>
    <row r="48" spans="1:13" x14ac:dyDescent="0.2">
      <c r="A48" s="1"/>
      <c r="B48" s="45">
        <f>MAX($B$13:B47)+1</f>
        <v>22</v>
      </c>
      <c r="C48" s="7"/>
      <c r="D48" s="205" t="s">
        <v>802</v>
      </c>
      <c r="E48" s="13"/>
      <c r="F48" s="1"/>
      <c r="G48" s="13"/>
      <c r="H48" s="385">
        <v>1049.3205855071888</v>
      </c>
      <c r="I48" s="252"/>
      <c r="K48" s="252"/>
      <c r="L48" s="1"/>
      <c r="M48" s="1"/>
    </row>
    <row r="49" spans="1:13" ht="14.25" x14ac:dyDescent="0.2">
      <c r="A49" s="1"/>
      <c r="B49" s="45">
        <f>MAX($B$13:B48)+1</f>
        <v>23</v>
      </c>
      <c r="C49" s="7"/>
      <c r="D49" s="205" t="s">
        <v>685</v>
      </c>
      <c r="E49" s="13"/>
      <c r="F49" s="1"/>
      <c r="G49" s="13"/>
      <c r="H49" s="385">
        <v>981552.0399894116</v>
      </c>
      <c r="I49" s="252"/>
      <c r="K49" s="252"/>
      <c r="L49" s="1"/>
      <c r="M49" s="1"/>
    </row>
    <row r="50" spans="1:13" x14ac:dyDescent="0.2">
      <c r="A50" s="1"/>
      <c r="B50" s="45">
        <f>MAX($B$13:B49)+1</f>
        <v>24</v>
      </c>
      <c r="C50" s="7"/>
      <c r="D50" s="205" t="s">
        <v>413</v>
      </c>
      <c r="E50" s="13"/>
      <c r="F50" s="1"/>
      <c r="G50" s="13"/>
      <c r="H50" s="206">
        <f>H48/H49*100</f>
        <v>0.10690422338875769</v>
      </c>
      <c r="I50" s="252"/>
      <c r="K50" s="252"/>
      <c r="L50" s="1"/>
      <c r="M50" s="1"/>
    </row>
    <row r="51" spans="1:13" ht="14.25" x14ac:dyDescent="0.2">
      <c r="A51" s="1"/>
      <c r="B51" s="45">
        <f>MAX($B$13:B50)+1</f>
        <v>25</v>
      </c>
      <c r="C51" s="7"/>
      <c r="D51" s="55" t="s">
        <v>481</v>
      </c>
      <c r="E51" s="13"/>
      <c r="F51" s="1"/>
      <c r="G51" s="13"/>
      <c r="H51" s="241">
        <v>20.749320578059301</v>
      </c>
      <c r="I51" s="252"/>
      <c r="K51" s="252"/>
      <c r="L51" s="1"/>
      <c r="M51" s="1"/>
    </row>
    <row r="52" spans="1:13" x14ac:dyDescent="0.2">
      <c r="A52" s="1"/>
      <c r="B52" s="45">
        <f>MAX($B$13:B51)+1</f>
        <v>26</v>
      </c>
      <c r="C52" s="7"/>
      <c r="D52" s="84" t="s">
        <v>414</v>
      </c>
      <c r="E52" s="204"/>
      <c r="F52" s="1"/>
      <c r="G52" s="204"/>
      <c r="H52" s="110">
        <f>H50/H51</f>
        <v>5.1521794647001653E-3</v>
      </c>
      <c r="I52" s="1"/>
      <c r="J52" s="386">
        <v>5.1521794647001644E-3</v>
      </c>
      <c r="K52" s="252"/>
      <c r="L52" s="1"/>
      <c r="M52" s="1"/>
    </row>
    <row r="53" spans="1:13" x14ac:dyDescent="0.2">
      <c r="A53" s="1"/>
      <c r="B53" s="45"/>
      <c r="C53" s="7"/>
      <c r="D53" s="84"/>
      <c r="E53" s="204"/>
      <c r="F53" s="1"/>
      <c r="G53" s="204"/>
      <c r="H53" s="201"/>
      <c r="I53" s="1"/>
      <c r="J53" s="387"/>
      <c r="K53" s="252"/>
      <c r="L53" s="1"/>
      <c r="M53" s="1"/>
    </row>
    <row r="54" spans="1:13" x14ac:dyDescent="0.2">
      <c r="A54" s="1"/>
      <c r="B54" s="254"/>
      <c r="C54" s="1"/>
      <c r="D54" s="84" t="s">
        <v>386</v>
      </c>
      <c r="E54" s="13"/>
      <c r="F54" s="1"/>
      <c r="G54" s="13"/>
      <c r="H54" s="11"/>
      <c r="I54" s="252"/>
      <c r="J54" s="11"/>
      <c r="K54" s="252"/>
      <c r="L54" s="1"/>
      <c r="M54" s="1"/>
    </row>
    <row r="55" spans="1:13" x14ac:dyDescent="0.2">
      <c r="A55" s="1"/>
      <c r="B55" s="45">
        <f>MAX($B$13:B54)+1</f>
        <v>27</v>
      </c>
      <c r="C55" s="7"/>
      <c r="D55" s="205" t="s">
        <v>802</v>
      </c>
      <c r="E55" s="13"/>
      <c r="F55" s="1"/>
      <c r="G55" s="13"/>
      <c r="H55" s="385">
        <v>850.94691332988987</v>
      </c>
      <c r="I55" s="252"/>
      <c r="K55" s="252"/>
      <c r="L55" s="1"/>
      <c r="M55" s="1"/>
    </row>
    <row r="56" spans="1:13" ht="14.25" x14ac:dyDescent="0.2">
      <c r="A56" s="1"/>
      <c r="B56" s="45">
        <f>MAX($B$13:B55)+1</f>
        <v>28</v>
      </c>
      <c r="C56" s="7"/>
      <c r="D56" s="205" t="s">
        <v>685</v>
      </c>
      <c r="E56" s="13"/>
      <c r="F56" s="1"/>
      <c r="G56" s="13"/>
      <c r="H56" s="385">
        <v>1427302.6369889998</v>
      </c>
      <c r="I56" s="252"/>
      <c r="K56" s="252"/>
      <c r="L56" s="1"/>
      <c r="M56" s="1"/>
    </row>
    <row r="57" spans="1:13" x14ac:dyDescent="0.2">
      <c r="A57" s="1"/>
      <c r="B57" s="45">
        <f>MAX($B$13:B56)+1</f>
        <v>29</v>
      </c>
      <c r="C57" s="7"/>
      <c r="D57" s="205" t="s">
        <v>415</v>
      </c>
      <c r="E57" s="13"/>
      <c r="F57" s="1"/>
      <c r="G57" s="13"/>
      <c r="H57" s="206">
        <f>H55/H56*100</f>
        <v>5.9619235001556865E-2</v>
      </c>
      <c r="I57" s="252"/>
      <c r="K57" s="252"/>
      <c r="L57" s="1"/>
      <c r="M57" s="1"/>
    </row>
    <row r="58" spans="1:13" ht="14.25" x14ac:dyDescent="0.2">
      <c r="A58" s="1"/>
      <c r="B58" s="45">
        <f>MAX($B$13:B57)+1</f>
        <v>30</v>
      </c>
      <c r="C58" s="7"/>
      <c r="D58" s="55" t="s">
        <v>481</v>
      </c>
      <c r="E58" s="13"/>
      <c r="F58" s="1"/>
      <c r="G58" s="13"/>
      <c r="H58" s="241">
        <v>20.749320578059301</v>
      </c>
      <c r="I58" s="252"/>
      <c r="K58" s="252"/>
      <c r="L58" s="1"/>
      <c r="M58" s="1"/>
    </row>
    <row r="59" spans="1:13" x14ac:dyDescent="0.2">
      <c r="A59" s="1"/>
      <c r="B59" s="45">
        <f>MAX($B$13:B58)+1</f>
        <v>31</v>
      </c>
      <c r="C59" s="7"/>
      <c r="D59" s="84" t="s">
        <v>416</v>
      </c>
      <c r="E59" s="204"/>
      <c r="F59" s="1"/>
      <c r="G59" s="204"/>
      <c r="H59" s="110">
        <f>H57/H58</f>
        <v>2.8733102260996104E-3</v>
      </c>
      <c r="I59" s="1"/>
      <c r="J59" s="386">
        <v>2.87331022609961E-3</v>
      </c>
      <c r="K59" s="252"/>
      <c r="L59" s="1"/>
      <c r="M59" s="1"/>
    </row>
    <row r="60" spans="1:13" x14ac:dyDescent="0.2">
      <c r="A60" s="1"/>
      <c r="B60" s="45"/>
      <c r="C60" s="7"/>
      <c r="D60" s="84"/>
      <c r="E60" s="204"/>
      <c r="F60" s="1"/>
      <c r="G60" s="204"/>
      <c r="H60" s="201"/>
      <c r="I60" s="1"/>
      <c r="J60" s="387"/>
      <c r="K60" s="252"/>
      <c r="L60" s="1"/>
      <c r="M60" s="1"/>
    </row>
    <row r="61" spans="1:13" x14ac:dyDescent="0.2">
      <c r="A61" s="1"/>
      <c r="B61" s="254"/>
      <c r="C61" s="1"/>
      <c r="D61" s="84" t="s">
        <v>387</v>
      </c>
      <c r="E61" s="13"/>
      <c r="F61" s="1"/>
      <c r="G61" s="13"/>
      <c r="H61" s="11"/>
      <c r="I61" s="252"/>
      <c r="J61" s="11"/>
      <c r="K61" s="252"/>
      <c r="L61" s="1"/>
      <c r="M61" s="1"/>
    </row>
    <row r="62" spans="1:13" x14ac:dyDescent="0.2">
      <c r="A62" s="1"/>
      <c r="B62" s="45">
        <f>MAX($B$13:B61)+1</f>
        <v>32</v>
      </c>
      <c r="C62" s="7"/>
      <c r="D62" s="205" t="s">
        <v>802</v>
      </c>
      <c r="E62" s="13"/>
      <c r="F62" s="1"/>
      <c r="G62" s="13"/>
      <c r="H62" s="385">
        <v>414.97670053811783</v>
      </c>
      <c r="I62" s="252"/>
      <c r="K62" s="252"/>
      <c r="L62" s="1"/>
      <c r="M62" s="1"/>
    </row>
    <row r="63" spans="1:13" ht="14.25" x14ac:dyDescent="0.2">
      <c r="A63" s="1"/>
      <c r="B63" s="45">
        <f>MAX($B$13:B62)+1</f>
        <v>33</v>
      </c>
      <c r="C63" s="7"/>
      <c r="D63" s="205" t="s">
        <v>685</v>
      </c>
      <c r="E63" s="13"/>
      <c r="F63" s="1"/>
      <c r="G63" s="13"/>
      <c r="H63" s="385">
        <v>249200.14546999999</v>
      </c>
      <c r="I63" s="252"/>
      <c r="K63" s="252"/>
      <c r="L63" s="1"/>
      <c r="M63" s="1"/>
    </row>
    <row r="64" spans="1:13" x14ac:dyDescent="0.2">
      <c r="A64" s="1"/>
      <c r="B64" s="45">
        <f>MAX($B$13:B63)+1</f>
        <v>34</v>
      </c>
      <c r="C64" s="7"/>
      <c r="D64" s="205" t="s">
        <v>417</v>
      </c>
      <c r="E64" s="13"/>
      <c r="F64" s="1"/>
      <c r="G64" s="13"/>
      <c r="H64" s="206">
        <f>H62/H63*100</f>
        <v>0.16652345838541049</v>
      </c>
      <c r="I64" s="252"/>
      <c r="K64" s="252"/>
      <c r="L64" s="1"/>
      <c r="M64" s="1"/>
    </row>
    <row r="65" spans="1:13" ht="14.25" x14ac:dyDescent="0.2">
      <c r="A65" s="1"/>
      <c r="B65" s="45">
        <f>MAX($B$13:B64)+1</f>
        <v>35</v>
      </c>
      <c r="C65" s="7"/>
      <c r="D65" s="55" t="s">
        <v>481</v>
      </c>
      <c r="E65" s="13"/>
      <c r="F65" s="1"/>
      <c r="G65" s="13"/>
      <c r="H65" s="241">
        <v>20.749320578059301</v>
      </c>
      <c r="I65" s="252"/>
      <c r="K65" s="252"/>
      <c r="L65" s="1"/>
      <c r="M65" s="1"/>
    </row>
    <row r="66" spans="1:13" x14ac:dyDescent="0.2">
      <c r="A66" s="1"/>
      <c r="B66" s="45">
        <f>MAX($B$13:B65)+1</f>
        <v>36</v>
      </c>
      <c r="C66" s="7"/>
      <c r="D66" s="84" t="s">
        <v>387</v>
      </c>
      <c r="E66" s="204"/>
      <c r="F66" s="1"/>
      <c r="G66" s="204"/>
      <c r="H66" s="110">
        <f>H64/H65</f>
        <v>8.0254896905634279E-3</v>
      </c>
      <c r="I66" s="1"/>
      <c r="J66" s="386">
        <v>8.0254896905634261E-3</v>
      </c>
      <c r="K66" s="252"/>
      <c r="L66" s="1"/>
      <c r="M66" s="1"/>
    </row>
    <row r="67" spans="1:13" x14ac:dyDescent="0.2">
      <c r="A67" s="1"/>
      <c r="B67" s="45"/>
      <c r="C67" s="7"/>
      <c r="D67" s="84"/>
      <c r="E67" s="204"/>
      <c r="F67" s="1"/>
      <c r="G67" s="204"/>
      <c r="H67" s="201"/>
      <c r="I67" s="1"/>
      <c r="J67" s="387"/>
      <c r="K67" s="252"/>
      <c r="L67" s="1"/>
      <c r="M67" s="1"/>
    </row>
    <row r="68" spans="1:13" x14ac:dyDescent="0.2">
      <c r="A68" s="1"/>
      <c r="B68" s="254"/>
      <c r="C68" s="1"/>
      <c r="D68" s="1"/>
      <c r="E68" s="1"/>
      <c r="F68" s="1"/>
      <c r="G68" s="1"/>
      <c r="H68" s="1"/>
      <c r="I68" s="1"/>
      <c r="J68" s="1"/>
      <c r="K68" s="1"/>
      <c r="L68" s="1"/>
      <c r="M68" s="1"/>
    </row>
    <row r="69" spans="1:13" x14ac:dyDescent="0.2">
      <c r="A69" s="1"/>
      <c r="B69" s="254"/>
      <c r="C69" s="1"/>
      <c r="D69" s="1"/>
      <c r="E69" s="1"/>
      <c r="F69" s="1"/>
      <c r="G69" s="1"/>
      <c r="H69" s="1"/>
      <c r="I69" s="1"/>
      <c r="J69" s="1"/>
      <c r="K69" s="1"/>
      <c r="L69" s="1"/>
      <c r="M69" s="1"/>
    </row>
    <row r="70" spans="1:13" x14ac:dyDescent="0.2">
      <c r="A70" s="1"/>
      <c r="B70" s="62"/>
      <c r="C70" s="62"/>
      <c r="D70" s="62"/>
      <c r="E70" s="62"/>
      <c r="F70" s="62"/>
      <c r="G70" s="62"/>
      <c r="H70" s="62"/>
      <c r="I70" s="62"/>
      <c r="J70" s="62"/>
      <c r="K70" s="252"/>
      <c r="L70" s="1"/>
      <c r="M70" s="1"/>
    </row>
    <row r="71" spans="1:13" x14ac:dyDescent="0.2">
      <c r="A71" s="1"/>
      <c r="C71" s="248"/>
      <c r="D71" s="248"/>
      <c r="E71" s="248"/>
      <c r="F71" s="248"/>
      <c r="G71" s="248"/>
      <c r="H71" s="248"/>
      <c r="I71" s="248"/>
      <c r="J71" s="248"/>
      <c r="K71" s="254"/>
      <c r="L71" s="1"/>
      <c r="M71" s="1"/>
    </row>
    <row r="72" spans="1:13" x14ac:dyDescent="0.2">
      <c r="A72" s="1"/>
      <c r="B72" s="4" t="s">
        <v>799</v>
      </c>
      <c r="C72" s="173"/>
      <c r="D72" s="173"/>
      <c r="E72" s="173"/>
      <c r="F72" s="173"/>
      <c r="G72" s="173"/>
      <c r="H72" s="173"/>
      <c r="I72" s="173"/>
      <c r="J72" s="173"/>
      <c r="K72" s="202"/>
      <c r="L72" s="1"/>
      <c r="M72" s="1"/>
    </row>
    <row r="73" spans="1:13" x14ac:dyDescent="0.2">
      <c r="A73" s="1"/>
      <c r="B73" s="252"/>
      <c r="C73" s="252"/>
      <c r="D73" s="252"/>
      <c r="E73" s="252"/>
      <c r="F73" s="254"/>
      <c r="G73" s="252"/>
      <c r="H73" s="254"/>
      <c r="I73" s="1"/>
      <c r="J73" s="254"/>
      <c r="K73" s="1"/>
      <c r="L73" s="1"/>
      <c r="M73" s="1"/>
    </row>
    <row r="74" spans="1:13" x14ac:dyDescent="0.2">
      <c r="A74" s="1"/>
      <c r="B74" s="252" t="s">
        <v>0</v>
      </c>
      <c r="C74" s="7"/>
      <c r="D74" s="7"/>
      <c r="E74" s="7"/>
      <c r="F74" s="254"/>
      <c r="G74" s="7"/>
      <c r="H74" s="254"/>
      <c r="I74" s="1"/>
      <c r="J74" s="252"/>
      <c r="K74" s="1"/>
      <c r="L74" s="1"/>
      <c r="M74" s="1"/>
    </row>
    <row r="75" spans="1:13" x14ac:dyDescent="0.2">
      <c r="A75" s="1"/>
      <c r="B75" s="8" t="s">
        <v>1</v>
      </c>
      <c r="C75" s="7"/>
      <c r="D75" s="9" t="s">
        <v>9</v>
      </c>
      <c r="E75" s="9"/>
      <c r="F75" s="489"/>
      <c r="G75" s="9"/>
      <c r="H75" s="489"/>
      <c r="I75" s="1"/>
      <c r="J75" s="488" t="s">
        <v>198</v>
      </c>
      <c r="K75" s="1"/>
      <c r="L75" s="1"/>
      <c r="M75" s="1"/>
    </row>
    <row r="76" spans="1:13" x14ac:dyDescent="0.2">
      <c r="A76" s="1"/>
      <c r="B76" s="252"/>
      <c r="C76" s="7"/>
      <c r="D76" s="7"/>
      <c r="E76" s="7"/>
      <c r="F76" s="254"/>
      <c r="G76" s="7"/>
      <c r="H76" s="254"/>
      <c r="I76" s="252"/>
      <c r="J76" s="252" t="s">
        <v>3</v>
      </c>
      <c r="K76" s="252"/>
      <c r="L76" s="1"/>
      <c r="M76" s="1"/>
    </row>
    <row r="77" spans="1:13" x14ac:dyDescent="0.2">
      <c r="A77" s="1"/>
      <c r="B77" s="45"/>
      <c r="C77" s="46"/>
      <c r="D77" s="46"/>
      <c r="E77" s="46"/>
      <c r="F77" s="252"/>
      <c r="G77" s="46"/>
      <c r="H77" s="252"/>
      <c r="I77" s="252"/>
      <c r="J77" s="252"/>
      <c r="K77" s="252"/>
      <c r="L77" s="1"/>
      <c r="M77" s="1"/>
    </row>
    <row r="78" spans="1:13" x14ac:dyDescent="0.2">
      <c r="A78" s="1"/>
      <c r="B78" s="252"/>
      <c r="C78" s="7"/>
      <c r="D78" s="5" t="s">
        <v>505</v>
      </c>
      <c r="E78" s="13"/>
      <c r="F78" s="1"/>
      <c r="G78" s="13"/>
      <c r="H78" s="11"/>
      <c r="I78" s="252"/>
      <c r="J78" s="11"/>
      <c r="K78" s="252"/>
      <c r="L78" s="1"/>
      <c r="M78" s="1"/>
    </row>
    <row r="79" spans="1:13" x14ac:dyDescent="0.2">
      <c r="A79" s="1"/>
      <c r="B79" s="254"/>
      <c r="C79" s="1"/>
      <c r="D79" s="13"/>
      <c r="E79" s="13"/>
      <c r="F79" s="1"/>
      <c r="G79" s="13"/>
      <c r="H79" s="11"/>
      <c r="I79" s="252"/>
      <c r="J79" s="11"/>
      <c r="K79" s="252"/>
      <c r="L79" s="1"/>
      <c r="M79" s="1"/>
    </row>
    <row r="80" spans="1:13" x14ac:dyDescent="0.2">
      <c r="A80" s="1"/>
      <c r="B80" s="254"/>
      <c r="C80" s="1"/>
      <c r="D80" s="84" t="s">
        <v>51</v>
      </c>
      <c r="E80" s="13"/>
      <c r="F80" s="1"/>
      <c r="G80" s="13"/>
      <c r="H80" s="11"/>
      <c r="I80" s="252"/>
      <c r="J80" s="11"/>
      <c r="K80" s="252"/>
      <c r="L80" s="1"/>
      <c r="M80" s="1"/>
    </row>
    <row r="81" spans="1:13" x14ac:dyDescent="0.2">
      <c r="A81" s="1"/>
      <c r="B81" s="45">
        <f>MAX($B$13:B80)+1</f>
        <v>37</v>
      </c>
      <c r="C81" s="7"/>
      <c r="D81" s="205" t="s">
        <v>483</v>
      </c>
      <c r="E81" s="13"/>
      <c r="F81" s="1"/>
      <c r="G81" s="13"/>
      <c r="H81" s="206">
        <v>2.0262016438356163</v>
      </c>
      <c r="I81" s="252"/>
      <c r="K81" s="252"/>
      <c r="L81" s="1"/>
      <c r="M81" s="1"/>
    </row>
    <row r="82" spans="1:13" x14ac:dyDescent="0.2">
      <c r="A82" s="1"/>
      <c r="B82" s="45">
        <f>MAX($B$13:B81)+1</f>
        <v>38</v>
      </c>
      <c r="C82" s="1"/>
      <c r="D82" s="205" t="s">
        <v>42</v>
      </c>
      <c r="E82" s="204"/>
      <c r="F82" s="1"/>
      <c r="G82" s="204"/>
      <c r="H82" s="241">
        <v>0.31979999999999997</v>
      </c>
      <c r="I82" s="1"/>
      <c r="K82" s="1"/>
      <c r="L82" s="1"/>
      <c r="M82" s="1"/>
    </row>
    <row r="83" spans="1:13" x14ac:dyDescent="0.2">
      <c r="A83" s="1"/>
      <c r="B83" s="45">
        <f>MAX($B$13:B82)+1</f>
        <v>39</v>
      </c>
      <c r="C83" s="1"/>
      <c r="D83" s="84" t="s">
        <v>419</v>
      </c>
      <c r="E83" s="204"/>
      <c r="F83" s="1"/>
      <c r="G83" s="204"/>
      <c r="H83" s="201">
        <f>H81+H82</f>
        <v>2.3460016438356162</v>
      </c>
      <c r="I83" s="1"/>
      <c r="J83" s="384">
        <v>2.3460016438356162</v>
      </c>
      <c r="K83" s="1"/>
      <c r="L83" s="1"/>
      <c r="M83" s="1"/>
    </row>
    <row r="84" spans="1:13" x14ac:dyDescent="0.2">
      <c r="A84" s="1"/>
      <c r="B84" s="254"/>
      <c r="C84" s="1"/>
      <c r="D84" s="204"/>
      <c r="E84" s="204"/>
      <c r="F84" s="1"/>
      <c r="G84" s="204"/>
      <c r="H84" s="1"/>
      <c r="I84" s="1"/>
      <c r="J84" s="1"/>
      <c r="K84" s="1"/>
      <c r="L84" s="1"/>
      <c r="M84" s="1"/>
    </row>
    <row r="85" spans="1:13" x14ac:dyDescent="0.2">
      <c r="A85" s="1"/>
      <c r="B85" s="254"/>
      <c r="C85" s="1"/>
      <c r="D85" s="84" t="s">
        <v>200</v>
      </c>
      <c r="E85" s="13"/>
      <c r="F85" s="1"/>
      <c r="G85" s="13"/>
      <c r="H85" s="11"/>
      <c r="I85" s="252"/>
      <c r="J85" s="11"/>
      <c r="K85" s="252"/>
      <c r="L85" s="1"/>
      <c r="M85" s="1"/>
    </row>
    <row r="86" spans="1:13" x14ac:dyDescent="0.2">
      <c r="A86" s="1"/>
      <c r="B86" s="45">
        <f>MAX($B$13:B85)+1</f>
        <v>40</v>
      </c>
      <c r="C86" s="7"/>
      <c r="D86" s="205" t="s">
        <v>693</v>
      </c>
      <c r="E86" s="13"/>
      <c r="F86" s="1"/>
      <c r="G86" s="13"/>
      <c r="H86" s="206">
        <v>1.4009621917808219</v>
      </c>
      <c r="I86" s="252"/>
      <c r="K86" s="252"/>
      <c r="L86" s="1"/>
      <c r="M86" s="1"/>
    </row>
    <row r="87" spans="1:13" x14ac:dyDescent="0.2">
      <c r="A87" s="1"/>
      <c r="B87" s="45">
        <f>MAX($B$13:B86)+1</f>
        <v>41</v>
      </c>
      <c r="C87" s="1"/>
      <c r="D87" s="205" t="s">
        <v>201</v>
      </c>
      <c r="E87" s="204"/>
      <c r="F87" s="1"/>
      <c r="G87" s="204"/>
      <c r="H87" s="241">
        <v>0</v>
      </c>
      <c r="I87" s="1"/>
      <c r="K87" s="1"/>
      <c r="L87" s="1"/>
      <c r="M87" s="1"/>
    </row>
    <row r="88" spans="1:13" x14ac:dyDescent="0.2">
      <c r="A88" s="1"/>
      <c r="B88" s="45">
        <f>MAX($B$13:B87)+1</f>
        <v>42</v>
      </c>
      <c r="C88" s="1"/>
      <c r="D88" s="84" t="s">
        <v>420</v>
      </c>
      <c r="E88" s="204"/>
      <c r="F88" s="1"/>
      <c r="G88" s="204"/>
      <c r="H88" s="201">
        <f>H86+H87</f>
        <v>1.4009621917808219</v>
      </c>
      <c r="I88" s="1"/>
      <c r="J88" s="384">
        <v>1.4009621917808219</v>
      </c>
      <c r="K88" s="1"/>
      <c r="L88" s="1"/>
      <c r="M88" s="1"/>
    </row>
    <row r="89" spans="1:13" x14ac:dyDescent="0.2">
      <c r="A89" s="1"/>
      <c r="B89" s="254"/>
      <c r="C89" s="1"/>
      <c r="D89" s="204"/>
      <c r="E89" s="204"/>
      <c r="F89" s="1"/>
      <c r="G89" s="204"/>
      <c r="H89" s="1"/>
      <c r="I89" s="1"/>
      <c r="K89" s="1"/>
      <c r="L89" s="1"/>
      <c r="M89" s="1"/>
    </row>
    <row r="90" spans="1:13" x14ac:dyDescent="0.2">
      <c r="A90" s="1"/>
      <c r="B90" s="254"/>
      <c r="C90" s="1"/>
      <c r="D90" s="84" t="s">
        <v>347</v>
      </c>
      <c r="E90" s="13"/>
      <c r="F90" s="1"/>
      <c r="G90" s="13"/>
      <c r="H90" s="11"/>
      <c r="I90" s="252"/>
      <c r="K90" s="252"/>
      <c r="L90" s="1"/>
      <c r="M90" s="1"/>
    </row>
    <row r="91" spans="1:13" x14ac:dyDescent="0.2">
      <c r="A91" s="1"/>
      <c r="B91" s="45">
        <f>MAX($B$13:B90)+1</f>
        <v>43</v>
      </c>
      <c r="C91" s="7"/>
      <c r="D91" s="205" t="s">
        <v>420</v>
      </c>
      <c r="E91" s="13"/>
      <c r="F91" s="1"/>
      <c r="G91" s="13"/>
      <c r="H91" s="206">
        <f>$J$88</f>
        <v>1.4009621917808219</v>
      </c>
      <c r="I91" s="252"/>
      <c r="K91" s="252"/>
      <c r="L91" s="1"/>
      <c r="M91" s="1"/>
    </row>
    <row r="92" spans="1:13" x14ac:dyDescent="0.2">
      <c r="A92" s="1"/>
      <c r="B92" s="45">
        <f>MAX($B$13:B91)+1</f>
        <v>44</v>
      </c>
      <c r="C92" s="1"/>
      <c r="D92" s="205" t="s">
        <v>424</v>
      </c>
      <c r="E92" s="204"/>
      <c r="F92" s="1"/>
      <c r="G92" s="204"/>
      <c r="H92" s="241">
        <v>1.2552503506433288</v>
      </c>
      <c r="I92" s="1"/>
      <c r="K92" s="1"/>
      <c r="L92" s="1"/>
      <c r="M92" s="1"/>
    </row>
    <row r="93" spans="1:13" x14ac:dyDescent="0.2">
      <c r="A93" s="1"/>
      <c r="B93" s="45">
        <f>MAX($B$13:B92)+1</f>
        <v>45</v>
      </c>
      <c r="C93" s="1"/>
      <c r="D93" s="84" t="s">
        <v>421</v>
      </c>
      <c r="E93" s="204"/>
      <c r="F93" s="1"/>
      <c r="G93" s="204"/>
      <c r="H93" s="201">
        <f>H91+H92</f>
        <v>2.6562125424241509</v>
      </c>
      <c r="I93" s="1"/>
      <c r="J93" s="384">
        <v>2.6562125424241509</v>
      </c>
      <c r="K93" s="1"/>
      <c r="L93" s="1"/>
      <c r="M93" s="1"/>
    </row>
    <row r="94" spans="1:13" x14ac:dyDescent="0.2">
      <c r="A94" s="1"/>
      <c r="B94" s="254"/>
      <c r="C94" s="1"/>
      <c r="D94" s="204"/>
      <c r="E94" s="204"/>
      <c r="F94" s="1"/>
      <c r="G94" s="204"/>
      <c r="H94" s="1"/>
      <c r="I94" s="1"/>
      <c r="K94" s="1"/>
      <c r="L94" s="1"/>
      <c r="M94" s="1"/>
    </row>
    <row r="95" spans="1:13" x14ac:dyDescent="0.2">
      <c r="A95" s="1"/>
      <c r="B95" s="254"/>
      <c r="C95" s="1"/>
      <c r="D95" s="84" t="s">
        <v>202</v>
      </c>
      <c r="E95" s="13"/>
      <c r="F95" s="1"/>
      <c r="G95" s="13"/>
      <c r="H95" s="11"/>
      <c r="I95" s="252"/>
      <c r="K95" s="252"/>
      <c r="L95" s="1"/>
      <c r="M95" s="1"/>
    </row>
    <row r="96" spans="1:13" x14ac:dyDescent="0.2">
      <c r="A96" s="1"/>
      <c r="B96" s="45">
        <f>MAX($B$13:B95)+1</f>
        <v>46</v>
      </c>
      <c r="C96" s="7"/>
      <c r="D96" s="205" t="s">
        <v>484</v>
      </c>
      <c r="E96" s="13"/>
      <c r="F96" s="1"/>
      <c r="G96" s="13"/>
      <c r="H96" s="206">
        <v>3.9576986301369861E-2</v>
      </c>
      <c r="I96" s="252"/>
      <c r="K96" s="252"/>
      <c r="L96" s="1"/>
      <c r="M96" s="1"/>
    </row>
    <row r="97" spans="1:13" x14ac:dyDescent="0.2">
      <c r="A97" s="1"/>
      <c r="B97" s="45">
        <f>MAX($B$13:B96)+1</f>
        <v>47</v>
      </c>
      <c r="C97" s="1"/>
      <c r="D97" s="205" t="s">
        <v>201</v>
      </c>
      <c r="E97" s="204"/>
      <c r="F97" s="1"/>
      <c r="G97" s="204"/>
      <c r="H97" s="241">
        <v>0</v>
      </c>
      <c r="I97" s="1"/>
      <c r="K97" s="1"/>
      <c r="L97" s="1"/>
      <c r="M97" s="1"/>
    </row>
    <row r="98" spans="1:13" x14ac:dyDescent="0.2">
      <c r="A98" s="1"/>
      <c r="B98" s="45">
        <f>MAX($B$13:B97)+1</f>
        <v>48</v>
      </c>
      <c r="C98" s="1"/>
      <c r="D98" s="84" t="s">
        <v>422</v>
      </c>
      <c r="E98" s="204"/>
      <c r="F98" s="1"/>
      <c r="G98" s="204"/>
      <c r="H98" s="201">
        <f>H96+H97</f>
        <v>3.9576986301369861E-2</v>
      </c>
      <c r="I98" s="1"/>
      <c r="J98" s="384">
        <v>3.9576986301369861E-2</v>
      </c>
      <c r="K98" s="1"/>
      <c r="L98" s="1"/>
      <c r="M98" s="1"/>
    </row>
    <row r="99" spans="1:13" x14ac:dyDescent="0.2">
      <c r="A99" s="1"/>
      <c r="B99" s="254"/>
      <c r="C99" s="1"/>
      <c r="D99" s="204"/>
      <c r="E99" s="204"/>
      <c r="F99" s="1"/>
      <c r="G99" s="204"/>
      <c r="H99" s="1"/>
      <c r="I99" s="1"/>
      <c r="K99" s="1"/>
      <c r="L99" s="1"/>
      <c r="M99" s="1"/>
    </row>
    <row r="100" spans="1:13" x14ac:dyDescent="0.2">
      <c r="A100" s="1"/>
      <c r="B100" s="254"/>
      <c r="C100" s="1"/>
      <c r="D100" s="84" t="s">
        <v>203</v>
      </c>
      <c r="E100" s="13"/>
      <c r="F100" s="1"/>
      <c r="G100" s="13"/>
      <c r="H100" s="11"/>
      <c r="I100" s="252"/>
      <c r="K100" s="252"/>
      <c r="L100" s="1"/>
      <c r="M100" s="1"/>
    </row>
    <row r="101" spans="1:13" x14ac:dyDescent="0.2">
      <c r="A101" s="1"/>
      <c r="B101" s="45">
        <f>MAX($B$13:B100)+1</f>
        <v>49</v>
      </c>
      <c r="C101" s="7"/>
      <c r="D101" s="205" t="s">
        <v>485</v>
      </c>
      <c r="E101" s="13"/>
      <c r="F101" s="1"/>
      <c r="G101" s="13"/>
      <c r="H101" s="206">
        <v>0.74778410958904107</v>
      </c>
      <c r="I101" s="252"/>
      <c r="K101" s="252"/>
      <c r="L101" s="1"/>
      <c r="M101" s="1"/>
    </row>
    <row r="102" spans="1:13" x14ac:dyDescent="0.2">
      <c r="A102" s="1"/>
      <c r="B102" s="45">
        <f>MAX($B$13:B101)+1</f>
        <v>50</v>
      </c>
      <c r="C102" s="1"/>
      <c r="D102" s="205" t="s">
        <v>201</v>
      </c>
      <c r="E102" s="204"/>
      <c r="F102" s="1"/>
      <c r="G102" s="204"/>
      <c r="H102" s="241">
        <v>0</v>
      </c>
      <c r="I102" s="1"/>
      <c r="K102" s="1"/>
      <c r="L102" s="1"/>
      <c r="M102" s="1"/>
    </row>
    <row r="103" spans="1:13" x14ac:dyDescent="0.2">
      <c r="A103" s="1"/>
      <c r="B103" s="45">
        <f>MAX($B$13:B102)+1</f>
        <v>51</v>
      </c>
      <c r="C103" s="1"/>
      <c r="D103" s="84" t="s">
        <v>423</v>
      </c>
      <c r="E103" s="204"/>
      <c r="F103" s="1"/>
      <c r="G103" s="204"/>
      <c r="H103" s="201">
        <f>H101+H102</f>
        <v>0.74778410958904107</v>
      </c>
      <c r="I103" s="1"/>
      <c r="J103" s="384">
        <v>0.74778410958904107</v>
      </c>
      <c r="K103" s="1"/>
      <c r="L103" s="1"/>
      <c r="M103" s="1"/>
    </row>
    <row r="104" spans="1:13" x14ac:dyDescent="0.2">
      <c r="A104" s="1"/>
      <c r="B104" s="254"/>
      <c r="C104" s="1"/>
      <c r="D104" s="204"/>
      <c r="E104" s="204"/>
      <c r="F104" s="1"/>
      <c r="G104" s="204"/>
      <c r="H104" s="1"/>
      <c r="I104" s="1"/>
      <c r="K104" s="1"/>
      <c r="L104" s="1"/>
      <c r="M104" s="1"/>
    </row>
    <row r="105" spans="1:13" x14ac:dyDescent="0.2">
      <c r="A105" s="1"/>
      <c r="B105" s="254"/>
      <c r="C105" s="1"/>
      <c r="D105" s="84" t="s">
        <v>348</v>
      </c>
      <c r="E105" s="13"/>
      <c r="F105" s="1"/>
      <c r="G105" s="13"/>
      <c r="H105" s="11"/>
      <c r="I105" s="252"/>
      <c r="K105" s="252"/>
      <c r="L105" s="1"/>
      <c r="M105" s="1"/>
    </row>
    <row r="106" spans="1:13" x14ac:dyDescent="0.2">
      <c r="A106" s="1"/>
      <c r="B106" s="45">
        <f>MAX($B$13:B105)+1</f>
        <v>52</v>
      </c>
      <c r="C106" s="7"/>
      <c r="D106" s="205" t="s">
        <v>423</v>
      </c>
      <c r="E106" s="13"/>
      <c r="F106" s="1"/>
      <c r="G106" s="13"/>
      <c r="H106" s="206">
        <f>$J$103</f>
        <v>0.74778410958904107</v>
      </c>
      <c r="I106" s="252"/>
      <c r="K106" s="252"/>
      <c r="L106" s="1"/>
      <c r="M106" s="1"/>
    </row>
    <row r="107" spans="1:13" x14ac:dyDescent="0.2">
      <c r="A107" s="1"/>
      <c r="B107" s="45">
        <f>MAX($B$13:B106)+1</f>
        <v>53</v>
      </c>
      <c r="C107" s="1"/>
      <c r="D107" s="205" t="s">
        <v>486</v>
      </c>
      <c r="E107" s="204"/>
      <c r="F107" s="1"/>
      <c r="G107" s="204"/>
      <c r="H107" s="241">
        <v>0.43656657534246573</v>
      </c>
      <c r="I107" s="1"/>
      <c r="K107" s="1"/>
      <c r="L107" s="1"/>
      <c r="M107" s="1"/>
    </row>
    <row r="108" spans="1:13" x14ac:dyDescent="0.2">
      <c r="A108" s="1"/>
      <c r="B108" s="45">
        <f>MAX($B$13:B107)+1</f>
        <v>54</v>
      </c>
      <c r="C108" s="1"/>
      <c r="D108" s="84" t="s">
        <v>426</v>
      </c>
      <c r="E108" s="204"/>
      <c r="F108" s="1"/>
      <c r="G108" s="204"/>
      <c r="H108" s="201">
        <f>H106+H107</f>
        <v>1.1843506849315069</v>
      </c>
      <c r="I108" s="1"/>
      <c r="J108" s="384">
        <v>1.1843506849315069</v>
      </c>
      <c r="K108" s="1"/>
      <c r="L108" s="1"/>
      <c r="M108" s="1"/>
    </row>
    <row r="109" spans="1:13" x14ac:dyDescent="0.2">
      <c r="A109" s="1"/>
      <c r="B109" s="254"/>
      <c r="C109" s="1"/>
      <c r="D109" s="204"/>
      <c r="E109" s="204"/>
      <c r="F109" s="1"/>
      <c r="G109" s="204"/>
      <c r="H109" s="1"/>
      <c r="I109" s="1"/>
      <c r="K109" s="1"/>
      <c r="L109" s="1"/>
      <c r="M109" s="1"/>
    </row>
    <row r="110" spans="1:13" x14ac:dyDescent="0.2">
      <c r="A110" s="1"/>
      <c r="B110" s="254"/>
      <c r="C110" s="1"/>
      <c r="D110" s="84" t="s">
        <v>204</v>
      </c>
      <c r="E110" s="13"/>
      <c r="F110" s="1"/>
      <c r="G110" s="13"/>
      <c r="H110" s="11"/>
      <c r="I110" s="252"/>
      <c r="K110" s="252"/>
      <c r="L110" s="1"/>
      <c r="M110" s="1"/>
    </row>
    <row r="111" spans="1:13" x14ac:dyDescent="0.2">
      <c r="A111" s="1"/>
      <c r="B111" s="45">
        <f>MAX($B$13:B110)+1</f>
        <v>55</v>
      </c>
      <c r="C111" s="7"/>
      <c r="D111" s="205" t="s">
        <v>484</v>
      </c>
      <c r="E111" s="13"/>
      <c r="F111" s="1"/>
      <c r="G111" s="13"/>
      <c r="H111" s="206">
        <v>3.7393972602739724E-2</v>
      </c>
      <c r="I111" s="252"/>
      <c r="K111" s="252"/>
      <c r="L111" s="1"/>
      <c r="M111" s="1"/>
    </row>
    <row r="112" spans="1:13" x14ac:dyDescent="0.2">
      <c r="A112" s="1"/>
      <c r="B112" s="45">
        <f>MAX($B$13:B111)+1</f>
        <v>56</v>
      </c>
      <c r="C112" s="1"/>
      <c r="D112" s="205" t="s">
        <v>201</v>
      </c>
      <c r="E112" s="204"/>
      <c r="F112" s="1"/>
      <c r="G112" s="204"/>
      <c r="H112" s="241">
        <v>0</v>
      </c>
      <c r="I112" s="1"/>
      <c r="K112" s="1"/>
      <c r="L112" s="1"/>
      <c r="M112" s="1"/>
    </row>
    <row r="113" spans="1:13" x14ac:dyDescent="0.2">
      <c r="A113" s="1"/>
      <c r="B113" s="45">
        <f>MAX($B$13:B112)+1</f>
        <v>57</v>
      </c>
      <c r="C113" s="1"/>
      <c r="D113" s="84" t="s">
        <v>427</v>
      </c>
      <c r="E113" s="204"/>
      <c r="F113" s="1"/>
      <c r="G113" s="204"/>
      <c r="H113" s="201">
        <f>H111+H112</f>
        <v>3.7393972602739724E-2</v>
      </c>
      <c r="I113" s="1"/>
      <c r="J113" s="384">
        <v>3.7393972602739724E-2</v>
      </c>
      <c r="K113" s="1"/>
      <c r="L113" s="1"/>
      <c r="M113" s="1"/>
    </row>
    <row r="114" spans="1:13" x14ac:dyDescent="0.2">
      <c r="A114" s="1"/>
      <c r="B114" s="254"/>
      <c r="C114" s="1"/>
      <c r="D114" s="204"/>
      <c r="E114" s="204"/>
      <c r="F114" s="1"/>
      <c r="G114" s="204"/>
      <c r="H114" s="1"/>
      <c r="I114" s="1"/>
      <c r="K114" s="1"/>
      <c r="L114" s="1"/>
      <c r="M114" s="1"/>
    </row>
    <row r="115" spans="1:13" x14ac:dyDescent="0.2">
      <c r="A115" s="1"/>
      <c r="B115" s="254"/>
      <c r="C115" s="1"/>
      <c r="D115" s="84" t="s">
        <v>205</v>
      </c>
      <c r="E115" s="13"/>
      <c r="F115" s="1"/>
      <c r="G115" s="13"/>
      <c r="H115" s="11"/>
      <c r="I115" s="252"/>
      <c r="K115" s="252"/>
      <c r="L115" s="1"/>
      <c r="M115" s="1"/>
    </row>
    <row r="116" spans="1:13" x14ac:dyDescent="0.2">
      <c r="A116" s="1"/>
      <c r="B116" s="45">
        <f>MAX($B$13:B115)+1</f>
        <v>58</v>
      </c>
      <c r="C116" s="7"/>
      <c r="D116" s="205" t="s">
        <v>485</v>
      </c>
      <c r="E116" s="13"/>
      <c r="F116" s="1"/>
      <c r="G116" s="13"/>
      <c r="H116" s="388">
        <v>0.3204460273972603</v>
      </c>
      <c r="I116" s="252"/>
      <c r="K116" s="252"/>
      <c r="L116" s="1"/>
      <c r="M116" s="1"/>
    </row>
    <row r="117" spans="1:13" x14ac:dyDescent="0.2">
      <c r="A117" s="1"/>
      <c r="B117" s="45">
        <f>MAX($B$13:B116)+1</f>
        <v>59</v>
      </c>
      <c r="C117" s="1"/>
      <c r="D117" s="205" t="s">
        <v>201</v>
      </c>
      <c r="E117" s="204"/>
      <c r="F117" s="1"/>
      <c r="G117" s="204"/>
      <c r="H117" s="241">
        <v>7.7000000000000002E-3</v>
      </c>
      <c r="I117" s="1"/>
      <c r="K117" s="1"/>
      <c r="L117" s="1"/>
      <c r="M117" s="1"/>
    </row>
    <row r="118" spans="1:13" x14ac:dyDescent="0.2">
      <c r="A118" s="1"/>
      <c r="B118" s="45">
        <f>MAX($B$13:B117)+1</f>
        <v>60</v>
      </c>
      <c r="C118" s="1"/>
      <c r="D118" s="84" t="s">
        <v>428</v>
      </c>
      <c r="E118" s="204"/>
      <c r="F118" s="1"/>
      <c r="G118" s="204"/>
      <c r="H118" s="201">
        <f>H116+H117</f>
        <v>0.32814602739726029</v>
      </c>
      <c r="I118" s="1"/>
      <c r="J118" s="384">
        <v>0.32814602739726029</v>
      </c>
      <c r="K118" s="1"/>
      <c r="L118" s="1"/>
      <c r="M118" s="1"/>
    </row>
    <row r="119" spans="1:13" x14ac:dyDescent="0.2">
      <c r="A119" s="1"/>
      <c r="B119" s="45"/>
      <c r="C119" s="1"/>
      <c r="D119" s="204"/>
      <c r="E119" s="204"/>
      <c r="F119" s="1"/>
      <c r="G119" s="204"/>
      <c r="H119" s="1"/>
      <c r="I119" s="1"/>
      <c r="K119" s="1"/>
      <c r="L119" s="1"/>
      <c r="M119" s="1"/>
    </row>
    <row r="120" spans="1:13" x14ac:dyDescent="0.2">
      <c r="A120" s="1"/>
      <c r="B120" s="45"/>
      <c r="C120" s="1"/>
      <c r="D120" s="84" t="s">
        <v>349</v>
      </c>
      <c r="E120" s="13"/>
      <c r="F120" s="1"/>
      <c r="G120" s="13"/>
      <c r="H120" s="11"/>
      <c r="I120" s="252"/>
      <c r="K120" s="252"/>
      <c r="L120" s="1"/>
      <c r="M120" s="1"/>
    </row>
    <row r="121" spans="1:13" x14ac:dyDescent="0.2">
      <c r="A121" s="1"/>
      <c r="B121" s="45">
        <f>MAX($B$13:B120)+1</f>
        <v>61</v>
      </c>
      <c r="C121" s="7"/>
      <c r="D121" s="205" t="s">
        <v>428</v>
      </c>
      <c r="E121" s="13"/>
      <c r="F121" s="1"/>
      <c r="G121" s="13"/>
      <c r="H121" s="206">
        <f>$J$118</f>
        <v>0.32814602739726029</v>
      </c>
      <c r="I121" s="252"/>
      <c r="K121" s="252"/>
      <c r="L121" s="1"/>
      <c r="M121" s="1"/>
    </row>
    <row r="122" spans="1:13" x14ac:dyDescent="0.2">
      <c r="A122" s="1"/>
      <c r="B122" s="45">
        <f>MAX($B$13:B121)+1</f>
        <v>62</v>
      </c>
      <c r="C122" s="1"/>
      <c r="D122" s="205" t="s">
        <v>487</v>
      </c>
      <c r="E122" s="204"/>
      <c r="F122" s="1"/>
      <c r="G122" s="204"/>
      <c r="H122" s="241">
        <v>0.43656657534246573</v>
      </c>
      <c r="I122" s="1"/>
      <c r="K122" s="1"/>
      <c r="L122" s="1"/>
      <c r="M122" s="1"/>
    </row>
    <row r="123" spans="1:13" x14ac:dyDescent="0.2">
      <c r="A123" s="1"/>
      <c r="B123" s="45">
        <f>MAX($B$13:B122)+1</f>
        <v>63</v>
      </c>
      <c r="C123" s="1"/>
      <c r="D123" s="84" t="s">
        <v>425</v>
      </c>
      <c r="E123" s="204"/>
      <c r="F123" s="1"/>
      <c r="G123" s="204"/>
      <c r="H123" s="201">
        <f>H121+H122</f>
        <v>0.76471260273972597</v>
      </c>
      <c r="I123" s="1"/>
      <c r="J123" s="384">
        <v>0.76471260273972597</v>
      </c>
      <c r="K123" s="1"/>
      <c r="L123" s="1"/>
      <c r="M123" s="1"/>
    </row>
    <row r="124" spans="1:13" x14ac:dyDescent="0.2">
      <c r="A124" s="1"/>
      <c r="B124" s="254"/>
      <c r="C124" s="1"/>
      <c r="D124" s="204"/>
      <c r="E124" s="204"/>
      <c r="F124" s="1"/>
      <c r="G124" s="204"/>
      <c r="H124" s="1"/>
      <c r="I124" s="1"/>
      <c r="K124" s="1"/>
      <c r="L124" s="1"/>
      <c r="M124" s="1"/>
    </row>
    <row r="125" spans="1:13" x14ac:dyDescent="0.2">
      <c r="A125" s="1"/>
      <c r="B125" s="254"/>
      <c r="C125" s="1"/>
      <c r="D125" s="84" t="s">
        <v>206</v>
      </c>
      <c r="E125" s="13"/>
      <c r="F125" s="1"/>
      <c r="G125" s="13"/>
      <c r="H125" s="11"/>
      <c r="I125" s="252"/>
      <c r="K125" s="252"/>
      <c r="L125" s="1"/>
      <c r="M125" s="1"/>
    </row>
    <row r="126" spans="1:13" x14ac:dyDescent="0.2">
      <c r="A126" s="1"/>
      <c r="B126" s="45">
        <f>MAX($B$13:B125)+1</f>
        <v>64</v>
      </c>
      <c r="C126" s="7"/>
      <c r="D126" s="205" t="s">
        <v>484</v>
      </c>
      <c r="E126" s="13"/>
      <c r="F126" s="1"/>
      <c r="G126" s="13"/>
      <c r="H126" s="388">
        <v>3.2261917808219173E-2</v>
      </c>
      <c r="I126" s="252"/>
      <c r="K126" s="252"/>
      <c r="L126" s="1"/>
      <c r="M126" s="1"/>
    </row>
    <row r="127" spans="1:13" x14ac:dyDescent="0.2">
      <c r="A127" s="1"/>
      <c r="B127" s="45">
        <f>MAX($B$13:B126)+1</f>
        <v>65</v>
      </c>
      <c r="C127" s="1"/>
      <c r="D127" s="205" t="s">
        <v>201</v>
      </c>
      <c r="E127" s="204"/>
      <c r="F127" s="1"/>
      <c r="G127" s="204"/>
      <c r="H127" s="241">
        <v>7.7000000000000002E-3</v>
      </c>
      <c r="I127" s="1"/>
      <c r="K127" s="1"/>
      <c r="L127" s="1"/>
      <c r="M127" s="1"/>
    </row>
    <row r="128" spans="1:13" x14ac:dyDescent="0.2">
      <c r="A128" s="1"/>
      <c r="B128" s="45">
        <f>MAX($B$13:B127)+1</f>
        <v>66</v>
      </c>
      <c r="C128" s="1"/>
      <c r="D128" s="84" t="s">
        <v>429</v>
      </c>
      <c r="E128" s="204"/>
      <c r="F128" s="1"/>
      <c r="G128" s="204"/>
      <c r="H128" s="201">
        <f>H126+H127</f>
        <v>3.9961917808219172E-2</v>
      </c>
      <c r="I128" s="1"/>
      <c r="J128" s="384">
        <v>3.9961917808219172E-2</v>
      </c>
      <c r="K128" s="1"/>
      <c r="L128" s="1"/>
      <c r="M128" s="1"/>
    </row>
    <row r="129" spans="1:13" x14ac:dyDescent="0.2">
      <c r="A129" s="1"/>
      <c r="B129" s="254"/>
      <c r="C129" s="1"/>
      <c r="D129" s="1"/>
      <c r="E129" s="1"/>
      <c r="F129" s="1"/>
      <c r="G129" s="1"/>
      <c r="H129" s="1"/>
      <c r="I129" s="1"/>
      <c r="J129" s="1"/>
      <c r="K129" s="1"/>
      <c r="L129" s="1"/>
      <c r="M129" s="1"/>
    </row>
    <row r="130" spans="1:13" x14ac:dyDescent="0.2">
      <c r="A130" s="1"/>
      <c r="B130" s="254"/>
      <c r="C130" s="1"/>
      <c r="D130" s="1"/>
      <c r="E130" s="1"/>
      <c r="F130" s="1"/>
      <c r="G130" s="1"/>
      <c r="H130" s="1"/>
      <c r="I130" s="1"/>
      <c r="J130" s="1"/>
      <c r="K130" s="1"/>
      <c r="L130" s="1"/>
      <c r="M130" s="1"/>
    </row>
    <row r="131" spans="1:13" x14ac:dyDescent="0.2">
      <c r="A131" s="1"/>
      <c r="B131" s="254"/>
      <c r="C131" s="1"/>
      <c r="D131" s="1"/>
      <c r="E131" s="1"/>
      <c r="F131" s="1"/>
      <c r="G131" s="1"/>
      <c r="H131" s="1"/>
      <c r="I131" s="1"/>
      <c r="J131" s="1"/>
      <c r="K131" s="1"/>
      <c r="L131" s="1"/>
      <c r="M131" s="1"/>
    </row>
    <row r="132" spans="1:13" x14ac:dyDescent="0.2">
      <c r="A132" s="1"/>
      <c r="B132" s="62"/>
      <c r="C132" s="62"/>
      <c r="D132" s="62"/>
      <c r="E132" s="62"/>
      <c r="F132" s="62"/>
      <c r="G132" s="62"/>
      <c r="H132" s="62"/>
      <c r="I132" s="62"/>
      <c r="J132" s="62"/>
      <c r="K132" s="252"/>
      <c r="L132" s="1"/>
      <c r="M132" s="1"/>
    </row>
    <row r="133" spans="1:13" x14ac:dyDescent="0.2">
      <c r="A133" s="1"/>
      <c r="C133" s="248"/>
      <c r="D133" s="248"/>
      <c r="E133" s="248"/>
      <c r="F133" s="248"/>
      <c r="G133" s="248"/>
      <c r="H133" s="248"/>
      <c r="I133" s="248"/>
      <c r="J133" s="248"/>
      <c r="K133" s="254"/>
      <c r="L133" s="1"/>
      <c r="M133" s="1"/>
    </row>
    <row r="134" spans="1:13" x14ac:dyDescent="0.2">
      <c r="A134" s="1"/>
      <c r="B134" s="4" t="s">
        <v>799</v>
      </c>
      <c r="C134" s="173"/>
      <c r="D134" s="173"/>
      <c r="E134" s="173"/>
      <c r="F134" s="173"/>
      <c r="G134" s="173"/>
      <c r="H134" s="173"/>
      <c r="I134" s="173"/>
      <c r="J134" s="173"/>
      <c r="K134" s="202"/>
      <c r="L134" s="1"/>
      <c r="M134" s="1"/>
    </row>
    <row r="135" spans="1:13" x14ac:dyDescent="0.2">
      <c r="A135" s="1"/>
      <c r="B135" s="252"/>
      <c r="C135" s="252"/>
      <c r="D135" s="252"/>
      <c r="E135" s="252"/>
      <c r="F135" s="254"/>
      <c r="G135" s="252"/>
      <c r="H135" s="254"/>
      <c r="I135" s="1"/>
      <c r="J135" s="254"/>
      <c r="K135" s="1"/>
      <c r="L135" s="1"/>
      <c r="M135" s="1"/>
    </row>
    <row r="136" spans="1:13" x14ac:dyDescent="0.2">
      <c r="A136" s="1"/>
      <c r="B136" s="252" t="s">
        <v>0</v>
      </c>
      <c r="C136" s="7"/>
      <c r="D136" s="7"/>
      <c r="E136" s="7"/>
      <c r="F136" s="254"/>
      <c r="G136" s="7"/>
      <c r="H136" s="254"/>
      <c r="I136" s="1"/>
      <c r="J136" s="252"/>
      <c r="K136" s="1"/>
      <c r="L136" s="1"/>
      <c r="M136" s="1"/>
    </row>
    <row r="137" spans="1:13" x14ac:dyDescent="0.2">
      <c r="A137" s="1"/>
      <c r="B137" s="8" t="s">
        <v>1</v>
      </c>
      <c r="C137" s="7"/>
      <c r="D137" s="9" t="s">
        <v>9</v>
      </c>
      <c r="E137" s="9"/>
      <c r="F137" s="489"/>
      <c r="G137" s="9"/>
      <c r="H137" s="489"/>
      <c r="I137" s="1"/>
      <c r="J137" s="488" t="s">
        <v>198</v>
      </c>
      <c r="K137" s="1"/>
      <c r="L137" s="1"/>
      <c r="M137" s="1"/>
    </row>
    <row r="138" spans="1:13" x14ac:dyDescent="0.2">
      <c r="A138" s="1"/>
      <c r="B138" s="252"/>
      <c r="C138" s="7"/>
      <c r="D138" s="7"/>
      <c r="E138" s="7"/>
      <c r="F138" s="254"/>
      <c r="G138" s="7"/>
      <c r="H138" s="254"/>
      <c r="I138" s="252"/>
      <c r="J138" s="252" t="s">
        <v>3</v>
      </c>
      <c r="K138" s="252"/>
      <c r="L138" s="1"/>
      <c r="M138" s="1"/>
    </row>
    <row r="139" spans="1:13" x14ac:dyDescent="0.2">
      <c r="A139" s="1"/>
      <c r="B139" s="45"/>
      <c r="C139" s="46"/>
      <c r="D139" s="46"/>
      <c r="E139" s="46"/>
      <c r="F139" s="252"/>
      <c r="G139" s="46"/>
      <c r="H139" s="252"/>
      <c r="I139" s="252"/>
      <c r="J139" s="252"/>
      <c r="K139" s="252"/>
      <c r="L139" s="1"/>
      <c r="M139" s="1"/>
    </row>
    <row r="140" spans="1:13" x14ac:dyDescent="0.2">
      <c r="A140" s="1"/>
      <c r="D140" s="5" t="s">
        <v>847</v>
      </c>
      <c r="K140" s="252"/>
      <c r="L140" s="1"/>
      <c r="M140" s="1"/>
    </row>
    <row r="141" spans="1:13" x14ac:dyDescent="0.2">
      <c r="A141" s="1"/>
      <c r="K141" s="1"/>
      <c r="L141" s="1"/>
      <c r="M141" s="1"/>
    </row>
    <row r="142" spans="1:13" x14ac:dyDescent="0.2">
      <c r="A142" s="1"/>
      <c r="B142" s="254"/>
      <c r="C142" s="1"/>
      <c r="D142" s="84" t="s">
        <v>55</v>
      </c>
      <c r="E142" s="13"/>
      <c r="F142" s="1"/>
      <c r="G142" s="13"/>
      <c r="H142" s="11"/>
      <c r="I142" s="252"/>
      <c r="K142" s="252"/>
      <c r="L142" s="1"/>
      <c r="M142" s="1"/>
    </row>
    <row r="143" spans="1:13" x14ac:dyDescent="0.2">
      <c r="A143" s="1"/>
      <c r="B143" s="45">
        <f>MAX($B$13:B142)+1</f>
        <v>67</v>
      </c>
      <c r="C143" s="7"/>
      <c r="D143" s="205" t="s">
        <v>488</v>
      </c>
      <c r="E143" s="13"/>
      <c r="F143" s="1"/>
      <c r="G143" s="13"/>
      <c r="H143" s="388">
        <v>0.25479452054794521</v>
      </c>
      <c r="I143" s="252"/>
      <c r="K143" s="252"/>
      <c r="L143" s="1"/>
      <c r="M143" s="1"/>
    </row>
    <row r="144" spans="1:13" x14ac:dyDescent="0.2">
      <c r="A144" s="1"/>
      <c r="B144" s="45">
        <f>MAX($B$13:B143)+1</f>
        <v>68</v>
      </c>
      <c r="C144" s="1"/>
      <c r="D144" s="205" t="s">
        <v>42</v>
      </c>
      <c r="E144" s="204"/>
      <c r="F144" s="1"/>
      <c r="G144" s="204"/>
      <c r="H144" s="241">
        <v>0.26069999999999999</v>
      </c>
      <c r="I144" s="1"/>
      <c r="K144" s="1"/>
      <c r="L144" s="1"/>
      <c r="M144" s="1"/>
    </row>
    <row r="145" spans="1:13" x14ac:dyDescent="0.2">
      <c r="A145" s="1"/>
      <c r="B145" s="45">
        <f>MAX($B$13:B144)+1</f>
        <v>69</v>
      </c>
      <c r="C145" s="1"/>
      <c r="D145" s="84" t="s">
        <v>430</v>
      </c>
      <c r="E145" s="204"/>
      <c r="F145" s="1"/>
      <c r="G145" s="204"/>
      <c r="H145" s="201">
        <f>H143+H144</f>
        <v>0.5154945205479452</v>
      </c>
      <c r="I145" s="1"/>
      <c r="J145" s="384">
        <v>0.5154945205479452</v>
      </c>
      <c r="K145" s="1"/>
      <c r="L145" s="1"/>
      <c r="M145" s="1"/>
    </row>
    <row r="146" spans="1:13" x14ac:dyDescent="0.2">
      <c r="A146" s="1"/>
      <c r="B146" s="254"/>
      <c r="C146" s="1"/>
      <c r="D146" s="204"/>
      <c r="E146" s="204"/>
      <c r="F146" s="1"/>
      <c r="G146" s="204"/>
      <c r="H146" s="1"/>
      <c r="I146" s="1"/>
      <c r="K146" s="1"/>
      <c r="L146" s="1"/>
      <c r="M146" s="1"/>
    </row>
    <row r="147" spans="1:13" x14ac:dyDescent="0.2">
      <c r="A147" s="1"/>
      <c r="B147" s="254"/>
      <c r="C147" s="1"/>
      <c r="D147" s="84" t="s">
        <v>56</v>
      </c>
      <c r="E147" s="13"/>
      <c r="F147" s="1"/>
      <c r="G147" s="13"/>
      <c r="H147" s="11"/>
      <c r="I147" s="252"/>
      <c r="K147" s="252"/>
      <c r="L147" s="1"/>
      <c r="M147" s="1"/>
    </row>
    <row r="148" spans="1:13" x14ac:dyDescent="0.2">
      <c r="A148" s="1"/>
      <c r="B148" s="45">
        <f>MAX($B$13:B147)+1</f>
        <v>70</v>
      </c>
      <c r="C148" s="7"/>
      <c r="D148" s="205" t="s">
        <v>823</v>
      </c>
      <c r="E148" s="13"/>
      <c r="F148" s="1"/>
      <c r="G148" s="13"/>
      <c r="H148" s="388">
        <v>0.2553438904109589</v>
      </c>
      <c r="I148" s="252"/>
      <c r="K148" s="252"/>
      <c r="L148" s="1"/>
      <c r="M148" s="1"/>
    </row>
    <row r="149" spans="1:13" x14ac:dyDescent="0.2">
      <c r="A149" s="1"/>
      <c r="B149" s="45">
        <f>MAX($B$13:B148)+1</f>
        <v>71</v>
      </c>
      <c r="C149" s="1"/>
      <c r="D149" s="205" t="s">
        <v>42</v>
      </c>
      <c r="E149" s="204"/>
      <c r="F149" s="1"/>
      <c r="G149" s="204"/>
      <c r="H149" s="241">
        <v>0.26069999999999999</v>
      </c>
      <c r="I149" s="1"/>
      <c r="K149" s="1"/>
      <c r="L149" s="1"/>
      <c r="M149" s="1"/>
    </row>
    <row r="150" spans="1:13" x14ac:dyDescent="0.2">
      <c r="A150" s="1"/>
      <c r="B150" s="45">
        <f>MAX($B$13:B149)+1</f>
        <v>72</v>
      </c>
      <c r="C150" s="1"/>
      <c r="D150" s="84" t="s">
        <v>431</v>
      </c>
      <c r="E150" s="204"/>
      <c r="F150" s="1"/>
      <c r="G150" s="204"/>
      <c r="H150" s="201">
        <f>H148+H149</f>
        <v>0.51604389041095888</v>
      </c>
      <c r="I150" s="1"/>
      <c r="J150" s="384">
        <v>0.51604389041095888</v>
      </c>
      <c r="K150" s="1"/>
      <c r="L150" s="1"/>
      <c r="M150" s="1"/>
    </row>
    <row r="151" spans="1:13" x14ac:dyDescent="0.2">
      <c r="A151" s="1"/>
      <c r="B151" s="254"/>
      <c r="C151" s="1"/>
      <c r="D151" s="204"/>
      <c r="E151" s="204"/>
      <c r="F151" s="1"/>
      <c r="G151" s="204"/>
      <c r="H151" s="1"/>
      <c r="I151" s="1"/>
      <c r="K151" s="1"/>
      <c r="L151" s="1"/>
      <c r="M151" s="1"/>
    </row>
    <row r="152" spans="1:13" x14ac:dyDescent="0.2">
      <c r="A152" s="1"/>
      <c r="B152" s="254"/>
      <c r="C152" s="1"/>
      <c r="D152" s="84" t="s">
        <v>58</v>
      </c>
      <c r="E152" s="13"/>
      <c r="F152" s="1"/>
      <c r="G152" s="13"/>
      <c r="H152" s="11"/>
      <c r="I152" s="252"/>
      <c r="K152" s="252"/>
      <c r="L152" s="1"/>
      <c r="M152" s="1"/>
    </row>
    <row r="153" spans="1:13" x14ac:dyDescent="0.2">
      <c r="A153" s="1"/>
      <c r="B153" s="45">
        <f>MAX($B$13:B152)+1</f>
        <v>73</v>
      </c>
      <c r="C153" s="7"/>
      <c r="D153" s="205" t="s">
        <v>488</v>
      </c>
      <c r="E153" s="13"/>
      <c r="F153" s="1"/>
      <c r="G153" s="13"/>
      <c r="H153" s="388">
        <v>0.99789369863013699</v>
      </c>
      <c r="I153" s="252"/>
      <c r="K153" s="252"/>
      <c r="L153" s="1"/>
      <c r="M153" s="1"/>
    </row>
    <row r="154" spans="1:13" x14ac:dyDescent="0.2">
      <c r="A154" s="1"/>
      <c r="B154" s="45">
        <f>MAX($B$13:B153)+1</f>
        <v>74</v>
      </c>
      <c r="C154" s="1"/>
      <c r="D154" s="205" t="s">
        <v>42</v>
      </c>
      <c r="E154" s="204"/>
      <c r="F154" s="1"/>
      <c r="G154" s="204"/>
      <c r="H154" s="241">
        <v>0.32450000000000001</v>
      </c>
      <c r="I154" s="1"/>
      <c r="K154" s="1"/>
      <c r="L154" s="1"/>
      <c r="M154" s="1"/>
    </row>
    <row r="155" spans="1:13" x14ac:dyDescent="0.2">
      <c r="A155" s="1"/>
      <c r="B155" s="45">
        <f>MAX($B$13:B154)+1</f>
        <v>75</v>
      </c>
      <c r="C155" s="1"/>
      <c r="D155" s="84" t="s">
        <v>432</v>
      </c>
      <c r="E155" s="204"/>
      <c r="F155" s="1"/>
      <c r="G155" s="204"/>
      <c r="H155" s="201">
        <f>H153+H154</f>
        <v>1.322393698630137</v>
      </c>
      <c r="I155" s="1"/>
      <c r="J155" s="384">
        <v>1.322393698630137</v>
      </c>
      <c r="K155" s="1"/>
      <c r="L155" s="1"/>
      <c r="M155" s="1"/>
    </row>
    <row r="156" spans="1:13" x14ac:dyDescent="0.2">
      <c r="A156" s="1"/>
      <c r="B156" s="254"/>
      <c r="C156" s="1"/>
      <c r="D156" s="204"/>
      <c r="E156" s="204"/>
      <c r="F156" s="1"/>
      <c r="G156" s="204"/>
      <c r="H156" s="1"/>
      <c r="I156" s="1"/>
      <c r="K156" s="1"/>
      <c r="L156" s="1"/>
      <c r="M156" s="1"/>
    </row>
    <row r="157" spans="1:13" x14ac:dyDescent="0.2">
      <c r="A157" s="1"/>
      <c r="B157" s="254"/>
      <c r="C157" s="1"/>
      <c r="D157" s="84" t="s">
        <v>207</v>
      </c>
      <c r="E157" s="13"/>
      <c r="F157" s="1"/>
      <c r="G157" s="13"/>
      <c r="H157" s="11"/>
      <c r="I157" s="252"/>
      <c r="K157" s="1"/>
      <c r="L157" s="1"/>
      <c r="M157" s="1"/>
    </row>
    <row r="158" spans="1:13" x14ac:dyDescent="0.2">
      <c r="A158" s="1"/>
      <c r="B158" s="45">
        <f>MAX($B$13:B157)+1</f>
        <v>76</v>
      </c>
      <c r="C158" s="7"/>
      <c r="D158" s="205" t="s">
        <v>489</v>
      </c>
      <c r="E158" s="13"/>
      <c r="F158" s="1"/>
      <c r="G158" s="13"/>
      <c r="H158" s="388">
        <v>0.83097534246575355</v>
      </c>
      <c r="I158" s="252"/>
      <c r="K158" s="1"/>
      <c r="L158" s="1"/>
      <c r="M158" s="1"/>
    </row>
    <row r="159" spans="1:13" x14ac:dyDescent="0.2">
      <c r="A159" s="1"/>
      <c r="B159" s="45">
        <f>MAX($B$13:B158)+1</f>
        <v>77</v>
      </c>
      <c r="C159" s="1"/>
      <c r="D159" s="205" t="s">
        <v>201</v>
      </c>
      <c r="E159" s="204"/>
      <c r="F159" s="1"/>
      <c r="G159" s="204"/>
      <c r="H159" s="241">
        <v>0</v>
      </c>
      <c r="I159" s="1"/>
      <c r="K159" s="1"/>
      <c r="L159" s="1"/>
      <c r="M159" s="1"/>
    </row>
    <row r="160" spans="1:13" x14ac:dyDescent="0.2">
      <c r="A160" s="1"/>
      <c r="B160" s="45">
        <f>MAX($B$13:B159)+1</f>
        <v>78</v>
      </c>
      <c r="C160" s="1"/>
      <c r="D160" s="84" t="s">
        <v>433</v>
      </c>
      <c r="E160" s="204"/>
      <c r="F160" s="1"/>
      <c r="G160" s="204"/>
      <c r="H160" s="201">
        <f>H158+H159</f>
        <v>0.83097534246575355</v>
      </c>
      <c r="I160" s="1"/>
      <c r="J160" s="384">
        <v>0.83097534246575355</v>
      </c>
      <c r="K160" s="1"/>
      <c r="L160" s="1"/>
      <c r="M160" s="1"/>
    </row>
    <row r="161" spans="1:13" x14ac:dyDescent="0.2">
      <c r="A161" s="1"/>
      <c r="B161" s="254"/>
      <c r="C161" s="1"/>
      <c r="D161" s="204"/>
      <c r="E161" s="204"/>
      <c r="F161" s="1"/>
      <c r="G161" s="204"/>
      <c r="H161" s="1"/>
      <c r="I161" s="1"/>
      <c r="K161" s="1"/>
      <c r="L161" s="1"/>
      <c r="M161" s="1"/>
    </row>
    <row r="162" spans="1:13" x14ac:dyDescent="0.2">
      <c r="A162" s="1"/>
      <c r="B162" s="254"/>
      <c r="C162" s="1"/>
      <c r="D162" s="84" t="s">
        <v>434</v>
      </c>
      <c r="E162" s="204"/>
      <c r="F162" s="1"/>
      <c r="G162" s="204"/>
      <c r="H162" s="1"/>
      <c r="I162" s="1"/>
      <c r="K162" s="1"/>
      <c r="L162" s="1"/>
      <c r="M162" s="1"/>
    </row>
    <row r="163" spans="1:13" x14ac:dyDescent="0.2">
      <c r="A163" s="1"/>
      <c r="B163" s="45">
        <f>MAX($B$13:B162)+1</f>
        <v>79</v>
      </c>
      <c r="C163" s="1"/>
      <c r="D163" s="205" t="s">
        <v>490</v>
      </c>
      <c r="E163" s="204"/>
      <c r="F163" s="1"/>
      <c r="G163" s="204"/>
      <c r="H163" s="389">
        <v>8.113972602739726E-2</v>
      </c>
      <c r="I163" s="1"/>
      <c r="K163" s="1"/>
      <c r="L163" s="1"/>
      <c r="M163" s="1"/>
    </row>
    <row r="164" spans="1:13" x14ac:dyDescent="0.2">
      <c r="A164" s="1"/>
      <c r="B164" s="45">
        <f>MAX($B$13:B163)+1</f>
        <v>80</v>
      </c>
      <c r="C164" s="1"/>
      <c r="D164" s="205" t="s">
        <v>208</v>
      </c>
      <c r="E164" s="204"/>
      <c r="F164" s="1"/>
      <c r="G164" s="204"/>
      <c r="H164" s="390">
        <v>0</v>
      </c>
      <c r="I164" s="1"/>
      <c r="K164" s="1"/>
      <c r="L164" s="1"/>
      <c r="M164" s="1"/>
    </row>
    <row r="165" spans="1:13" x14ac:dyDescent="0.2">
      <c r="A165" s="1"/>
      <c r="B165" s="45">
        <f>MAX($B$13:B164)+1</f>
        <v>81</v>
      </c>
      <c r="C165" s="1"/>
      <c r="D165" s="84" t="s">
        <v>435</v>
      </c>
      <c r="E165" s="204"/>
      <c r="F165" s="1"/>
      <c r="G165" s="204"/>
      <c r="H165" s="211">
        <f>H163+H164</f>
        <v>8.113972602739726E-2</v>
      </c>
      <c r="I165" s="212"/>
      <c r="J165" s="391">
        <v>8.113972602739726E-2</v>
      </c>
      <c r="K165" s="1"/>
      <c r="L165" s="1"/>
      <c r="M165" s="1"/>
    </row>
    <row r="166" spans="1:13" x14ac:dyDescent="0.2">
      <c r="A166" s="1"/>
      <c r="B166" s="4"/>
      <c r="C166" s="1"/>
      <c r="D166" s="204"/>
      <c r="E166" s="204"/>
      <c r="F166" s="1"/>
      <c r="G166" s="204"/>
      <c r="H166" s="1"/>
      <c r="I166" s="1"/>
      <c r="J166" s="1"/>
      <c r="K166" s="1"/>
      <c r="L166" s="1"/>
      <c r="M166" s="1"/>
    </row>
    <row r="167" spans="1:13" x14ac:dyDescent="0.2">
      <c r="A167" s="1"/>
      <c r="B167" s="252"/>
      <c r="C167" s="7"/>
      <c r="D167" s="5" t="s">
        <v>506</v>
      </c>
      <c r="E167" s="13"/>
      <c r="F167" s="1"/>
      <c r="G167" s="13"/>
      <c r="H167" s="11"/>
      <c r="I167" s="252"/>
      <c r="J167" s="11"/>
      <c r="K167" s="252"/>
      <c r="L167" s="1"/>
      <c r="M167" s="1"/>
    </row>
    <row r="168" spans="1:13" x14ac:dyDescent="0.2">
      <c r="A168" s="1"/>
      <c r="B168" s="254"/>
      <c r="C168" s="1"/>
      <c r="D168" s="13"/>
      <c r="E168" s="13"/>
      <c r="F168" s="1"/>
      <c r="G168" s="13"/>
      <c r="H168" s="11"/>
      <c r="I168" s="252"/>
      <c r="J168" s="11"/>
      <c r="K168" s="252"/>
      <c r="L168" s="1"/>
      <c r="M168" s="1"/>
    </row>
    <row r="169" spans="1:13" x14ac:dyDescent="0.2">
      <c r="A169" s="1"/>
      <c r="B169" s="254"/>
      <c r="C169" s="1"/>
      <c r="D169" s="84" t="s">
        <v>209</v>
      </c>
      <c r="E169" s="13"/>
      <c r="F169" s="1"/>
      <c r="G169" s="13"/>
      <c r="H169" s="11"/>
      <c r="I169" s="252"/>
      <c r="J169" s="11"/>
      <c r="K169" s="252"/>
      <c r="L169" s="1"/>
      <c r="M169" s="1"/>
    </row>
    <row r="170" spans="1:13" x14ac:dyDescent="0.2">
      <c r="A170" s="1"/>
      <c r="B170" s="45">
        <f>MAX($B$13:B169)+1</f>
        <v>82</v>
      </c>
      <c r="C170" s="7"/>
      <c r="D170" s="205" t="s">
        <v>491</v>
      </c>
      <c r="E170" s="13"/>
      <c r="F170" s="1"/>
      <c r="G170" s="13"/>
      <c r="H170" s="206">
        <v>37.075932887671229</v>
      </c>
      <c r="I170" s="252"/>
      <c r="K170" s="252"/>
      <c r="L170" s="1"/>
      <c r="M170" s="1"/>
    </row>
    <row r="171" spans="1:13" x14ac:dyDescent="0.2">
      <c r="A171" s="1"/>
      <c r="B171" s="45">
        <f>MAX($B$13:B170)+1</f>
        <v>83</v>
      </c>
      <c r="C171" s="7"/>
      <c r="D171" s="205" t="s">
        <v>42</v>
      </c>
      <c r="E171" s="13"/>
      <c r="F171" s="1"/>
      <c r="G171" s="13"/>
      <c r="H171" s="241">
        <v>0.26069999999999999</v>
      </c>
      <c r="I171" s="252"/>
      <c r="K171" s="252"/>
      <c r="L171" s="1"/>
      <c r="M171" s="1"/>
    </row>
    <row r="172" spans="1:13" x14ac:dyDescent="0.2">
      <c r="A172" s="1"/>
      <c r="B172" s="45">
        <f>MAX($B$13:B171)+1</f>
        <v>84</v>
      </c>
      <c r="C172" s="7"/>
      <c r="D172" s="84" t="s">
        <v>436</v>
      </c>
      <c r="E172" s="204"/>
      <c r="F172" s="1"/>
      <c r="G172" s="204"/>
      <c r="H172" s="201">
        <f>H170+H171</f>
        <v>37.336632887671229</v>
      </c>
      <c r="I172" s="1"/>
      <c r="J172" s="384">
        <f>H172</f>
        <v>37.336632887671229</v>
      </c>
      <c r="K172" s="252"/>
      <c r="L172" s="1"/>
      <c r="M172" s="1"/>
    </row>
    <row r="173" spans="1:13" x14ac:dyDescent="0.2">
      <c r="A173" s="1"/>
      <c r="B173" s="254"/>
      <c r="C173" s="1"/>
      <c r="D173" s="204"/>
      <c r="E173" s="204"/>
      <c r="F173" s="1"/>
      <c r="G173" s="204"/>
      <c r="H173" s="1"/>
      <c r="I173" s="1"/>
      <c r="J173" s="1"/>
      <c r="K173" s="252"/>
      <c r="L173" s="1"/>
      <c r="M173" s="1"/>
    </row>
    <row r="174" spans="1:13" x14ac:dyDescent="0.2">
      <c r="A174" s="1"/>
      <c r="B174" s="254"/>
      <c r="C174" s="1"/>
      <c r="D174" s="13" t="s">
        <v>210</v>
      </c>
      <c r="E174" s="204"/>
      <c r="F174" s="1"/>
      <c r="G174" s="204"/>
      <c r="H174" s="1"/>
      <c r="I174" s="1"/>
      <c r="J174" s="1"/>
      <c r="K174" s="1"/>
      <c r="L174" s="1"/>
      <c r="M174" s="1"/>
    </row>
    <row r="175" spans="1:13" x14ac:dyDescent="0.2">
      <c r="A175" s="1"/>
      <c r="B175" s="45">
        <f>MAX($B$13:B174)+1</f>
        <v>85</v>
      </c>
      <c r="C175" s="1"/>
      <c r="D175" s="55" t="s">
        <v>492</v>
      </c>
      <c r="E175" s="204"/>
      <c r="F175" s="1"/>
      <c r="G175" s="204"/>
      <c r="H175" s="389">
        <v>60</v>
      </c>
      <c r="I175" s="1"/>
      <c r="K175" s="1"/>
      <c r="L175" s="1"/>
      <c r="M175" s="1"/>
    </row>
    <row r="176" spans="1:13" x14ac:dyDescent="0.2">
      <c r="A176" s="1"/>
      <c r="B176" s="45">
        <f>MAX($B$13:B175)+1</f>
        <v>86</v>
      </c>
      <c r="C176" s="1"/>
      <c r="D176" s="55" t="s">
        <v>439</v>
      </c>
      <c r="E176" s="204"/>
      <c r="F176" s="1"/>
      <c r="G176" s="204"/>
      <c r="H176" s="392">
        <v>39.08</v>
      </c>
      <c r="I176" s="1"/>
      <c r="K176" s="1"/>
      <c r="L176" s="1"/>
      <c r="M176" s="1"/>
    </row>
    <row r="177" spans="1:13" ht="14.25" x14ac:dyDescent="0.2">
      <c r="A177" s="1"/>
      <c r="B177" s="45">
        <f>MAX($B$13:B176)+1</f>
        <v>87</v>
      </c>
      <c r="C177" s="1"/>
      <c r="D177" s="13" t="s">
        <v>846</v>
      </c>
      <c r="E177" s="204"/>
      <c r="F177" s="1"/>
      <c r="G177" s="204"/>
      <c r="H177" s="201">
        <f>H175*H176/10</f>
        <v>234.47999999999996</v>
      </c>
      <c r="I177" s="1"/>
      <c r="J177" s="384">
        <v>234.47999999999996</v>
      </c>
      <c r="K177" s="1"/>
      <c r="L177" s="1"/>
      <c r="M177" s="1"/>
    </row>
    <row r="178" spans="1:13" x14ac:dyDescent="0.2">
      <c r="A178" s="1"/>
      <c r="B178" s="254"/>
      <c r="C178" s="1"/>
      <c r="D178" s="1"/>
      <c r="E178" s="1"/>
      <c r="F178" s="1"/>
      <c r="G178" s="1"/>
      <c r="H178" s="1"/>
      <c r="I178" s="1"/>
      <c r="J178" s="1"/>
      <c r="K178" s="1"/>
      <c r="L178" s="1"/>
      <c r="M178" s="1"/>
    </row>
    <row r="179" spans="1:13" x14ac:dyDescent="0.2">
      <c r="A179" s="1"/>
      <c r="B179" s="254"/>
      <c r="C179" s="1"/>
      <c r="D179" s="1"/>
      <c r="E179" s="1"/>
      <c r="F179" s="1"/>
      <c r="G179" s="1"/>
      <c r="H179" s="1"/>
      <c r="I179" s="1"/>
      <c r="J179" s="1"/>
      <c r="K179" s="1"/>
      <c r="L179" s="1"/>
      <c r="M179" s="1"/>
    </row>
    <row r="180" spans="1:13" x14ac:dyDescent="0.2">
      <c r="A180" s="1"/>
      <c r="B180" s="254"/>
      <c r="C180" s="1"/>
      <c r="D180" s="1"/>
      <c r="E180" s="1"/>
      <c r="F180" s="1"/>
      <c r="G180" s="1"/>
      <c r="H180" s="1"/>
      <c r="I180" s="1"/>
      <c r="J180" s="1"/>
      <c r="K180" s="1"/>
      <c r="L180" s="1"/>
      <c r="M180" s="1"/>
    </row>
    <row r="181" spans="1:13" x14ac:dyDescent="0.2">
      <c r="A181" s="1"/>
      <c r="B181" s="62"/>
      <c r="C181" s="62"/>
      <c r="D181" s="62"/>
      <c r="E181" s="62"/>
      <c r="F181" s="62"/>
      <c r="G181" s="62"/>
      <c r="H181" s="62"/>
      <c r="I181" s="62"/>
      <c r="J181" s="62"/>
      <c r="K181" s="252"/>
      <c r="L181" s="1"/>
      <c r="M181" s="1"/>
    </row>
    <row r="182" spans="1:13" x14ac:dyDescent="0.2">
      <c r="A182" s="1"/>
      <c r="C182" s="248"/>
      <c r="D182" s="248"/>
      <c r="E182" s="248"/>
      <c r="F182" s="248"/>
      <c r="G182" s="248"/>
      <c r="H182" s="248"/>
      <c r="I182" s="248"/>
      <c r="J182" s="248"/>
      <c r="K182" s="254"/>
      <c r="L182" s="1"/>
      <c r="M182" s="1"/>
    </row>
    <row r="183" spans="1:13" x14ac:dyDescent="0.2">
      <c r="A183" s="1"/>
      <c r="B183" s="4" t="s">
        <v>799</v>
      </c>
      <c r="C183" s="173"/>
      <c r="D183" s="173"/>
      <c r="E183" s="173"/>
      <c r="F183" s="173"/>
      <c r="G183" s="173"/>
      <c r="H183" s="173"/>
      <c r="I183" s="173"/>
      <c r="J183" s="173"/>
      <c r="K183" s="202"/>
      <c r="L183" s="1"/>
      <c r="M183" s="1"/>
    </row>
    <row r="184" spans="1:13" x14ac:dyDescent="0.2">
      <c r="A184" s="1"/>
      <c r="B184" s="252"/>
      <c r="C184" s="252"/>
      <c r="D184" s="252"/>
      <c r="E184" s="252"/>
      <c r="F184" s="254"/>
      <c r="G184" s="252"/>
      <c r="H184" s="254"/>
      <c r="I184" s="1"/>
      <c r="J184" s="254"/>
      <c r="K184" s="1"/>
      <c r="L184" s="1"/>
      <c r="M184" s="1"/>
    </row>
    <row r="185" spans="1:13" x14ac:dyDescent="0.2">
      <c r="A185" s="1"/>
      <c r="B185" s="252" t="s">
        <v>0</v>
      </c>
      <c r="C185" s="7"/>
      <c r="D185" s="7"/>
      <c r="E185" s="7"/>
      <c r="F185" s="254"/>
      <c r="G185" s="7"/>
      <c r="H185" s="254"/>
      <c r="I185" s="1"/>
      <c r="J185" s="252"/>
      <c r="K185" s="1"/>
      <c r="L185" s="1"/>
      <c r="M185" s="1"/>
    </row>
    <row r="186" spans="1:13" x14ac:dyDescent="0.2">
      <c r="A186" s="1"/>
      <c r="B186" s="8" t="s">
        <v>1</v>
      </c>
      <c r="C186" s="7"/>
      <c r="D186" s="9" t="s">
        <v>9</v>
      </c>
      <c r="E186" s="9"/>
      <c r="F186" s="489"/>
      <c r="G186" s="9"/>
      <c r="H186" s="489"/>
      <c r="I186" s="1"/>
      <c r="J186" s="488" t="s">
        <v>198</v>
      </c>
      <c r="K186" s="1"/>
      <c r="L186" s="1"/>
      <c r="M186" s="1"/>
    </row>
    <row r="187" spans="1:13" x14ac:dyDescent="0.2">
      <c r="A187" s="1"/>
      <c r="B187" s="252"/>
      <c r="C187" s="7"/>
      <c r="D187" s="7"/>
      <c r="E187" s="7"/>
      <c r="F187" s="254"/>
      <c r="G187" s="7"/>
      <c r="H187" s="254"/>
      <c r="I187" s="252"/>
      <c r="J187" s="252" t="s">
        <v>3</v>
      </c>
      <c r="K187" s="252"/>
      <c r="L187" s="1"/>
      <c r="M187" s="1"/>
    </row>
    <row r="188" spans="1:13" x14ac:dyDescent="0.2">
      <c r="A188" s="1"/>
      <c r="B188" s="45"/>
      <c r="C188" s="46"/>
      <c r="D188" s="46"/>
      <c r="E188" s="46"/>
      <c r="F188" s="252"/>
      <c r="G188" s="46"/>
      <c r="H188" s="252"/>
      <c r="I188" s="252"/>
      <c r="J188" s="252"/>
      <c r="K188" s="252"/>
      <c r="L188" s="1"/>
      <c r="M188" s="1"/>
    </row>
    <row r="189" spans="1:13" x14ac:dyDescent="0.2">
      <c r="A189" s="1"/>
      <c r="B189" s="254"/>
      <c r="C189" s="1"/>
      <c r="D189" s="5" t="s">
        <v>211</v>
      </c>
      <c r="E189" s="207"/>
      <c r="F189" s="1"/>
      <c r="G189" s="207"/>
      <c r="H189" s="1"/>
      <c r="I189" s="1"/>
      <c r="J189" s="1"/>
      <c r="K189" s="1"/>
      <c r="L189" s="1"/>
      <c r="M189" s="1"/>
    </row>
    <row r="190" spans="1:13" x14ac:dyDescent="0.2">
      <c r="A190" s="1"/>
      <c r="B190" s="254"/>
      <c r="C190" s="1"/>
      <c r="D190" s="204"/>
      <c r="E190" s="204"/>
      <c r="F190" s="1"/>
      <c r="G190" s="204"/>
      <c r="H190" s="1"/>
      <c r="I190" s="1"/>
      <c r="J190" s="1"/>
      <c r="K190" s="1"/>
      <c r="L190" s="1"/>
      <c r="M190" s="1"/>
    </row>
    <row r="191" spans="1:13" x14ac:dyDescent="0.2">
      <c r="A191" s="1"/>
      <c r="B191" s="254"/>
      <c r="C191" s="1"/>
      <c r="D191" s="5" t="s">
        <v>212</v>
      </c>
      <c r="E191" s="5"/>
      <c r="F191" s="1"/>
      <c r="G191" s="5"/>
      <c r="H191" s="1"/>
      <c r="I191" s="1"/>
      <c r="J191" s="1"/>
      <c r="K191" s="1"/>
      <c r="L191" s="1"/>
      <c r="M191" s="1"/>
    </row>
    <row r="192" spans="1:13" x14ac:dyDescent="0.2">
      <c r="A192" s="1"/>
      <c r="B192" s="254"/>
      <c r="C192" s="1"/>
      <c r="D192" s="5"/>
      <c r="E192" s="5"/>
      <c r="F192" s="1"/>
      <c r="G192" s="5"/>
      <c r="H192" s="1"/>
      <c r="I192" s="1"/>
      <c r="J192" s="1"/>
      <c r="K192" s="1"/>
      <c r="L192" s="1"/>
      <c r="M192" s="1"/>
    </row>
    <row r="193" spans="1:13" x14ac:dyDescent="0.2">
      <c r="A193" s="1"/>
      <c r="B193" s="254"/>
      <c r="C193" s="1"/>
      <c r="D193" s="13" t="s">
        <v>213</v>
      </c>
      <c r="E193" s="5"/>
      <c r="F193" s="1"/>
      <c r="G193" s="5"/>
      <c r="H193" s="1"/>
      <c r="I193" s="1"/>
      <c r="J193" s="1"/>
      <c r="K193" s="1"/>
      <c r="L193" s="1"/>
      <c r="M193" s="1"/>
    </row>
    <row r="194" spans="1:13" x14ac:dyDescent="0.2">
      <c r="A194" s="1"/>
      <c r="B194" s="45">
        <f>MAX($B$13:B193)+1</f>
        <v>88</v>
      </c>
      <c r="C194" s="1"/>
      <c r="D194" s="55" t="s">
        <v>214</v>
      </c>
      <c r="E194" s="1"/>
      <c r="F194" s="1"/>
      <c r="G194" s="1"/>
      <c r="H194" s="111">
        <v>8.3374974442494091E-3</v>
      </c>
      <c r="I194" s="1"/>
      <c r="K194" s="1"/>
      <c r="L194" s="1"/>
      <c r="M194" s="1"/>
    </row>
    <row r="195" spans="1:13" x14ac:dyDescent="0.2">
      <c r="A195" s="1"/>
      <c r="B195" s="45">
        <f>MAX($B$13:B194)+1</f>
        <v>89</v>
      </c>
      <c r="C195" s="1"/>
      <c r="D195" s="55" t="s">
        <v>482</v>
      </c>
      <c r="E195" s="1"/>
      <c r="F195" s="1"/>
      <c r="G195" s="1"/>
      <c r="H195" s="393">
        <v>5.3094474355320624</v>
      </c>
      <c r="I195" s="1"/>
      <c r="K195" s="1"/>
      <c r="L195" s="1"/>
      <c r="M195" s="1"/>
    </row>
    <row r="196" spans="1:13" x14ac:dyDescent="0.2">
      <c r="A196" s="1"/>
      <c r="B196" s="45">
        <f>MAX($B$13:B195)+1</f>
        <v>90</v>
      </c>
      <c r="C196" s="1"/>
      <c r="D196" s="13" t="s">
        <v>437</v>
      </c>
      <c r="E196" s="1"/>
      <c r="F196" s="1"/>
      <c r="G196" s="1"/>
      <c r="H196" s="213">
        <f>H194*H195</f>
        <v>4.4267504424125151E-2</v>
      </c>
      <c r="I196" s="1"/>
      <c r="J196" s="394">
        <v>4.4263773931520103E-2</v>
      </c>
      <c r="K196" s="1"/>
      <c r="L196" s="1"/>
      <c r="M196" s="1"/>
    </row>
    <row r="197" spans="1:13" x14ac:dyDescent="0.2">
      <c r="A197" s="1"/>
      <c r="B197" s="254"/>
      <c r="C197" s="1"/>
      <c r="D197" s="1"/>
      <c r="E197" s="1"/>
      <c r="F197" s="1"/>
      <c r="G197" s="1"/>
      <c r="H197" s="213"/>
      <c r="I197" s="1"/>
      <c r="K197" s="1"/>
      <c r="L197" s="1"/>
      <c r="M197" s="1"/>
    </row>
    <row r="198" spans="1:13" x14ac:dyDescent="0.2">
      <c r="A198" s="1"/>
      <c r="B198" s="254"/>
      <c r="C198" s="1"/>
      <c r="D198" s="5" t="s">
        <v>215</v>
      </c>
      <c r="E198" s="5"/>
      <c r="F198" s="1"/>
      <c r="G198" s="5"/>
      <c r="H198" s="1"/>
      <c r="I198" s="1"/>
      <c r="K198" s="1"/>
      <c r="L198" s="1"/>
      <c r="M198" s="1"/>
    </row>
    <row r="199" spans="1:13" x14ac:dyDescent="0.2">
      <c r="A199" s="1"/>
      <c r="B199" s="254"/>
      <c r="C199" s="1"/>
      <c r="D199" s="5"/>
      <c r="E199" s="5"/>
      <c r="F199" s="1"/>
      <c r="G199" s="5"/>
      <c r="H199" s="1"/>
      <c r="I199" s="1"/>
      <c r="K199" s="1"/>
      <c r="L199" s="1"/>
      <c r="M199" s="1"/>
    </row>
    <row r="200" spans="1:13" x14ac:dyDescent="0.2">
      <c r="A200" s="1"/>
      <c r="B200" s="254"/>
      <c r="C200" s="1"/>
      <c r="D200" s="13" t="s">
        <v>216</v>
      </c>
      <c r="E200" s="5"/>
      <c r="F200" s="1"/>
      <c r="G200" s="5"/>
      <c r="H200" s="1"/>
      <c r="I200" s="1"/>
      <c r="K200" s="1"/>
      <c r="L200" s="1"/>
      <c r="M200" s="1"/>
    </row>
    <row r="201" spans="1:13" x14ac:dyDescent="0.2">
      <c r="A201" s="1"/>
      <c r="B201" s="45">
        <f>MAX($B$13:B200)+1</f>
        <v>91</v>
      </c>
      <c r="C201" s="1"/>
      <c r="D201" s="55" t="s">
        <v>493</v>
      </c>
      <c r="E201" s="1"/>
      <c r="F201" s="1"/>
      <c r="G201" s="1"/>
      <c r="H201" s="395">
        <v>1.8619669054930092</v>
      </c>
      <c r="I201" s="1"/>
      <c r="K201" s="1"/>
      <c r="L201" s="1"/>
      <c r="M201" s="1"/>
    </row>
    <row r="202" spans="1:13" x14ac:dyDescent="0.2">
      <c r="A202" s="1"/>
      <c r="B202" s="45">
        <f>MAX($B$13:B201)+1</f>
        <v>92</v>
      </c>
      <c r="C202" s="1"/>
      <c r="D202" s="55" t="s">
        <v>439</v>
      </c>
      <c r="E202" s="1"/>
      <c r="F202" s="1"/>
      <c r="G202" s="1"/>
      <c r="H202" s="392">
        <v>39.08</v>
      </c>
      <c r="I202" s="1"/>
      <c r="K202" s="1"/>
      <c r="L202" s="1"/>
      <c r="M202" s="1"/>
    </row>
    <row r="203" spans="1:13" x14ac:dyDescent="0.2">
      <c r="A203" s="1"/>
      <c r="B203" s="45">
        <f>MAX($B$13:B202)+1</f>
        <v>93</v>
      </c>
      <c r="C203" s="1"/>
      <c r="D203" s="13" t="s">
        <v>438</v>
      </c>
      <c r="E203" s="1"/>
      <c r="F203" s="1"/>
      <c r="G203" s="1"/>
      <c r="H203" s="213">
        <f>H201/H202*10</f>
        <v>0.47645007817118973</v>
      </c>
      <c r="I203" s="1"/>
      <c r="J203" s="251">
        <f>H203</f>
        <v>0.47645007817118973</v>
      </c>
      <c r="K203" s="1"/>
      <c r="L203" s="1"/>
      <c r="M203" s="1"/>
    </row>
    <row r="204" spans="1:13" x14ac:dyDescent="0.2">
      <c r="A204" s="1"/>
      <c r="B204" s="254"/>
      <c r="C204" s="1"/>
      <c r="D204" s="1"/>
      <c r="E204" s="1"/>
      <c r="F204" s="1"/>
      <c r="G204" s="1"/>
      <c r="H204" s="213"/>
      <c r="I204" s="1"/>
      <c r="K204" s="1"/>
      <c r="L204" s="1"/>
      <c r="M204" s="1"/>
    </row>
    <row r="205" spans="1:13" x14ac:dyDescent="0.2">
      <c r="A205" s="1"/>
      <c r="B205" s="254"/>
      <c r="C205" s="1"/>
      <c r="D205" s="13" t="s">
        <v>217</v>
      </c>
      <c r="E205" s="1"/>
      <c r="F205" s="1"/>
      <c r="G205" s="1"/>
      <c r="H205" s="213"/>
      <c r="I205" s="1"/>
      <c r="K205" s="1"/>
      <c r="L205" s="1"/>
      <c r="M205" s="1"/>
    </row>
    <row r="206" spans="1:13" x14ac:dyDescent="0.2">
      <c r="A206" s="1"/>
      <c r="B206" s="45">
        <f>MAX($B$13:B205)+1</f>
        <v>94</v>
      </c>
      <c r="C206" s="1"/>
      <c r="D206" s="55" t="s">
        <v>694</v>
      </c>
      <c r="E206" s="1"/>
      <c r="F206" s="1"/>
      <c r="G206" s="1"/>
      <c r="H206" s="111">
        <v>5.3175054632666726E-3</v>
      </c>
      <c r="I206" s="1"/>
      <c r="K206" s="1"/>
      <c r="L206" s="1"/>
      <c r="M206" s="1"/>
    </row>
    <row r="207" spans="1:13" x14ac:dyDescent="0.2">
      <c r="A207" s="1"/>
      <c r="B207" s="45">
        <f>MAX($B$13:B206)+1</f>
        <v>95</v>
      </c>
      <c r="C207" s="1"/>
      <c r="D207" s="55" t="s">
        <v>482</v>
      </c>
      <c r="E207" s="1"/>
      <c r="F207" s="1"/>
      <c r="G207" s="1"/>
      <c r="H207" s="393">
        <v>5.3094474355320624</v>
      </c>
      <c r="I207" s="1"/>
      <c r="K207" s="1"/>
      <c r="L207" s="1"/>
      <c r="M207" s="1"/>
    </row>
    <row r="208" spans="1:13" x14ac:dyDescent="0.2">
      <c r="A208" s="1"/>
      <c r="B208" s="45">
        <f>MAX($B$13:B207)+1</f>
        <v>96</v>
      </c>
      <c r="C208" s="1"/>
      <c r="D208" s="55" t="s">
        <v>440</v>
      </c>
      <c r="E208" s="1"/>
      <c r="F208" s="1"/>
      <c r="G208" s="1"/>
      <c r="H208" s="213">
        <f>H206*H207</f>
        <v>2.8233015745368965E-2</v>
      </c>
      <c r="I208" s="1"/>
      <c r="K208" s="1"/>
      <c r="L208" s="1"/>
      <c r="M208" s="1"/>
    </row>
    <row r="209" spans="1:13" x14ac:dyDescent="0.2">
      <c r="A209" s="1"/>
      <c r="B209" s="45">
        <f>MAX($B$13:B208)+1</f>
        <v>97</v>
      </c>
      <c r="C209" s="1"/>
      <c r="D209" s="55" t="s">
        <v>449</v>
      </c>
      <c r="E209" s="1"/>
      <c r="F209" s="1"/>
      <c r="G209" s="1"/>
      <c r="H209" s="396">
        <v>1.3250958904109589</v>
      </c>
      <c r="I209" s="1"/>
      <c r="K209" s="1"/>
      <c r="L209" s="1"/>
      <c r="M209" s="1"/>
    </row>
    <row r="210" spans="1:13" x14ac:dyDescent="0.2">
      <c r="A210" s="1"/>
      <c r="B210" s="45">
        <f>MAX($B$13:B209)+1</f>
        <v>98</v>
      </c>
      <c r="C210" s="1"/>
      <c r="D210" s="13" t="s">
        <v>441</v>
      </c>
      <c r="E210" s="1"/>
      <c r="F210" s="1"/>
      <c r="G210" s="1"/>
      <c r="H210" s="213">
        <f>H208+H209</f>
        <v>1.3533289061563278</v>
      </c>
      <c r="I210" s="1"/>
      <c r="J210" s="251">
        <f>H210</f>
        <v>1.3533289061563278</v>
      </c>
      <c r="K210" s="1"/>
      <c r="L210" s="1"/>
      <c r="M210" s="1"/>
    </row>
    <row r="211" spans="1:13" x14ac:dyDescent="0.2">
      <c r="A211" s="1"/>
      <c r="B211" s="254"/>
      <c r="C211" s="1"/>
      <c r="D211" s="204"/>
      <c r="E211" s="204"/>
      <c r="F211" s="1"/>
      <c r="G211" s="204"/>
      <c r="H211" s="1"/>
      <c r="I211" s="1"/>
      <c r="K211" s="1"/>
      <c r="L211" s="1"/>
      <c r="M211" s="1"/>
    </row>
    <row r="212" spans="1:13" x14ac:dyDescent="0.2">
      <c r="A212" s="1"/>
      <c r="B212" s="254"/>
      <c r="C212" s="1"/>
      <c r="D212" s="1" t="s">
        <v>695</v>
      </c>
      <c r="E212" s="5"/>
      <c r="F212" s="1"/>
      <c r="G212" s="5"/>
      <c r="H212" s="1"/>
      <c r="I212" s="1"/>
      <c r="K212" s="1"/>
      <c r="L212" s="1"/>
      <c r="M212" s="1"/>
    </row>
    <row r="213" spans="1:13" x14ac:dyDescent="0.2">
      <c r="A213" s="1"/>
      <c r="B213" s="45">
        <f>MAX($B$13:B212)+1</f>
        <v>99</v>
      </c>
      <c r="C213" s="1"/>
      <c r="D213" s="13" t="s">
        <v>450</v>
      </c>
      <c r="E213" s="13"/>
      <c r="F213" s="1"/>
      <c r="G213" s="13"/>
      <c r="H213" s="213">
        <v>0.67184630946029256</v>
      </c>
      <c r="I213" s="1"/>
      <c r="K213" s="1"/>
      <c r="L213" s="1"/>
      <c r="M213" s="1"/>
    </row>
    <row r="214" spans="1:13" x14ac:dyDescent="0.2">
      <c r="A214" s="1"/>
      <c r="B214" s="45">
        <f>MAX($B$13:B213)+1</f>
        <v>100</v>
      </c>
      <c r="C214" s="1"/>
      <c r="D214" s="13" t="s">
        <v>442</v>
      </c>
      <c r="E214" s="13"/>
      <c r="F214" s="1"/>
      <c r="G214" s="13"/>
      <c r="H214" s="397">
        <v>0.10772267612887704</v>
      </c>
      <c r="I214" s="1"/>
      <c r="K214" s="1"/>
      <c r="L214" s="1"/>
      <c r="M214" s="1"/>
    </row>
    <row r="215" spans="1:13" x14ac:dyDescent="0.2">
      <c r="A215" s="1"/>
      <c r="B215" s="45">
        <f>MAX($B$13:B214)+1</f>
        <v>101</v>
      </c>
      <c r="C215" s="1"/>
      <c r="D215" s="1" t="s">
        <v>443</v>
      </c>
      <c r="E215" s="1"/>
      <c r="F215" s="1"/>
      <c r="G215" s="1"/>
      <c r="H215" s="209">
        <f>SUM(H213:H214)</f>
        <v>0.77956898558916965</v>
      </c>
      <c r="I215" s="1"/>
      <c r="J215" s="251">
        <f>H215</f>
        <v>0.77956898558916965</v>
      </c>
      <c r="K215" s="1"/>
      <c r="L215" s="1"/>
      <c r="M215" s="1"/>
    </row>
    <row r="216" spans="1:13" x14ac:dyDescent="0.2">
      <c r="A216" s="1"/>
      <c r="B216" s="254"/>
      <c r="C216" s="1"/>
      <c r="D216" s="1"/>
      <c r="E216" s="1"/>
      <c r="F216" s="1"/>
      <c r="G216" s="1"/>
      <c r="H216" s="1"/>
      <c r="I216" s="1"/>
      <c r="K216" s="1"/>
      <c r="L216" s="1"/>
      <c r="M216" s="1"/>
    </row>
    <row r="217" spans="1:13" x14ac:dyDescent="0.2">
      <c r="A217" s="1"/>
      <c r="B217" s="45">
        <f>MAX($B$13:B216)+1</f>
        <v>102</v>
      </c>
      <c r="C217" s="1"/>
      <c r="D217" s="1" t="s">
        <v>444</v>
      </c>
      <c r="E217" s="1"/>
      <c r="F217" s="1"/>
      <c r="G217" s="1"/>
      <c r="H217" s="208">
        <f>H215*15%</f>
        <v>0.11693534783837545</v>
      </c>
      <c r="I217" s="1"/>
      <c r="J217" s="251">
        <f>H217</f>
        <v>0.11693534783837545</v>
      </c>
      <c r="K217" s="1"/>
      <c r="L217" s="1"/>
      <c r="M217" s="1"/>
    </row>
    <row r="218" spans="1:13" x14ac:dyDescent="0.2">
      <c r="A218" s="1"/>
      <c r="B218" s="254"/>
      <c r="C218" s="1"/>
      <c r="D218" s="1"/>
      <c r="E218" s="1"/>
      <c r="F218" s="1"/>
      <c r="G218" s="1"/>
      <c r="H218" s="1"/>
      <c r="I218" s="1"/>
      <c r="J218" s="1"/>
      <c r="K218" s="1"/>
      <c r="L218" s="1"/>
      <c r="M218" s="1"/>
    </row>
    <row r="219" spans="1:13" x14ac:dyDescent="0.2">
      <c r="A219" s="1"/>
      <c r="B219" s="254"/>
      <c r="C219" s="1"/>
      <c r="D219" s="250" t="s">
        <v>696</v>
      </c>
      <c r="E219" s="1"/>
      <c r="F219" s="1"/>
      <c r="G219" s="1"/>
      <c r="H219" s="1"/>
      <c r="I219" s="1"/>
      <c r="J219" s="1"/>
      <c r="K219" s="1"/>
      <c r="L219" s="1"/>
      <c r="M219" s="1"/>
    </row>
    <row r="220" spans="1:13" x14ac:dyDescent="0.2">
      <c r="A220" s="1"/>
      <c r="B220" s="45">
        <f>MAX($B$13:B219)+1</f>
        <v>103</v>
      </c>
      <c r="C220" s="1"/>
      <c r="D220" s="84" t="s">
        <v>445</v>
      </c>
      <c r="E220" s="1"/>
      <c r="F220" s="1"/>
      <c r="G220" s="1"/>
      <c r="H220" s="213">
        <f>'Attach 2'!R276</f>
        <v>3.4659904804556181</v>
      </c>
      <c r="I220" s="1"/>
      <c r="J220" s="1"/>
      <c r="K220" s="1"/>
      <c r="L220" s="1"/>
      <c r="M220" s="1"/>
    </row>
    <row r="221" spans="1:13" x14ac:dyDescent="0.2">
      <c r="A221" s="1"/>
      <c r="B221" s="45">
        <f>MAX($B$13:B220)+1</f>
        <v>104</v>
      </c>
      <c r="C221" s="1"/>
      <c r="D221" s="84" t="s">
        <v>451</v>
      </c>
      <c r="E221" s="1"/>
      <c r="F221" s="1"/>
      <c r="G221" s="1"/>
      <c r="H221" s="208">
        <f>H220*12/365</f>
        <v>0.1139503719601847</v>
      </c>
      <c r="I221" s="1"/>
      <c r="J221" s="1"/>
      <c r="K221" s="1"/>
      <c r="L221" s="1"/>
      <c r="M221" s="1"/>
    </row>
    <row r="222" spans="1:13" x14ac:dyDescent="0.2">
      <c r="A222" s="1"/>
      <c r="B222" s="45">
        <f>MAX($B$13:B221)+1</f>
        <v>105</v>
      </c>
      <c r="C222" s="1"/>
      <c r="D222" s="84" t="s">
        <v>446</v>
      </c>
      <c r="E222" s="1"/>
      <c r="F222" s="1"/>
      <c r="G222" s="1"/>
      <c r="H222" s="213">
        <v>5.6000000000000001E-2</v>
      </c>
      <c r="I222" s="1"/>
      <c r="J222" s="1"/>
      <c r="K222" s="1"/>
      <c r="L222" s="1"/>
      <c r="M222" s="1"/>
    </row>
    <row r="223" spans="1:13" x14ac:dyDescent="0.2">
      <c r="A223" s="1"/>
      <c r="B223" s="45">
        <f>MAX($B$13:B222)+1</f>
        <v>106</v>
      </c>
      <c r="C223" s="1"/>
      <c r="D223" s="84" t="s">
        <v>447</v>
      </c>
      <c r="E223" s="1"/>
      <c r="F223" s="1"/>
      <c r="G223" s="1"/>
      <c r="H223" s="396">
        <v>4.0000000000000001E-3</v>
      </c>
      <c r="I223" s="1"/>
      <c r="J223" s="1"/>
      <c r="K223" s="1"/>
      <c r="L223" s="1"/>
      <c r="M223" s="1"/>
    </row>
    <row r="224" spans="1:13" x14ac:dyDescent="0.2">
      <c r="A224" s="1"/>
      <c r="B224" s="45">
        <f>MAX($B$13:B223)+1</f>
        <v>107</v>
      </c>
      <c r="C224" s="1"/>
      <c r="D224" s="250" t="s">
        <v>448</v>
      </c>
      <c r="E224" s="1"/>
      <c r="F224" s="1"/>
      <c r="G224" s="1"/>
      <c r="H224" s="398">
        <f>(H221+H222+H223)*-1</f>
        <v>-0.1739503719601847</v>
      </c>
      <c r="I224" s="1"/>
      <c r="J224" s="209">
        <f>H224</f>
        <v>-0.1739503719601847</v>
      </c>
      <c r="K224" s="1"/>
      <c r="L224" s="1"/>
      <c r="M224" s="1"/>
    </row>
    <row r="225" spans="1:13" x14ac:dyDescent="0.2">
      <c r="A225" s="1"/>
      <c r="B225" s="45"/>
      <c r="C225" s="7"/>
      <c r="D225" s="205"/>
      <c r="E225" s="7"/>
      <c r="F225" s="1"/>
      <c r="G225" s="7"/>
      <c r="H225" s="249"/>
      <c r="I225" s="42"/>
      <c r="J225" s="213"/>
      <c r="K225" s="7"/>
      <c r="L225" s="1"/>
      <c r="M225" s="1"/>
    </row>
    <row r="226" spans="1:13" x14ac:dyDescent="0.2">
      <c r="A226" s="1"/>
      <c r="B226" s="367" t="s">
        <v>5</v>
      </c>
      <c r="C226" s="223"/>
      <c r="D226" s="223"/>
      <c r="E226" s="86"/>
      <c r="F226" s="1"/>
      <c r="G226" s="86"/>
      <c r="H226" s="86"/>
      <c r="I226" s="86"/>
      <c r="J226" s="86"/>
      <c r="K226" s="86"/>
      <c r="L226" s="40"/>
      <c r="M226" s="1"/>
    </row>
    <row r="227" spans="1:13" x14ac:dyDescent="0.2">
      <c r="A227" s="1"/>
      <c r="B227" s="383" t="s">
        <v>189</v>
      </c>
      <c r="C227" s="223"/>
      <c r="D227" s="223" t="s">
        <v>480</v>
      </c>
      <c r="E227" s="204"/>
      <c r="F227" s="1"/>
      <c r="G227" s="204"/>
      <c r="H227" s="201"/>
      <c r="I227" s="1"/>
      <c r="J227" s="387"/>
      <c r="K227" s="252"/>
      <c r="L227" s="1"/>
      <c r="M227" s="1"/>
    </row>
    <row r="228" spans="1:13" x14ac:dyDescent="0.2">
      <c r="A228" s="1"/>
      <c r="B228" s="383" t="s">
        <v>190</v>
      </c>
      <c r="C228" s="223"/>
      <c r="D228" s="223" t="s">
        <v>845</v>
      </c>
      <c r="E228" s="204"/>
      <c r="F228" s="201"/>
      <c r="G228" s="204"/>
      <c r="H228" s="201"/>
      <c r="I228" s="1"/>
      <c r="J228" s="387"/>
      <c r="K228" s="252"/>
      <c r="L228" s="1"/>
      <c r="M228" s="1"/>
    </row>
    <row r="229" spans="1:13" x14ac:dyDescent="0.2">
      <c r="A229" s="1"/>
      <c r="B229" s="383" t="s">
        <v>191</v>
      </c>
      <c r="C229" s="185"/>
      <c r="D229" s="223" t="s">
        <v>675</v>
      </c>
      <c r="E229" s="204"/>
      <c r="F229" s="201"/>
      <c r="G229" s="204"/>
      <c r="H229" s="201"/>
      <c r="I229" s="1"/>
      <c r="J229" s="387"/>
      <c r="K229" s="252"/>
      <c r="L229" s="1"/>
      <c r="M229" s="1"/>
    </row>
    <row r="230" spans="1:13" x14ac:dyDescent="0.2">
      <c r="A230" s="1"/>
      <c r="B230" s="383" t="s">
        <v>192</v>
      </c>
      <c r="C230" s="7"/>
      <c r="D230" s="223" t="s">
        <v>412</v>
      </c>
      <c r="E230" s="204"/>
      <c r="F230" s="201"/>
      <c r="G230" s="204"/>
      <c r="H230" s="201"/>
      <c r="I230" s="1"/>
      <c r="J230" s="387"/>
      <c r="K230" s="252"/>
      <c r="L230" s="1"/>
      <c r="M230" s="1"/>
    </row>
    <row r="231" spans="1:13" x14ac:dyDescent="0.2">
      <c r="A231" s="1"/>
      <c r="B231" s="383" t="s">
        <v>194</v>
      </c>
      <c r="C231" s="7"/>
      <c r="D231" s="223" t="s">
        <v>824</v>
      </c>
      <c r="E231" s="204"/>
      <c r="F231" s="201"/>
      <c r="G231" s="204"/>
      <c r="H231" s="201"/>
      <c r="I231" s="1"/>
      <c r="J231" s="387"/>
      <c r="K231" s="252"/>
      <c r="L231" s="1"/>
      <c r="M231" s="1"/>
    </row>
    <row r="232" spans="1:13" x14ac:dyDescent="0.2">
      <c r="A232" s="1"/>
      <c r="B232" s="383" t="s">
        <v>195</v>
      </c>
      <c r="C232" s="7"/>
      <c r="D232" s="223" t="s">
        <v>452</v>
      </c>
      <c r="E232" s="204"/>
      <c r="F232" s="201"/>
      <c r="G232" s="204"/>
      <c r="H232" s="201"/>
      <c r="I232" s="1"/>
      <c r="J232" s="387"/>
      <c r="K232" s="252"/>
      <c r="L232" s="1"/>
      <c r="M232" s="1"/>
    </row>
    <row r="233" spans="1:13" x14ac:dyDescent="0.2">
      <c r="A233" s="1"/>
      <c r="B233" s="383" t="s">
        <v>366</v>
      </c>
      <c r="C233" s="7"/>
      <c r="D233" s="509" t="s">
        <v>835</v>
      </c>
      <c r="E233" s="509"/>
      <c r="F233" s="509"/>
      <c r="G233" s="509"/>
      <c r="H233" s="509"/>
      <c r="I233" s="509"/>
      <c r="J233" s="509"/>
      <c r="K233" s="252"/>
      <c r="L233" s="1"/>
      <c r="M233" s="1"/>
    </row>
    <row r="234" spans="1:13" x14ac:dyDescent="0.2">
      <c r="A234" s="1"/>
      <c r="B234" s="383"/>
      <c r="C234" s="7"/>
      <c r="D234" s="509"/>
      <c r="E234" s="509"/>
      <c r="F234" s="509"/>
      <c r="G234" s="509"/>
      <c r="H234" s="509"/>
      <c r="I234" s="509"/>
      <c r="J234" s="509"/>
      <c r="K234" s="252"/>
      <c r="L234" s="1"/>
      <c r="M234" s="1"/>
    </row>
    <row r="235" spans="1:13" x14ac:dyDescent="0.2">
      <c r="A235" s="1"/>
      <c r="B235" s="383" t="s">
        <v>249</v>
      </c>
      <c r="C235" s="7"/>
      <c r="D235" s="509" t="s">
        <v>825</v>
      </c>
      <c r="E235" s="509"/>
      <c r="F235" s="509"/>
      <c r="G235" s="509"/>
      <c r="H235" s="509"/>
      <c r="I235" s="509"/>
      <c r="J235" s="509"/>
      <c r="K235" s="252"/>
      <c r="L235" s="1"/>
      <c r="M235" s="1"/>
    </row>
    <row r="236" spans="1:13" x14ac:dyDescent="0.2">
      <c r="A236" s="1"/>
      <c r="B236" s="254"/>
      <c r="C236" s="1"/>
      <c r="D236" s="509"/>
      <c r="E236" s="509"/>
      <c r="F236" s="509"/>
      <c r="G236" s="509"/>
      <c r="H236" s="509"/>
      <c r="I236" s="509"/>
      <c r="J236" s="509"/>
      <c r="K236" s="252"/>
      <c r="L236" s="1"/>
      <c r="M236" s="1"/>
    </row>
    <row r="237" spans="1:13" x14ac:dyDescent="0.2">
      <c r="A237" s="1"/>
      <c r="E237" s="86"/>
      <c r="F237" s="86"/>
      <c r="G237" s="86"/>
      <c r="H237" s="86"/>
      <c r="I237" s="86"/>
      <c r="J237" s="86"/>
      <c r="K237" s="86"/>
      <c r="L237" s="40"/>
      <c r="M237" s="1"/>
    </row>
    <row r="238" spans="1:13" x14ac:dyDescent="0.2">
      <c r="A238" s="1"/>
      <c r="E238" s="40"/>
      <c r="F238" s="40"/>
      <c r="G238" s="40"/>
      <c r="H238" s="40"/>
      <c r="I238" s="40"/>
      <c r="J238" s="40"/>
      <c r="K238" s="40"/>
      <c r="L238" s="40"/>
      <c r="M238" s="1"/>
    </row>
    <row r="239" spans="1:13" x14ac:dyDescent="0.2">
      <c r="A239" s="1"/>
      <c r="E239" s="40"/>
      <c r="F239" s="40"/>
      <c r="G239" s="40"/>
      <c r="H239" s="40"/>
      <c r="I239" s="40"/>
      <c r="J239" s="40"/>
      <c r="K239" s="40"/>
      <c r="L239" s="40"/>
      <c r="M239" s="1"/>
    </row>
    <row r="240" spans="1:13" x14ac:dyDescent="0.2">
      <c r="A240" s="1"/>
      <c r="B240" s="74"/>
      <c r="C240" s="40"/>
      <c r="D240" s="40"/>
      <c r="E240" s="40"/>
      <c r="F240" s="40"/>
      <c r="G240" s="40"/>
      <c r="H240" s="40"/>
      <c r="I240" s="40"/>
      <c r="J240" s="40"/>
      <c r="K240" s="40"/>
      <c r="L240" s="1"/>
      <c r="M240" s="1"/>
    </row>
  </sheetData>
  <mergeCells count="2">
    <mergeCell ref="D235:J236"/>
    <mergeCell ref="D233:J234"/>
  </mergeCells>
  <pageMargins left="0.7" right="0.7" top="0.75" bottom="0.75" header="0.3" footer="0.3"/>
  <pageSetup scale="72" fitToHeight="0" orientation="portrait" blackAndWhite="1" horizontalDpi="1200" verticalDpi="1200" r:id="rId1"/>
  <headerFooter>
    <oddHeader>&amp;R&amp;"Arial,Regular"&amp;10Filed: 2022-11-30
EB-2022-0200
Exhibit 8
Tab 2
Schedule 9
Attachment 6
Page &amp;P of &amp;N</oddHeader>
  </headerFooter>
  <rowBreaks count="3" manualBreakCount="3">
    <brk id="66" min="1" max="9" man="1"/>
    <brk id="128" min="1" max="9" man="1"/>
    <brk id="177" min="1" max="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C68B8-A77E-40B0-8B02-FDAA0D01041F}">
  <sheetPr>
    <pageSetUpPr fitToPage="1"/>
  </sheetPr>
  <dimension ref="B3:I35"/>
  <sheetViews>
    <sheetView view="pageLayout" zoomScaleNormal="85" zoomScaleSheetLayoutView="90" workbookViewId="0"/>
  </sheetViews>
  <sheetFormatPr defaultColWidth="8.85546875" defaultRowHeight="12.75" x14ac:dyDescent="0.2"/>
  <cols>
    <col min="1" max="1" width="1.5703125" style="223" customWidth="1"/>
    <col min="2" max="2" width="4.7109375" style="223" customWidth="1"/>
    <col min="3" max="3" width="1.5703125" style="223" customWidth="1"/>
    <col min="4" max="4" width="38.140625" style="223" customWidth="1"/>
    <col min="5" max="5" width="1.5703125" style="223" customWidth="1"/>
    <col min="6" max="6" width="14" style="223" customWidth="1"/>
    <col min="7" max="7" width="1.5703125" style="223" customWidth="1"/>
    <col min="8" max="8" width="14" style="223" customWidth="1"/>
    <col min="9" max="9" width="4.28515625" style="223" customWidth="1"/>
    <col min="10" max="16384" width="8.85546875" style="223"/>
  </cols>
  <sheetData>
    <row r="3" spans="2:8" x14ac:dyDescent="0.2">
      <c r="B3" s="255"/>
      <c r="C3" s="255"/>
      <c r="D3" s="255"/>
      <c r="E3" s="255"/>
      <c r="F3" s="255"/>
      <c r="G3" s="255"/>
      <c r="H3" s="255"/>
    </row>
    <row r="4" spans="2:8" x14ac:dyDescent="0.2">
      <c r="C4" s="176"/>
      <c r="D4" s="176"/>
      <c r="E4" s="176"/>
      <c r="F4" s="176"/>
      <c r="G4" s="176"/>
      <c r="H4" s="176"/>
    </row>
    <row r="5" spans="2:8" x14ac:dyDescent="0.2">
      <c r="B5" s="177"/>
      <c r="C5" s="177"/>
      <c r="D5" s="177"/>
      <c r="E5" s="177"/>
      <c r="F5" s="177"/>
      <c r="G5" s="177"/>
      <c r="H5" s="177"/>
    </row>
    <row r="6" spans="2:8" x14ac:dyDescent="0.2">
      <c r="B6" s="179" t="s">
        <v>805</v>
      </c>
      <c r="C6" s="399"/>
      <c r="D6" s="399"/>
      <c r="E6" s="399"/>
      <c r="F6" s="399"/>
      <c r="G6" s="399"/>
      <c r="H6" s="399"/>
    </row>
    <row r="7" spans="2:8" x14ac:dyDescent="0.2">
      <c r="B7" s="45"/>
      <c r="C7" s="45"/>
      <c r="D7" s="45"/>
      <c r="E7" s="45"/>
      <c r="F7" s="74"/>
      <c r="G7" s="45"/>
      <c r="H7" s="252"/>
    </row>
    <row r="8" spans="2:8" x14ac:dyDescent="0.2">
      <c r="B8" s="45"/>
      <c r="C8" s="45"/>
      <c r="D8" s="45"/>
      <c r="E8" s="45"/>
      <c r="F8" s="252" t="s">
        <v>218</v>
      </c>
      <c r="G8" s="40"/>
      <c r="H8" s="254" t="s">
        <v>468</v>
      </c>
    </row>
    <row r="9" spans="2:8" x14ac:dyDescent="0.2">
      <c r="B9" s="45" t="s">
        <v>0</v>
      </c>
      <c r="C9" s="46"/>
      <c r="D9" s="46"/>
      <c r="E9" s="46"/>
      <c r="F9" s="252" t="s">
        <v>219</v>
      </c>
      <c r="G9" s="40"/>
      <c r="H9" s="252" t="s">
        <v>469</v>
      </c>
    </row>
    <row r="10" spans="2:8" ht="14.25" x14ac:dyDescent="0.2">
      <c r="B10" s="256" t="s">
        <v>1</v>
      </c>
      <c r="C10" s="46"/>
      <c r="D10" s="257" t="s">
        <v>197</v>
      </c>
      <c r="E10" s="45"/>
      <c r="F10" s="256" t="s">
        <v>220</v>
      </c>
      <c r="G10" s="40"/>
      <c r="H10" s="256" t="s">
        <v>507</v>
      </c>
    </row>
    <row r="11" spans="2:8" x14ac:dyDescent="0.2">
      <c r="B11" s="45"/>
      <c r="C11" s="46"/>
      <c r="D11" s="46"/>
      <c r="E11" s="45"/>
      <c r="F11" s="45" t="s">
        <v>3</v>
      </c>
      <c r="G11" s="45"/>
      <c r="H11" s="45" t="s">
        <v>4</v>
      </c>
    </row>
    <row r="12" spans="2:8" x14ac:dyDescent="0.2">
      <c r="B12" s="45"/>
      <c r="C12" s="46"/>
      <c r="D12" s="46"/>
      <c r="E12" s="45"/>
      <c r="F12" s="45"/>
      <c r="G12" s="45"/>
      <c r="H12" s="45"/>
    </row>
    <row r="13" spans="2:8" x14ac:dyDescent="0.2">
      <c r="B13" s="45"/>
      <c r="C13" s="46"/>
      <c r="D13" s="40" t="s">
        <v>48</v>
      </c>
      <c r="E13" s="45"/>
      <c r="F13" s="45"/>
      <c r="G13" s="45"/>
      <c r="H13" s="11"/>
    </row>
    <row r="14" spans="2:8" x14ac:dyDescent="0.2">
      <c r="B14" s="45">
        <v>1</v>
      </c>
      <c r="C14" s="46"/>
      <c r="D14" s="38" t="s">
        <v>49</v>
      </c>
      <c r="E14" s="45"/>
      <c r="F14" s="11">
        <v>13987.327083529843</v>
      </c>
      <c r="G14" s="45"/>
      <c r="H14" s="11">
        <f t="shared" ref="H14:H24" si="0">H$26*F14/F$26</f>
        <v>9434.0253676172961</v>
      </c>
    </row>
    <row r="15" spans="2:8" x14ac:dyDescent="0.2">
      <c r="B15" s="45">
        <f>MAX(B14:B$14)+1</f>
        <v>2</v>
      </c>
      <c r="C15" s="46"/>
      <c r="D15" s="38" t="s">
        <v>50</v>
      </c>
      <c r="E15" s="45"/>
      <c r="F15" s="11">
        <v>9397.349836933101</v>
      </c>
      <c r="G15" s="45"/>
      <c r="H15" s="11">
        <f t="shared" si="0"/>
        <v>6338.2257539678685</v>
      </c>
    </row>
    <row r="16" spans="2:8" x14ac:dyDescent="0.2">
      <c r="B16" s="45">
        <f>MAX(B$14:B15)+1</f>
        <v>3</v>
      </c>
      <c r="C16" s="46"/>
      <c r="D16" s="38" t="s">
        <v>51</v>
      </c>
      <c r="E16" s="45"/>
      <c r="F16" s="11">
        <v>2647.5799827838628</v>
      </c>
      <c r="G16" s="45"/>
      <c r="H16" s="11">
        <f t="shared" si="0"/>
        <v>1785.7119213140929</v>
      </c>
    </row>
    <row r="17" spans="2:9" x14ac:dyDescent="0.2">
      <c r="B17" s="45">
        <f>MAX(B$14:B16)+1</f>
        <v>4</v>
      </c>
      <c r="C17" s="46"/>
      <c r="D17" s="38" t="s">
        <v>52</v>
      </c>
      <c r="E17" s="45"/>
      <c r="F17" s="11">
        <v>1774.0230252390618</v>
      </c>
      <c r="G17" s="45"/>
      <c r="H17" s="11">
        <f t="shared" si="0"/>
        <v>1196.5244054776863</v>
      </c>
    </row>
    <row r="18" spans="2:9" x14ac:dyDescent="0.2">
      <c r="B18" s="45">
        <f>MAX(B$14:B17)+1</f>
        <v>5</v>
      </c>
      <c r="C18" s="46"/>
      <c r="D18" s="38" t="s">
        <v>53</v>
      </c>
      <c r="E18" s="45"/>
      <c r="F18" s="11">
        <v>0</v>
      </c>
      <c r="G18" s="45"/>
      <c r="H18" s="11">
        <f t="shared" si="0"/>
        <v>0</v>
      </c>
    </row>
    <row r="19" spans="2:9" x14ac:dyDescent="0.2">
      <c r="B19" s="45">
        <f>MAX(B$14:B18)+1</f>
        <v>6</v>
      </c>
      <c r="C19" s="46"/>
      <c r="D19" s="38" t="s">
        <v>54</v>
      </c>
      <c r="E19" s="45"/>
      <c r="F19" s="11">
        <v>958.95582379158134</v>
      </c>
      <c r="G19" s="45"/>
      <c r="H19" s="11">
        <f t="shared" si="0"/>
        <v>646.78644561953467</v>
      </c>
    </row>
    <row r="20" spans="2:9" x14ac:dyDescent="0.2">
      <c r="B20" s="45">
        <f>MAX(B$14:B19)+1</f>
        <v>7</v>
      </c>
      <c r="C20" s="46"/>
      <c r="D20" s="38" t="s">
        <v>55</v>
      </c>
      <c r="E20" s="45"/>
      <c r="F20" s="11">
        <v>0.21128913051709522</v>
      </c>
      <c r="G20" s="45"/>
      <c r="H20" s="11">
        <f t="shared" si="0"/>
        <v>0.14250807214962521</v>
      </c>
    </row>
    <row r="21" spans="2:9" x14ac:dyDescent="0.2">
      <c r="B21" s="45">
        <f>MAX(B$14:B20)+1</f>
        <v>8</v>
      </c>
      <c r="C21" s="46"/>
      <c r="D21" s="38" t="s">
        <v>56</v>
      </c>
      <c r="E21" s="45"/>
      <c r="F21" s="11">
        <v>2.8398177021837987</v>
      </c>
      <c r="G21" s="45"/>
      <c r="H21" s="11">
        <f t="shared" si="0"/>
        <v>1.91537039791949</v>
      </c>
    </row>
    <row r="22" spans="2:9" x14ac:dyDescent="0.2">
      <c r="B22" s="45">
        <f>MAX(B$14:B21)+1</f>
        <v>9</v>
      </c>
      <c r="C22" s="46"/>
      <c r="D22" s="38" t="s">
        <v>57</v>
      </c>
      <c r="E22" s="45"/>
      <c r="F22" s="11">
        <v>52.505495956672711</v>
      </c>
      <c r="G22" s="45"/>
      <c r="H22" s="11">
        <f t="shared" si="0"/>
        <v>35.413355091827455</v>
      </c>
    </row>
    <row r="23" spans="2:9" x14ac:dyDescent="0.2">
      <c r="B23" s="45">
        <f>MAX(B$14:B22)+1</f>
        <v>10</v>
      </c>
      <c r="C23" s="46"/>
      <c r="D23" s="38" t="s">
        <v>58</v>
      </c>
      <c r="E23" s="45"/>
      <c r="F23" s="11">
        <v>263.63564897145847</v>
      </c>
      <c r="G23" s="45"/>
      <c r="H23" s="11">
        <f t="shared" si="0"/>
        <v>177.81420176651301</v>
      </c>
    </row>
    <row r="24" spans="2:9" x14ac:dyDescent="0.2">
      <c r="B24" s="45">
        <f>MAX(B$14:B23)+1</f>
        <v>11</v>
      </c>
      <c r="C24" s="46"/>
      <c r="D24" s="38" t="s">
        <v>59</v>
      </c>
      <c r="E24" s="45"/>
      <c r="F24" s="261">
        <v>251.16610072526893</v>
      </c>
      <c r="G24" s="45"/>
      <c r="H24" s="261">
        <f t="shared" si="0"/>
        <v>169.40387191758865</v>
      </c>
    </row>
    <row r="25" spans="2:9" x14ac:dyDescent="0.2">
      <c r="B25" s="45"/>
      <c r="C25" s="46"/>
      <c r="D25" s="45"/>
      <c r="E25" s="45"/>
      <c r="F25" s="46"/>
      <c r="G25" s="45"/>
      <c r="H25" s="180"/>
    </row>
    <row r="26" spans="2:9" ht="13.5" thickBot="1" x14ac:dyDescent="0.25">
      <c r="B26" s="45">
        <f>MAX(B$14:B25)+1</f>
        <v>12</v>
      </c>
      <c r="C26" s="46"/>
      <c r="D26" s="181" t="s">
        <v>274</v>
      </c>
      <c r="E26" s="45"/>
      <c r="F26" s="175">
        <f>SUM(F14:F24)</f>
        <v>29335.594104763557</v>
      </c>
      <c r="G26" s="45"/>
      <c r="H26" s="175">
        <v>19785.963201242481</v>
      </c>
      <c r="I26" s="400" t="s">
        <v>191</v>
      </c>
    </row>
    <row r="27" spans="2:9" ht="13.5" thickTop="1" x14ac:dyDescent="0.2">
      <c r="B27" s="45"/>
      <c r="C27" s="40"/>
      <c r="D27" s="182"/>
      <c r="E27" s="45"/>
      <c r="F27" s="11"/>
      <c r="G27" s="40"/>
      <c r="H27" s="11"/>
    </row>
    <row r="28" spans="2:9" x14ac:dyDescent="0.2">
      <c r="B28" s="367" t="s">
        <v>5</v>
      </c>
      <c r="E28" s="45"/>
      <c r="F28" s="11"/>
      <c r="G28" s="40"/>
      <c r="H28" s="11"/>
    </row>
    <row r="29" spans="2:9" x14ac:dyDescent="0.2">
      <c r="B29" s="401" t="s">
        <v>189</v>
      </c>
      <c r="C29" s="402"/>
      <c r="D29" s="258" t="s">
        <v>806</v>
      </c>
      <c r="E29" s="45"/>
      <c r="F29" s="11"/>
      <c r="G29" s="41"/>
      <c r="H29" s="11"/>
      <c r="I29" s="410"/>
    </row>
    <row r="30" spans="2:9" x14ac:dyDescent="0.2">
      <c r="B30" s="401" t="s">
        <v>190</v>
      </c>
      <c r="C30" s="402"/>
      <c r="D30" s="403" t="s">
        <v>467</v>
      </c>
      <c r="E30" s="40"/>
      <c r="F30" s="183"/>
      <c r="G30" s="184"/>
      <c r="H30" s="183"/>
      <c r="I30" s="410"/>
    </row>
    <row r="31" spans="2:9" x14ac:dyDescent="0.2">
      <c r="B31" s="401" t="s">
        <v>191</v>
      </c>
      <c r="C31" s="259"/>
      <c r="D31" s="403" t="s">
        <v>697</v>
      </c>
      <c r="E31" s="40"/>
      <c r="F31" s="42"/>
      <c r="G31" s="184"/>
      <c r="H31" s="184"/>
      <c r="I31" s="410"/>
    </row>
    <row r="32" spans="2:9" x14ac:dyDescent="0.2">
      <c r="B32" s="45"/>
      <c r="C32" s="46"/>
      <c r="D32" s="181"/>
      <c r="E32" s="40"/>
      <c r="F32" s="183"/>
      <c r="G32" s="184"/>
      <c r="H32" s="183"/>
      <c r="I32" s="410"/>
    </row>
    <row r="33" spans="2:9" x14ac:dyDescent="0.2">
      <c r="F33" s="410"/>
      <c r="G33" s="410"/>
      <c r="H33" s="410"/>
      <c r="I33" s="410"/>
    </row>
    <row r="34" spans="2:9" x14ac:dyDescent="0.2">
      <c r="B34" s="178"/>
    </row>
    <row r="35" spans="2:9" x14ac:dyDescent="0.2">
      <c r="B35" s="185"/>
    </row>
  </sheetData>
  <pageMargins left="0.7" right="0.7" top="0.75" bottom="0.75" header="0.3" footer="0.3"/>
  <pageSetup fitToHeight="0" orientation="portrait" r:id="rId1"/>
  <headerFooter>
    <oddHeader>&amp;R&amp;"Arial,Regular"&amp;10Filed: 2022-11-30
EB-2022-0200
Exhibit 8
Tab 2
Schedule 9
Attachment 7
Page &amp;P of &amp;N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8BCF6-2AA7-46EF-9702-A1CF76854379}">
  <sheetPr>
    <pageSetUpPr fitToPage="1"/>
  </sheetPr>
  <dimension ref="B6:N42"/>
  <sheetViews>
    <sheetView view="pageLayout" zoomScaleNormal="85" zoomScaleSheetLayoutView="80" workbookViewId="0"/>
  </sheetViews>
  <sheetFormatPr defaultColWidth="9.140625" defaultRowHeight="12.75" x14ac:dyDescent="0.2"/>
  <cols>
    <col min="1" max="1" width="1.5703125" style="83" customWidth="1"/>
    <col min="2" max="2" width="4.7109375" style="83" customWidth="1"/>
    <col min="3" max="3" width="1.5703125" style="83" customWidth="1"/>
    <col min="4" max="4" width="30.140625" style="83" customWidth="1"/>
    <col min="5" max="5" width="1.5703125" style="83" customWidth="1"/>
    <col min="6" max="6" width="15.140625" style="83" customWidth="1"/>
    <col min="7" max="7" width="1.5703125" style="83" customWidth="1"/>
    <col min="8" max="8" width="15.140625" style="83" customWidth="1"/>
    <col min="9" max="9" width="1.5703125" style="83" customWidth="1"/>
    <col min="10" max="10" width="15.140625" style="83" customWidth="1"/>
    <col min="11" max="11" width="1.5703125" style="83" customWidth="1"/>
    <col min="12" max="12" width="15.140625" style="83" customWidth="1"/>
    <col min="13" max="13" width="1.5703125" style="83" customWidth="1"/>
    <col min="14" max="14" width="13" style="83" customWidth="1"/>
    <col min="15" max="16384" width="9.140625" style="83"/>
  </cols>
  <sheetData>
    <row r="6" spans="2:14" x14ac:dyDescent="0.2">
      <c r="B6" s="173" t="s">
        <v>470</v>
      </c>
      <c r="C6" s="173"/>
      <c r="D6" s="173"/>
      <c r="E6" s="173"/>
      <c r="F6" s="173"/>
      <c r="G6" s="173"/>
      <c r="H6" s="173"/>
      <c r="I6" s="173"/>
      <c r="J6" s="173"/>
      <c r="K6" s="173"/>
      <c r="L6" s="173"/>
      <c r="M6" s="236"/>
      <c r="N6" s="236"/>
    </row>
    <row r="7" spans="2:14" x14ac:dyDescent="0.2">
      <c r="B7" s="252"/>
      <c r="C7" s="252"/>
      <c r="D7" s="252"/>
      <c r="E7" s="252"/>
      <c r="F7" s="252"/>
      <c r="G7" s="252"/>
      <c r="H7" s="252"/>
      <c r="I7" s="252"/>
      <c r="J7" s="252"/>
      <c r="K7" s="252"/>
      <c r="L7" s="252"/>
    </row>
    <row r="8" spans="2:14" x14ac:dyDescent="0.2">
      <c r="B8" s="252"/>
      <c r="C8" s="252"/>
      <c r="D8" s="252"/>
      <c r="E8" s="252"/>
      <c r="F8" s="510" t="s">
        <v>219</v>
      </c>
      <c r="G8" s="510"/>
      <c r="H8" s="510"/>
      <c r="I8" s="252"/>
      <c r="J8" s="74" t="s">
        <v>478</v>
      </c>
      <c r="K8" s="45"/>
      <c r="L8" s="74"/>
      <c r="N8" s="494" t="s">
        <v>472</v>
      </c>
    </row>
    <row r="9" spans="2:14" x14ac:dyDescent="0.2">
      <c r="B9" s="252"/>
      <c r="C9" s="252"/>
      <c r="D9" s="252"/>
      <c r="E9" s="252"/>
      <c r="I9" s="1"/>
      <c r="J9" s="45" t="s">
        <v>479</v>
      </c>
      <c r="K9" s="40"/>
      <c r="L9" s="45" t="s">
        <v>476</v>
      </c>
      <c r="N9" s="494" t="s">
        <v>473</v>
      </c>
    </row>
    <row r="10" spans="2:14" x14ac:dyDescent="0.2">
      <c r="B10" s="252" t="s">
        <v>0</v>
      </c>
      <c r="C10" s="7"/>
      <c r="D10" s="7"/>
      <c r="E10" s="7"/>
      <c r="F10" s="254" t="s">
        <v>329</v>
      </c>
      <c r="G10" s="252"/>
      <c r="H10" s="254" t="s">
        <v>330</v>
      </c>
      <c r="I10" s="1"/>
      <c r="J10" s="45" t="s">
        <v>331</v>
      </c>
      <c r="K10" s="40"/>
      <c r="L10" s="45" t="s">
        <v>477</v>
      </c>
      <c r="N10" s="25" t="s">
        <v>471</v>
      </c>
    </row>
    <row r="11" spans="2:14" ht="14.25" x14ac:dyDescent="0.2">
      <c r="B11" s="8" t="s">
        <v>1</v>
      </c>
      <c r="C11" s="7"/>
      <c r="D11" s="9" t="s">
        <v>197</v>
      </c>
      <c r="E11" s="252"/>
      <c r="F11" s="8" t="s">
        <v>332</v>
      </c>
      <c r="G11" s="1"/>
      <c r="H11" s="8" t="s">
        <v>333</v>
      </c>
      <c r="I11" s="1"/>
      <c r="J11" s="8" t="s">
        <v>140</v>
      </c>
      <c r="K11" s="1"/>
      <c r="L11" s="8" t="s">
        <v>140</v>
      </c>
      <c r="N11" s="8" t="s">
        <v>140</v>
      </c>
    </row>
    <row r="12" spans="2:14" x14ac:dyDescent="0.2">
      <c r="B12" s="252"/>
      <c r="C12" s="7"/>
      <c r="D12" s="7"/>
      <c r="E12" s="252"/>
      <c r="F12" s="252" t="s">
        <v>3</v>
      </c>
      <c r="G12" s="252"/>
      <c r="H12" s="252" t="s">
        <v>4</v>
      </c>
      <c r="I12" s="252"/>
      <c r="J12" s="252" t="s">
        <v>86</v>
      </c>
      <c r="K12" s="252"/>
      <c r="L12" s="252" t="s">
        <v>133</v>
      </c>
      <c r="N12" s="96" t="s">
        <v>134</v>
      </c>
    </row>
    <row r="13" spans="2:14" x14ac:dyDescent="0.2">
      <c r="B13" s="252"/>
      <c r="C13" s="7"/>
      <c r="D13" s="7"/>
      <c r="E13" s="252"/>
      <c r="F13" s="252"/>
      <c r="G13" s="252"/>
      <c r="H13" s="252"/>
      <c r="I13" s="252"/>
      <c r="J13" s="252"/>
      <c r="K13" s="252"/>
      <c r="L13" s="252"/>
    </row>
    <row r="14" spans="2:14" x14ac:dyDescent="0.2">
      <c r="B14" s="252"/>
      <c r="C14" s="7"/>
      <c r="D14" s="7" t="s">
        <v>48</v>
      </c>
      <c r="E14" s="252"/>
      <c r="F14" s="252"/>
      <c r="G14" s="252"/>
      <c r="H14" s="252"/>
      <c r="I14" s="252"/>
      <c r="J14" s="252"/>
      <c r="K14" s="252"/>
      <c r="L14" s="252"/>
    </row>
    <row r="15" spans="2:14" x14ac:dyDescent="0.2">
      <c r="B15" s="252">
        <v>1</v>
      </c>
      <c r="C15" s="7"/>
      <c r="D15" s="13" t="s">
        <v>49</v>
      </c>
      <c r="E15" s="252"/>
      <c r="F15" s="11">
        <v>28327.376921819461</v>
      </c>
      <c r="G15" s="252"/>
      <c r="H15" s="11">
        <v>8697052.4855121206</v>
      </c>
      <c r="I15" s="252"/>
      <c r="J15" s="11">
        <f t="shared" ref="J15:J25" si="0">J$27*F15/F$27</f>
        <v>-1604.1711177467516</v>
      </c>
      <c r="K15" s="252"/>
      <c r="L15" s="11">
        <f t="shared" ref="L15:L25" si="1">L$27*H15/H$27</f>
        <v>3152.927146715067</v>
      </c>
      <c r="N15" s="11">
        <f>J15+L15</f>
        <v>1548.7560289683154</v>
      </c>
    </row>
    <row r="16" spans="2:14" x14ac:dyDescent="0.2">
      <c r="B16" s="252">
        <f>MAX(B$15:B15)+1</f>
        <v>2</v>
      </c>
      <c r="C16" s="7"/>
      <c r="D16" s="13" t="s">
        <v>50</v>
      </c>
      <c r="E16" s="252"/>
      <c r="F16" s="11">
        <v>19031.675552254532</v>
      </c>
      <c r="G16" s="252"/>
      <c r="H16" s="11">
        <v>4047052.5188270635</v>
      </c>
      <c r="I16" s="252"/>
      <c r="J16" s="11">
        <f t="shared" si="0"/>
        <v>-1077.758252291181</v>
      </c>
      <c r="K16" s="252"/>
      <c r="L16" s="11">
        <f t="shared" si="1"/>
        <v>1467.1708342622553</v>
      </c>
      <c r="N16" s="11">
        <f t="shared" ref="N16" si="2">J16+L16</f>
        <v>389.41258197107436</v>
      </c>
    </row>
    <row r="17" spans="2:14" x14ac:dyDescent="0.2">
      <c r="B17" s="252">
        <f>MAX(B$15:B16)+1</f>
        <v>3</v>
      </c>
      <c r="C17" s="7"/>
      <c r="D17" s="13" t="s">
        <v>51</v>
      </c>
      <c r="E17" s="252"/>
      <c r="F17" s="11">
        <v>5361.9248091577483</v>
      </c>
      <c r="G17" s="252"/>
      <c r="H17" s="11">
        <v>227345.72160001998</v>
      </c>
      <c r="I17" s="252"/>
      <c r="J17" s="11">
        <f t="shared" si="0"/>
        <v>-303.64424274509054</v>
      </c>
      <c r="K17" s="252"/>
      <c r="L17" s="11">
        <f t="shared" si="1"/>
        <v>82.41924474025069</v>
      </c>
      <c r="N17" s="11">
        <f t="shared" ref="N17" si="3">J17+L17</f>
        <v>-221.22499800483985</v>
      </c>
    </row>
    <row r="18" spans="2:14" x14ac:dyDescent="0.2">
      <c r="B18" s="252">
        <f>MAX(B$15:B17)+1</f>
        <v>4</v>
      </c>
      <c r="C18" s="7"/>
      <c r="D18" s="13" t="s">
        <v>52</v>
      </c>
      <c r="E18" s="252"/>
      <c r="F18" s="11">
        <v>18373.34286385978</v>
      </c>
      <c r="G18" s="252"/>
      <c r="H18" s="11">
        <v>0</v>
      </c>
      <c r="I18" s="252"/>
      <c r="J18" s="11">
        <f t="shared" si="0"/>
        <v>-1040.4770635843659</v>
      </c>
      <c r="K18" s="252"/>
      <c r="L18" s="11">
        <f t="shared" si="1"/>
        <v>0</v>
      </c>
      <c r="N18" s="11">
        <f t="shared" ref="N18:N20" si="4">J18+L18</f>
        <v>-1040.4770635843659</v>
      </c>
    </row>
    <row r="19" spans="2:14" x14ac:dyDescent="0.2">
      <c r="B19" s="252">
        <f>MAX(B$15:B18)+1</f>
        <v>5</v>
      </c>
      <c r="C19" s="7"/>
      <c r="D19" s="13" t="s">
        <v>53</v>
      </c>
      <c r="E19" s="252"/>
      <c r="F19" s="11">
        <v>0</v>
      </c>
      <c r="G19" s="252"/>
      <c r="H19" s="11">
        <v>0</v>
      </c>
      <c r="I19" s="252"/>
      <c r="J19" s="11">
        <f t="shared" si="0"/>
        <v>0</v>
      </c>
      <c r="K19" s="252"/>
      <c r="L19" s="11">
        <f t="shared" si="1"/>
        <v>0</v>
      </c>
      <c r="N19" s="11">
        <f t="shared" si="4"/>
        <v>0</v>
      </c>
    </row>
    <row r="20" spans="2:14" x14ac:dyDescent="0.2">
      <c r="B20" s="252">
        <f>MAX(B$15:B19)+1</f>
        <v>6</v>
      </c>
      <c r="C20" s="7"/>
      <c r="D20" s="13" t="s">
        <v>54</v>
      </c>
      <c r="E20" s="252"/>
      <c r="F20" s="11">
        <v>9931.7899999880301</v>
      </c>
      <c r="G20" s="252"/>
      <c r="H20" s="11">
        <v>0</v>
      </c>
      <c r="I20" s="252"/>
      <c r="J20" s="11">
        <f t="shared" si="0"/>
        <v>-562.43437962781491</v>
      </c>
      <c r="K20" s="252"/>
      <c r="L20" s="11">
        <f t="shared" si="1"/>
        <v>0</v>
      </c>
      <c r="N20" s="11">
        <f t="shared" si="4"/>
        <v>-562.43437962781491</v>
      </c>
    </row>
    <row r="21" spans="2:14" x14ac:dyDescent="0.2">
      <c r="B21" s="252">
        <f>MAX(B$15:B20)+1</f>
        <v>7</v>
      </c>
      <c r="C21" s="7"/>
      <c r="D21" s="13" t="s">
        <v>55</v>
      </c>
      <c r="E21" s="252"/>
      <c r="F21" s="11">
        <v>0.42790640441152972</v>
      </c>
      <c r="G21" s="252"/>
      <c r="H21" s="11">
        <v>13496.806840359997</v>
      </c>
      <c r="I21" s="252"/>
      <c r="J21" s="11">
        <f t="shared" si="0"/>
        <v>-2.423221525065045E-2</v>
      </c>
      <c r="K21" s="252"/>
      <c r="L21" s="11">
        <f t="shared" si="1"/>
        <v>4.8929736542155462</v>
      </c>
      <c r="N21" s="11">
        <f t="shared" ref="N21:N23" si="5">J21+L21</f>
        <v>4.8687414389648955</v>
      </c>
    </row>
    <row r="22" spans="2:14" x14ac:dyDescent="0.2">
      <c r="B22" s="252">
        <f>MAX(B$15:B21)+1</f>
        <v>8</v>
      </c>
      <c r="C22" s="7"/>
      <c r="D22" s="13" t="s">
        <v>56</v>
      </c>
      <c r="E22" s="252"/>
      <c r="F22" s="11">
        <v>5.7512479660062903</v>
      </c>
      <c r="G22" s="252"/>
      <c r="H22" s="11">
        <v>6565.5263900000009</v>
      </c>
      <c r="I22" s="252"/>
      <c r="J22" s="11">
        <f t="shared" si="0"/>
        <v>-0.32569149990589596</v>
      </c>
      <c r="K22" s="252"/>
      <c r="L22" s="11">
        <f t="shared" si="1"/>
        <v>2.3801887388847045</v>
      </c>
      <c r="N22" s="11">
        <f t="shared" si="5"/>
        <v>2.0544972389788088</v>
      </c>
    </row>
    <row r="23" spans="2:14" x14ac:dyDescent="0.2">
      <c r="B23" s="252">
        <f>MAX(B$15:B22)+1</f>
        <v>9</v>
      </c>
      <c r="C23" s="7"/>
      <c r="D23" s="13" t="s">
        <v>57</v>
      </c>
      <c r="E23" s="252"/>
      <c r="F23" s="11">
        <v>0</v>
      </c>
      <c r="G23" s="252"/>
      <c r="H23" s="11">
        <v>0</v>
      </c>
      <c r="I23" s="252"/>
      <c r="J23" s="11">
        <f t="shared" si="0"/>
        <v>0</v>
      </c>
      <c r="K23" s="252"/>
      <c r="L23" s="11">
        <f t="shared" si="1"/>
        <v>0</v>
      </c>
      <c r="N23" s="11">
        <f t="shared" si="5"/>
        <v>0</v>
      </c>
    </row>
    <row r="24" spans="2:14" x14ac:dyDescent="0.2">
      <c r="B24" s="252">
        <f>MAX(B$15:B23)+1</f>
        <v>10</v>
      </c>
      <c r="C24" s="7"/>
      <c r="D24" s="13" t="s">
        <v>58</v>
      </c>
      <c r="E24" s="252"/>
      <c r="F24" s="11">
        <v>533.91947967219039</v>
      </c>
      <c r="G24" s="252"/>
      <c r="H24" s="11">
        <v>156100.92169999998</v>
      </c>
      <c r="I24" s="252"/>
      <c r="J24" s="11">
        <f t="shared" si="0"/>
        <v>-30.235704875052335</v>
      </c>
      <c r="K24" s="252"/>
      <c r="L24" s="11">
        <f t="shared" si="1"/>
        <v>56.590992692645756</v>
      </c>
      <c r="N24" s="11">
        <f t="shared" ref="N24:N27" si="6">J24+L24</f>
        <v>26.355287817593421</v>
      </c>
    </row>
    <row r="25" spans="2:14" x14ac:dyDescent="0.2">
      <c r="B25" s="252">
        <f>MAX(B$15:B24)+1</f>
        <v>11</v>
      </c>
      <c r="C25" s="7"/>
      <c r="D25" s="13" t="s">
        <v>59</v>
      </c>
      <c r="E25" s="252"/>
      <c r="F25" s="261">
        <v>2601.2970625238845</v>
      </c>
      <c r="G25" s="252"/>
      <c r="H25" s="261">
        <v>0</v>
      </c>
      <c r="I25" s="252"/>
      <c r="J25" s="261">
        <f t="shared" si="0"/>
        <v>-147.31069621790647</v>
      </c>
      <c r="K25" s="252"/>
      <c r="L25" s="261">
        <f t="shared" si="1"/>
        <v>0</v>
      </c>
      <c r="N25" s="11">
        <f t="shared" si="6"/>
        <v>-147.31069621790647</v>
      </c>
    </row>
    <row r="26" spans="2:14" x14ac:dyDescent="0.2">
      <c r="B26" s="20"/>
      <c r="C26" s="7"/>
      <c r="D26" s="252"/>
      <c r="E26" s="1"/>
      <c r="F26" s="482"/>
      <c r="G26" s="32"/>
      <c r="H26" s="482"/>
      <c r="I26" s="32"/>
      <c r="J26" s="30"/>
      <c r="K26" s="32"/>
      <c r="L26" s="482"/>
      <c r="N26" s="22"/>
    </row>
    <row r="27" spans="2:14" ht="13.5" thickBot="1" x14ac:dyDescent="0.25">
      <c r="B27" s="252">
        <f>MAX(B$15:B26)+1</f>
        <v>12</v>
      </c>
      <c r="C27" s="7"/>
      <c r="D27" s="21" t="s">
        <v>475</v>
      </c>
      <c r="E27" s="1"/>
      <c r="F27" s="174">
        <f>SUM(F15:F25)</f>
        <v>84167.505843646039</v>
      </c>
      <c r="G27" s="252"/>
      <c r="H27" s="174">
        <f>SUM(H15:H25)</f>
        <v>13147613.980869565</v>
      </c>
      <c r="I27" s="252"/>
      <c r="J27" s="175">
        <v>-4766.3813808033192</v>
      </c>
      <c r="K27" s="252"/>
      <c r="L27" s="175">
        <f>-J27</f>
        <v>4766.3813808033192</v>
      </c>
      <c r="M27" s="223"/>
      <c r="N27" s="175">
        <f t="shared" si="6"/>
        <v>0</v>
      </c>
    </row>
    <row r="28" spans="2:14" ht="13.5" thickTop="1" x14ac:dyDescent="0.2"/>
    <row r="29" spans="2:14" x14ac:dyDescent="0.2">
      <c r="B29" s="23" t="s">
        <v>5</v>
      </c>
    </row>
    <row r="30" spans="2:14" x14ac:dyDescent="0.2">
      <c r="B30" s="405" t="s">
        <v>189</v>
      </c>
      <c r="C30" s="406"/>
      <c r="D30" s="260" t="s">
        <v>807</v>
      </c>
    </row>
    <row r="31" spans="2:14" x14ac:dyDescent="0.2">
      <c r="B31" s="405" t="s">
        <v>190</v>
      </c>
      <c r="C31" s="406"/>
      <c r="D31" s="260" t="s">
        <v>827</v>
      </c>
    </row>
    <row r="32" spans="2:14" x14ac:dyDescent="0.2">
      <c r="B32" s="405" t="s">
        <v>191</v>
      </c>
      <c r="C32" s="406"/>
      <c r="D32" s="260" t="s">
        <v>467</v>
      </c>
    </row>
    <row r="33" spans="2:14" x14ac:dyDescent="0.2">
      <c r="B33" s="405" t="s">
        <v>192</v>
      </c>
      <c r="C33" s="406"/>
      <c r="D33" s="260" t="s">
        <v>474</v>
      </c>
    </row>
    <row r="34" spans="2:14" x14ac:dyDescent="0.2">
      <c r="B34" s="405" t="s">
        <v>194</v>
      </c>
      <c r="C34" s="260"/>
      <c r="D34" s="511" t="s">
        <v>698</v>
      </c>
      <c r="E34" s="511"/>
      <c r="F34" s="511"/>
      <c r="G34" s="511"/>
      <c r="H34" s="511"/>
      <c r="I34" s="511"/>
      <c r="J34" s="511"/>
      <c r="K34" s="511"/>
      <c r="L34" s="511"/>
      <c r="M34" s="511"/>
      <c r="N34" s="511"/>
    </row>
    <row r="35" spans="2:14" x14ac:dyDescent="0.2">
      <c r="D35" s="511"/>
      <c r="E35" s="511"/>
      <c r="F35" s="511"/>
      <c r="G35" s="511"/>
      <c r="H35" s="511"/>
      <c r="I35" s="511"/>
      <c r="J35" s="511"/>
      <c r="K35" s="511"/>
      <c r="L35" s="511"/>
      <c r="M35" s="511"/>
      <c r="N35" s="511"/>
    </row>
    <row r="36" spans="2:14" x14ac:dyDescent="0.2">
      <c r="B36" s="20"/>
      <c r="C36" s="7"/>
      <c r="D36" s="252"/>
      <c r="E36" s="1"/>
      <c r="F36" s="7"/>
      <c r="G36" s="252"/>
      <c r="H36" s="252"/>
      <c r="I36" s="252"/>
      <c r="J36" s="7"/>
      <c r="K36" s="252"/>
      <c r="L36" s="252"/>
    </row>
    <row r="37" spans="2:14" x14ac:dyDescent="0.2">
      <c r="B37" s="252"/>
      <c r="C37" s="7"/>
      <c r="D37" s="7"/>
      <c r="E37" s="252"/>
      <c r="F37" s="252"/>
      <c r="G37" s="252"/>
      <c r="H37" s="252"/>
      <c r="I37" s="252"/>
      <c r="J37" s="45"/>
      <c r="K37" s="45"/>
      <c r="L37" s="45"/>
      <c r="M37" s="223"/>
    </row>
    <row r="38" spans="2:14" x14ac:dyDescent="0.2">
      <c r="C38" s="7"/>
      <c r="D38" s="7"/>
      <c r="E38" s="7"/>
      <c r="F38" s="7"/>
      <c r="G38" s="7"/>
      <c r="H38" s="1"/>
      <c r="I38" s="7"/>
      <c r="J38" s="407"/>
      <c r="K38" s="46"/>
      <c r="L38" s="40"/>
      <c r="M38" s="223"/>
    </row>
    <row r="39" spans="2:14" x14ac:dyDescent="0.2">
      <c r="C39" s="20"/>
      <c r="D39" s="20"/>
      <c r="E39" s="20"/>
      <c r="F39" s="20"/>
      <c r="G39" s="20"/>
      <c r="H39" s="20"/>
      <c r="I39" s="20"/>
      <c r="J39" s="86"/>
      <c r="K39" s="86"/>
      <c r="L39" s="86"/>
      <c r="M39" s="223"/>
    </row>
    <row r="40" spans="2:14" x14ac:dyDescent="0.2">
      <c r="C40" s="20"/>
      <c r="D40" s="20"/>
      <c r="E40" s="20"/>
      <c r="F40" s="20"/>
      <c r="G40" s="20"/>
      <c r="H40" s="20"/>
      <c r="I40" s="20"/>
      <c r="J40" s="11"/>
      <c r="K40" s="86"/>
      <c r="L40" s="86"/>
      <c r="M40" s="223"/>
    </row>
    <row r="41" spans="2:14" x14ac:dyDescent="0.2">
      <c r="C41" s="7"/>
      <c r="D41" s="1"/>
      <c r="E41" s="1"/>
      <c r="F41" s="1"/>
      <c r="G41" s="1"/>
      <c r="H41" s="1"/>
      <c r="I41" s="1"/>
      <c r="J41" s="40"/>
      <c r="K41" s="40"/>
      <c r="L41" s="40"/>
      <c r="M41" s="223"/>
    </row>
    <row r="42" spans="2:14" x14ac:dyDescent="0.2">
      <c r="J42" s="223"/>
      <c r="K42" s="223"/>
      <c r="L42" s="223"/>
      <c r="M42" s="223"/>
    </row>
  </sheetData>
  <mergeCells count="2">
    <mergeCell ref="F8:H8"/>
    <mergeCell ref="D34:N35"/>
  </mergeCells>
  <pageMargins left="0.7" right="0.7" top="0.75" bottom="0.75" header="0.3" footer="0.3"/>
  <pageSetup scale="75" fitToHeight="0" orientation="portrait" horizontalDpi="1200" verticalDpi="1200" r:id="rId1"/>
  <headerFooter>
    <oddHeader xml:space="preserve">&amp;R&amp;"Arial,Regular"&amp;10Filed: 2022-11-30
EB-2022-0200
Exhibit 8
Tab 2
Schedule 9
Attachment 8
Page &amp;P of &amp;N
</oddHeader>
    <oddFooter xml:space="preserve">&amp;C&amp;1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6BADC-AD5B-43DF-8069-6E83F176688E}">
  <dimension ref="B5:P132"/>
  <sheetViews>
    <sheetView view="pageLayout" zoomScaleNormal="100" zoomScaleSheetLayoutView="80" workbookViewId="0"/>
  </sheetViews>
  <sheetFormatPr defaultColWidth="9.140625" defaultRowHeight="12.75" x14ac:dyDescent="0.2"/>
  <cols>
    <col min="1" max="1" width="1.5703125" style="83" customWidth="1"/>
    <col min="2" max="2" width="4.7109375" style="83" customWidth="1"/>
    <col min="3" max="3" width="1.5703125" style="83" customWidth="1"/>
    <col min="4" max="4" width="37.85546875" style="83" customWidth="1"/>
    <col min="5" max="5" width="1.5703125" style="83" customWidth="1"/>
    <col min="6" max="6" width="16.42578125" style="83" customWidth="1"/>
    <col min="7" max="7" width="1.5703125" style="83" customWidth="1"/>
    <col min="8" max="8" width="16.42578125" style="83" customWidth="1"/>
    <col min="9" max="9" width="1.5703125" style="83" customWidth="1"/>
    <col min="10" max="10" width="16.42578125" style="83" customWidth="1"/>
    <col min="11" max="11" width="1.5703125" style="83" customWidth="1"/>
    <col min="12" max="12" width="16.42578125" style="83" customWidth="1"/>
    <col min="13" max="15" width="9.140625" style="83"/>
    <col min="16" max="16" width="11.5703125" style="83" bestFit="1" customWidth="1"/>
    <col min="17" max="16384" width="9.140625" style="83"/>
  </cols>
  <sheetData>
    <row r="5" spans="2:12" x14ac:dyDescent="0.2">
      <c r="B5" s="373"/>
      <c r="C5" s="236"/>
      <c r="D5" s="236"/>
      <c r="E5" s="236"/>
      <c r="F5" s="236"/>
      <c r="G5" s="236"/>
      <c r="H5" s="236"/>
      <c r="I5" s="236"/>
    </row>
    <row r="6" spans="2:12" x14ac:dyDescent="0.2">
      <c r="B6" s="373" t="s">
        <v>396</v>
      </c>
      <c r="C6" s="236"/>
      <c r="D6" s="236"/>
      <c r="E6" s="236"/>
      <c r="F6" s="236"/>
      <c r="G6" s="236"/>
      <c r="H6" s="236"/>
      <c r="I6" s="236"/>
    </row>
    <row r="8" spans="2:12" x14ac:dyDescent="0.2">
      <c r="B8" s="494" t="s">
        <v>0</v>
      </c>
      <c r="F8" s="65"/>
      <c r="G8" s="65"/>
      <c r="H8" s="65">
        <v>2024</v>
      </c>
      <c r="J8" s="494"/>
      <c r="K8" s="72"/>
      <c r="L8" s="408"/>
    </row>
    <row r="9" spans="2:12" x14ac:dyDescent="0.2">
      <c r="B9" s="488" t="s">
        <v>1</v>
      </c>
      <c r="D9" s="94" t="s">
        <v>224</v>
      </c>
      <c r="E9" s="94"/>
      <c r="F9" s="69"/>
      <c r="G9" s="67"/>
      <c r="H9" s="77" t="s">
        <v>222</v>
      </c>
      <c r="J9" s="71"/>
      <c r="K9" s="70"/>
      <c r="L9" s="71"/>
    </row>
    <row r="10" spans="2:12" x14ac:dyDescent="0.2">
      <c r="B10" s="494"/>
      <c r="F10" s="65"/>
      <c r="H10" s="65" t="s">
        <v>4</v>
      </c>
      <c r="J10" s="96"/>
      <c r="K10" s="73"/>
      <c r="L10" s="409"/>
    </row>
    <row r="12" spans="2:12" x14ac:dyDescent="0.2">
      <c r="D12" s="83" t="s">
        <v>48</v>
      </c>
    </row>
    <row r="13" spans="2:12" x14ac:dyDescent="0.2">
      <c r="B13" s="494">
        <v>1</v>
      </c>
      <c r="D13" s="13" t="s">
        <v>49</v>
      </c>
      <c r="H13" s="79">
        <v>95180.426474034495</v>
      </c>
    </row>
    <row r="14" spans="2:12" x14ac:dyDescent="0.2">
      <c r="B14" s="494">
        <f>MAX($B$11:B13)+1</f>
        <v>2</v>
      </c>
      <c r="D14" s="13" t="s">
        <v>50</v>
      </c>
      <c r="H14" s="79">
        <v>31579.402162611754</v>
      </c>
    </row>
    <row r="15" spans="2:12" x14ac:dyDescent="0.2">
      <c r="B15" s="494">
        <f>MAX($B$11:B14)+1</f>
        <v>3</v>
      </c>
      <c r="D15" s="13" t="s">
        <v>51</v>
      </c>
      <c r="H15" s="79">
        <v>13393.788988261596</v>
      </c>
    </row>
    <row r="16" spans="2:12" x14ac:dyDescent="0.2">
      <c r="B16" s="494">
        <f>MAX($B$11:B15)+1</f>
        <v>4</v>
      </c>
      <c r="D16" s="13" t="s">
        <v>52</v>
      </c>
      <c r="H16" s="79">
        <v>3802.9217898937791</v>
      </c>
    </row>
    <row r="17" spans="2:16" x14ac:dyDescent="0.2">
      <c r="B17" s="494">
        <f>MAX($B$11:B16)+1</f>
        <v>5</v>
      </c>
      <c r="D17" s="13" t="s">
        <v>53</v>
      </c>
      <c r="H17" s="79">
        <v>1589.2568245545956</v>
      </c>
    </row>
    <row r="18" spans="2:16" x14ac:dyDescent="0.2">
      <c r="B18" s="494">
        <f>MAX($B$11:B17)+1</f>
        <v>6</v>
      </c>
      <c r="D18" s="13" t="s">
        <v>54</v>
      </c>
      <c r="H18" s="79">
        <v>875.2843940839457</v>
      </c>
    </row>
    <row r="19" spans="2:16" x14ac:dyDescent="0.2">
      <c r="B19" s="494">
        <f>MAX($B$11:B18)+1</f>
        <v>7</v>
      </c>
      <c r="D19" s="13" t="s">
        <v>55</v>
      </c>
      <c r="H19" s="79">
        <v>1277.2110571348126</v>
      </c>
    </row>
    <row r="20" spans="2:16" x14ac:dyDescent="0.2">
      <c r="B20" s="494">
        <f>MAX($B$11:B19)+1</f>
        <v>8</v>
      </c>
      <c r="D20" s="13" t="s">
        <v>56</v>
      </c>
      <c r="H20" s="79">
        <v>956.14016816189337</v>
      </c>
    </row>
    <row r="21" spans="2:16" x14ac:dyDescent="0.2">
      <c r="B21" s="494">
        <f>MAX($B$11:B20)+1</f>
        <v>9</v>
      </c>
      <c r="D21" s="38" t="s">
        <v>57</v>
      </c>
      <c r="E21" s="223"/>
      <c r="F21" s="223"/>
      <c r="G21" s="223"/>
      <c r="H21" s="253">
        <v>0</v>
      </c>
      <c r="I21" s="223"/>
      <c r="J21" s="223"/>
    </row>
    <row r="22" spans="2:16" x14ac:dyDescent="0.2">
      <c r="B22" s="494">
        <f>MAX($B$11:B21)+1</f>
        <v>10</v>
      </c>
      <c r="D22" s="13" t="s">
        <v>58</v>
      </c>
      <c r="E22" s="223"/>
      <c r="F22" s="223"/>
      <c r="G22" s="223"/>
      <c r="H22" s="253">
        <v>58.678928851950175</v>
      </c>
      <c r="I22" s="223"/>
      <c r="J22" s="223"/>
    </row>
    <row r="23" spans="2:16" x14ac:dyDescent="0.2">
      <c r="B23" s="494">
        <f>MAX($B$11:B22)+1</f>
        <v>11</v>
      </c>
      <c r="D23" s="13" t="s">
        <v>59</v>
      </c>
      <c r="E23" s="223"/>
      <c r="F23" s="410"/>
      <c r="G23" s="223"/>
      <c r="H23" s="484">
        <v>109.0892213736786</v>
      </c>
      <c r="I23" s="223"/>
      <c r="J23" s="410"/>
    </row>
    <row r="24" spans="2:16" x14ac:dyDescent="0.2">
      <c r="B24" s="494"/>
      <c r="D24" s="13"/>
      <c r="E24" s="223"/>
      <c r="F24" s="410"/>
      <c r="G24" s="223"/>
      <c r="H24" s="411"/>
      <c r="I24" s="223"/>
      <c r="J24" s="410"/>
    </row>
    <row r="25" spans="2:16" ht="13.5" thickBot="1" x14ac:dyDescent="0.25">
      <c r="B25" s="494">
        <f>MAX($B$11:B23)+1</f>
        <v>12</v>
      </c>
      <c r="D25" s="250" t="s">
        <v>47</v>
      </c>
      <c r="E25" s="223"/>
      <c r="F25" s="411"/>
      <c r="G25" s="223"/>
      <c r="H25" s="483">
        <f>SUM(H13:H23)</f>
        <v>148822.20000896248</v>
      </c>
      <c r="I25" s="223"/>
      <c r="J25" s="412"/>
      <c r="K25" s="413"/>
      <c r="L25" s="413"/>
      <c r="M25" s="413"/>
      <c r="N25" s="413"/>
      <c r="O25" s="413"/>
      <c r="P25" s="79"/>
    </row>
    <row r="26" spans="2:16" ht="13.5" thickTop="1" x14ac:dyDescent="0.2">
      <c r="E26" s="223"/>
      <c r="F26" s="223"/>
      <c r="G26" s="223"/>
      <c r="H26" s="223"/>
      <c r="I26" s="223"/>
      <c r="J26" s="223"/>
    </row>
    <row r="27" spans="2:16" x14ac:dyDescent="0.2">
      <c r="B27" s="95" t="s">
        <v>808</v>
      </c>
      <c r="C27" s="381"/>
      <c r="D27" s="404"/>
      <c r="E27" s="223"/>
      <c r="F27" s="223"/>
      <c r="G27" s="223"/>
      <c r="H27" s="223"/>
      <c r="I27" s="223"/>
      <c r="J27" s="223"/>
    </row>
    <row r="28" spans="2:16" x14ac:dyDescent="0.2">
      <c r="B28" s="414" t="s">
        <v>189</v>
      </c>
      <c r="C28" s="512" t="s">
        <v>828</v>
      </c>
      <c r="D28" s="512"/>
      <c r="E28" s="512"/>
      <c r="F28" s="512"/>
      <c r="G28" s="512"/>
      <c r="H28" s="512"/>
      <c r="I28" s="512"/>
      <c r="J28" s="512"/>
      <c r="K28" s="490"/>
      <c r="L28" s="490"/>
    </row>
    <row r="31" spans="2:16" x14ac:dyDescent="0.2">
      <c r="B31" s="373"/>
      <c r="C31" s="373"/>
      <c r="D31" s="373"/>
      <c r="E31" s="373"/>
      <c r="F31" s="373"/>
      <c r="G31" s="373"/>
      <c r="H31" s="373"/>
      <c r="I31" s="373"/>
      <c r="J31" s="373"/>
      <c r="K31" s="373"/>
      <c r="L31" s="373"/>
    </row>
    <row r="34" spans="2:11" x14ac:dyDescent="0.2">
      <c r="B34" s="373" t="s">
        <v>466</v>
      </c>
      <c r="C34" s="373"/>
      <c r="D34" s="373"/>
      <c r="E34" s="373"/>
      <c r="F34" s="373"/>
      <c r="G34" s="373"/>
      <c r="H34" s="373"/>
      <c r="I34" s="373"/>
      <c r="J34" s="373"/>
      <c r="K34" s="373"/>
    </row>
    <row r="36" spans="2:11" x14ac:dyDescent="0.2">
      <c r="F36" s="65">
        <v>2024</v>
      </c>
      <c r="H36" s="65">
        <v>2024</v>
      </c>
      <c r="J36" s="65">
        <v>2024</v>
      </c>
    </row>
    <row r="37" spans="2:11" x14ac:dyDescent="0.2">
      <c r="F37" s="65" t="s">
        <v>141</v>
      </c>
      <c r="H37" s="65" t="s">
        <v>143</v>
      </c>
      <c r="J37" s="65" t="s">
        <v>143</v>
      </c>
    </row>
    <row r="38" spans="2:11" x14ac:dyDescent="0.2">
      <c r="B38" s="494" t="s">
        <v>0</v>
      </c>
      <c r="F38" s="76" t="s">
        <v>22</v>
      </c>
      <c r="H38" s="76" t="s">
        <v>328</v>
      </c>
      <c r="J38" s="65" t="s">
        <v>170</v>
      </c>
    </row>
    <row r="39" spans="2:11" x14ac:dyDescent="0.2">
      <c r="B39" s="488" t="s">
        <v>1</v>
      </c>
      <c r="D39" s="94" t="s">
        <v>9</v>
      </c>
      <c r="F39" s="77" t="s">
        <v>142</v>
      </c>
      <c r="H39" s="77" t="s">
        <v>140</v>
      </c>
      <c r="J39" s="77" t="s">
        <v>144</v>
      </c>
    </row>
    <row r="40" spans="2:11" x14ac:dyDescent="0.2">
      <c r="B40" s="494"/>
      <c r="F40" s="65" t="s">
        <v>3</v>
      </c>
      <c r="H40" s="65" t="s">
        <v>4</v>
      </c>
      <c r="J40" s="96" t="s">
        <v>86</v>
      </c>
    </row>
    <row r="41" spans="2:11" x14ac:dyDescent="0.2">
      <c r="B41" s="494"/>
      <c r="F41" s="65"/>
      <c r="H41" s="65"/>
      <c r="J41" s="96"/>
    </row>
    <row r="42" spans="2:11" x14ac:dyDescent="0.2">
      <c r="B42" s="494"/>
      <c r="D42" s="1" t="s">
        <v>49</v>
      </c>
    </row>
    <row r="43" spans="2:11" x14ac:dyDescent="0.2">
      <c r="B43" s="494">
        <v>1</v>
      </c>
      <c r="D43" s="38" t="s">
        <v>61</v>
      </c>
      <c r="F43" s="79">
        <f>'Attach 2'!H17</f>
        <v>1112158.9379832712</v>
      </c>
      <c r="H43" s="79">
        <f>H13</f>
        <v>95180.426474034495</v>
      </c>
      <c r="I43" s="79"/>
      <c r="J43" s="80">
        <f>H43/F43 * 100</f>
        <v>8.558167652424709</v>
      </c>
    </row>
    <row r="44" spans="2:11" x14ac:dyDescent="0.2">
      <c r="D44" s="38"/>
      <c r="F44" s="79"/>
      <c r="H44" s="79"/>
      <c r="I44" s="79"/>
      <c r="J44" s="80"/>
    </row>
    <row r="45" spans="2:11" x14ac:dyDescent="0.2">
      <c r="D45" s="1" t="s">
        <v>50</v>
      </c>
      <c r="F45" s="79"/>
      <c r="H45" s="79"/>
      <c r="I45" s="79"/>
      <c r="J45" s="80"/>
    </row>
    <row r="46" spans="2:11" x14ac:dyDescent="0.2">
      <c r="B46" s="494">
        <f>MAX($B$42:B45)+1</f>
        <v>2</v>
      </c>
      <c r="D46" s="38" t="s">
        <v>61</v>
      </c>
      <c r="F46" s="79">
        <f>'Attach 2'!H33</f>
        <v>747567</v>
      </c>
      <c r="H46" s="79">
        <f>H14</f>
        <v>31579.402162611754</v>
      </c>
      <c r="I46" s="79"/>
      <c r="J46" s="80">
        <f>H46/F46 * 100</f>
        <v>4.2242905535706834</v>
      </c>
    </row>
    <row r="47" spans="2:11" x14ac:dyDescent="0.2">
      <c r="D47" s="38"/>
      <c r="F47" s="79"/>
    </row>
    <row r="48" spans="2:11" x14ac:dyDescent="0.2">
      <c r="D48" s="1" t="s">
        <v>51</v>
      </c>
      <c r="F48" s="79"/>
    </row>
    <row r="49" spans="2:16" x14ac:dyDescent="0.2">
      <c r="D49" s="38" t="s">
        <v>45</v>
      </c>
      <c r="F49" s="79"/>
    </row>
    <row r="50" spans="2:16" ht="14.25" x14ac:dyDescent="0.2">
      <c r="B50" s="494">
        <f>MAX($B$42:B49)+1</f>
        <v>3</v>
      </c>
      <c r="D50" s="51" t="s">
        <v>66</v>
      </c>
      <c r="F50" s="79">
        <f>'Attach 2'!H50</f>
        <v>111874.62780000002</v>
      </c>
      <c r="H50" s="415">
        <f>H52*0.6</f>
        <v>8036.2733929569577</v>
      </c>
      <c r="J50" s="80">
        <f>H50/F50 * 100</f>
        <v>7.1832850316369559</v>
      </c>
      <c r="P50" s="79"/>
    </row>
    <row r="51" spans="2:16" ht="14.25" x14ac:dyDescent="0.2">
      <c r="B51" s="494">
        <f>MAX($B$42:B50)+1</f>
        <v>4</v>
      </c>
      <c r="D51" s="51" t="s">
        <v>67</v>
      </c>
      <c r="F51" s="416">
        <f>'Attach 2'!H51</f>
        <v>110428.34020000001</v>
      </c>
      <c r="H51" s="417">
        <f>H52*0.4</f>
        <v>5357.5155953046387</v>
      </c>
      <c r="J51" s="81">
        <f>H51/F51 * 100</f>
        <v>4.851576674612228</v>
      </c>
      <c r="P51" s="79"/>
    </row>
    <row r="52" spans="2:16" x14ac:dyDescent="0.2">
      <c r="B52" s="494">
        <f>MAX($B$42:B51)+1</f>
        <v>5</v>
      </c>
      <c r="D52" s="38" t="str">
        <f>"Total " &amp;D48</f>
        <v>Total Rate E10</v>
      </c>
      <c r="F52" s="415">
        <f>SUM(F50:F51)</f>
        <v>222302.96800000002</v>
      </c>
      <c r="H52" s="79">
        <f>H15</f>
        <v>13393.788988261596</v>
      </c>
      <c r="J52" s="80">
        <f>H52/F52 * 100</f>
        <v>6.0250158190697638</v>
      </c>
    </row>
    <row r="53" spans="2:16" x14ac:dyDescent="0.2">
      <c r="D53" s="38"/>
    </row>
    <row r="54" spans="2:16" x14ac:dyDescent="0.2">
      <c r="D54" s="1" t="s">
        <v>52</v>
      </c>
    </row>
    <row r="55" spans="2:16" x14ac:dyDescent="0.2">
      <c r="D55" s="38" t="s">
        <v>69</v>
      </c>
    </row>
    <row r="56" spans="2:16" ht="14.25" x14ac:dyDescent="0.2">
      <c r="B56" s="494">
        <f>MAX($B$42:B55)+1</f>
        <v>6</v>
      </c>
      <c r="D56" s="51" t="s">
        <v>71</v>
      </c>
      <c r="F56" s="418">
        <f>'Attach 2'!H84</f>
        <v>26927.364000000001</v>
      </c>
      <c r="H56" s="415">
        <v>760.58435797875586</v>
      </c>
      <c r="J56" s="80">
        <f>H56/F56 * 100</f>
        <v>2.8245778457139581</v>
      </c>
    </row>
    <row r="57" spans="2:16" ht="14.25" x14ac:dyDescent="0.2">
      <c r="B57" s="494">
        <f>MAX($B$42:B56)+1</f>
        <v>7</v>
      </c>
      <c r="D57" s="51" t="s">
        <v>70</v>
      </c>
      <c r="F57" s="418">
        <f>'Attach 2'!H85</f>
        <v>50942.423999999999</v>
      </c>
      <c r="H57" s="415">
        <v>950.73044747344477</v>
      </c>
      <c r="J57" s="80">
        <f t="shared" ref="J57:J58" si="0">H57/F57 * 100</f>
        <v>1.8662842731501053</v>
      </c>
    </row>
    <row r="58" spans="2:16" ht="14.25" x14ac:dyDescent="0.2">
      <c r="B58" s="494">
        <f>MAX($B$42:B57)+1</f>
        <v>8</v>
      </c>
      <c r="D58" s="51" t="s">
        <v>72</v>
      </c>
      <c r="F58" s="416">
        <f>'Attach 2'!H86</f>
        <v>136172.00399999999</v>
      </c>
      <c r="H58" s="417">
        <v>2091.6069844415788</v>
      </c>
      <c r="J58" s="81">
        <f t="shared" si="0"/>
        <v>1.5360036740309551</v>
      </c>
    </row>
    <row r="59" spans="2:16" x14ac:dyDescent="0.2">
      <c r="B59" s="494">
        <f>MAX($B$42:B58)+1</f>
        <v>9</v>
      </c>
      <c r="D59" s="38" t="str">
        <f>"Total " &amp;D54</f>
        <v>Total Rate E20</v>
      </c>
      <c r="F59" s="415">
        <f>SUM(F56:F58)</f>
        <v>214041.79199999999</v>
      </c>
      <c r="H59" s="79">
        <f>H16</f>
        <v>3802.9217898937791</v>
      </c>
      <c r="J59" s="80">
        <f>H59/F59 * 100</f>
        <v>1.7767192819492836</v>
      </c>
    </row>
    <row r="60" spans="2:16" x14ac:dyDescent="0.2">
      <c r="D60" s="38"/>
    </row>
    <row r="61" spans="2:16" x14ac:dyDescent="0.2">
      <c r="D61" s="1" t="s">
        <v>53</v>
      </c>
    </row>
    <row r="62" spans="2:16" x14ac:dyDescent="0.2">
      <c r="B62" s="494"/>
      <c r="D62" s="38" t="s">
        <v>145</v>
      </c>
    </row>
    <row r="63" spans="2:16" ht="14.25" x14ac:dyDescent="0.2">
      <c r="B63" s="494">
        <f>MAX($B$42:B62)+1</f>
        <v>10</v>
      </c>
      <c r="D63" s="51" t="s">
        <v>71</v>
      </c>
      <c r="F63" s="418">
        <f>'Attach 2'!H112</f>
        <v>13312.763999999999</v>
      </c>
      <c r="H63" s="415">
        <v>556.23988859410838</v>
      </c>
      <c r="J63" s="80">
        <f>H63/F63 * 100</f>
        <v>4.1782449429292701</v>
      </c>
    </row>
    <row r="64" spans="2:16" ht="14.25" x14ac:dyDescent="0.2">
      <c r="B64" s="494">
        <f>MAX($B$42:B63)+1</f>
        <v>11</v>
      </c>
      <c r="D64" s="51" t="s">
        <v>683</v>
      </c>
      <c r="F64" s="416">
        <f>'Attach 2'!H113</f>
        <v>49393.440000000002</v>
      </c>
      <c r="H64" s="417">
        <v>1033.0169359604872</v>
      </c>
      <c r="J64" s="81">
        <f>H64/F64 * 100</f>
        <v>2.0914051257828716</v>
      </c>
    </row>
    <row r="65" spans="2:15" x14ac:dyDescent="0.2">
      <c r="B65" s="494">
        <f>MAX($B$42:B64)+1</f>
        <v>12</v>
      </c>
      <c r="D65" s="38" t="str">
        <f>"Total " &amp;D61</f>
        <v>Total Rate E22</v>
      </c>
      <c r="F65" s="415">
        <f>SUM(F63:F64)</f>
        <v>62706.203999999998</v>
      </c>
      <c r="H65" s="79">
        <f>H17</f>
        <v>1589.2568245545956</v>
      </c>
      <c r="J65" s="80">
        <f>H65/F65 * 100</f>
        <v>2.5344491026033018</v>
      </c>
    </row>
    <row r="66" spans="2:15" x14ac:dyDescent="0.2">
      <c r="D66" s="51"/>
    </row>
    <row r="67" spans="2:15" x14ac:dyDescent="0.2">
      <c r="D67" s="1" t="s">
        <v>54</v>
      </c>
    </row>
    <row r="68" spans="2:15" x14ac:dyDescent="0.2">
      <c r="B68" s="494">
        <f>MAX($B$42:B67)+1</f>
        <v>13</v>
      </c>
      <c r="D68" s="38" t="s">
        <v>145</v>
      </c>
      <c r="F68" s="418">
        <f>'Attach 2'!H140</f>
        <v>294855.76400000002</v>
      </c>
      <c r="H68" s="79">
        <f>H18</f>
        <v>875.2843940839457</v>
      </c>
      <c r="J68" s="80">
        <f>H68/F68 * 100</f>
        <v>0.29685171563542695</v>
      </c>
    </row>
    <row r="69" spans="2:15" x14ac:dyDescent="0.2">
      <c r="D69" s="51"/>
    </row>
    <row r="70" spans="2:15" x14ac:dyDescent="0.2">
      <c r="D70" s="1" t="s">
        <v>55</v>
      </c>
    </row>
    <row r="71" spans="2:15" x14ac:dyDescent="0.2">
      <c r="B71" s="494">
        <f>MAX($B$42:B70)+1</f>
        <v>14</v>
      </c>
      <c r="D71" s="38" t="s">
        <v>152</v>
      </c>
      <c r="F71" s="418">
        <f>'Attach 2'!H151</f>
        <v>60959.28</v>
      </c>
      <c r="H71" s="79">
        <f>H19</f>
        <v>1277.2110571348126</v>
      </c>
      <c r="J71" s="80">
        <f>H71/F71 * 100</f>
        <v>2.0951872416058928</v>
      </c>
      <c r="O71" s="100"/>
    </row>
    <row r="72" spans="2:15" x14ac:dyDescent="0.2">
      <c r="D72" s="40"/>
    </row>
    <row r="73" spans="2:15" x14ac:dyDescent="0.2">
      <c r="D73" s="1" t="s">
        <v>56</v>
      </c>
    </row>
    <row r="74" spans="2:15" x14ac:dyDescent="0.2">
      <c r="B74" s="494">
        <f>MAX($B$42:B73)+1</f>
        <v>15</v>
      </c>
      <c r="D74" s="38" t="s">
        <v>157</v>
      </c>
      <c r="F74" s="418">
        <f>'Attach 2'!H169</f>
        <v>12006.122800000001</v>
      </c>
      <c r="H74" s="79">
        <f>H20</f>
        <v>956.14016816189337</v>
      </c>
      <c r="J74" s="80">
        <f>H74/F74 * 100</f>
        <v>7.9637713530790579</v>
      </c>
      <c r="O74" s="100"/>
    </row>
    <row r="75" spans="2:15" x14ac:dyDescent="0.2">
      <c r="D75" s="38"/>
    </row>
    <row r="76" spans="2:15" x14ac:dyDescent="0.2">
      <c r="D76" s="1" t="s">
        <v>58</v>
      </c>
      <c r="H76" s="79"/>
    </row>
    <row r="77" spans="2:15" x14ac:dyDescent="0.2">
      <c r="B77" s="494">
        <f>MAX($B$42:B76)+1</f>
        <v>16</v>
      </c>
      <c r="D77" s="38" t="s">
        <v>157</v>
      </c>
      <c r="F77" s="418">
        <f>'Attach 2'!H212</f>
        <v>21065.664000000001</v>
      </c>
      <c r="H77" s="79">
        <f>H22</f>
        <v>58.678928851950175</v>
      </c>
      <c r="J77" s="80">
        <f>H77/F77 * 100</f>
        <v>0.27855247692144985</v>
      </c>
    </row>
    <row r="78" spans="2:15" x14ac:dyDescent="0.2">
      <c r="D78" s="46"/>
    </row>
    <row r="79" spans="2:15" x14ac:dyDescent="0.2">
      <c r="D79" s="1" t="s">
        <v>59</v>
      </c>
    </row>
    <row r="80" spans="2:15" x14ac:dyDescent="0.2">
      <c r="B80" s="494">
        <f>MAX($B$42:B79)+1</f>
        <v>17</v>
      </c>
      <c r="D80" s="38" t="s">
        <v>145</v>
      </c>
      <c r="F80" s="418">
        <f>'Attach 2'!H230</f>
        <v>28200</v>
      </c>
      <c r="H80" s="418">
        <f>H23</f>
        <v>109.0892213736786</v>
      </c>
      <c r="J80" s="80">
        <f>H80/F80 * 100</f>
        <v>0.38684121054495957</v>
      </c>
      <c r="O80" s="100"/>
    </row>
    <row r="81" spans="2:12" x14ac:dyDescent="0.2">
      <c r="D81" s="38"/>
      <c r="H81" s="415"/>
    </row>
    <row r="82" spans="2:12" ht="13.5" thickBot="1" x14ac:dyDescent="0.25">
      <c r="B82" s="494">
        <f>MAX($B$42:B81)+1</f>
        <v>18</v>
      </c>
      <c r="D82" s="223" t="s">
        <v>47</v>
      </c>
      <c r="H82" s="419">
        <f>H43+H46+H52+H59+H65+H68+H71+H74+H77+H80</f>
        <v>148822.20000896248</v>
      </c>
    </row>
    <row r="83" spans="2:12" ht="15" customHeight="1" thickTop="1" x14ac:dyDescent="0.2">
      <c r="E83" s="420"/>
      <c r="F83" s="420"/>
      <c r="G83" s="420"/>
      <c r="H83" s="420"/>
      <c r="I83" s="420"/>
      <c r="J83" s="420"/>
      <c r="K83" s="420"/>
      <c r="L83" s="420"/>
    </row>
    <row r="84" spans="2:12" x14ac:dyDescent="0.2">
      <c r="B84" s="95" t="s">
        <v>5</v>
      </c>
      <c r="E84" s="420"/>
      <c r="F84" s="420"/>
      <c r="G84" s="93"/>
      <c r="H84" s="93"/>
      <c r="I84" s="93"/>
      <c r="J84" s="93"/>
      <c r="K84" s="93"/>
      <c r="L84" s="93"/>
    </row>
    <row r="85" spans="2:12" x14ac:dyDescent="0.2">
      <c r="B85" s="96" t="s">
        <v>189</v>
      </c>
      <c r="D85" s="421" t="s">
        <v>675</v>
      </c>
    </row>
    <row r="86" spans="2:12" x14ac:dyDescent="0.2">
      <c r="B86" s="96" t="s">
        <v>190</v>
      </c>
      <c r="C86" s="404"/>
      <c r="D86" s="222" t="s">
        <v>809</v>
      </c>
    </row>
    <row r="87" spans="2:12" x14ac:dyDescent="0.2">
      <c r="D87" s="38"/>
    </row>
    <row r="88" spans="2:12" x14ac:dyDescent="0.2">
      <c r="D88" s="40"/>
    </row>
    <row r="89" spans="2:12" x14ac:dyDescent="0.2">
      <c r="D89" s="38"/>
    </row>
    <row r="90" spans="2:12" x14ac:dyDescent="0.2">
      <c r="D90" s="39"/>
      <c r="H90" s="415"/>
    </row>
    <row r="91" spans="2:12" x14ac:dyDescent="0.2">
      <c r="D91" s="39"/>
    </row>
    <row r="92" spans="2:12" x14ac:dyDescent="0.2">
      <c r="D92" s="39"/>
    </row>
    <row r="93" spans="2:12" x14ac:dyDescent="0.2">
      <c r="D93" s="39"/>
    </row>
    <row r="94" spans="2:12" x14ac:dyDescent="0.2">
      <c r="D94" s="38"/>
    </row>
    <row r="95" spans="2:12" x14ac:dyDescent="0.2">
      <c r="D95" s="40"/>
    </row>
    <row r="96" spans="2:12" x14ac:dyDescent="0.2">
      <c r="D96" s="38"/>
    </row>
    <row r="97" spans="4:4" x14ac:dyDescent="0.2">
      <c r="D97" s="38"/>
    </row>
    <row r="98" spans="4:4" x14ac:dyDescent="0.2">
      <c r="D98" s="38"/>
    </row>
    <row r="99" spans="4:4" x14ac:dyDescent="0.2">
      <c r="D99" s="40"/>
    </row>
    <row r="100" spans="4:4" x14ac:dyDescent="0.2">
      <c r="D100" s="40"/>
    </row>
    <row r="101" spans="4:4" x14ac:dyDescent="0.2">
      <c r="D101" s="40"/>
    </row>
    <row r="102" spans="4:4" x14ac:dyDescent="0.2">
      <c r="D102" s="43"/>
    </row>
    <row r="103" spans="4:4" x14ac:dyDescent="0.2">
      <c r="D103" s="38"/>
    </row>
    <row r="104" spans="4:4" x14ac:dyDescent="0.2">
      <c r="D104" s="38"/>
    </row>
    <row r="105" spans="4:4" x14ac:dyDescent="0.2">
      <c r="D105" s="38"/>
    </row>
    <row r="106" spans="4:4" x14ac:dyDescent="0.2">
      <c r="D106" s="38"/>
    </row>
    <row r="107" spans="4:4" x14ac:dyDescent="0.2">
      <c r="D107" s="38"/>
    </row>
    <row r="108" spans="4:4" x14ac:dyDescent="0.2">
      <c r="D108" s="39"/>
    </row>
    <row r="109" spans="4:4" x14ac:dyDescent="0.2">
      <c r="D109" s="39"/>
    </row>
    <row r="110" spans="4:4" x14ac:dyDescent="0.2">
      <c r="D110" s="39"/>
    </row>
    <row r="111" spans="4:4" x14ac:dyDescent="0.2">
      <c r="D111" s="38"/>
    </row>
    <row r="112" spans="4:4" x14ac:dyDescent="0.2">
      <c r="D112" s="38"/>
    </row>
    <row r="113" spans="4:4" x14ac:dyDescent="0.2">
      <c r="D113" s="38"/>
    </row>
    <row r="114" spans="4:4" x14ac:dyDescent="0.2">
      <c r="D114" s="38"/>
    </row>
    <row r="115" spans="4:4" x14ac:dyDescent="0.2">
      <c r="D115" s="38"/>
    </row>
    <row r="116" spans="4:4" x14ac:dyDescent="0.2">
      <c r="D116" s="38"/>
    </row>
    <row r="117" spans="4:4" x14ac:dyDescent="0.2">
      <c r="D117" s="38"/>
    </row>
    <row r="118" spans="4:4" x14ac:dyDescent="0.2">
      <c r="D118" s="40"/>
    </row>
    <row r="119" spans="4:4" x14ac:dyDescent="0.2">
      <c r="D119" s="38"/>
    </row>
    <row r="120" spans="4:4" x14ac:dyDescent="0.2">
      <c r="D120" s="39"/>
    </row>
    <row r="121" spans="4:4" x14ac:dyDescent="0.2">
      <c r="D121" s="39"/>
    </row>
    <row r="122" spans="4:4" x14ac:dyDescent="0.2">
      <c r="D122" s="51"/>
    </row>
    <row r="123" spans="4:4" x14ac:dyDescent="0.2">
      <c r="D123" s="51"/>
    </row>
    <row r="124" spans="4:4" x14ac:dyDescent="0.2">
      <c r="D124" s="51"/>
    </row>
    <row r="125" spans="4:4" x14ac:dyDescent="0.2">
      <c r="D125" s="51"/>
    </row>
    <row r="126" spans="4:4" x14ac:dyDescent="0.2">
      <c r="D126" s="38"/>
    </row>
    <row r="127" spans="4:4" x14ac:dyDescent="0.2">
      <c r="D127" s="39"/>
    </row>
    <row r="128" spans="4:4" x14ac:dyDescent="0.2">
      <c r="D128" s="39"/>
    </row>
    <row r="129" spans="4:4" x14ac:dyDescent="0.2">
      <c r="D129" s="38"/>
    </row>
    <row r="130" spans="4:4" x14ac:dyDescent="0.2">
      <c r="D130" s="38"/>
    </row>
    <row r="131" spans="4:4" x14ac:dyDescent="0.2">
      <c r="D131" s="40"/>
    </row>
    <row r="132" spans="4:4" x14ac:dyDescent="0.2">
      <c r="D132" s="38"/>
    </row>
  </sheetData>
  <mergeCells count="1">
    <mergeCell ref="C28:J28"/>
  </mergeCells>
  <pageMargins left="0.7" right="0.7" top="0.75" bottom="0.75" header="0.3" footer="0.3"/>
  <pageSetup scale="82" fitToHeight="0" orientation="portrait" horizontalDpi="1200" verticalDpi="1200" r:id="rId1"/>
  <headerFooter>
    <oddHeader>&amp;R&amp;"Arial,Regular"&amp;10Filed: 2022-11-30
EB-2022-0200
Exhibit 8
Tab 2
Schedule 9
Attachment 9
Page &amp;P of &amp;N</oddHeader>
  </headerFooter>
  <rowBreaks count="2" manualBreakCount="2">
    <brk id="28" max="16383" man="1"/>
    <brk id="100" min="1" max="1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A68BE8D2D1B4442B56E8613E5D4A5D4" ma:contentTypeVersion="33" ma:contentTypeDescription="Create a new document." ma:contentTypeScope="" ma:versionID="a07cfc4aab3fd55fa0dc04ce5b7f322b">
  <xsd:schema xmlns:xsd="http://www.w3.org/2001/XMLSchema" xmlns:xs="http://www.w3.org/2001/XMLSchema" xmlns:p="http://schemas.microsoft.com/office/2006/metadata/properties" xmlns:ns2="0e4c58a4-4156-4653-af30-d293e31e5ce5" targetNamespace="http://schemas.microsoft.com/office/2006/metadata/properties" ma:root="true" ma:fieldsID="cc70ccb65a024ed475904ee91dd1a689" ns2:_="">
    <xsd:import namespace="0e4c58a4-4156-4653-af30-d293e31e5ce5"/>
    <xsd:element name="properties">
      <xsd:complexType>
        <xsd:sequence>
          <xsd:element name="documentManagement">
            <xsd:complexType>
              <xsd:all>
                <xsd:element ref="ns2:Folder" minOccurs="0"/>
                <xsd:element ref="ns2:Phase" minOccurs="0"/>
                <xsd:element ref="ns2:Binder"/>
                <xsd:element ref="ns2:Status" minOccurs="0"/>
                <xsd:element ref="ns2:Witness" minOccurs="0"/>
                <xsd:element ref="ns2:Regulatory_x0020_Leads" minOccurs="0"/>
                <xsd:element ref="ns2:Version_x0020_Comments" minOccurs="0"/>
                <xsd:element ref="ns2:Legal_x0020_Team" minOccurs="0"/>
                <xsd:element ref="ns2:Attachment" minOccurs="0"/>
                <xsd:element ref="ns2:Exhibit_x002f_Tab_x002f_Schedule" minOccurs="0"/>
                <xsd:element ref="ns2:_x0031_st_x0020_draft_x0020_priority" minOccurs="0"/>
                <xsd:element ref="ns2:Reg_x002e__x0020_Review_x0020_Due_x0020_Date" minOccurs="0"/>
                <xsd:element ref="ns2:Energy_x0020_Services_x0020_View" minOccurs="0"/>
                <xsd:element ref="ns2:Finance_x0020_view" minOccurs="0"/>
                <xsd:element ref="ns2:_x0031_st_x0020_draft_x0020_ready_x0020_for_x0020_Regulatory" minOccurs="0"/>
                <xsd:element ref="ns2:_x0031_st_x0020_Draft_x0020_Evidence_x0020_Due" minOccurs="0"/>
                <xsd:element ref="ns2:Cust_x0020_Eng" minOccurs="0"/>
                <xsd:element ref="ns2:Customer_x0020_Care_x0020_View" minOccurs="0"/>
                <xsd:element ref="ns2:_x0031_st_x0020_Draft_x0020_SL_x0020_Review_x0020_Complete" minOccurs="0"/>
                <xsd:element ref="ns2:Accountable_x0020_Area" minOccurs="0"/>
                <xsd:element ref="ns2:Executive_x0020_Review" minOccurs="0"/>
                <xsd:element ref="ns2:Final_x0020_Draft_x0020_Due" minOccurs="0"/>
                <xsd:element ref="ns2:Formatting_x0020_Reqd" minOccurs="0"/>
                <xsd:element ref="ns2:Final_x0020_Draft_x0020_Ready_x0020_for_x0020_SL_x0020_Review" minOccurs="0"/>
                <xsd:element ref="ns2:Final_x0020_Draft_x0020_Reg_x002f_1st_x0020_Level_x0020_Review_x0020_Due_x0020_Date" minOccurs="0"/>
                <xsd:element ref="ns2:Legal_x0020_Handoff_x0020_Date" minOccurs="0"/>
                <xsd:element ref="ns2:Legal_x0020_Session_x0020_Date" minOccurs="0"/>
                <xsd:element ref="ns2:xewa" minOccurs="0"/>
                <xsd:element ref="ns2:TM_x0020_Sign_x0020_Off" minOccurs="0"/>
                <xsd:element ref="ns2:Reg_x002f_Formatting_x0020_Sign_x0020_Of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4c58a4-4156-4653-af30-d293e31e5ce5" elementFormDefault="qualified">
    <xsd:import namespace="http://schemas.microsoft.com/office/2006/documentManagement/types"/>
    <xsd:import namespace="http://schemas.microsoft.com/office/infopath/2007/PartnerControls"/>
    <xsd:element name="Folder" ma:index="8" nillable="true" ma:displayName="Folder" ma:format="Dropdown" ma:internalName="Folder">
      <xsd:simpleType>
        <xsd:restriction base="dms:Choice">
          <xsd:enumeration value="Assumptions"/>
          <xsd:enumeration value="Budget Support"/>
          <xsd:enumeration value="Prefiled Evidence"/>
          <xsd:enumeration value="Shared Documents"/>
          <xsd:enumeration value="Standards/Admin"/>
          <xsd:enumeration value="Regulatory"/>
          <xsd:enumeration value="Templates"/>
          <xsd:enumeration value="Financial Information"/>
        </xsd:restriction>
      </xsd:simpleType>
    </xsd:element>
    <xsd:element name="Phase" ma:index="9" nillable="true" ma:displayName="Phase" ma:format="Dropdown" ma:internalName="Phase">
      <xsd:simpleType>
        <xsd:restriction base="dms:Choice">
          <xsd:enumeration value="Phase 1"/>
          <xsd:enumeration value="Phase 2"/>
          <xsd:enumeration value="Phase 3"/>
        </xsd:restriction>
      </xsd:simpleType>
    </xsd:element>
    <xsd:element name="Binder" ma:index="10" ma:displayName="Exhibit" ma:decimals="0" ma:default="0" ma:internalName="Binder" ma:percentage="FALSE">
      <xsd:simpleType>
        <xsd:restriction base="dms:Number">
          <xsd:maxInclusive value="10"/>
          <xsd:minInclusive value="0"/>
        </xsd:restriction>
      </xsd:simpleType>
    </xsd:element>
    <xsd:element name="Status" ma:index="11" nillable="true" ma:displayName="Status" ma:default="Shell Created" ma:description="Status of Written Evidence" ma:format="Dropdown" ma:internalName="Status">
      <xsd:simpleType>
        <xsd:restriction base="dms:Choice">
          <xsd:enumeration value="Shell Created"/>
          <xsd:enumeration value="1st Draft in Progress"/>
          <xsd:enumeration value="1st Draft Ready for Regulatory Review"/>
          <xsd:enumeration value="Back to Functional Team for Review"/>
          <xsd:enumeration value="1st Draft Reg Review Complete"/>
          <xsd:enumeration value="1st Draft Ready for Senior Leadership Review"/>
          <xsd:enumeration value="1st Draft Senior Leadership Review Complete"/>
          <xsd:enumeration value="Final Draft In Progress"/>
          <xsd:enumeration value="Final Draft Ready for Reg Review"/>
          <xsd:enumeration value="Final Comments Being Addressed"/>
          <xsd:enumeration value="Final Hand Off to Regulatory"/>
          <xsd:enumeration value="Ready for Legal Review"/>
          <xsd:enumeration value="Legal Review Complete"/>
          <xsd:enumeration value="Ready for Executive Review"/>
          <xsd:enumeration value="Executive Review Complete"/>
          <xsd:enumeration value="Ready for Final"/>
          <xsd:enumeration value="Ready to PDF"/>
          <xsd:enumeration value="Final PDF"/>
          <xsd:enumeration value="On Hold"/>
        </xsd:restriction>
      </xsd:simpleType>
    </xsd:element>
    <xsd:element name="Witness" ma:index="12" nillable="true" ma:displayName="Witness" ma:list="UserInfo" ma:SearchPeopleOnly="false" ma:SharePointGroup="8" ma:internalName="Witnes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gulatory_x0020_Leads" ma:index="13" nillable="true" ma:displayName="Regulatory Team" ma:list="UserInfo" ma:SearchPeopleOnly="false" ma:SharePointGroup="8" ma:internalName="Regulatory_x0020_Lead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Version_x0020_Comments" ma:index="14" nillable="true" ma:displayName="Version Comments" ma:internalName="Version_x0020_Comments">
      <xsd:simpleType>
        <xsd:restriction base="dms:Text">
          <xsd:maxLength value="255"/>
        </xsd:restriction>
      </xsd:simpleType>
    </xsd:element>
    <xsd:element name="Legal_x0020_Team" ma:index="15" nillable="true" ma:displayName="Legal Team" ma:list="UserInfo" ma:SharePointGroup="8" ma:internalName="Legal_x0020_Team"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ttachment" ma:index="16" nillable="true" ma:displayName="Attachment" ma:internalName="Attachment">
      <xsd:simpleType>
        <xsd:restriction base="dms:Number"/>
      </xsd:simpleType>
    </xsd:element>
    <xsd:element name="Exhibit_x002f_Tab_x002f_Schedule" ma:index="17" nillable="true" ma:displayName="Exhibit/Tab/Schedule" ma:internalName="Exhibit_x002f_Tab_x002f_Schedule">
      <xsd:simpleType>
        <xsd:restriction base="dms:Text">
          <xsd:maxLength value="255"/>
        </xsd:restriction>
      </xsd:simpleType>
    </xsd:element>
    <xsd:element name="_x0031_st_x0020_draft_x0020_priority" ma:index="18" nillable="true" ma:displayName="Reg. 1st Draft Priority" ma:default="H" ma:format="Dropdown" ma:internalName="_x0031_st_x0020_draft_x0020_priority">
      <xsd:simpleType>
        <xsd:restriction base="dms:Choice">
          <xsd:enumeration value="H"/>
          <xsd:enumeration value="M"/>
          <xsd:enumeration value="L"/>
          <xsd:enumeration value="NA"/>
        </xsd:restriction>
      </xsd:simpleType>
    </xsd:element>
    <xsd:element name="Reg_x002e__x0020_Review_x0020_Due_x0020_Date" ma:index="19" nillable="true" ma:displayName="Reg. 1st Review Due Date" ma:format="DateOnly" ma:internalName="Reg_x002e__x0020_Review_x0020_Due_x0020_Date">
      <xsd:simpleType>
        <xsd:restriction base="dms:DateTime"/>
      </xsd:simpleType>
    </xsd:element>
    <xsd:element name="Energy_x0020_Services_x0020_View" ma:index="20" nillable="true" ma:displayName="Energy Services View" ma:default="No" ma:format="Dropdown" ma:internalName="Energy_x0020_Services_x0020_View">
      <xsd:simpleType>
        <xsd:restriction base="dms:Choice">
          <xsd:enumeration value="No"/>
          <xsd:enumeration value="Yes"/>
        </xsd:restriction>
      </xsd:simpleType>
    </xsd:element>
    <xsd:element name="Finance_x0020_view" ma:index="21" nillable="true" ma:displayName="Finance view" ma:default="No" ma:format="Dropdown" ma:internalName="Finance_x0020_view">
      <xsd:simpleType>
        <xsd:restriction base="dms:Choice">
          <xsd:enumeration value="No"/>
          <xsd:enumeration value="Yes"/>
        </xsd:restriction>
      </xsd:simpleType>
    </xsd:element>
    <xsd:element name="_x0031_st_x0020_draft_x0020_ready_x0020_for_x0020_Regulatory" ma:index="22" nillable="true" ma:displayName="1st Draft Ready For Regulatory" ma:format="DateOnly" ma:internalName="_x0031_st_x0020_draft_x0020_ready_x0020_for_x0020_Regulatory">
      <xsd:simpleType>
        <xsd:restriction base="dms:DateTime"/>
      </xsd:simpleType>
    </xsd:element>
    <xsd:element name="_x0031_st_x0020_Draft_x0020_Evidence_x0020_Due" ma:index="23" nillable="true" ma:displayName="1st Draft Evidence Due" ma:format="DateOnly" ma:internalName="_x0031_st_x0020_Draft_x0020_Evidence_x0020_Due">
      <xsd:simpleType>
        <xsd:restriction base="dms:DateTime"/>
      </xsd:simpleType>
    </xsd:element>
    <xsd:element name="Cust_x0020_Eng" ma:index="24" nillable="true" ma:displayName="Cust Eng" ma:format="Dropdown" ma:internalName="Cust_x0020_Eng">
      <xsd:simpleType>
        <xsd:restriction base="dms:Choice">
          <xsd:enumeration value="Yes"/>
          <xsd:enumeration value="No"/>
        </xsd:restriction>
      </xsd:simpleType>
    </xsd:element>
    <xsd:element name="Customer_x0020_Care_x0020_View" ma:index="25" nillable="true" ma:displayName="Customer Care View" ma:default="No" ma:format="Dropdown" ma:internalName="Customer_x0020_Care_x0020_View">
      <xsd:simpleType>
        <xsd:restriction base="dms:Choice">
          <xsd:enumeration value="No"/>
          <xsd:enumeration value="Yes"/>
        </xsd:restriction>
      </xsd:simpleType>
    </xsd:element>
    <xsd:element name="_x0031_st_x0020_Draft_x0020_SL_x0020_Review_x0020_Complete" ma:index="26" nillable="true" ma:displayName="1st Draft SL Review Complete" ma:format="DateOnly" ma:internalName="_x0031_st_x0020_Draft_x0020_SL_x0020_Review_x0020_Complete">
      <xsd:simpleType>
        <xsd:restriction base="dms:DateTime"/>
      </xsd:simpleType>
    </xsd:element>
    <xsd:element name="Accountable_x0020_Area" ma:index="27" nillable="true" ma:displayName="Accountable Area" ma:default="BD&amp;R" ma:format="Dropdown" ma:internalName="Accountable_x0020_Area">
      <xsd:simpleType>
        <xsd:restriction base="dms:Choice">
          <xsd:enumeration value="BD&amp;R"/>
          <xsd:enumeration value="Customer Care"/>
          <xsd:enumeration value="Energy Services"/>
          <xsd:enumeration value="Finance"/>
          <xsd:enumeration value="HR"/>
          <xsd:enumeration value="Operations"/>
          <xsd:enumeration value="Eng &amp; STO"/>
          <xsd:enumeration value="TIS"/>
        </xsd:restriction>
      </xsd:simpleType>
    </xsd:element>
    <xsd:element name="Executive_x0020_Review" ma:index="28" nillable="true" ma:displayName="Executive Review" ma:default="0" ma:internalName="Executive_x0020_Review">
      <xsd:simpleType>
        <xsd:restriction base="dms:Boolean"/>
      </xsd:simpleType>
    </xsd:element>
    <xsd:element name="Final_x0020_Draft_x0020_Due" ma:index="29" nillable="true" ma:displayName="Final Draft Due" ma:format="DateOnly" ma:internalName="Final_x0020_Draft_x0020_Due">
      <xsd:simpleType>
        <xsd:restriction base="dms:DateTime"/>
      </xsd:simpleType>
    </xsd:element>
    <xsd:element name="Formatting_x0020_Reqd" ma:index="30" nillable="true" ma:displayName="Formatting Reqd" ma:default="0" ma:internalName="Formatting_x0020_Reqd">
      <xsd:simpleType>
        <xsd:restriction base="dms:Boolean"/>
      </xsd:simpleType>
    </xsd:element>
    <xsd:element name="Final_x0020_Draft_x0020_Ready_x0020_for_x0020_SL_x0020_Review" ma:index="31" nillable="true" ma:displayName="Final Draft Ready for SL Review" ma:default="0" ma:description="Trigger to appear in Reg Leadership and Malini view" ma:internalName="Final_x0020_Draft_x0020_Ready_x0020_for_x0020_SL_x0020_Review">
      <xsd:simpleType>
        <xsd:restriction base="dms:Boolean"/>
      </xsd:simpleType>
    </xsd:element>
    <xsd:element name="Final_x0020_Draft_x0020_Reg_x002f_1st_x0020_Level_x0020_Review_x0020_Due_x0020_Date" ma:index="32" nillable="true" ma:displayName="Reg. Final Draft Review Due" ma:format="DateOnly" ma:internalName="Final_x0020_Draft_x0020_Reg_x002f_1st_x0020_Level_x0020_Review_x0020_Due_x0020_Date">
      <xsd:simpleType>
        <xsd:restriction base="dms:DateTime"/>
      </xsd:simpleType>
    </xsd:element>
    <xsd:element name="Legal_x0020_Handoff_x0020_Date" ma:index="33" nillable="true" ma:displayName="Legal Handoff Date" ma:format="DateOnly" ma:internalName="Legal_x0020_Handoff_x0020_Date">
      <xsd:simpleType>
        <xsd:restriction base="dms:DateTime"/>
      </xsd:simpleType>
    </xsd:element>
    <xsd:element name="Legal_x0020_Session_x0020_Date" ma:index="34" nillable="true" ma:displayName="Legal Session Date" ma:format="DateOnly" ma:internalName="Legal_x0020_Session_x0020_Date">
      <xsd:simpleType>
        <xsd:restriction base="dms:DateTime"/>
      </xsd:simpleType>
    </xsd:element>
    <xsd:element name="xewa" ma:index="35" nillable="true" ma:displayName="Legal Comments Addressed" ma:format="DateOnly" ma:internalName="xewa">
      <xsd:simpleType>
        <xsd:restriction base="dms:DateTime"/>
      </xsd:simpleType>
    </xsd:element>
    <xsd:element name="TM_x0020_Sign_x0020_Off" ma:index="36" nillable="true" ma:displayName="TM Sign Off" ma:format="DateOnly" ma:internalName="TM_x0020_Sign_x0020_Off">
      <xsd:simpleType>
        <xsd:restriction base="dms:DateTime"/>
      </xsd:simpleType>
    </xsd:element>
    <xsd:element name="Reg_x002f_Formatting_x0020_Sign_x0020_Off" ma:index="37" nillable="true" ma:displayName="Reg/Formatting Sign Off" ma:format="DateOnly" ma:internalName="Reg_x002f_Formatting_x0020_Sign_x0020_Off">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14ab40f3-767a-43a9-8b62-265d64c54f3b"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x0031_st_x0020_draft_x0020_priority xmlns="0e4c58a4-4156-4653-af30-d293e31e5ce5">H</_x0031_st_x0020_draft_x0020_priority>
    <Final_x0020_Draft_x0020_Ready_x0020_for_x0020_SL_x0020_Review xmlns="0e4c58a4-4156-4653-af30-d293e31e5ce5">false</Final_x0020_Draft_x0020_Ready_x0020_for_x0020_SL_x0020_Review>
    <Reg_x002e__x0020_Review_x0020_Due_x0020_Date xmlns="0e4c58a4-4156-4653-af30-d293e31e5ce5" xsi:nil="true"/>
    <Finance_x0020_view xmlns="0e4c58a4-4156-4653-af30-d293e31e5ce5">No</Finance_x0020_view>
    <Accountable_x0020_Area xmlns="0e4c58a4-4156-4653-af30-d293e31e5ce5">BD&amp;R</Accountable_x0020_Area>
    <Formatting_x0020_Reqd xmlns="0e4c58a4-4156-4653-af30-d293e31e5ce5">false</Formatting_x0020_Reqd>
    <Status xmlns="0e4c58a4-4156-4653-af30-d293e31e5ce5">Shell Created</Status>
    <Customer_x0020_Care_x0020_View xmlns="0e4c58a4-4156-4653-af30-d293e31e5ce5">No</Customer_x0020_Care_x0020_View>
    <Energy_x0020_Services_x0020_View xmlns="0e4c58a4-4156-4653-af30-d293e31e5ce5">No</Energy_x0020_Services_x0020_View>
    <Regulatory_x0020_Leads xmlns="0e4c58a4-4156-4653-af30-d293e31e5ce5">
      <UserInfo>
        <DisplayName/>
        <AccountId xsi:nil="true"/>
        <AccountType/>
      </UserInfo>
    </Regulatory_x0020_Leads>
    <Final_x0020_Draft_x0020_Due xmlns="0e4c58a4-4156-4653-af30-d293e31e5ce5" xsi:nil="true"/>
    <Legal_x0020_Handoff_x0020_Date xmlns="0e4c58a4-4156-4653-af30-d293e31e5ce5" xsi:nil="true"/>
    <Exhibit_x002f_Tab_x002f_Schedule xmlns="0e4c58a4-4156-4653-af30-d293e31e5ce5" xsi:nil="true"/>
    <_x0031_st_x0020_Draft_x0020_SL_x0020_Review_x0020_Complete xmlns="0e4c58a4-4156-4653-af30-d293e31e5ce5" xsi:nil="true"/>
    <Binder xmlns="0e4c58a4-4156-4653-af30-d293e31e5ce5">0</Binder>
    <Attachment xmlns="0e4c58a4-4156-4653-af30-d293e31e5ce5" xsi:nil="true"/>
    <Final_x0020_Draft_x0020_Reg_x002f_1st_x0020_Level_x0020_Review_x0020_Due_x0020_Date xmlns="0e4c58a4-4156-4653-af30-d293e31e5ce5" xsi:nil="true"/>
    <Phase xmlns="0e4c58a4-4156-4653-af30-d293e31e5ce5" xsi:nil="true"/>
    <Version_x0020_Comments xmlns="0e4c58a4-4156-4653-af30-d293e31e5ce5" xsi:nil="true"/>
    <Executive_x0020_Review xmlns="0e4c58a4-4156-4653-af30-d293e31e5ce5">false</Executive_x0020_Review>
    <Legal_x0020_Session_x0020_Date xmlns="0e4c58a4-4156-4653-af30-d293e31e5ce5" xsi:nil="true"/>
    <TM_x0020_Sign_x0020_Off xmlns="0e4c58a4-4156-4653-af30-d293e31e5ce5" xsi:nil="true"/>
    <xewa xmlns="0e4c58a4-4156-4653-af30-d293e31e5ce5" xsi:nil="true"/>
    <Legal_x0020_Team xmlns="0e4c58a4-4156-4653-af30-d293e31e5ce5">
      <UserInfo>
        <DisplayName/>
        <AccountId xsi:nil="true"/>
        <AccountType/>
      </UserInfo>
    </Legal_x0020_Team>
    <Witness xmlns="0e4c58a4-4156-4653-af30-d293e31e5ce5">
      <UserInfo>
        <DisplayName/>
        <AccountId xsi:nil="true"/>
        <AccountType/>
      </UserInfo>
    </Witness>
    <Folder xmlns="0e4c58a4-4156-4653-af30-d293e31e5ce5" xsi:nil="true"/>
    <_x0031_st_x0020_Draft_x0020_Evidence_x0020_Due xmlns="0e4c58a4-4156-4653-af30-d293e31e5ce5" xsi:nil="true"/>
    <Cust_x0020_Eng xmlns="0e4c58a4-4156-4653-af30-d293e31e5ce5" xsi:nil="true"/>
    <Reg_x002f_Formatting_x0020_Sign_x0020_Off xmlns="0e4c58a4-4156-4653-af30-d293e31e5ce5" xsi:nil="true"/>
    <_x0031_st_x0020_draft_x0020_ready_x0020_for_x0020_Regulatory xmlns="0e4c58a4-4156-4653-af30-d293e31e5ce5" xsi:nil="true"/>
  </documentManagement>
</p:properties>
</file>

<file path=customXml/itemProps1.xml><?xml version="1.0" encoding="utf-8"?>
<ds:datastoreItem xmlns:ds="http://schemas.openxmlformats.org/officeDocument/2006/customXml" ds:itemID="{3DC9CCDB-AD27-4DAF-B286-7F142B80196D}"/>
</file>

<file path=customXml/itemProps2.xml><?xml version="1.0" encoding="utf-8"?>
<ds:datastoreItem xmlns:ds="http://schemas.openxmlformats.org/officeDocument/2006/customXml" ds:itemID="{FAF89224-D3D1-4FBA-A4DA-DC05F9A15E81}"/>
</file>

<file path=customXml/itemProps3.xml><?xml version="1.0" encoding="utf-8"?>
<ds:datastoreItem xmlns:ds="http://schemas.openxmlformats.org/officeDocument/2006/customXml" ds:itemID="{1E5648D3-0C72-4FD5-9F86-3CC8A4DC8FD6}"/>
</file>

<file path=customXml/itemProps4.xml><?xml version="1.0" encoding="utf-8"?>
<ds:datastoreItem xmlns:ds="http://schemas.openxmlformats.org/officeDocument/2006/customXml" ds:itemID="{4B004BC0-40DF-4F87-B080-E61270552E2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19</vt:i4>
      </vt:variant>
    </vt:vector>
  </HeadingPairs>
  <TitlesOfParts>
    <vt:vector size="39" baseType="lpstr">
      <vt:lpstr>Attach 1</vt:lpstr>
      <vt:lpstr>Attach 2</vt:lpstr>
      <vt:lpstr>Attach 3</vt:lpstr>
      <vt:lpstr>Attach 4</vt:lpstr>
      <vt:lpstr>Attach 5</vt:lpstr>
      <vt:lpstr>Attach 6</vt:lpstr>
      <vt:lpstr>Attach 7</vt:lpstr>
      <vt:lpstr>Attach 8</vt:lpstr>
      <vt:lpstr>Attach 9</vt:lpstr>
      <vt:lpstr>Attach 10 p.1-4</vt:lpstr>
      <vt:lpstr>Attach 10 p.5-6</vt:lpstr>
      <vt:lpstr>Attach 10 p.7-9</vt:lpstr>
      <vt:lpstr>Attach 11</vt:lpstr>
      <vt:lpstr>Attach 12 p.1-2</vt:lpstr>
      <vt:lpstr>Attach 12 p.3</vt:lpstr>
      <vt:lpstr>Attach 13</vt:lpstr>
      <vt:lpstr>Attach 14</vt:lpstr>
      <vt:lpstr>Attach 15</vt:lpstr>
      <vt:lpstr>Attach 16</vt:lpstr>
      <vt:lpstr>Attach 17</vt:lpstr>
      <vt:lpstr>'Attach 1'!Print_Area</vt:lpstr>
      <vt:lpstr>'Attach 10 p.1-4'!Print_Area</vt:lpstr>
      <vt:lpstr>'Attach 10 p.5-6'!Print_Area</vt:lpstr>
      <vt:lpstr>'Attach 11'!Print_Area</vt:lpstr>
      <vt:lpstr>'Attach 12 p.1-2'!Print_Area</vt:lpstr>
      <vt:lpstr>'Attach 12 p.3'!Print_Area</vt:lpstr>
      <vt:lpstr>'Attach 13'!Print_Area</vt:lpstr>
      <vt:lpstr>'Attach 14'!Print_Area</vt:lpstr>
      <vt:lpstr>'Attach 15'!Print_Area</vt:lpstr>
      <vt:lpstr>'Attach 16'!Print_Area</vt:lpstr>
      <vt:lpstr>'Attach 17'!Print_Area</vt:lpstr>
      <vt:lpstr>'Attach 2'!Print_Area</vt:lpstr>
      <vt:lpstr>'Attach 3'!Print_Area</vt:lpstr>
      <vt:lpstr>'Attach 4'!Print_Area</vt:lpstr>
      <vt:lpstr>'Attach 5'!Print_Area</vt:lpstr>
      <vt:lpstr>'Attach 6'!Print_Area</vt:lpstr>
      <vt:lpstr>'Attach 7'!Print_Area</vt:lpstr>
      <vt:lpstr>'Attach 8'!Print_Area</vt:lpstr>
      <vt:lpstr>'Attach 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cp:lastModifiedBy/>
  <dcterms:modified xsi:type="dcterms:W3CDTF">2022-11-29T20:23:36Z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1a6f161-e42b-4c47-8f69-f6a81e023e2d_Enabled">
    <vt:lpwstr>true</vt:lpwstr>
  </property>
  <property fmtid="{D5CDD505-2E9C-101B-9397-08002B2CF9AE}" pid="3" name="MSIP_Label_b1a6f161-e42b-4c47-8f69-f6a81e023e2d_SetDate">
    <vt:lpwstr>2022-11-29T20:23:34Z</vt:lpwstr>
  </property>
  <property fmtid="{D5CDD505-2E9C-101B-9397-08002B2CF9AE}" pid="4" name="MSIP_Label_b1a6f161-e42b-4c47-8f69-f6a81e023e2d_Method">
    <vt:lpwstr>Standard</vt:lpwstr>
  </property>
  <property fmtid="{D5CDD505-2E9C-101B-9397-08002B2CF9AE}" pid="5" name="MSIP_Label_b1a6f161-e42b-4c47-8f69-f6a81e023e2d_Name">
    <vt:lpwstr>b1a6f161-e42b-4c47-8f69-f6a81e023e2d</vt:lpwstr>
  </property>
  <property fmtid="{D5CDD505-2E9C-101B-9397-08002B2CF9AE}" pid="6" name="MSIP_Label_b1a6f161-e42b-4c47-8f69-f6a81e023e2d_SiteId">
    <vt:lpwstr>271df5c2-953a-497b-93ad-7adf7a4b3cd7</vt:lpwstr>
  </property>
  <property fmtid="{D5CDD505-2E9C-101B-9397-08002B2CF9AE}" pid="7" name="MSIP_Label_b1a6f161-e42b-4c47-8f69-f6a81e023e2d_ActionId">
    <vt:lpwstr>ccc106ed-3b3c-4550-b916-d9d5f34718db</vt:lpwstr>
  </property>
  <property fmtid="{D5CDD505-2E9C-101B-9397-08002B2CF9AE}" pid="8" name="MSIP_Label_b1a6f161-e42b-4c47-8f69-f6a81e023e2d_ContentBits">
    <vt:lpwstr>0</vt:lpwstr>
  </property>
  <property fmtid="{D5CDD505-2E9C-101B-9397-08002B2CF9AE}" pid="9" name="ContentTypeId">
    <vt:lpwstr>0x010100BA68BE8D2D1B4442B56E8613E5D4A5D4</vt:lpwstr>
  </property>
</Properties>
</file>