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3 Electricity Rates\IRM\IRM Applications\Price Cap IR\Oshawa PUC\Interrogatories\follow up\"/>
    </mc:Choice>
  </mc:AlternateContent>
  <xr:revisionPtr revIDLastSave="0" documentId="8_{183147B3-B1EC-43C1-9AE0-06E92B9638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 Balances by Rate Cla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AB5" i="1"/>
  <c r="AB6" i="1"/>
  <c r="AB7" i="1"/>
  <c r="AB8" i="1"/>
  <c r="AB9" i="1"/>
  <c r="AB4" i="1"/>
  <c r="Q13" i="1" l="1"/>
  <c r="Q16" i="1" l="1"/>
  <c r="AA5" i="1"/>
  <c r="AA6" i="1"/>
  <c r="AA7" i="1"/>
  <c r="AA8" i="1"/>
  <c r="AA9" i="1"/>
  <c r="AA10" i="1"/>
  <c r="AA11" i="1"/>
  <c r="AA4" i="1"/>
  <c r="V12" i="1"/>
  <c r="W12" i="1"/>
  <c r="X12" i="1"/>
  <c r="U12" i="1"/>
  <c r="AA12" i="1" l="1"/>
  <c r="N15" i="1" l="1"/>
  <c r="D15" i="1"/>
  <c r="B15" i="1"/>
  <c r="M11" i="1"/>
  <c r="H11" i="1"/>
  <c r="G11" i="1"/>
  <c r="E11" i="1"/>
  <c r="C11" i="1"/>
  <c r="I10" i="1"/>
  <c r="D10" i="1"/>
  <c r="K10" i="1" s="1"/>
  <c r="B10" i="1"/>
  <c r="J10" i="1" s="1"/>
  <c r="I9" i="1"/>
  <c r="D9" i="1"/>
  <c r="K9" i="1" s="1"/>
  <c r="B9" i="1"/>
  <c r="F9" i="1" s="1"/>
  <c r="I8" i="1"/>
  <c r="D8" i="1"/>
  <c r="K8" i="1" s="1"/>
  <c r="B8" i="1"/>
  <c r="J8" i="1" s="1"/>
  <c r="I7" i="1"/>
  <c r="D7" i="1"/>
  <c r="K7" i="1" s="1"/>
  <c r="B7" i="1"/>
  <c r="J7" i="1" s="1"/>
  <c r="I6" i="1"/>
  <c r="D6" i="1"/>
  <c r="K6" i="1" s="1"/>
  <c r="B6" i="1"/>
  <c r="J6" i="1" s="1"/>
  <c r="I5" i="1"/>
  <c r="D5" i="1"/>
  <c r="K5" i="1" s="1"/>
  <c r="B5" i="1"/>
  <c r="F5" i="1" s="1"/>
  <c r="I4" i="1"/>
  <c r="D4" i="1"/>
  <c r="B4" i="1"/>
  <c r="J4" i="1" s="1"/>
  <c r="L7" i="1" l="1"/>
  <c r="N7" i="1" s="1"/>
  <c r="P8" i="1"/>
  <c r="Q8" i="1" s="1"/>
  <c r="P6" i="1"/>
  <c r="Q6" i="1" s="1"/>
  <c r="P10" i="1"/>
  <c r="Q10" i="1" s="1"/>
  <c r="J5" i="1"/>
  <c r="K13" i="1"/>
  <c r="P5" i="1"/>
  <c r="Q5" i="1" s="1"/>
  <c r="P7" i="1"/>
  <c r="Q7" i="1" s="1"/>
  <c r="L5" i="1"/>
  <c r="N5" i="1" s="1"/>
  <c r="L6" i="1"/>
  <c r="N6" i="1" s="1"/>
  <c r="J9" i="1"/>
  <c r="L9" i="1" s="1"/>
  <c r="N9" i="1" s="1"/>
  <c r="F4" i="1"/>
  <c r="L10" i="1"/>
  <c r="N10" i="1" s="1"/>
  <c r="F8" i="1"/>
  <c r="I11" i="1"/>
  <c r="D11" i="1"/>
  <c r="L8" i="1"/>
  <c r="N8" i="1" s="1"/>
  <c r="K4" i="1"/>
  <c r="F10" i="1"/>
  <c r="F7" i="1"/>
  <c r="F6" i="1"/>
  <c r="B11" i="1"/>
  <c r="J11" i="1" l="1"/>
  <c r="P9" i="1"/>
  <c r="Q9" i="1" s="1"/>
  <c r="L4" i="1"/>
  <c r="N4" i="1" s="1"/>
  <c r="N11" i="1" s="1"/>
  <c r="P4" i="1"/>
  <c r="P11" i="1" s="1"/>
  <c r="Q14" i="1" s="1"/>
  <c r="K11" i="1"/>
  <c r="K14" i="1"/>
  <c r="K15" i="1" s="1"/>
  <c r="F11" i="1"/>
  <c r="L11" i="1"/>
  <c r="Q4" i="1" l="1"/>
  <c r="Q11" i="1" l="1"/>
  <c r="Q15" i="1"/>
  <c r="Q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Lori Filion:</t>
        </r>
        <r>
          <rPr>
            <sz val="9"/>
            <color indexed="81"/>
            <rFont val="Tahoma"/>
            <family val="2"/>
          </rPr>
          <t xml:space="preserve">
Remaining balance kW rate classes (excluding carrying charges on remaining balance).</t>
        </r>
      </text>
    </comment>
    <comment ref="K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Lori Filion:</t>
        </r>
        <r>
          <rPr>
            <sz val="9"/>
            <color indexed="81"/>
            <rFont val="Tahoma"/>
            <family val="2"/>
          </rPr>
          <t xml:space="preserve">
Remaining balance kWh rate classes (excluding carrying charges on remaining balance).</t>
        </r>
      </text>
    </comment>
  </commentList>
</comments>
</file>

<file path=xl/sharedStrings.xml><?xml version="1.0" encoding="utf-8"?>
<sst xmlns="http://schemas.openxmlformats.org/spreadsheetml/2006/main" count="75" uniqueCount="57">
  <si>
    <t>Deferral Approved Disposition</t>
  </si>
  <si>
    <t>GA Approved Disposition</t>
  </si>
  <si>
    <t>Refunds</t>
  </si>
  <si>
    <t>Rate Class</t>
  </si>
  <si>
    <t>Principal</t>
  </si>
  <si>
    <t>Interest</t>
  </si>
  <si>
    <t>Total Disposition</t>
  </si>
  <si>
    <t>Def Refunds</t>
  </si>
  <si>
    <t>GA Refunds</t>
  </si>
  <si>
    <t>Total Refunds</t>
  </si>
  <si>
    <t>Rem bal Def Disp</t>
  </si>
  <si>
    <t>Rem bal GA</t>
  </si>
  <si>
    <t>Total Rem bal</t>
  </si>
  <si>
    <t>Interest on Rem bal</t>
  </si>
  <si>
    <t>Total 2018 Balances</t>
  </si>
  <si>
    <t>GS &gt; 5000</t>
  </si>
  <si>
    <t>GS 1000 - 4999</t>
  </si>
  <si>
    <t>GS 50 - 999</t>
  </si>
  <si>
    <t>GS&lt;50</t>
  </si>
  <si>
    <t>Residential</t>
  </si>
  <si>
    <t>Street Lights</t>
  </si>
  <si>
    <t>Unmetered</t>
  </si>
  <si>
    <t>Principal Disp</t>
  </si>
  <si>
    <t>Total Principal</t>
  </si>
  <si>
    <t>Interest Disp</t>
  </si>
  <si>
    <t>Total Interest</t>
  </si>
  <si>
    <t>Total Disp</t>
  </si>
  <si>
    <t>kW Rate Classes - Rate Rider per kW in error</t>
  </si>
  <si>
    <t>Amount to be returned to all customers (including interest)</t>
  </si>
  <si>
    <t>Unit</t>
  </si>
  <si>
    <t>RESIDENTIAL SERVICE CLASSIFICATION</t>
  </si>
  <si>
    <t>kWh</t>
  </si>
  <si>
    <t>GENERAL SERVICE LESS THAN 50 KW SERVICE CLASSIFICATION</t>
  </si>
  <si>
    <t>GENERAL SERVICE 50 TO 999 KW SERVICE CLASSIFICATION</t>
  </si>
  <si>
    <t>kW</t>
  </si>
  <si>
    <t>GENERAL SERVICE 1,000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</si>
  <si>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</si>
  <si>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</si>
  <si>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</si>
  <si>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</si>
  <si>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Total</t>
  </si>
  <si>
    <r>
      <t xml:space="preserve">Total Metered </t>
    </r>
    <r>
      <rPr>
        <b/>
        <sz val="8"/>
        <color rgb="FFFF0000"/>
        <rFont val="Arial"/>
        <family val="2"/>
      </rPr>
      <t>kWh</t>
    </r>
  </si>
  <si>
    <r>
      <t xml:space="preserve">Total Metered </t>
    </r>
    <r>
      <rPr>
        <b/>
        <sz val="8"/>
        <color rgb="FFFF0000"/>
        <rFont val="Arial"/>
        <family val="2"/>
      </rPr>
      <t>kW</t>
    </r>
  </si>
  <si>
    <r>
      <t xml:space="preserve">Metered </t>
    </r>
    <r>
      <rPr>
        <b/>
        <sz val="8"/>
        <color rgb="FFFF0000"/>
        <rFont val="Arial"/>
        <family val="2"/>
      </rPr>
      <t>kWh</t>
    </r>
    <r>
      <rPr>
        <b/>
        <sz val="8"/>
        <rFont val="Arial"/>
        <family val="2"/>
      </rPr>
      <t xml:space="preserve"> for Non-RPP Customers (excluding WMP)</t>
    </r>
  </si>
  <si>
    <r>
      <t xml:space="preserve">Metered </t>
    </r>
    <r>
      <rPr>
        <b/>
        <sz val="8"/>
        <color rgb="FFFF0000"/>
        <rFont val="Arial"/>
        <family val="2"/>
      </rPr>
      <t>kW</t>
    </r>
    <r>
      <rPr>
        <b/>
        <sz val="8"/>
        <rFont val="Arial"/>
        <family val="2"/>
      </rPr>
      <t xml:space="preserve"> for Non-RPP Customers (excluding WMP)</t>
    </r>
  </si>
  <si>
    <t>Non-RPPRate Rider for 24 months</t>
  </si>
  <si>
    <t>(This amount should be represented in the total claim column of the continuity schedule - 1595(2018))</t>
  </si>
  <si>
    <t>1595 Recovery Proportion (2018) from IRM model</t>
  </si>
  <si>
    <t>GA Balance Allocated to Non-RPP ONLY</t>
  </si>
  <si>
    <t>n/a</t>
  </si>
  <si>
    <t>Check with cell N11</t>
  </si>
  <si>
    <t>Difference</t>
  </si>
  <si>
    <t>Interest on "Rem Bal GA"
 (Col K) based on Col M</t>
  </si>
  <si>
    <t>Rem bal GA + Interest (col P)</t>
  </si>
  <si>
    <t>GA Amount to be returned to all non-RPP Customers (including interest)</t>
  </si>
  <si>
    <t>(This amount should equal the variance on the continuity schedule. Rate riders are calculated in column AB and should be placed into Sheet 18 of IRM model)</t>
  </si>
  <si>
    <t>After Follow up Irs, the amount to be returned to all customers (including interest) was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</si>
</sst>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"/>
    <numFmt numFmtId="165" formatCode="_-&quot;$&quot;* #,##0.00_-;\-&quot;$&quot;* #,##0.00_-;_-&quot;$&quot;* &quot;-&quot;??_-;_-@_-"/>
    <numFmt numFmtId="166" formatCode="&quot;$&quot;#,##0.00"/>
    <numFmt numFmtId="167" formatCode="[$$-409]#,##0.00_);\([$$-409]#,##0.00\)"/>
    <numFmt numFmtId="168" formatCode="#,##0;[Red]\(#,##0\)"/>
    <numFmt numFmtId="169" formatCode="[$$-409]#,##0.0000_);\([$$-409]#,##0.0000\)"/>
    <numFmt numFmtId="170" formatCode="_ #,##0;[Red]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2" fillId="0" borderId="0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6" fontId="0" fillId="0" borderId="7" xfId="0" applyNumberFormat="1" applyBorder="1"/>
    <xf numFmtId="166" fontId="0" fillId="0" borderId="0" xfId="0" applyNumberFormat="1" applyBorder="1"/>
    <xf numFmtId="166" fontId="0" fillId="0" borderId="8" xfId="0" applyNumberFormat="1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0" applyNumberFormat="1" applyBorder="1"/>
    <xf numFmtId="166" fontId="0" fillId="0" borderId="9" xfId="0" applyNumberFormat="1" applyBorder="1"/>
    <xf numFmtId="166" fontId="0" fillId="0" borderId="0" xfId="0" applyNumberFormat="1"/>
    <xf numFmtId="0" fontId="0" fillId="2" borderId="0" xfId="0" applyFill="1"/>
    <xf numFmtId="166" fontId="0" fillId="2" borderId="7" xfId="0" applyNumberFormat="1" applyFill="1" applyBorder="1"/>
    <xf numFmtId="166" fontId="0" fillId="2" borderId="0" xfId="0" applyNumberFormat="1" applyFill="1" applyBorder="1"/>
    <xf numFmtId="166" fontId="0" fillId="2" borderId="8" xfId="0" applyNumberFormat="1" applyFill="1" applyBorder="1"/>
    <xf numFmtId="164" fontId="0" fillId="2" borderId="7" xfId="1" applyNumberFormat="1" applyFont="1" applyFill="1" applyBorder="1"/>
    <xf numFmtId="164" fontId="0" fillId="2" borderId="0" xfId="1" applyNumberFormat="1" applyFont="1" applyFill="1" applyBorder="1"/>
    <xf numFmtId="164" fontId="0" fillId="2" borderId="8" xfId="0" applyNumberFormat="1" applyFill="1" applyBorder="1"/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 applyFill="1" applyBorder="1"/>
    <xf numFmtId="166" fontId="0" fillId="0" borderId="10" xfId="0" applyNumberFormat="1" applyBorder="1"/>
    <xf numFmtId="0" fontId="3" fillId="2" borderId="0" xfId="0" applyFont="1" applyFill="1"/>
    <xf numFmtId="166" fontId="0" fillId="2" borderId="0" xfId="0" applyNumberFormat="1" applyFill="1"/>
    <xf numFmtId="10" fontId="0" fillId="0" borderId="0" xfId="2" applyNumberFormat="1" applyFont="1"/>
    <xf numFmtId="165" fontId="0" fillId="0" borderId="0" xfId="1" applyFont="1"/>
    <xf numFmtId="167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7" fontId="0" fillId="3" borderId="0" xfId="0" applyNumberFormat="1" applyFill="1" applyAlignment="1">
      <alignment vertical="center"/>
    </xf>
    <xf numFmtId="167" fontId="0" fillId="3" borderId="4" xfId="0" applyNumberFormat="1" applyFill="1" applyBorder="1" applyAlignment="1">
      <alignment vertical="center"/>
    </xf>
    <xf numFmtId="167" fontId="2" fillId="3" borderId="0" xfId="0" applyNumberFormat="1" applyFont="1" applyFill="1"/>
    <xf numFmtId="166" fontId="2" fillId="3" borderId="10" xfId="0" applyNumberFormat="1" applyFont="1" applyFill="1" applyBorder="1"/>
    <xf numFmtId="0" fontId="6" fillId="4" borderId="0" xfId="0" applyFont="1" applyFill="1" applyAlignment="1"/>
    <xf numFmtId="0" fontId="6" fillId="4" borderId="11" xfId="0" applyFont="1" applyFill="1" applyBorder="1" applyAlignment="1"/>
    <xf numFmtId="168" fontId="10" fillId="4" borderId="0" xfId="3" applyNumberFormat="1" applyFont="1" applyFill="1" applyBorder="1" applyAlignment="1">
      <alignment vertical="center" wrapText="1"/>
    </xf>
    <xf numFmtId="170" fontId="12" fillId="0" borderId="0" xfId="0" applyNumberFormat="1" applyFont="1"/>
    <xf numFmtId="0" fontId="0" fillId="0" borderId="0" xfId="0" applyAlignment="1">
      <alignment horizontal="left" vertical="center"/>
    </xf>
    <xf numFmtId="0" fontId="8" fillId="4" borderId="6" xfId="3" applyFont="1" applyFill="1" applyBorder="1" applyAlignment="1">
      <alignment horizontal="left" vertical="center"/>
    </xf>
    <xf numFmtId="0" fontId="10" fillId="4" borderId="6" xfId="3" applyFont="1" applyFill="1" applyBorder="1" applyAlignment="1">
      <alignment horizontal="center" vertical="center" wrapText="1"/>
    </xf>
    <xf numFmtId="168" fontId="10" fillId="4" borderId="6" xfId="3" applyNumberFormat="1" applyFont="1" applyFill="1" applyBorder="1" applyAlignment="1">
      <alignment vertical="center" wrapText="1"/>
    </xf>
    <xf numFmtId="0" fontId="0" fillId="0" borderId="6" xfId="0" applyBorder="1"/>
    <xf numFmtId="168" fontId="10" fillId="4" borderId="6" xfId="3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5" borderId="6" xfId="0" applyFill="1" applyBorder="1" applyAlignment="1" applyProtection="1">
      <alignment horizontal="center" vertical="center"/>
      <protection locked="0"/>
    </xf>
    <xf numFmtId="168" fontId="0" fillId="6" borderId="6" xfId="0" applyNumberFormat="1" applyFill="1" applyBorder="1" applyAlignment="1"/>
    <xf numFmtId="168" fontId="0" fillId="7" borderId="6" xfId="0" applyNumberFormat="1" applyFill="1" applyBorder="1" applyAlignment="1"/>
    <xf numFmtId="9" fontId="0" fillId="0" borderId="6" xfId="2" applyFont="1" applyBorder="1" applyAlignment="1">
      <alignment horizontal="center" vertical="center"/>
    </xf>
    <xf numFmtId="167" fontId="0" fillId="0" borderId="6" xfId="0" applyNumberFormat="1" applyBorder="1"/>
    <xf numFmtId="169" fontId="0" fillId="0" borderId="6" xfId="0" applyNumberFormat="1" applyBorder="1"/>
    <xf numFmtId="0" fontId="9" fillId="0" borderId="6" xfId="0" applyFont="1" applyBorder="1" applyAlignment="1">
      <alignment vertical="center"/>
    </xf>
    <xf numFmtId="3" fontId="0" fillId="0" borderId="6" xfId="0" applyNumberFormat="1" applyBorder="1" applyAlignment="1"/>
    <xf numFmtId="169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167" fontId="13" fillId="0" borderId="0" xfId="0" applyNumberFormat="1" applyFont="1" applyFill="1"/>
    <xf numFmtId="167" fontId="13" fillId="0" borderId="0" xfId="0" applyNumberFormat="1" applyFont="1"/>
    <xf numFmtId="166" fontId="0" fillId="2" borderId="9" xfId="0" applyNumberFormat="1" applyFill="1" applyBorder="1"/>
    <xf numFmtId="0" fontId="2" fillId="3" borderId="6" xfId="0" applyFont="1" applyFill="1" applyBorder="1" applyAlignment="1">
      <alignment horizontal="center" wrapText="1"/>
    </xf>
    <xf numFmtId="167" fontId="0" fillId="3" borderId="6" xfId="1" applyNumberFormat="1" applyFont="1" applyFill="1" applyBorder="1"/>
    <xf numFmtId="167" fontId="0" fillId="3" borderId="6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3" borderId="4" xfId="0" applyNumberForma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6. Cost Allocation for Def-Var" xfId="3" xr:uid="{C97F477F-B9A6-4B72-8C57-D5B56925E3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24"/>
  <sheetViews>
    <sheetView tabSelected="1" topLeftCell="J1" workbookViewId="0">
      <selection activeCell="R21" sqref="R21"/>
    </sheetView>
  </sheetViews>
  <sheetFormatPr defaultRowHeight="14.4" x14ac:dyDescent="0.3"/>
  <cols>
    <col min="1" max="1" width="13.109375" bestFit="1" customWidth="1"/>
    <col min="2" max="2" width="16.6640625" bestFit="1" customWidth="1"/>
    <col min="3" max="3" width="14.6640625" customWidth="1"/>
    <col min="4" max="4" width="17.109375" bestFit="1" customWidth="1"/>
    <col min="5" max="5" width="17.109375" customWidth="1"/>
    <col min="6" max="6" width="16" bestFit="1" customWidth="1"/>
    <col min="7" max="7" width="12.6640625" bestFit="1" customWidth="1"/>
    <col min="8" max="9" width="13" bestFit="1" customWidth="1"/>
    <col min="10" max="10" width="16.109375" bestFit="1" customWidth="1"/>
    <col min="11" max="11" width="13.5546875" bestFit="1" customWidth="1"/>
    <col min="12" max="12" width="13.6640625" bestFit="1" customWidth="1"/>
    <col min="13" max="13" width="18.5546875" bestFit="1" customWidth="1"/>
    <col min="14" max="14" width="18.33203125" bestFit="1" customWidth="1"/>
    <col min="15" max="15" width="1.5546875" customWidth="1"/>
    <col min="16" max="16" width="25.88671875" customWidth="1"/>
    <col min="17" max="17" width="15.21875" bestFit="1" customWidth="1"/>
    <col min="18" max="18" width="12.109375" bestFit="1" customWidth="1"/>
    <col min="19" max="19" width="59.88671875" customWidth="1"/>
    <col min="21" max="21" width="12.33203125" bestFit="1" customWidth="1"/>
    <col min="23" max="23" width="14.109375" customWidth="1"/>
    <col min="24" max="24" width="14.77734375" customWidth="1"/>
    <col min="25" max="25" width="2.21875" customWidth="1"/>
    <col min="26" max="26" width="12.6640625" bestFit="1" customWidth="1"/>
    <col min="27" max="27" width="12.109375" bestFit="1" customWidth="1"/>
    <col min="29" max="29" width="10.109375" bestFit="1" customWidth="1"/>
    <col min="30" max="30" width="12.109375" bestFit="1" customWidth="1"/>
  </cols>
  <sheetData>
    <row r="1" spans="1:29" ht="15" thickBot="1" x14ac:dyDescent="0.35">
      <c r="A1" s="32" t="s">
        <v>27</v>
      </c>
      <c r="B1" s="16"/>
      <c r="C1" s="16"/>
    </row>
    <row r="2" spans="1:29" x14ac:dyDescent="0.3">
      <c r="B2" s="71" t="s">
        <v>0</v>
      </c>
      <c r="C2" s="72"/>
      <c r="D2" s="71" t="s">
        <v>1</v>
      </c>
      <c r="E2" s="72"/>
      <c r="F2" s="1"/>
      <c r="G2" s="71" t="s">
        <v>2</v>
      </c>
      <c r="H2" s="73"/>
      <c r="I2" s="72"/>
      <c r="S2" s="43"/>
      <c r="T2" s="44"/>
    </row>
    <row r="3" spans="1:29" ht="40.799999999999997" x14ac:dyDescent="0.3">
      <c r="A3" s="2" t="s">
        <v>3</v>
      </c>
      <c r="B3" s="3" t="s">
        <v>4</v>
      </c>
      <c r="C3" s="4" t="s">
        <v>5</v>
      </c>
      <c r="D3" s="4" t="s">
        <v>4</v>
      </c>
      <c r="E3" s="4" t="s">
        <v>5</v>
      </c>
      <c r="F3" s="5" t="s">
        <v>6</v>
      </c>
      <c r="G3" s="3" t="s">
        <v>7</v>
      </c>
      <c r="H3" s="4" t="s">
        <v>8</v>
      </c>
      <c r="I3" s="6" t="s">
        <v>9</v>
      </c>
      <c r="J3" s="3" t="s">
        <v>10</v>
      </c>
      <c r="K3" s="4" t="s">
        <v>11</v>
      </c>
      <c r="L3" s="6" t="s">
        <v>12</v>
      </c>
      <c r="M3" s="7" t="s">
        <v>13</v>
      </c>
      <c r="N3" s="7" t="s">
        <v>14</v>
      </c>
      <c r="P3" s="68" t="s">
        <v>52</v>
      </c>
      <c r="Q3" s="68" t="s">
        <v>53</v>
      </c>
      <c r="S3" s="48" t="s">
        <v>3</v>
      </c>
      <c r="T3" s="49" t="s">
        <v>29</v>
      </c>
      <c r="U3" s="50" t="s">
        <v>41</v>
      </c>
      <c r="V3" s="50" t="s">
        <v>42</v>
      </c>
      <c r="W3" s="50" t="s">
        <v>43</v>
      </c>
      <c r="X3" s="50" t="s">
        <v>44</v>
      </c>
      <c r="Y3" s="51"/>
      <c r="Z3" s="50" t="s">
        <v>47</v>
      </c>
      <c r="AA3" s="52" t="s">
        <v>48</v>
      </c>
      <c r="AB3" s="52" t="s">
        <v>45</v>
      </c>
      <c r="AC3" s="45"/>
    </row>
    <row r="4" spans="1:29" x14ac:dyDescent="0.3">
      <c r="A4" t="s">
        <v>15</v>
      </c>
      <c r="B4" s="8">
        <f>-70906-C4</f>
        <v>-69234</v>
      </c>
      <c r="C4" s="9">
        <v>-1672</v>
      </c>
      <c r="D4" s="9">
        <f>0-E4</f>
        <v>0</v>
      </c>
      <c r="E4" s="9">
        <v>0</v>
      </c>
      <c r="F4" s="10">
        <f t="shared" ref="F4:F10" si="0">SUM(B4:E4)</f>
        <v>-70906</v>
      </c>
      <c r="G4" s="11">
        <v>93855.43</v>
      </c>
      <c r="H4" s="12">
        <v>0</v>
      </c>
      <c r="I4" s="13">
        <f>G4+H4</f>
        <v>93855.43</v>
      </c>
      <c r="J4" s="8">
        <f t="shared" ref="J4:J10" si="1">B4+C4+G4</f>
        <v>22949.429999999993</v>
      </c>
      <c r="K4" s="9">
        <f t="shared" ref="K4:K10" si="2">D4+E4+H4</f>
        <v>0</v>
      </c>
      <c r="L4" s="10">
        <f>SUM(J4:K4)</f>
        <v>22949.429999999993</v>
      </c>
      <c r="M4" s="14">
        <v>2227.5100000000002</v>
      </c>
      <c r="N4" s="14">
        <f>L4+M4</f>
        <v>25176.939999999995</v>
      </c>
      <c r="O4" s="15"/>
      <c r="P4" s="69">
        <f>K4/(SUM(ABS(J4),ABS(K4)))*M4</f>
        <v>0</v>
      </c>
      <c r="Q4" s="69">
        <f>K4+P4</f>
        <v>0</v>
      </c>
      <c r="S4" s="53" t="s">
        <v>36</v>
      </c>
      <c r="T4" s="54" t="s">
        <v>34</v>
      </c>
      <c r="U4" s="55">
        <v>36146632</v>
      </c>
      <c r="V4" s="55">
        <v>73363</v>
      </c>
      <c r="W4" s="56">
        <v>36146632</v>
      </c>
      <c r="X4" s="56">
        <v>73363</v>
      </c>
      <c r="Y4" s="51"/>
      <c r="Z4" s="57">
        <v>-3.3000000000000002E-2</v>
      </c>
      <c r="AA4" s="58">
        <f>Z4*$Q$13</f>
        <v>21038.325486638121</v>
      </c>
      <c r="AB4" s="59">
        <f>AA4/W4/2</f>
        <v>2.9101363422514887E-4</v>
      </c>
      <c r="AC4" s="36" t="s">
        <v>31</v>
      </c>
    </row>
    <row r="5" spans="1:29" x14ac:dyDescent="0.3">
      <c r="A5" s="16" t="s">
        <v>16</v>
      </c>
      <c r="B5" s="17">
        <f>-133661-C5</f>
        <v>-130509</v>
      </c>
      <c r="C5" s="18">
        <v>-3152</v>
      </c>
      <c r="D5" s="18">
        <f>-139312-E5</f>
        <v>-133167</v>
      </c>
      <c r="E5" s="18">
        <v>-6145</v>
      </c>
      <c r="F5" s="19">
        <f t="shared" si="0"/>
        <v>-272973</v>
      </c>
      <c r="G5" s="20">
        <v>162277.4</v>
      </c>
      <c r="H5" s="21">
        <v>2819.37</v>
      </c>
      <c r="I5" s="22">
        <f t="shared" ref="I5:I10" si="3">G5+H5</f>
        <v>165096.76999999999</v>
      </c>
      <c r="J5" s="17">
        <f t="shared" si="1"/>
        <v>28616.399999999994</v>
      </c>
      <c r="K5" s="18">
        <f t="shared" si="2"/>
        <v>-136492.63</v>
      </c>
      <c r="L5" s="19">
        <f t="shared" ref="L5:L10" si="4">SUM(J5:K5)</f>
        <v>-107876.23000000001</v>
      </c>
      <c r="M5" s="67">
        <v>-10470.65</v>
      </c>
      <c r="N5" s="67">
        <f t="shared" ref="N5:N10" si="5">L5+M5</f>
        <v>-118346.88</v>
      </c>
      <c r="O5" s="15"/>
      <c r="P5" s="69">
        <f>ABS(K5/(SUM(ABS(J5),ABS(K5))))*M5</f>
        <v>-8655.8957817722021</v>
      </c>
      <c r="Q5" s="69">
        <f t="shared" ref="Q5:Q10" si="6">K5+P5</f>
        <v>-145148.52578177222</v>
      </c>
      <c r="S5" s="53" t="s">
        <v>35</v>
      </c>
      <c r="T5" s="54" t="s">
        <v>34</v>
      </c>
      <c r="U5" s="55">
        <v>69311783</v>
      </c>
      <c r="V5" s="55">
        <v>170784</v>
      </c>
      <c r="W5" s="56">
        <v>69311783</v>
      </c>
      <c r="X5" s="56">
        <v>170784</v>
      </c>
      <c r="Y5" s="51"/>
      <c r="Z5" s="57">
        <v>0.17699999999999999</v>
      </c>
      <c r="AA5" s="58">
        <f t="shared" ref="AA5:AA11" si="7">Z5*$Q$13</f>
        <v>-112841.92761014991</v>
      </c>
      <c r="AB5" s="59">
        <f t="shared" ref="AB5:AB9" si="8">AA5/W5/2</f>
        <v>-8.1401691549436779E-4</v>
      </c>
      <c r="AC5" s="36" t="s">
        <v>31</v>
      </c>
    </row>
    <row r="6" spans="1:29" x14ac:dyDescent="0.3">
      <c r="A6" s="16" t="s">
        <v>17</v>
      </c>
      <c r="B6" s="17">
        <f>-564267-C6</f>
        <v>-550961</v>
      </c>
      <c r="C6" s="18">
        <v>-13306</v>
      </c>
      <c r="D6" s="18">
        <f>-407675-E6</f>
        <v>-389694</v>
      </c>
      <c r="E6" s="18">
        <v>-17981</v>
      </c>
      <c r="F6" s="19">
        <f t="shared" si="0"/>
        <v>-971942</v>
      </c>
      <c r="G6" s="20">
        <v>601415.34</v>
      </c>
      <c r="H6" s="21">
        <v>7761.7</v>
      </c>
      <c r="I6" s="22">
        <f t="shared" si="3"/>
        <v>609177.03999999992</v>
      </c>
      <c r="J6" s="17">
        <f t="shared" si="1"/>
        <v>37148.339999999967</v>
      </c>
      <c r="K6" s="18">
        <f t="shared" si="2"/>
        <v>-399913.3</v>
      </c>
      <c r="L6" s="19">
        <f t="shared" si="4"/>
        <v>-362764.96</v>
      </c>
      <c r="M6" s="67">
        <v>-35210.57</v>
      </c>
      <c r="N6" s="67">
        <f t="shared" si="5"/>
        <v>-397975.53</v>
      </c>
      <c r="O6" s="15"/>
      <c r="P6" s="69">
        <f t="shared" ref="P6:P10" si="9">ABS(K6/(SUM(ABS(J6),ABS(K6))))*M6</f>
        <v>-32217.824569506949</v>
      </c>
      <c r="Q6" s="69">
        <f t="shared" si="6"/>
        <v>-432131.12456950697</v>
      </c>
      <c r="S6" s="53" t="s">
        <v>33</v>
      </c>
      <c r="T6" s="54" t="s">
        <v>34</v>
      </c>
      <c r="U6" s="55">
        <v>311418919</v>
      </c>
      <c r="V6" s="55">
        <v>788025</v>
      </c>
      <c r="W6" s="56">
        <v>198542746</v>
      </c>
      <c r="X6" s="56">
        <v>506208</v>
      </c>
      <c r="Y6" s="51"/>
      <c r="Z6" s="57">
        <v>0.59899999999999998</v>
      </c>
      <c r="AA6" s="58">
        <f t="shared" si="7"/>
        <v>-381877.48383321922</v>
      </c>
      <c r="AB6" s="59">
        <f t="shared" si="8"/>
        <v>-9.6170092216116331E-4</v>
      </c>
      <c r="AC6" s="36" t="s">
        <v>31</v>
      </c>
    </row>
    <row r="7" spans="1:29" x14ac:dyDescent="0.3">
      <c r="A7" t="s">
        <v>18</v>
      </c>
      <c r="B7" s="8">
        <f>-233493-C7</f>
        <v>-227987</v>
      </c>
      <c r="C7" s="9">
        <v>-5506</v>
      </c>
      <c r="D7" s="9">
        <f>-45710-E7</f>
        <v>-43694</v>
      </c>
      <c r="E7" s="9">
        <v>-2016</v>
      </c>
      <c r="F7" s="10">
        <f t="shared" si="0"/>
        <v>-279203</v>
      </c>
      <c r="G7" s="11">
        <v>224188.37</v>
      </c>
      <c r="H7" s="12">
        <v>35418.839999999997</v>
      </c>
      <c r="I7" s="13">
        <f t="shared" si="3"/>
        <v>259607.21</v>
      </c>
      <c r="J7" s="8">
        <f t="shared" si="1"/>
        <v>-9304.6300000000047</v>
      </c>
      <c r="K7" s="9">
        <f t="shared" si="2"/>
        <v>-10291.160000000003</v>
      </c>
      <c r="L7" s="10">
        <f t="shared" si="4"/>
        <v>-19595.790000000008</v>
      </c>
      <c r="M7" s="14">
        <v>-1902</v>
      </c>
      <c r="N7" s="14">
        <f t="shared" si="5"/>
        <v>-21497.790000000008</v>
      </c>
      <c r="O7" s="15"/>
      <c r="P7" s="69">
        <f t="shared" si="9"/>
        <v>-998.87712207571121</v>
      </c>
      <c r="Q7" s="69">
        <f t="shared" si="6"/>
        <v>-11290.037122075715</v>
      </c>
      <c r="S7" s="53" t="s">
        <v>32</v>
      </c>
      <c r="T7" s="54" t="s">
        <v>31</v>
      </c>
      <c r="U7" s="55">
        <v>119245755</v>
      </c>
      <c r="V7" s="55">
        <v>0</v>
      </c>
      <c r="W7" s="56">
        <v>16704834</v>
      </c>
      <c r="X7" s="56">
        <v>0</v>
      </c>
      <c r="Y7" s="51"/>
      <c r="Z7" s="57">
        <v>3.5999999999999997E-2</v>
      </c>
      <c r="AA7" s="58">
        <f t="shared" si="7"/>
        <v>-22950.900530877949</v>
      </c>
      <c r="AB7" s="59">
        <f t="shared" si="8"/>
        <v>-6.8695386409939633E-4</v>
      </c>
      <c r="AC7" s="36" t="s">
        <v>31</v>
      </c>
    </row>
    <row r="8" spans="1:29" x14ac:dyDescent="0.3">
      <c r="A8" t="s">
        <v>19</v>
      </c>
      <c r="B8" s="8">
        <f>-889062-C8</f>
        <v>-868096</v>
      </c>
      <c r="C8" s="9">
        <v>-20966</v>
      </c>
      <c r="D8" s="9">
        <f>-62381-E8</f>
        <v>-59630</v>
      </c>
      <c r="E8" s="9">
        <v>-2751</v>
      </c>
      <c r="F8" s="10">
        <f t="shared" si="0"/>
        <v>-951443</v>
      </c>
      <c r="G8" s="11">
        <v>815149.78</v>
      </c>
      <c r="H8" s="12">
        <v>26672.44</v>
      </c>
      <c r="I8" s="13">
        <f t="shared" si="3"/>
        <v>841822.22</v>
      </c>
      <c r="J8" s="8">
        <f t="shared" si="1"/>
        <v>-73912.219999999972</v>
      </c>
      <c r="K8" s="9">
        <f t="shared" si="2"/>
        <v>-35708.559999999998</v>
      </c>
      <c r="L8" s="10">
        <f t="shared" si="4"/>
        <v>-109620.77999999997</v>
      </c>
      <c r="M8" s="14">
        <v>-10639.98</v>
      </c>
      <c r="N8" s="14">
        <f t="shared" si="5"/>
        <v>-120260.75999999997</v>
      </c>
      <c r="O8" s="15"/>
      <c r="P8" s="69">
        <f t="shared" si="9"/>
        <v>-3465.9337785117023</v>
      </c>
      <c r="Q8" s="69">
        <f t="shared" si="6"/>
        <v>-39174.4937785117</v>
      </c>
      <c r="S8" s="53" t="s">
        <v>30</v>
      </c>
      <c r="T8" s="54" t="s">
        <v>31</v>
      </c>
      <c r="U8" s="55">
        <v>512708991</v>
      </c>
      <c r="V8" s="55">
        <v>0</v>
      </c>
      <c r="W8" s="56">
        <v>8714908</v>
      </c>
      <c r="X8" s="56">
        <v>0</v>
      </c>
      <c r="Y8" s="51"/>
      <c r="Z8" s="57">
        <v>0.20399999999999999</v>
      </c>
      <c r="AA8" s="58">
        <f t="shared" si="7"/>
        <v>-130055.10300830838</v>
      </c>
      <c r="AB8" s="59">
        <f t="shared" si="8"/>
        <v>-7.4616452065993343E-3</v>
      </c>
      <c r="AC8" s="36" t="s">
        <v>31</v>
      </c>
    </row>
    <row r="9" spans="1:29" x14ac:dyDescent="0.3">
      <c r="A9" s="16" t="s">
        <v>20</v>
      </c>
      <c r="B9" s="17">
        <f>-8809-C9</f>
        <v>-8601</v>
      </c>
      <c r="C9" s="18">
        <v>-208</v>
      </c>
      <c r="D9" s="18">
        <f>-9120-E9</f>
        <v>-8718</v>
      </c>
      <c r="E9" s="18">
        <v>-402</v>
      </c>
      <c r="F9" s="19">
        <f t="shared" si="0"/>
        <v>-17929</v>
      </c>
      <c r="G9" s="20">
        <v>7653.14</v>
      </c>
      <c r="H9" s="21">
        <v>301.52</v>
      </c>
      <c r="I9" s="22">
        <f t="shared" si="3"/>
        <v>7954.66</v>
      </c>
      <c r="J9" s="17">
        <f t="shared" si="1"/>
        <v>-1155.8599999999997</v>
      </c>
      <c r="K9" s="18">
        <f t="shared" si="2"/>
        <v>-8818.48</v>
      </c>
      <c r="L9" s="19">
        <f t="shared" si="4"/>
        <v>-9974.34</v>
      </c>
      <c r="M9" s="67">
        <v>-968.13</v>
      </c>
      <c r="N9" s="67">
        <f t="shared" si="5"/>
        <v>-10942.47</v>
      </c>
      <c r="O9" s="15"/>
      <c r="P9" s="69">
        <f t="shared" si="9"/>
        <v>-855.93984588453964</v>
      </c>
      <c r="Q9" s="69">
        <f t="shared" si="6"/>
        <v>-9674.4198458845385</v>
      </c>
      <c r="S9" s="53" t="s">
        <v>39</v>
      </c>
      <c r="T9" s="54" t="s">
        <v>34</v>
      </c>
      <c r="U9" s="56">
        <v>4352367</v>
      </c>
      <c r="V9" s="56">
        <v>22551</v>
      </c>
      <c r="W9" s="56">
        <v>4352367</v>
      </c>
      <c r="X9" s="56">
        <v>22551</v>
      </c>
      <c r="Y9" s="51"/>
      <c r="Z9" s="57">
        <v>1.5900000000000001E-2</v>
      </c>
      <c r="AA9" s="58">
        <f t="shared" si="7"/>
        <v>-10136.647734471095</v>
      </c>
      <c r="AB9" s="59">
        <f t="shared" si="8"/>
        <v>-1.1644982758199267E-3</v>
      </c>
      <c r="AC9" s="36" t="s">
        <v>31</v>
      </c>
    </row>
    <row r="10" spans="1:29" x14ac:dyDescent="0.3">
      <c r="A10" t="s">
        <v>21</v>
      </c>
      <c r="B10" s="8">
        <f>-4654-C10</f>
        <v>-4544</v>
      </c>
      <c r="C10" s="9">
        <v>-110</v>
      </c>
      <c r="D10" s="9">
        <f>-97-E10</f>
        <v>-93</v>
      </c>
      <c r="E10" s="9">
        <v>-4</v>
      </c>
      <c r="F10" s="10">
        <f t="shared" si="0"/>
        <v>-4751</v>
      </c>
      <c r="G10" s="11">
        <v>4332.6499999999996</v>
      </c>
      <c r="H10" s="12">
        <v>0</v>
      </c>
      <c r="I10" s="13">
        <f t="shared" si="3"/>
        <v>4332.6499999999996</v>
      </c>
      <c r="J10" s="8">
        <f t="shared" si="1"/>
        <v>-321.35000000000036</v>
      </c>
      <c r="K10" s="9">
        <f t="shared" si="2"/>
        <v>-97</v>
      </c>
      <c r="L10" s="10">
        <f t="shared" si="4"/>
        <v>-418.35000000000036</v>
      </c>
      <c r="M10" s="14">
        <v>-40.6</v>
      </c>
      <c r="N10" s="14">
        <f t="shared" si="5"/>
        <v>-458.95000000000039</v>
      </c>
      <c r="O10" s="15"/>
      <c r="P10" s="69">
        <f t="shared" si="9"/>
        <v>-9.4136488586112019</v>
      </c>
      <c r="Q10" s="69">
        <f t="shared" si="6"/>
        <v>-106.4136488586112</v>
      </c>
      <c r="S10" s="53" t="s">
        <v>37</v>
      </c>
      <c r="T10" s="54" t="s">
        <v>31</v>
      </c>
      <c r="U10" s="55">
        <v>844682</v>
      </c>
      <c r="V10" s="55">
        <v>0</v>
      </c>
      <c r="W10" s="56">
        <v>0</v>
      </c>
      <c r="X10" s="56">
        <v>0</v>
      </c>
      <c r="Y10" s="51"/>
      <c r="Z10" s="57">
        <v>1E-3</v>
      </c>
      <c r="AA10" s="58">
        <f t="shared" si="7"/>
        <v>-637.52501474660971</v>
      </c>
      <c r="AB10" s="62" t="s">
        <v>49</v>
      </c>
      <c r="AC10" s="36"/>
    </row>
    <row r="11" spans="1:29" x14ac:dyDescent="0.3">
      <c r="B11" s="23">
        <f t="shared" ref="B11:N11" si="10">SUM(B4:B10)</f>
        <v>-1859932</v>
      </c>
      <c r="C11" s="24">
        <f t="shared" si="10"/>
        <v>-44920</v>
      </c>
      <c r="D11" s="24">
        <f t="shared" si="10"/>
        <v>-634996</v>
      </c>
      <c r="E11" s="24">
        <f t="shared" si="10"/>
        <v>-29299</v>
      </c>
      <c r="F11" s="25">
        <f t="shared" si="10"/>
        <v>-2569147</v>
      </c>
      <c r="G11" s="26">
        <f t="shared" si="10"/>
        <v>1908872.1099999999</v>
      </c>
      <c r="H11" s="27">
        <f t="shared" si="10"/>
        <v>72973.87</v>
      </c>
      <c r="I11" s="28">
        <f t="shared" si="10"/>
        <v>1981845.9799999997</v>
      </c>
      <c r="J11" s="23">
        <f t="shared" si="10"/>
        <v>4020.1099999999778</v>
      </c>
      <c r="K11" s="24">
        <f t="shared" si="10"/>
        <v>-591321.12999999989</v>
      </c>
      <c r="L11" s="25">
        <f t="shared" si="10"/>
        <v>-587301.02</v>
      </c>
      <c r="M11" s="29">
        <f t="shared" si="10"/>
        <v>-57004.42</v>
      </c>
      <c r="N11" s="29">
        <f t="shared" si="10"/>
        <v>-644305.43999999994</v>
      </c>
      <c r="O11" s="51"/>
      <c r="P11" s="70">
        <f>SUM(P4:P10)</f>
        <v>-46203.884746609714</v>
      </c>
      <c r="Q11" s="70">
        <f>SUM(Q4:Q10)</f>
        <v>-637525.01474660973</v>
      </c>
      <c r="S11" s="53" t="s">
        <v>38</v>
      </c>
      <c r="T11" s="54" t="s">
        <v>34</v>
      </c>
      <c r="U11" s="55">
        <v>24360</v>
      </c>
      <c r="V11" s="55">
        <v>81</v>
      </c>
      <c r="W11" s="56">
        <v>0</v>
      </c>
      <c r="X11" s="56">
        <v>0</v>
      </c>
      <c r="Y11" s="51"/>
      <c r="Z11" s="57">
        <v>1E-4</v>
      </c>
      <c r="AA11" s="58">
        <f t="shared" si="7"/>
        <v>-63.752501474660974</v>
      </c>
      <c r="AB11" s="62" t="s">
        <v>49</v>
      </c>
      <c r="AC11" s="36"/>
    </row>
    <row r="12" spans="1:29" x14ac:dyDescent="0.3">
      <c r="M12" s="15"/>
      <c r="P12" s="37"/>
      <c r="Q12" s="37"/>
      <c r="S12" s="53"/>
      <c r="T12" s="60" t="s">
        <v>40</v>
      </c>
      <c r="U12" s="61">
        <f>SUM(U4:U11)</f>
        <v>1054053489</v>
      </c>
      <c r="V12" s="61">
        <f t="shared" ref="V12:X12" si="11">SUM(V4:V11)</f>
        <v>1054804</v>
      </c>
      <c r="W12" s="61">
        <f t="shared" si="11"/>
        <v>333773270</v>
      </c>
      <c r="X12" s="61">
        <f t="shared" si="11"/>
        <v>772906</v>
      </c>
      <c r="Y12" s="51"/>
      <c r="Z12" s="51"/>
      <c r="AA12" s="58">
        <f>SUM(AA4:AA11)</f>
        <v>-637525.01474660973</v>
      </c>
      <c r="AB12" s="51"/>
    </row>
    <row r="13" spans="1:29" ht="43.2" x14ac:dyDescent="0.3">
      <c r="A13" t="s">
        <v>22</v>
      </c>
      <c r="B13" s="30">
        <v>-1859932.56</v>
      </c>
      <c r="C13" s="30"/>
      <c r="D13" s="30">
        <v>-634995.69999999995</v>
      </c>
      <c r="E13" s="30"/>
      <c r="K13" s="33">
        <f>SUM(K5:K6,K9)</f>
        <v>-545224.40999999992</v>
      </c>
      <c r="M13" s="15" t="s">
        <v>23</v>
      </c>
      <c r="N13" s="30">
        <v>-513081.37</v>
      </c>
      <c r="P13" s="38" t="s">
        <v>54</v>
      </c>
      <c r="Q13" s="39">
        <f>SUM(Q4:Q10)</f>
        <v>-637525.01474660973</v>
      </c>
      <c r="R13" s="47" t="s">
        <v>55</v>
      </c>
    </row>
    <row r="14" spans="1:29" ht="28.8" x14ac:dyDescent="0.3">
      <c r="A14" t="s">
        <v>24</v>
      </c>
      <c r="B14" s="30">
        <v>-44920.31</v>
      </c>
      <c r="C14" s="30"/>
      <c r="D14" s="30">
        <v>-29299.34</v>
      </c>
      <c r="E14" s="30"/>
      <c r="K14" s="15">
        <f>SUM(K4,K7:K8,K10)</f>
        <v>-46096.72</v>
      </c>
      <c r="M14" s="15" t="s">
        <v>25</v>
      </c>
      <c r="N14" s="30">
        <v>-131224.07</v>
      </c>
      <c r="P14" s="38" t="s">
        <v>28</v>
      </c>
      <c r="Q14" s="40">
        <f>J11+(M11-P11)</f>
        <v>-6780.4252533903064</v>
      </c>
      <c r="R14" s="47" t="s">
        <v>46</v>
      </c>
    </row>
    <row r="15" spans="1:29" x14ac:dyDescent="0.3">
      <c r="A15" t="s">
        <v>26</v>
      </c>
      <c r="B15" s="31">
        <f>SUM(B13:B14)</f>
        <v>-1904852.87</v>
      </c>
      <c r="C15" s="31"/>
      <c r="D15" s="31">
        <f>SUM(D13:D14)</f>
        <v>-664295.03999999992</v>
      </c>
      <c r="E15" s="9"/>
      <c r="K15" s="31">
        <f>SUM(K13:K14)</f>
        <v>-591321.12999999989</v>
      </c>
      <c r="M15" s="31" t="s">
        <v>14</v>
      </c>
      <c r="N15" s="31">
        <f>SUM(N13:N14)</f>
        <v>-644305.43999999994</v>
      </c>
      <c r="P15" s="42" t="s">
        <v>14</v>
      </c>
      <c r="Q15" s="41">
        <f>SUM(Q13:Q14)</f>
        <v>-644305.44000000006</v>
      </c>
    </row>
    <row r="16" spans="1:29" x14ac:dyDescent="0.3">
      <c r="P16" s="64" t="s">
        <v>50</v>
      </c>
      <c r="Q16" s="65">
        <f>N11</f>
        <v>-644305.43999999994</v>
      </c>
    </row>
    <row r="17" spans="13:17" x14ac:dyDescent="0.3">
      <c r="N17" s="15"/>
      <c r="O17" s="46"/>
      <c r="P17" s="64" t="s">
        <v>51</v>
      </c>
      <c r="Q17" s="66">
        <f>Q15-Q16</f>
        <v>0</v>
      </c>
    </row>
    <row r="18" spans="13:17" x14ac:dyDescent="0.3">
      <c r="P18" s="63"/>
      <c r="Q18" s="63"/>
    </row>
    <row r="19" spans="13:17" x14ac:dyDescent="0.3">
      <c r="O19" s="36"/>
    </row>
    <row r="20" spans="13:17" x14ac:dyDescent="0.3">
      <c r="P20" s="74" t="s">
        <v>56</v>
      </c>
      <c r="Q20" s="75">
        <f>-5609</f>
        <v>-5609</v>
      </c>
    </row>
    <row r="21" spans="13:17" x14ac:dyDescent="0.3">
      <c r="P21" s="74"/>
      <c r="Q21" s="75"/>
    </row>
    <row r="22" spans="13:17" x14ac:dyDescent="0.3">
      <c r="M22" s="35"/>
      <c r="N22" s="35"/>
      <c r="O22" s="35"/>
      <c r="P22" s="74"/>
      <c r="Q22" s="75"/>
    </row>
    <row r="23" spans="13:17" x14ac:dyDescent="0.3">
      <c r="M23" s="34"/>
      <c r="N23" s="34"/>
      <c r="P23" s="74"/>
      <c r="Q23" s="75"/>
    </row>
    <row r="24" spans="13:17" x14ac:dyDescent="0.3">
      <c r="M24" s="15"/>
      <c r="N24" s="15"/>
    </row>
  </sheetData>
  <mergeCells count="5">
    <mergeCell ref="B2:C2"/>
    <mergeCell ref="D2:E2"/>
    <mergeCell ref="G2:I2"/>
    <mergeCell ref="P20:P23"/>
    <mergeCell ref="Q20:Q23"/>
  </mergeCells>
  <dataValidations disablePrompts="1" count="1">
    <dataValidation type="list" allowBlank="1" showInputMessage="1" showErrorMessage="1" sqref="T4:T11" xr:uid="{4B6096CF-C9C5-40BC-A371-7CE7AEA57554}">
      <formula1>"kWh, kW, kVA"</formula1>
    </dataValidation>
  </dataValidation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Balances by Rate Class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Filion</dc:creator>
  <cp:lastModifiedBy>Marc Abramovitz</cp:lastModifiedBy>
  <dcterms:created xsi:type="dcterms:W3CDTF">2022-10-31T17:44:39Z</dcterms:created>
  <dcterms:modified xsi:type="dcterms:W3CDTF">2022-11-23T17:32:03Z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