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re-Settlement\"/>
    </mc:Choice>
  </mc:AlternateContent>
  <xr:revisionPtr revIDLastSave="0" documentId="8_{B6A6357C-4F01-4B79-A825-16102B824D5C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Monthly Data" sheetId="14" r:id="rId1"/>
    <sheet name="Dataset" sheetId="15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  <sheet name="2023 COP Forecast" sheetId="36" r:id="rId19"/>
    <sheet name="CARD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 localSheetId="18">#REF!</definedName>
    <definedName name="__CAP1000" localSheetId="19">#REF!</definedName>
    <definedName name="__CAP1000">#REF!</definedName>
    <definedName name="__OP1000" localSheetId="18">#REF!</definedName>
    <definedName name="__OP1000" localSheetId="19">#REF!</definedName>
    <definedName name="__OP1000">#REF!</definedName>
    <definedName name="_110" localSheetId="18">#REF!</definedName>
    <definedName name="_110" localSheetId="19">#REF!</definedName>
    <definedName name="_110">#REF!</definedName>
    <definedName name="_110INPT" localSheetId="18">#REF!</definedName>
    <definedName name="_110INPT">#REF!</definedName>
    <definedName name="_115" localSheetId="18">#REF!</definedName>
    <definedName name="_115">#REF!</definedName>
    <definedName name="_115INPT" localSheetId="18">#REF!</definedName>
    <definedName name="_115INPT">#REF!</definedName>
    <definedName name="_120" localSheetId="18">#REF!</definedName>
    <definedName name="_120">#REF!</definedName>
    <definedName name="_140" localSheetId="18">#REF!</definedName>
    <definedName name="_140">#REF!</definedName>
    <definedName name="_140INPT" localSheetId="18">#REF!</definedName>
    <definedName name="_140INPT">#REF!</definedName>
    <definedName name="_CAP1000" localSheetId="18">#REF!</definedName>
    <definedName name="_CAP1000">#REF!</definedName>
    <definedName name="_Fill" hidden="1">'[1]Old MEA Statistics'!$B$250</definedName>
    <definedName name="_OP1000" localSheetId="18">#REF!</definedName>
    <definedName name="_OP1000" localSheetId="19">#REF!</definedName>
    <definedName name="_OP1000">#REF!</definedName>
    <definedName name="_Order1" hidden="1">255</definedName>
    <definedName name="_Order2" hidden="1">0</definedName>
    <definedName name="_Sort" localSheetId="18" hidden="1">[2]Sheet1!$G$40:$K$40</definedName>
    <definedName name="_Sort" localSheetId="4" hidden="1">[3]Sheet1!$G$40:$K$40</definedName>
    <definedName name="_Sort" hidden="1">[4]Sheet1!$G$40:$K$40</definedName>
    <definedName name="ALL" localSheetId="18">#REF!</definedName>
    <definedName name="ALL" localSheetId="19">#REF!</definedName>
    <definedName name="ALL">#REF!</definedName>
    <definedName name="ApprovedYr">'[5]Z1.ModelVariables'!$C$12</definedName>
    <definedName name="CAfile">[6]Refs!$B$2</definedName>
    <definedName name="CAPCOSTS" localSheetId="18">#REF!</definedName>
    <definedName name="CAPCOSTS" localSheetId="19">#REF!</definedName>
    <definedName name="CAPCOSTS">#REF!</definedName>
    <definedName name="CAPITAL" localSheetId="18">#REF!</definedName>
    <definedName name="CAPITAL" localSheetId="19">#REF!</definedName>
    <definedName name="CAPITAL">#REF!</definedName>
    <definedName name="CapitalExpListing" localSheetId="18">#REF!</definedName>
    <definedName name="CapitalExpListing" localSheetId="19">#REF!</definedName>
    <definedName name="CapitalExpListing">#REF!</definedName>
    <definedName name="CArevReq">[6]Refs!$B$6</definedName>
    <definedName name="CASHFLOW" localSheetId="18">#REF!</definedName>
    <definedName name="CASHFLOW" localSheetId="19">#REF!</definedName>
    <definedName name="CASHFLOW">#REF!</definedName>
    <definedName name="cc" localSheetId="18">#REF!</definedName>
    <definedName name="cc" localSheetId="19">#REF!</definedName>
    <definedName name="cc">#REF!</definedName>
    <definedName name="ClassRange1">[6]Refs!$B$3</definedName>
    <definedName name="ClassRange2">[6]Refs!$B$4</definedName>
    <definedName name="contactf" localSheetId="18">#REF!</definedName>
    <definedName name="contactf" localSheetId="19">#REF!</definedName>
    <definedName name="contactf">#REF!</definedName>
    <definedName name="_xlnm.Criteria" localSheetId="18">#REF!</definedName>
    <definedName name="_xlnm.Criteria" localSheetId="19">#REF!</definedName>
    <definedName name="_xlnm.Criteria">#REF!</definedName>
    <definedName name="CRLF">'[5]Z1.ModelVariables'!$C$10</definedName>
    <definedName name="_xlnm.Database" localSheetId="18">#REF!</definedName>
    <definedName name="_xlnm.Database" localSheetId="19">#REF!</definedName>
    <definedName name="_xlnm.Database">#REF!</definedName>
    <definedName name="DaysInPreviousYear" localSheetId="18">'[7]Distribution Revenue by Source'!$B$22</definedName>
    <definedName name="DaysInPreviousYear">'[8]Distribution Revenue by Source'!$B$22</definedName>
    <definedName name="DaysInYear" localSheetId="18">'[7]Distribution Revenue by Source'!$B$21</definedName>
    <definedName name="DaysInYear">'[8]Distribution Revenue by Source'!$B$21</definedName>
    <definedName name="DEBTREPAY" localSheetId="18">#REF!</definedName>
    <definedName name="DEBTREPAY" localSheetId="19">#REF!</definedName>
    <definedName name="DEBTREPAY">#REF!</definedName>
    <definedName name="DeptDiv" localSheetId="18">#REF!</definedName>
    <definedName name="DeptDiv" localSheetId="19">#REF!</definedName>
    <definedName name="DeptDiv">#REF!</definedName>
    <definedName name="ExpenseAccountListing" localSheetId="18">#REF!</definedName>
    <definedName name="ExpenseAccountListing" localSheetId="19">#REF!</definedName>
    <definedName name="ExpenseAccountListing">#REF!</definedName>
    <definedName name="_xlnm.Extract" localSheetId="18">#REF!</definedName>
    <definedName name="_xlnm.Extract">#REF!</definedName>
    <definedName name="FakeBlank">'[5]Z1.ModelVariables'!$C$14</definedName>
    <definedName name="FolderPath">[6]Menu!$C$8</definedName>
    <definedName name="histdate">[9]Financials!$E$76</definedName>
    <definedName name="Incr2000" localSheetId="18">#REF!</definedName>
    <definedName name="Incr2000" localSheetId="19">#REF!</definedName>
    <definedName name="Incr2000">#REF!</definedName>
    <definedName name="INTERIM" localSheetId="18">#REF!</definedName>
    <definedName name="INTERIM" localSheetId="19">#REF!</definedName>
    <definedName name="INTERIM">#REF!</definedName>
    <definedName name="LIMIT" localSheetId="18">#REF!</definedName>
    <definedName name="LIMIT" localSheetId="19">#REF!</definedName>
    <definedName name="LIMIT">#REF!</definedName>
    <definedName name="man_beg_bud" localSheetId="18">#REF!</definedName>
    <definedName name="man_beg_bud">#REF!</definedName>
    <definedName name="man_end_bud" localSheetId="18">#REF!</definedName>
    <definedName name="man_end_bud">#REF!</definedName>
    <definedName name="man12ACT" localSheetId="18">#REF!</definedName>
    <definedName name="man12ACT">#REF!</definedName>
    <definedName name="MANBUD" localSheetId="18">#REF!</definedName>
    <definedName name="MANBUD">#REF!</definedName>
    <definedName name="manCYACT" localSheetId="18">#REF!</definedName>
    <definedName name="manCYACT">#REF!</definedName>
    <definedName name="manCYBUD" localSheetId="18">#REF!</definedName>
    <definedName name="manCYBUD">#REF!</definedName>
    <definedName name="manCYF" localSheetId="18">#REF!</definedName>
    <definedName name="manCYF">#REF!</definedName>
    <definedName name="MANEND" localSheetId="18">#REF!</definedName>
    <definedName name="MANEND">#REF!</definedName>
    <definedName name="manNYbud" localSheetId="18">#REF!</definedName>
    <definedName name="manNYbud">#REF!</definedName>
    <definedName name="manpower_costs" localSheetId="18">#REF!</definedName>
    <definedName name="manpower_costs">#REF!</definedName>
    <definedName name="manPYACT" localSheetId="18">#REF!</definedName>
    <definedName name="manPYACT">#REF!</definedName>
    <definedName name="MANSTART" localSheetId="18">#REF!</definedName>
    <definedName name="MANSTART">#REF!</definedName>
    <definedName name="mat_beg_bud" localSheetId="18">#REF!</definedName>
    <definedName name="mat_beg_bud">#REF!</definedName>
    <definedName name="mat_end_bud" localSheetId="18">#REF!</definedName>
    <definedName name="mat_end_bud">#REF!</definedName>
    <definedName name="mat12ACT" localSheetId="18">#REF!</definedName>
    <definedName name="mat12ACT">#REF!</definedName>
    <definedName name="MATBUD" localSheetId="18">#REF!</definedName>
    <definedName name="MATBUD">#REF!</definedName>
    <definedName name="matCYACT" localSheetId="18">#REF!</definedName>
    <definedName name="matCYACT">#REF!</definedName>
    <definedName name="matCYBUD" localSheetId="18">#REF!</definedName>
    <definedName name="matCYBUD">#REF!</definedName>
    <definedName name="matCYF" localSheetId="18">#REF!</definedName>
    <definedName name="matCYF">#REF!</definedName>
    <definedName name="MATEND" localSheetId="18">#REF!</definedName>
    <definedName name="MATEND">#REF!</definedName>
    <definedName name="material_costs" localSheetId="18">#REF!</definedName>
    <definedName name="material_costs">#REF!</definedName>
    <definedName name="matNYbud" localSheetId="18">#REF!</definedName>
    <definedName name="matNYbud">#REF!</definedName>
    <definedName name="matPYACT" localSheetId="18">#REF!</definedName>
    <definedName name="matPYACT">#REF!</definedName>
    <definedName name="MATSTART" localSheetId="18">#REF!</definedName>
    <definedName name="MATSTART">#REF!</definedName>
    <definedName name="mea" localSheetId="18">#REF!</definedName>
    <definedName name="mea">#REF!</definedName>
    <definedName name="MEABAL" localSheetId="18">#REF!</definedName>
    <definedName name="MEABAL">#REF!</definedName>
    <definedName name="MEACASH" localSheetId="18">#REF!</definedName>
    <definedName name="MEACASH">#REF!</definedName>
    <definedName name="MEAEQITY" localSheetId="18">#REF!</definedName>
    <definedName name="MEAEQITY">#REF!</definedName>
    <definedName name="MEAOP" localSheetId="18">#REF!</definedName>
    <definedName name="MEAOP">#REF!</definedName>
    <definedName name="MofF" localSheetId="18">#REF!</definedName>
    <definedName name="MofF">#REF!</definedName>
    <definedName name="NewRevReq">[6]Refs!$B$8</definedName>
    <definedName name="NOTES" localSheetId="18">#REF!</definedName>
    <definedName name="NOTES" localSheetId="19">#REF!</definedName>
    <definedName name="NOTES">#REF!</definedName>
    <definedName name="OPERATING" localSheetId="18">#REF!</definedName>
    <definedName name="OPERATING" localSheetId="19">#REF!</definedName>
    <definedName name="OPERATING">#REF!</definedName>
    <definedName name="oth_beg_bud" localSheetId="18">#REF!</definedName>
    <definedName name="oth_beg_bud" localSheetId="19">#REF!</definedName>
    <definedName name="oth_beg_bud">#REF!</definedName>
    <definedName name="oth_end_bud" localSheetId="18">#REF!</definedName>
    <definedName name="oth_end_bud">#REF!</definedName>
    <definedName name="oth12ACT" localSheetId="18">#REF!</definedName>
    <definedName name="oth12ACT">#REF!</definedName>
    <definedName name="othCYACT" localSheetId="18">#REF!</definedName>
    <definedName name="othCYACT">#REF!</definedName>
    <definedName name="othCYBUD" localSheetId="18">#REF!</definedName>
    <definedName name="othCYBUD">#REF!</definedName>
    <definedName name="othCYF" localSheetId="18">#REF!</definedName>
    <definedName name="othCYF">#REF!</definedName>
    <definedName name="OTHEND" localSheetId="18">#REF!</definedName>
    <definedName name="OTHEND">#REF!</definedName>
    <definedName name="other_costs" localSheetId="18">#REF!</definedName>
    <definedName name="other_costs">#REF!</definedName>
    <definedName name="OTHERBUD" localSheetId="18">#REF!</definedName>
    <definedName name="OTHERBUD">#REF!</definedName>
    <definedName name="othNYbud" localSheetId="18">#REF!</definedName>
    <definedName name="othNYbud">#REF!</definedName>
    <definedName name="othPYACT" localSheetId="18">#REF!</definedName>
    <definedName name="othPYACT">#REF!</definedName>
    <definedName name="OTHSTART" localSheetId="18">#REF!</definedName>
    <definedName name="OTHSTART">#REF!</definedName>
    <definedName name="PAGE11" localSheetId="18">#REF!</definedName>
    <definedName name="PAGE11" localSheetId="4">#REF!</definedName>
    <definedName name="PAGE11">#REF!</definedName>
    <definedName name="PAGE2" localSheetId="18">[2]Sheet1!$A$1:$I$40</definedName>
    <definedName name="PAGE2" localSheetId="4">[3]Sheet1!$A$1:$I$40</definedName>
    <definedName name="PAGE2">[4]Sheet1!$A$1:$I$40</definedName>
    <definedName name="PAGE3" localSheetId="18">#REF!</definedName>
    <definedName name="PAGE3" localSheetId="19">#REF!</definedName>
    <definedName name="PAGE3">#REF!</definedName>
    <definedName name="PAGE4" localSheetId="18">#REF!</definedName>
    <definedName name="PAGE4" localSheetId="19">#REF!</definedName>
    <definedName name="PAGE4" localSheetId="4">#REF!</definedName>
    <definedName name="PAGE4">#REF!</definedName>
    <definedName name="PAGE7" localSheetId="18">#REF!</definedName>
    <definedName name="PAGE7" localSheetId="4">#REF!</definedName>
    <definedName name="PAGE7">#REF!</definedName>
    <definedName name="PAGE9" localSheetId="18">#REF!</definedName>
    <definedName name="PAGE9" localSheetId="4">#REF!</definedName>
    <definedName name="PAGE9">#REF!</definedName>
    <definedName name="PageOne" localSheetId="18">#REF!</definedName>
    <definedName name="PageOne">#REF!</definedName>
    <definedName name="PR" localSheetId="18">#REF!</definedName>
    <definedName name="PR">#REF!</definedName>
    <definedName name="Print_Area_MI" localSheetId="18">#REF!</definedName>
    <definedName name="Print_Area_MI" localSheetId="19">#REF!</definedName>
    <definedName name="Print_Area_MI">#REF!</definedName>
    <definedName name="print_end" localSheetId="18">#REF!</definedName>
    <definedName name="print_end" localSheetId="19">#REF!</definedName>
    <definedName name="print_end">#REF!</definedName>
    <definedName name="PRIOR" localSheetId="18">#REF!</definedName>
    <definedName name="PRIOR" localSheetId="19">#REF!</definedName>
    <definedName name="PRIOR">#REF!</definedName>
    <definedName name="Ratebase" localSheetId="18">'[7]Distribution Revenue by Source'!$C$25</definedName>
    <definedName name="Ratebase">'[8]Distribution Revenue by Source'!$C$25</definedName>
    <definedName name="RevReqLookupKey">[6]Refs!$B$5</definedName>
    <definedName name="RevReqRange">[6]Refs!$B$7</definedName>
    <definedName name="RVCASHPR" localSheetId="18">#REF!</definedName>
    <definedName name="RVCASHPR" localSheetId="19">#REF!</definedName>
    <definedName name="RVCASHPR">#REF!</definedName>
    <definedName name="SALBENF" localSheetId="18">#REF!</definedName>
    <definedName name="SALBENF" localSheetId="19">#REF!</definedName>
    <definedName name="SALBENF">#REF!</definedName>
    <definedName name="salreg" localSheetId="18">#REF!</definedName>
    <definedName name="salreg" localSheetId="19">#REF!</definedName>
    <definedName name="salreg">#REF!</definedName>
    <definedName name="SALREGF" localSheetId="18">#REF!</definedName>
    <definedName name="SALREGF">#REF!</definedName>
    <definedName name="SOURCEAPP" localSheetId="18">#REF!</definedName>
    <definedName name="SOURCEAPP">#REF!</definedName>
    <definedName name="STATS1" localSheetId="18">#REF!</definedName>
    <definedName name="STATS1">#REF!</definedName>
    <definedName name="STATS2" localSheetId="18">#REF!</definedName>
    <definedName name="STATS2">#REF!</definedName>
    <definedName name="Surtax" localSheetId="18">#REF!</definedName>
    <definedName name="Surtax">#REF!</definedName>
    <definedName name="TEMPA" localSheetId="18">#REF!</definedName>
    <definedName name="TEMPA">#REF!</definedName>
    <definedName name="TestYr">'[5]A1.Admin'!$C$13</definedName>
    <definedName name="TestYrPL">'[10]Revenue Requirement'!$B$10</definedName>
    <definedName name="total_dept" localSheetId="18">#REF!</definedName>
    <definedName name="total_dept" localSheetId="19">#REF!</definedName>
    <definedName name="total_dept">#REF!</definedName>
    <definedName name="total_manpower" localSheetId="18">#REF!</definedName>
    <definedName name="total_manpower" localSheetId="19">#REF!</definedName>
    <definedName name="total_manpower">#REF!</definedName>
    <definedName name="total_material" localSheetId="18">#REF!</definedName>
    <definedName name="total_material" localSheetId="19">#REF!</definedName>
    <definedName name="total_material">#REF!</definedName>
    <definedName name="total_other" localSheetId="18">#REF!</definedName>
    <definedName name="total_other">#REF!</definedName>
    <definedName name="total_transportation" localSheetId="18">#REF!</definedName>
    <definedName name="total_transportation">#REF!</definedName>
    <definedName name="TOTCAPADDITIONS" localSheetId="18">#REF!</definedName>
    <definedName name="TOTCAPADDITIONS">#REF!</definedName>
    <definedName name="TRANBUD" localSheetId="18">#REF!</definedName>
    <definedName name="TRANBUD">#REF!</definedName>
    <definedName name="TRANEND" localSheetId="18">#REF!</definedName>
    <definedName name="TRANEND">#REF!</definedName>
    <definedName name="TRANSCAP" localSheetId="18">#REF!</definedName>
    <definedName name="TRANSCAP">#REF!</definedName>
    <definedName name="TRANSFER" localSheetId="18">#REF!</definedName>
    <definedName name="TRANSFER">#REF!</definedName>
    <definedName name="transportation_costs" localSheetId="18">#REF!</definedName>
    <definedName name="transportation_costs">#REF!</definedName>
    <definedName name="TRANSTART" localSheetId="18">#REF!</definedName>
    <definedName name="TRANSTART">#REF!</definedName>
    <definedName name="trn_beg_bud" localSheetId="18">#REF!</definedName>
    <definedName name="trn_beg_bud">#REF!</definedName>
    <definedName name="trn_end_bud" localSheetId="18">#REF!</definedName>
    <definedName name="trn_end_bud">#REF!</definedName>
    <definedName name="trn12ACT" localSheetId="18">#REF!</definedName>
    <definedName name="trn12ACT">#REF!</definedName>
    <definedName name="trnCYACT" localSheetId="18">#REF!</definedName>
    <definedName name="trnCYACT">#REF!</definedName>
    <definedName name="trnCYBUD" localSheetId="18">#REF!</definedName>
    <definedName name="trnCYBUD">#REF!</definedName>
    <definedName name="trnCYF" localSheetId="18">#REF!</definedName>
    <definedName name="trnCYF">#REF!</definedName>
    <definedName name="trnNYbud" localSheetId="18">#REF!</definedName>
    <definedName name="trnNYbud">#REF!</definedName>
    <definedName name="trnPYACT" localSheetId="18">#REF!</definedName>
    <definedName name="trnPYACT">#REF!</definedName>
    <definedName name="Utility">[9]Financials!$A$1</definedName>
    <definedName name="utitliy1">[11]Financials!$A$1</definedName>
    <definedName name="WAGBENF" localSheetId="18">#REF!</definedName>
    <definedName name="WAGBENF" localSheetId="19">#REF!</definedName>
    <definedName name="WAGBENF">#REF!</definedName>
    <definedName name="wagdob" localSheetId="18">#REF!</definedName>
    <definedName name="wagdob" localSheetId="19">#REF!</definedName>
    <definedName name="wagdob">#REF!</definedName>
    <definedName name="wagdobf" localSheetId="18">#REF!</definedName>
    <definedName name="wagdobf" localSheetId="19">#REF!</definedName>
    <definedName name="wagdobf">#REF!</definedName>
    <definedName name="wagreg" localSheetId="18">#REF!</definedName>
    <definedName name="wagreg">#REF!</definedName>
    <definedName name="wagregf" localSheetId="18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2" i="14" l="1"/>
  <c r="B123" i="14"/>
  <c r="B124" i="14"/>
  <c r="B125" i="14"/>
  <c r="B126" i="14"/>
  <c r="B127" i="14"/>
  <c r="B128" i="14"/>
  <c r="B129" i="14"/>
  <c r="B130" i="14"/>
  <c r="N14" i="35"/>
  <c r="F88" i="35"/>
  <c r="F87" i="35"/>
  <c r="E88" i="35"/>
  <c r="E87" i="35"/>
  <c r="F86" i="35"/>
  <c r="E86" i="35"/>
  <c r="D88" i="35"/>
  <c r="D87" i="35"/>
  <c r="D86" i="35"/>
  <c r="R15" i="34"/>
  <c r="Q15" i="34"/>
  <c r="P15" i="34"/>
  <c r="O15" i="34"/>
  <c r="N15" i="34"/>
  <c r="M15" i="34"/>
  <c r="L15" i="34"/>
  <c r="M6" i="34"/>
  <c r="M5" i="34"/>
  <c r="M4" i="34"/>
  <c r="L4" i="34"/>
  <c r="M25" i="34"/>
  <c r="M26" i="34"/>
  <c r="L26" i="34"/>
  <c r="L25" i="34"/>
  <c r="K147" i="28" l="1"/>
  <c r="K148" i="28"/>
  <c r="K149" i="28"/>
  <c r="K150" i="28"/>
  <c r="T150" i="28" s="1"/>
  <c r="K151" i="28"/>
  <c r="K152" i="28"/>
  <c r="K153" i="28"/>
  <c r="T153" i="28" s="1"/>
  <c r="K154" i="28"/>
  <c r="T154" i="28" s="1"/>
  <c r="K155" i="28"/>
  <c r="K156" i="28"/>
  <c r="K157" i="28"/>
  <c r="K158" i="28"/>
  <c r="T158" i="28" s="1"/>
  <c r="K159" i="28"/>
  <c r="K160" i="28"/>
  <c r="K161" i="28"/>
  <c r="T161" i="28" s="1"/>
  <c r="K162" i="28"/>
  <c r="T162" i="28" s="1"/>
  <c r="K163" i="28"/>
  <c r="K164" i="28"/>
  <c r="K165" i="28"/>
  <c r="K166" i="28"/>
  <c r="T166" i="28" s="1"/>
  <c r="K167" i="28"/>
  <c r="K168" i="28"/>
  <c r="K169" i="28"/>
  <c r="T169" i="28" s="1"/>
  <c r="K170" i="28"/>
  <c r="K171" i="28"/>
  <c r="K172" i="28"/>
  <c r="K173" i="28"/>
  <c r="K174" i="28"/>
  <c r="T174" i="28" s="1"/>
  <c r="K175" i="28"/>
  <c r="T175" i="28" s="1"/>
  <c r="K176" i="28"/>
  <c r="K177" i="28"/>
  <c r="T177" i="28" s="1"/>
  <c r="K178" i="28"/>
  <c r="T178" i="28" s="1"/>
  <c r="K179" i="28"/>
  <c r="K180" i="28"/>
  <c r="K181" i="28"/>
  <c r="K182" i="28"/>
  <c r="K183" i="28"/>
  <c r="T183" i="28" s="1"/>
  <c r="K184" i="28"/>
  <c r="K185" i="28"/>
  <c r="T185" i="28" s="1"/>
  <c r="K186" i="28"/>
  <c r="T186" i="28" s="1"/>
  <c r="K187" i="28"/>
  <c r="K188" i="28"/>
  <c r="K189" i="28"/>
  <c r="K190" i="28"/>
  <c r="T190" i="28" s="1"/>
  <c r="K191" i="28"/>
  <c r="T191" i="28" s="1"/>
  <c r="K192" i="28"/>
  <c r="K193" i="28"/>
  <c r="T193" i="28" s="1"/>
  <c r="K146" i="28"/>
  <c r="T170" i="28"/>
  <c r="T146" i="28"/>
  <c r="K123" i="28"/>
  <c r="K124" i="28"/>
  <c r="K125" i="28"/>
  <c r="K126" i="28"/>
  <c r="T126" i="28" s="1"/>
  <c r="K127" i="28"/>
  <c r="K128" i="28"/>
  <c r="K129" i="28"/>
  <c r="K130" i="28"/>
  <c r="K131" i="28"/>
  <c r="K132" i="28"/>
  <c r="K133" i="28"/>
  <c r="K134" i="28"/>
  <c r="T134" i="28" s="1"/>
  <c r="K135" i="28"/>
  <c r="K136" i="28"/>
  <c r="K137" i="28"/>
  <c r="K138" i="28"/>
  <c r="T138" i="28" s="1"/>
  <c r="K139" i="28"/>
  <c r="K140" i="28"/>
  <c r="K141" i="28"/>
  <c r="K142" i="28"/>
  <c r="T142" i="28" s="1"/>
  <c r="K143" i="28"/>
  <c r="K144" i="28"/>
  <c r="K145" i="28"/>
  <c r="K122" i="2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J122" i="28"/>
  <c r="J123" i="28"/>
  <c r="J124" i="28"/>
  <c r="J125" i="28"/>
  <c r="S125" i="28" s="1"/>
  <c r="J126" i="28"/>
  <c r="J127" i="28"/>
  <c r="J128" i="28"/>
  <c r="J129" i="28"/>
  <c r="S129" i="28" s="1"/>
  <c r="J130" i="28"/>
  <c r="J131" i="28"/>
  <c r="J132" i="28"/>
  <c r="J133" i="28"/>
  <c r="S133" i="28" s="1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T3" i="28"/>
  <c r="S4" i="28"/>
  <c r="T4" i="28"/>
  <c r="T5" i="28"/>
  <c r="S6" i="28"/>
  <c r="T6" i="28"/>
  <c r="S7" i="28"/>
  <c r="T7" i="28"/>
  <c r="S8" i="28"/>
  <c r="T8" i="28"/>
  <c r="T9" i="28"/>
  <c r="S10" i="28"/>
  <c r="T10" i="28"/>
  <c r="S11" i="28"/>
  <c r="T11" i="28"/>
  <c r="S12" i="28"/>
  <c r="T12" i="28"/>
  <c r="T13" i="28"/>
  <c r="S14" i="28"/>
  <c r="T14" i="28"/>
  <c r="S15" i="28"/>
  <c r="T15" i="28"/>
  <c r="S16" i="28"/>
  <c r="T16" i="28"/>
  <c r="T17" i="28"/>
  <c r="S18" i="28"/>
  <c r="T18" i="28"/>
  <c r="S19" i="28"/>
  <c r="T19" i="28"/>
  <c r="S20" i="28"/>
  <c r="T20" i="28"/>
  <c r="T21" i="28"/>
  <c r="S22" i="28"/>
  <c r="T22" i="28"/>
  <c r="S23" i="28"/>
  <c r="T23" i="28"/>
  <c r="S24" i="28"/>
  <c r="T24" i="28"/>
  <c r="T25" i="28"/>
  <c r="S26" i="28"/>
  <c r="T26" i="28"/>
  <c r="S27" i="28"/>
  <c r="T27" i="28"/>
  <c r="S28" i="28"/>
  <c r="T28" i="28"/>
  <c r="T29" i="28"/>
  <c r="S30" i="28"/>
  <c r="T30" i="28"/>
  <c r="S31" i="28"/>
  <c r="T31" i="28"/>
  <c r="S32" i="28"/>
  <c r="T32" i="28"/>
  <c r="T33" i="28"/>
  <c r="S34" i="28"/>
  <c r="T34" i="28"/>
  <c r="S35" i="28"/>
  <c r="T35" i="28"/>
  <c r="S36" i="28"/>
  <c r="T36" i="28"/>
  <c r="T37" i="28"/>
  <c r="S38" i="28"/>
  <c r="T38" i="28"/>
  <c r="S39" i="28"/>
  <c r="T39" i="28"/>
  <c r="S40" i="28"/>
  <c r="T40" i="28"/>
  <c r="T41" i="28"/>
  <c r="S42" i="28"/>
  <c r="T42" i="28"/>
  <c r="S43" i="28"/>
  <c r="T43" i="28"/>
  <c r="S44" i="28"/>
  <c r="T44" i="28"/>
  <c r="T45" i="28"/>
  <c r="S46" i="28"/>
  <c r="T46" i="28"/>
  <c r="S47" i="28"/>
  <c r="T47" i="28"/>
  <c r="S48" i="28"/>
  <c r="T48" i="28"/>
  <c r="T49" i="28"/>
  <c r="S50" i="28"/>
  <c r="T50" i="28"/>
  <c r="S51" i="28"/>
  <c r="T51" i="28"/>
  <c r="S52" i="28"/>
  <c r="T52" i="28"/>
  <c r="T53" i="28"/>
  <c r="S54" i="28"/>
  <c r="T54" i="28"/>
  <c r="S55" i="28"/>
  <c r="T55" i="28"/>
  <c r="S56" i="28"/>
  <c r="T56" i="28"/>
  <c r="T57" i="28"/>
  <c r="S58" i="28"/>
  <c r="T58" i="28"/>
  <c r="S59" i="28"/>
  <c r="T59" i="28"/>
  <c r="S60" i="28"/>
  <c r="T60" i="28"/>
  <c r="T61" i="28"/>
  <c r="S62" i="28"/>
  <c r="T62" i="28"/>
  <c r="S63" i="28"/>
  <c r="T63" i="28"/>
  <c r="S64" i="28"/>
  <c r="T64" i="28"/>
  <c r="T65" i="28"/>
  <c r="S66" i="28"/>
  <c r="T66" i="28"/>
  <c r="S67" i="28"/>
  <c r="T67" i="28"/>
  <c r="S68" i="28"/>
  <c r="T68" i="28"/>
  <c r="T69" i="28"/>
  <c r="S70" i="28"/>
  <c r="T70" i="28"/>
  <c r="S71" i="28"/>
  <c r="T71" i="28"/>
  <c r="S72" i="28"/>
  <c r="T72" i="28"/>
  <c r="T73" i="28"/>
  <c r="S74" i="28"/>
  <c r="T74" i="28"/>
  <c r="S75" i="28"/>
  <c r="T75" i="28"/>
  <c r="S76" i="28"/>
  <c r="T76" i="28"/>
  <c r="T77" i="28"/>
  <c r="S78" i="28"/>
  <c r="T78" i="28"/>
  <c r="S79" i="28"/>
  <c r="T79" i="28"/>
  <c r="S80" i="28"/>
  <c r="T80" i="28"/>
  <c r="T81" i="28"/>
  <c r="S82" i="28"/>
  <c r="T82" i="28"/>
  <c r="S83" i="28"/>
  <c r="T83" i="28"/>
  <c r="S84" i="28"/>
  <c r="T84" i="28"/>
  <c r="T85" i="28"/>
  <c r="S86" i="28"/>
  <c r="T86" i="28"/>
  <c r="S87" i="28"/>
  <c r="T87" i="28"/>
  <c r="S88" i="28"/>
  <c r="T88" i="28"/>
  <c r="T89" i="28"/>
  <c r="S90" i="28"/>
  <c r="T90" i="28"/>
  <c r="S91" i="28"/>
  <c r="T91" i="28"/>
  <c r="S92" i="28"/>
  <c r="T92" i="28"/>
  <c r="T93" i="28"/>
  <c r="S94" i="28"/>
  <c r="T94" i="28"/>
  <c r="S95" i="28"/>
  <c r="T95" i="28"/>
  <c r="S96" i="28"/>
  <c r="T96" i="28"/>
  <c r="T97" i="28"/>
  <c r="S98" i="28"/>
  <c r="T98" i="28"/>
  <c r="S99" i="28"/>
  <c r="T99" i="28"/>
  <c r="S100" i="28"/>
  <c r="T100" i="28"/>
  <c r="T101" i="28"/>
  <c r="S102" i="28"/>
  <c r="T102" i="28"/>
  <c r="S103" i="28"/>
  <c r="T103" i="28"/>
  <c r="S104" i="28"/>
  <c r="T104" i="28"/>
  <c r="T105" i="28"/>
  <c r="S106" i="28"/>
  <c r="T106" i="28"/>
  <c r="S107" i="28"/>
  <c r="T107" i="28"/>
  <c r="S108" i="28"/>
  <c r="T108" i="28"/>
  <c r="T109" i="28"/>
  <c r="S110" i="28"/>
  <c r="T110" i="28"/>
  <c r="S111" i="28"/>
  <c r="T111" i="28"/>
  <c r="S112" i="28"/>
  <c r="T112" i="28"/>
  <c r="T113" i="28"/>
  <c r="S114" i="28"/>
  <c r="T114" i="28"/>
  <c r="S115" i="28"/>
  <c r="T115" i="28"/>
  <c r="S116" i="28"/>
  <c r="T116" i="28"/>
  <c r="T117" i="28"/>
  <c r="S118" i="28"/>
  <c r="T118" i="28"/>
  <c r="S119" i="28"/>
  <c r="T119" i="28"/>
  <c r="S120" i="28"/>
  <c r="T120" i="28"/>
  <c r="T121" i="28"/>
  <c r="S122" i="28"/>
  <c r="T122" i="28"/>
  <c r="S123" i="28"/>
  <c r="T123" i="28"/>
  <c r="S124" i="28"/>
  <c r="T124" i="28"/>
  <c r="T125" i="28"/>
  <c r="S126" i="28"/>
  <c r="S127" i="28"/>
  <c r="T127" i="28"/>
  <c r="S128" i="28"/>
  <c r="T128" i="28"/>
  <c r="T129" i="28"/>
  <c r="S130" i="28"/>
  <c r="T130" i="28"/>
  <c r="S131" i="28"/>
  <c r="T131" i="28"/>
  <c r="S132" i="28"/>
  <c r="T132" i="28"/>
  <c r="T133" i="28"/>
  <c r="S134" i="28"/>
  <c r="S135" i="28"/>
  <c r="T135" i="28"/>
  <c r="S136" i="28"/>
  <c r="T136" i="28"/>
  <c r="T137" i="28"/>
  <c r="S138" i="28"/>
  <c r="S139" i="28"/>
  <c r="T139" i="28"/>
  <c r="S140" i="28"/>
  <c r="T140" i="28"/>
  <c r="T141" i="28"/>
  <c r="S142" i="28"/>
  <c r="S143" i="28"/>
  <c r="T143" i="28"/>
  <c r="S144" i="28"/>
  <c r="T144" i="28"/>
  <c r="T145" i="28"/>
  <c r="S146" i="28"/>
  <c r="S147" i="28"/>
  <c r="T147" i="28"/>
  <c r="S148" i="28"/>
  <c r="T148" i="28"/>
  <c r="T149" i="28"/>
  <c r="S150" i="28"/>
  <c r="S151" i="28"/>
  <c r="T151" i="28"/>
  <c r="S152" i="28"/>
  <c r="T152" i="28"/>
  <c r="S154" i="28"/>
  <c r="S155" i="28"/>
  <c r="T155" i="28"/>
  <c r="S156" i="28"/>
  <c r="T156" i="28"/>
  <c r="T157" i="28"/>
  <c r="S158" i="28"/>
  <c r="S159" i="28"/>
  <c r="T159" i="28"/>
  <c r="S160" i="28"/>
  <c r="T160" i="28"/>
  <c r="S162" i="28"/>
  <c r="S163" i="28"/>
  <c r="T163" i="28"/>
  <c r="S164" i="28"/>
  <c r="T164" i="28"/>
  <c r="T165" i="28"/>
  <c r="S166" i="28"/>
  <c r="S167" i="28"/>
  <c r="T167" i="28"/>
  <c r="S168" i="28"/>
  <c r="T168" i="28"/>
  <c r="S170" i="28"/>
  <c r="S171" i="28"/>
  <c r="T171" i="28"/>
  <c r="S172" i="28"/>
  <c r="T172" i="28"/>
  <c r="T173" i="28"/>
  <c r="S174" i="28"/>
  <c r="S175" i="28"/>
  <c r="S176" i="28"/>
  <c r="T176" i="28"/>
  <c r="S178" i="28"/>
  <c r="S179" i="28"/>
  <c r="T179" i="28"/>
  <c r="S180" i="28"/>
  <c r="T180" i="28"/>
  <c r="T181" i="28"/>
  <c r="S182" i="28"/>
  <c r="S183" i="28"/>
  <c r="S184" i="28"/>
  <c r="T184" i="28"/>
  <c r="S186" i="28"/>
  <c r="S187" i="28"/>
  <c r="T187" i="28"/>
  <c r="S188" i="28"/>
  <c r="T188" i="28"/>
  <c r="T189" i="28"/>
  <c r="S190" i="28"/>
  <c r="S191" i="28"/>
  <c r="S192" i="28"/>
  <c r="T192" i="28"/>
  <c r="T2" i="28"/>
  <c r="S2" i="28"/>
  <c r="S1" i="28"/>
  <c r="T1" i="28"/>
  <c r="K2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" i="28"/>
  <c r="J1" i="28"/>
  <c r="I1" i="28"/>
  <c r="H1" i="28"/>
  <c r="G1" i="28"/>
  <c r="F1" i="28"/>
  <c r="E1" i="28"/>
  <c r="D1" i="28"/>
  <c r="C1" i="28"/>
  <c r="B1" i="28"/>
  <c r="A1" i="28"/>
  <c r="I3" i="28"/>
  <c r="I2" i="28"/>
  <c r="Q3" i="26"/>
  <c r="R3" i="26"/>
  <c r="S3" i="26"/>
  <c r="T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R12" i="26"/>
  <c r="S12" i="26"/>
  <c r="T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Q30" i="26"/>
  <c r="R30" i="26"/>
  <c r="S30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Q35" i="26"/>
  <c r="R35" i="26"/>
  <c r="S35" i="26"/>
  <c r="T35" i="26"/>
  <c r="Q36" i="26"/>
  <c r="R36" i="26"/>
  <c r="S36" i="26"/>
  <c r="T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Q63" i="26"/>
  <c r="R63" i="26"/>
  <c r="S63" i="26"/>
  <c r="T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Q68" i="26"/>
  <c r="R68" i="26"/>
  <c r="S68" i="26"/>
  <c r="T68" i="26"/>
  <c r="Q69" i="26"/>
  <c r="R69" i="26"/>
  <c r="S69" i="26"/>
  <c r="T69" i="26"/>
  <c r="Q70" i="26"/>
  <c r="R70" i="26"/>
  <c r="S70" i="26"/>
  <c r="T70" i="26"/>
  <c r="Q71" i="26"/>
  <c r="R71" i="26"/>
  <c r="S71" i="26"/>
  <c r="T71" i="26"/>
  <c r="Q72" i="26"/>
  <c r="R72" i="26"/>
  <c r="S72" i="26"/>
  <c r="T72" i="26"/>
  <c r="Q73" i="26"/>
  <c r="R73" i="26"/>
  <c r="S73" i="26"/>
  <c r="T73" i="26"/>
  <c r="Q74" i="26"/>
  <c r="R74" i="26"/>
  <c r="S74" i="26"/>
  <c r="T74" i="26"/>
  <c r="Q75" i="26"/>
  <c r="R75" i="26"/>
  <c r="S75" i="26"/>
  <c r="T75" i="26"/>
  <c r="Q76" i="26"/>
  <c r="R76" i="26"/>
  <c r="S76" i="26"/>
  <c r="T76" i="26"/>
  <c r="Q77" i="26"/>
  <c r="R77" i="26"/>
  <c r="S77" i="26"/>
  <c r="T77" i="26"/>
  <c r="Q78" i="26"/>
  <c r="R78" i="26"/>
  <c r="S78" i="26"/>
  <c r="T78" i="26"/>
  <c r="Q79" i="26"/>
  <c r="R79" i="26"/>
  <c r="S79" i="26"/>
  <c r="T79" i="26"/>
  <c r="Q80" i="26"/>
  <c r="R80" i="26"/>
  <c r="S80" i="26"/>
  <c r="T80" i="26"/>
  <c r="Q81" i="26"/>
  <c r="R81" i="26"/>
  <c r="S81" i="26"/>
  <c r="T81" i="26"/>
  <c r="Q82" i="26"/>
  <c r="R82" i="26"/>
  <c r="S82" i="26"/>
  <c r="T82" i="26"/>
  <c r="Q83" i="26"/>
  <c r="R83" i="26"/>
  <c r="S83" i="26"/>
  <c r="T83" i="26"/>
  <c r="Q84" i="26"/>
  <c r="R84" i="26"/>
  <c r="S84" i="26"/>
  <c r="T84" i="26"/>
  <c r="Q85" i="26"/>
  <c r="R85" i="26"/>
  <c r="S85" i="26"/>
  <c r="T85" i="26"/>
  <c r="Q86" i="26"/>
  <c r="R86" i="26"/>
  <c r="S86" i="26"/>
  <c r="T86" i="26"/>
  <c r="Q87" i="26"/>
  <c r="R87" i="26"/>
  <c r="S87" i="26"/>
  <c r="T87" i="26"/>
  <c r="Q88" i="26"/>
  <c r="R88" i="26"/>
  <c r="S88" i="26"/>
  <c r="T88" i="26"/>
  <c r="Q89" i="26"/>
  <c r="R89" i="26"/>
  <c r="S89" i="26"/>
  <c r="T89" i="26"/>
  <c r="Q90" i="26"/>
  <c r="R90" i="26"/>
  <c r="S90" i="26"/>
  <c r="T90" i="26"/>
  <c r="Q91" i="26"/>
  <c r="R91" i="26"/>
  <c r="S91" i="26"/>
  <c r="T91" i="26"/>
  <c r="Q92" i="26"/>
  <c r="R92" i="26"/>
  <c r="S92" i="26"/>
  <c r="T92" i="26"/>
  <c r="Q93" i="26"/>
  <c r="R93" i="26"/>
  <c r="S93" i="26"/>
  <c r="T93" i="26"/>
  <c r="Q94" i="26"/>
  <c r="R94" i="26"/>
  <c r="S94" i="26"/>
  <c r="T94" i="26"/>
  <c r="Q95" i="26"/>
  <c r="R95" i="26"/>
  <c r="S95" i="26"/>
  <c r="T95" i="26"/>
  <c r="Q96" i="26"/>
  <c r="R96" i="26"/>
  <c r="S96" i="26"/>
  <c r="T96" i="26"/>
  <c r="Q97" i="26"/>
  <c r="R97" i="26"/>
  <c r="S97" i="26"/>
  <c r="T97" i="26"/>
  <c r="Q98" i="26"/>
  <c r="R98" i="26"/>
  <c r="S98" i="26"/>
  <c r="T98" i="26"/>
  <c r="Q99" i="26"/>
  <c r="R99" i="26"/>
  <c r="S99" i="26"/>
  <c r="T99" i="26"/>
  <c r="Q100" i="26"/>
  <c r="R100" i="26"/>
  <c r="S100" i="26"/>
  <c r="T100" i="26"/>
  <c r="Q101" i="26"/>
  <c r="R101" i="26"/>
  <c r="S101" i="26"/>
  <c r="T101" i="26"/>
  <c r="Q102" i="26"/>
  <c r="R102" i="26"/>
  <c r="S102" i="26"/>
  <c r="T102" i="26"/>
  <c r="Q103" i="26"/>
  <c r="R103" i="26"/>
  <c r="S103" i="26"/>
  <c r="T103" i="26"/>
  <c r="Q104" i="26"/>
  <c r="R104" i="26"/>
  <c r="S104" i="26"/>
  <c r="T104" i="26"/>
  <c r="Q105" i="26"/>
  <c r="R105" i="26"/>
  <c r="S105" i="26"/>
  <c r="T105" i="26"/>
  <c r="Q106" i="26"/>
  <c r="R106" i="26"/>
  <c r="S106" i="26"/>
  <c r="T106" i="26"/>
  <c r="Q107" i="26"/>
  <c r="R107" i="26"/>
  <c r="S107" i="26"/>
  <c r="T107" i="26"/>
  <c r="Q108" i="26"/>
  <c r="R108" i="26"/>
  <c r="S108" i="26"/>
  <c r="T108" i="26"/>
  <c r="Q109" i="26"/>
  <c r="R109" i="26"/>
  <c r="S109" i="26"/>
  <c r="T109" i="26"/>
  <c r="Q110" i="26"/>
  <c r="R110" i="26"/>
  <c r="S110" i="26"/>
  <c r="T110" i="26"/>
  <c r="Q111" i="26"/>
  <c r="R111" i="26"/>
  <c r="S111" i="26"/>
  <c r="T111" i="26"/>
  <c r="Q112" i="26"/>
  <c r="R112" i="26"/>
  <c r="S112" i="26"/>
  <c r="T112" i="26"/>
  <c r="Q113" i="26"/>
  <c r="R113" i="26"/>
  <c r="S113" i="26"/>
  <c r="T113" i="26"/>
  <c r="Q114" i="26"/>
  <c r="R114" i="26"/>
  <c r="S114" i="26"/>
  <c r="T114" i="26"/>
  <c r="Q115" i="26"/>
  <c r="R115" i="26"/>
  <c r="S115" i="26"/>
  <c r="T115" i="26"/>
  <c r="Q116" i="26"/>
  <c r="R116" i="26"/>
  <c r="S116" i="26"/>
  <c r="T116" i="26"/>
  <c r="Q117" i="26"/>
  <c r="R117" i="26"/>
  <c r="S117" i="26"/>
  <c r="T117" i="26"/>
  <c r="Q118" i="26"/>
  <c r="R118" i="26"/>
  <c r="S118" i="26"/>
  <c r="T118" i="26"/>
  <c r="Q119" i="26"/>
  <c r="R119" i="26"/>
  <c r="S119" i="26"/>
  <c r="T119" i="26"/>
  <c r="Q120" i="26"/>
  <c r="R120" i="26"/>
  <c r="S120" i="26"/>
  <c r="T120" i="26"/>
  <c r="Q121" i="26"/>
  <c r="R121" i="26"/>
  <c r="S121" i="26"/>
  <c r="T121" i="26"/>
  <c r="Q122" i="26"/>
  <c r="T122" i="26"/>
  <c r="Q123" i="26"/>
  <c r="T123" i="26"/>
  <c r="Q124" i="26"/>
  <c r="T124" i="26"/>
  <c r="Q125" i="26"/>
  <c r="T125" i="26"/>
  <c r="Q126" i="26"/>
  <c r="T126" i="26"/>
  <c r="Q127" i="26"/>
  <c r="T127" i="26"/>
  <c r="Q128" i="26"/>
  <c r="T128" i="26"/>
  <c r="Q129" i="26"/>
  <c r="T129" i="26"/>
  <c r="Q130" i="26"/>
  <c r="T130" i="26"/>
  <c r="Q131" i="26"/>
  <c r="T131" i="26"/>
  <c r="Q132" i="26"/>
  <c r="T132" i="26"/>
  <c r="Q133" i="26"/>
  <c r="T133" i="26"/>
  <c r="Q134" i="26"/>
  <c r="T134" i="26"/>
  <c r="Q135" i="26"/>
  <c r="T135" i="26"/>
  <c r="Q136" i="26"/>
  <c r="T136" i="26"/>
  <c r="Q137" i="26"/>
  <c r="T137" i="26"/>
  <c r="Q138" i="26"/>
  <c r="T138" i="26"/>
  <c r="Q139" i="26"/>
  <c r="T139" i="26"/>
  <c r="Q140" i="26"/>
  <c r="T140" i="26"/>
  <c r="Q141" i="26"/>
  <c r="T141" i="26"/>
  <c r="Q142" i="26"/>
  <c r="T142" i="26"/>
  <c r="Q143" i="26"/>
  <c r="T143" i="26"/>
  <c r="Q144" i="26"/>
  <c r="T144" i="26"/>
  <c r="Q145" i="26"/>
  <c r="T145" i="26"/>
  <c r="Q146" i="26"/>
  <c r="T146" i="26"/>
  <c r="Q147" i="26"/>
  <c r="T147" i="26"/>
  <c r="Q148" i="26"/>
  <c r="T148" i="26"/>
  <c r="Q149" i="26"/>
  <c r="T149" i="26"/>
  <c r="Q150" i="26"/>
  <c r="T150" i="26"/>
  <c r="Q151" i="26"/>
  <c r="T151" i="26"/>
  <c r="Q152" i="26"/>
  <c r="T152" i="26"/>
  <c r="Q153" i="26"/>
  <c r="T153" i="26"/>
  <c r="Q154" i="26"/>
  <c r="T154" i="26"/>
  <c r="Q155" i="26"/>
  <c r="T155" i="26"/>
  <c r="Q156" i="26"/>
  <c r="T156" i="26"/>
  <c r="Q157" i="26"/>
  <c r="T157" i="26"/>
  <c r="Q158" i="26"/>
  <c r="T158" i="26"/>
  <c r="Q159" i="26"/>
  <c r="T159" i="26"/>
  <c r="Q160" i="26"/>
  <c r="T160" i="26"/>
  <c r="Q161" i="26"/>
  <c r="T161" i="26"/>
  <c r="Q162" i="26"/>
  <c r="T162" i="26"/>
  <c r="Q163" i="26"/>
  <c r="T163" i="26"/>
  <c r="Q164" i="26"/>
  <c r="T164" i="26"/>
  <c r="Q165" i="26"/>
  <c r="T165" i="26"/>
  <c r="Q166" i="26"/>
  <c r="T166" i="26"/>
  <c r="Q167" i="26"/>
  <c r="T167" i="26"/>
  <c r="Q168" i="26"/>
  <c r="T168" i="26"/>
  <c r="Q169" i="26"/>
  <c r="T169" i="26"/>
  <c r="Q170" i="26"/>
  <c r="T170" i="26"/>
  <c r="Q171" i="26"/>
  <c r="T171" i="26"/>
  <c r="Q172" i="26"/>
  <c r="T172" i="26"/>
  <c r="Q173" i="26"/>
  <c r="T173" i="26"/>
  <c r="Q174" i="26"/>
  <c r="T174" i="26"/>
  <c r="Q175" i="26"/>
  <c r="T175" i="26"/>
  <c r="Q176" i="26"/>
  <c r="T176" i="26"/>
  <c r="Q177" i="26"/>
  <c r="T177" i="26"/>
  <c r="Q178" i="26"/>
  <c r="T178" i="26"/>
  <c r="Q179" i="26"/>
  <c r="T179" i="26"/>
  <c r="Q180" i="26"/>
  <c r="T180" i="26"/>
  <c r="Q181" i="26"/>
  <c r="T181" i="26"/>
  <c r="Q182" i="26"/>
  <c r="T182" i="26"/>
  <c r="Q183" i="26"/>
  <c r="T183" i="26"/>
  <c r="Q184" i="26"/>
  <c r="T184" i="26"/>
  <c r="Q185" i="26"/>
  <c r="T185" i="26"/>
  <c r="Q186" i="26"/>
  <c r="T186" i="26"/>
  <c r="Q187" i="26"/>
  <c r="T187" i="26"/>
  <c r="Q188" i="26"/>
  <c r="T188" i="26"/>
  <c r="Q189" i="26"/>
  <c r="T189" i="26"/>
  <c r="Q190" i="26"/>
  <c r="T190" i="26"/>
  <c r="Q191" i="26"/>
  <c r="T191" i="26"/>
  <c r="Q192" i="26"/>
  <c r="T192" i="26"/>
  <c r="Q193" i="26"/>
  <c r="T193" i="26"/>
  <c r="T2" i="26"/>
  <c r="S2" i="26"/>
  <c r="R2" i="26"/>
  <c r="Q2" i="26"/>
  <c r="V3" i="33"/>
  <c r="V4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2" i="33"/>
  <c r="T3" i="33"/>
  <c r="T4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2" i="33"/>
  <c r="T1" i="33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J2" i="33"/>
  <c r="K2" i="33"/>
  <c r="J3" i="33"/>
  <c r="K3" i="33"/>
  <c r="I3" i="33"/>
  <c r="I2" i="33"/>
  <c r="K1" i="33"/>
  <c r="J1" i="33"/>
  <c r="I1" i="33"/>
  <c r="S3" i="23"/>
  <c r="T3" i="23"/>
  <c r="S4" i="23"/>
  <c r="T4" i="23"/>
  <c r="S5" i="23"/>
  <c r="T5" i="23"/>
  <c r="S6" i="23"/>
  <c r="T6" i="23"/>
  <c r="S7" i="23"/>
  <c r="T7" i="23"/>
  <c r="S8" i="23"/>
  <c r="T8" i="23"/>
  <c r="S9" i="23"/>
  <c r="T9" i="23"/>
  <c r="S10" i="23"/>
  <c r="T10" i="23"/>
  <c r="S11" i="23"/>
  <c r="T11" i="23"/>
  <c r="S12" i="23"/>
  <c r="T12" i="23"/>
  <c r="S13" i="23"/>
  <c r="T13" i="23"/>
  <c r="S14" i="23"/>
  <c r="T14" i="23"/>
  <c r="S15" i="23"/>
  <c r="T15" i="23"/>
  <c r="S16" i="23"/>
  <c r="T16" i="23"/>
  <c r="S17" i="23"/>
  <c r="T17" i="23"/>
  <c r="S18" i="23"/>
  <c r="T18" i="23"/>
  <c r="S19" i="23"/>
  <c r="T19" i="23"/>
  <c r="S20" i="23"/>
  <c r="T20" i="23"/>
  <c r="S21" i="23"/>
  <c r="T21" i="23"/>
  <c r="S22" i="23"/>
  <c r="T22" i="23"/>
  <c r="S23" i="23"/>
  <c r="T23" i="23"/>
  <c r="S24" i="23"/>
  <c r="T24" i="23"/>
  <c r="S25" i="23"/>
  <c r="T25" i="23"/>
  <c r="S26" i="23"/>
  <c r="T26" i="23"/>
  <c r="S27" i="23"/>
  <c r="T27" i="23"/>
  <c r="S28" i="23"/>
  <c r="T28" i="23"/>
  <c r="S29" i="23"/>
  <c r="T29" i="23"/>
  <c r="S30" i="23"/>
  <c r="T30" i="23"/>
  <c r="S31" i="23"/>
  <c r="T31" i="23"/>
  <c r="S32" i="23"/>
  <c r="T32" i="23"/>
  <c r="S33" i="23"/>
  <c r="T33" i="23"/>
  <c r="S34" i="23"/>
  <c r="T34" i="23"/>
  <c r="S35" i="23"/>
  <c r="T35" i="23"/>
  <c r="S36" i="23"/>
  <c r="T36" i="23"/>
  <c r="S37" i="23"/>
  <c r="T37" i="23"/>
  <c r="S38" i="23"/>
  <c r="T38" i="23"/>
  <c r="S39" i="23"/>
  <c r="T39" i="23"/>
  <c r="S40" i="23"/>
  <c r="T40" i="23"/>
  <c r="S41" i="23"/>
  <c r="T41" i="23"/>
  <c r="S42" i="23"/>
  <c r="T42" i="23"/>
  <c r="S43" i="23"/>
  <c r="T43" i="23"/>
  <c r="S44" i="23"/>
  <c r="T44" i="23"/>
  <c r="S45" i="23"/>
  <c r="T45" i="23"/>
  <c r="S46" i="23"/>
  <c r="T46" i="23"/>
  <c r="S47" i="23"/>
  <c r="T47" i="23"/>
  <c r="S48" i="23"/>
  <c r="T48" i="23"/>
  <c r="S49" i="23"/>
  <c r="T49" i="23"/>
  <c r="S50" i="23"/>
  <c r="T50" i="23"/>
  <c r="S51" i="23"/>
  <c r="T51" i="23"/>
  <c r="S52" i="23"/>
  <c r="T52" i="23"/>
  <c r="S53" i="23"/>
  <c r="T53" i="23"/>
  <c r="S54" i="23"/>
  <c r="T54" i="23"/>
  <c r="S55" i="23"/>
  <c r="T55" i="23"/>
  <c r="S56" i="23"/>
  <c r="T56" i="23"/>
  <c r="S57" i="23"/>
  <c r="T57" i="23"/>
  <c r="S58" i="23"/>
  <c r="T58" i="23"/>
  <c r="S59" i="23"/>
  <c r="T59" i="23"/>
  <c r="S60" i="23"/>
  <c r="T60" i="23"/>
  <c r="S61" i="23"/>
  <c r="T61" i="23"/>
  <c r="S62" i="23"/>
  <c r="T62" i="23"/>
  <c r="S63" i="23"/>
  <c r="T63" i="23"/>
  <c r="S64" i="23"/>
  <c r="T64" i="23"/>
  <c r="S65" i="23"/>
  <c r="T65" i="23"/>
  <c r="S66" i="23"/>
  <c r="T66" i="23"/>
  <c r="S67" i="23"/>
  <c r="T67" i="23"/>
  <c r="S68" i="23"/>
  <c r="T68" i="23"/>
  <c r="S69" i="23"/>
  <c r="T69" i="23"/>
  <c r="S70" i="23"/>
  <c r="T70" i="23"/>
  <c r="S71" i="23"/>
  <c r="T71" i="23"/>
  <c r="S72" i="23"/>
  <c r="T72" i="23"/>
  <c r="S73" i="23"/>
  <c r="T73" i="23"/>
  <c r="S74" i="23"/>
  <c r="T74" i="23"/>
  <c r="S75" i="23"/>
  <c r="T75" i="23"/>
  <c r="S76" i="23"/>
  <c r="T76" i="23"/>
  <c r="S77" i="23"/>
  <c r="T77" i="23"/>
  <c r="S78" i="23"/>
  <c r="T78" i="23"/>
  <c r="S79" i="23"/>
  <c r="T79" i="23"/>
  <c r="S80" i="23"/>
  <c r="T80" i="23"/>
  <c r="S81" i="23"/>
  <c r="T81" i="23"/>
  <c r="S82" i="23"/>
  <c r="T82" i="23"/>
  <c r="S83" i="23"/>
  <c r="T83" i="23"/>
  <c r="S84" i="23"/>
  <c r="T84" i="23"/>
  <c r="S85" i="23"/>
  <c r="T85" i="23"/>
  <c r="S86" i="23"/>
  <c r="T86" i="23"/>
  <c r="S87" i="23"/>
  <c r="T87" i="23"/>
  <c r="S88" i="23"/>
  <c r="T88" i="23"/>
  <c r="S89" i="23"/>
  <c r="T89" i="23"/>
  <c r="S90" i="23"/>
  <c r="T90" i="23"/>
  <c r="S91" i="23"/>
  <c r="T91" i="23"/>
  <c r="S92" i="23"/>
  <c r="T92" i="23"/>
  <c r="S93" i="23"/>
  <c r="T93" i="23"/>
  <c r="S94" i="23"/>
  <c r="T94" i="23"/>
  <c r="S95" i="23"/>
  <c r="T95" i="23"/>
  <c r="S96" i="23"/>
  <c r="T96" i="23"/>
  <c r="S97" i="23"/>
  <c r="T97" i="23"/>
  <c r="S98" i="23"/>
  <c r="T98" i="23"/>
  <c r="S99" i="23"/>
  <c r="T99" i="23"/>
  <c r="S100" i="23"/>
  <c r="T100" i="23"/>
  <c r="S101" i="23"/>
  <c r="T101" i="23"/>
  <c r="S102" i="23"/>
  <c r="T102" i="23"/>
  <c r="S103" i="23"/>
  <c r="T103" i="23"/>
  <c r="S104" i="23"/>
  <c r="T104" i="23"/>
  <c r="S105" i="23"/>
  <c r="T105" i="23"/>
  <c r="S106" i="23"/>
  <c r="T106" i="23"/>
  <c r="S107" i="23"/>
  <c r="T107" i="23"/>
  <c r="S108" i="23"/>
  <c r="T108" i="23"/>
  <c r="S109" i="23"/>
  <c r="T109" i="23"/>
  <c r="S110" i="23"/>
  <c r="T110" i="23"/>
  <c r="S111" i="23"/>
  <c r="T111" i="23"/>
  <c r="S112" i="23"/>
  <c r="T112" i="23"/>
  <c r="S113" i="23"/>
  <c r="T113" i="23"/>
  <c r="S114" i="23"/>
  <c r="T114" i="23"/>
  <c r="S115" i="23"/>
  <c r="T115" i="23"/>
  <c r="S116" i="23"/>
  <c r="T116" i="23"/>
  <c r="S117" i="23"/>
  <c r="T117" i="23"/>
  <c r="S118" i="23"/>
  <c r="T118" i="23"/>
  <c r="S119" i="23"/>
  <c r="T119" i="23"/>
  <c r="S120" i="23"/>
  <c r="T120" i="23"/>
  <c r="S121" i="23"/>
  <c r="T121" i="23"/>
  <c r="T2" i="23"/>
  <c r="S2" i="23"/>
  <c r="S1" i="23"/>
  <c r="T1" i="23"/>
  <c r="J2" i="23"/>
  <c r="K2" i="23"/>
  <c r="J3" i="23"/>
  <c r="K3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4" i="23"/>
  <c r="K104" i="23"/>
  <c r="J105" i="23"/>
  <c r="K105" i="23"/>
  <c r="J106" i="23"/>
  <c r="K106" i="23"/>
  <c r="J107" i="23"/>
  <c r="K107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K1" i="23"/>
  <c r="J1" i="23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22" i="17"/>
  <c r="Q22" i="17"/>
  <c r="R21" i="17"/>
  <c r="Q21" i="17"/>
  <c r="R20" i="17"/>
  <c r="Q20" i="17"/>
  <c r="R19" i="17"/>
  <c r="Q19" i="17"/>
  <c r="R16" i="17"/>
  <c r="Q16" i="17"/>
  <c r="R15" i="17"/>
  <c r="Q15" i="17"/>
  <c r="R14" i="17"/>
  <c r="Q14" i="17"/>
  <c r="R13" i="17"/>
  <c r="Q13" i="17"/>
  <c r="T182" i="28" l="1"/>
  <c r="A119" i="15" l="1"/>
  <c r="B119" i="15"/>
  <c r="C119" i="15"/>
  <c r="D119" i="15"/>
  <c r="G119" i="15"/>
  <c r="J119" i="15"/>
  <c r="M119" i="15"/>
  <c r="N119" i="15"/>
  <c r="O119" i="15"/>
  <c r="P119" i="15"/>
  <c r="Q119" i="15"/>
  <c r="R119" i="15"/>
  <c r="G31" i="18" s="1"/>
  <c r="S119" i="15"/>
  <c r="T119" i="15"/>
  <c r="O31" i="18" s="1"/>
  <c r="U119" i="15"/>
  <c r="S31" i="18" s="1"/>
  <c r="V119" i="15"/>
  <c r="W119" i="15"/>
  <c r="BN119" i="15" s="1"/>
  <c r="X119" i="15"/>
  <c r="BO119" i="15" s="1"/>
  <c r="Y119" i="15"/>
  <c r="Z119" i="15"/>
  <c r="AA119" i="15"/>
  <c r="BR119" i="15" s="1"/>
  <c r="AB119" i="15"/>
  <c r="AC119" i="15"/>
  <c r="AD119" i="15"/>
  <c r="F119" i="20" s="1"/>
  <c r="O119" i="20" s="1"/>
  <c r="AE119" i="15"/>
  <c r="AF119" i="15"/>
  <c r="AG119" i="15"/>
  <c r="AH119" i="15"/>
  <c r="AI119" i="15"/>
  <c r="BZ119" i="15" s="1"/>
  <c r="AJ119" i="15"/>
  <c r="CA119" i="15" s="1"/>
  <c r="AK119" i="15"/>
  <c r="AL119" i="15"/>
  <c r="AN119" i="15"/>
  <c r="AO119" i="15"/>
  <c r="AP119" i="15"/>
  <c r="AQ119" i="15"/>
  <c r="BP119" i="15"/>
  <c r="BQ119" i="15"/>
  <c r="BT119" i="15"/>
  <c r="BU119" i="15"/>
  <c r="BX119" i="15"/>
  <c r="BY119" i="15"/>
  <c r="CB119" i="15"/>
  <c r="CC119" i="15"/>
  <c r="A120" i="15"/>
  <c r="B120" i="15"/>
  <c r="D120" i="15"/>
  <c r="G120" i="15"/>
  <c r="J120" i="15"/>
  <c r="M120" i="15"/>
  <c r="N120" i="15"/>
  <c r="O120" i="15"/>
  <c r="P120" i="15"/>
  <c r="Q120" i="15"/>
  <c r="R120" i="15"/>
  <c r="G32" i="18" s="1"/>
  <c r="S120" i="15"/>
  <c r="T120" i="15"/>
  <c r="O32" i="18" s="1"/>
  <c r="U120" i="15"/>
  <c r="S32" i="18" s="1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AI120" i="15"/>
  <c r="BZ120" i="15" s="1"/>
  <c r="AJ120" i="15"/>
  <c r="CA120" i="15" s="1"/>
  <c r="AK120" i="15"/>
  <c r="CB120" i="15" s="1"/>
  <c r="AL120" i="15"/>
  <c r="AN120" i="15"/>
  <c r="AO120" i="15"/>
  <c r="AP120" i="15"/>
  <c r="AQ120" i="15"/>
  <c r="BQ120" i="15"/>
  <c r="BU120" i="15"/>
  <c r="BY120" i="15"/>
  <c r="CC120" i="15"/>
  <c r="A121" i="15"/>
  <c r="B121" i="15"/>
  <c r="D121" i="15"/>
  <c r="G121" i="15"/>
  <c r="J121" i="15"/>
  <c r="M121" i="15"/>
  <c r="N121" i="15"/>
  <c r="O121" i="15"/>
  <c r="P121" i="15"/>
  <c r="Q121" i="15"/>
  <c r="R121" i="15"/>
  <c r="G33" i="18" s="1"/>
  <c r="S121" i="15"/>
  <c r="T121" i="15"/>
  <c r="O33" i="18" s="1"/>
  <c r="U121" i="15"/>
  <c r="S33" i="18" s="1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BV121" i="15"/>
  <c r="BZ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F121" i="33" l="1"/>
  <c r="O121" i="33" s="1"/>
  <c r="F121" i="23"/>
  <c r="O121" i="23" s="1"/>
  <c r="J120" i="26"/>
  <c r="J120" i="20"/>
  <c r="S120" i="20" s="1"/>
  <c r="C119" i="28"/>
  <c r="C119" i="33"/>
  <c r="C119" i="23"/>
  <c r="C119" i="20"/>
  <c r="C119" i="27"/>
  <c r="C119" i="22"/>
  <c r="BW121" i="15"/>
  <c r="U121" i="33"/>
  <c r="K33" i="18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C32" i="18"/>
  <c r="K120" i="26"/>
  <c r="K120" i="20"/>
  <c r="T120" i="20" s="1"/>
  <c r="E119" i="23"/>
  <c r="N119" i="23" s="1"/>
  <c r="E119" i="33"/>
  <c r="N119" i="33" s="1"/>
  <c r="E119" i="20"/>
  <c r="N119" i="20" s="1"/>
  <c r="C31" i="18"/>
  <c r="K119" i="26"/>
  <c r="K119" i="20"/>
  <c r="T119" i="20" s="1"/>
  <c r="A119" i="27"/>
  <c r="A119" i="23"/>
  <c r="A119" i="28"/>
  <c r="A119" i="20"/>
  <c r="A119" i="33"/>
  <c r="A119" i="22"/>
  <c r="K32" i="18"/>
  <c r="U120" i="33"/>
  <c r="K31" i="18"/>
  <c r="U119" i="33"/>
  <c r="BS121" i="15"/>
  <c r="BT121" i="15"/>
  <c r="E121" i="23"/>
  <c r="N121" i="23" s="1"/>
  <c r="E121" i="33"/>
  <c r="N121" i="33" s="1"/>
  <c r="E121" i="20"/>
  <c r="N121" i="20" s="1"/>
  <c r="C33" i="18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C120" i="28" l="1"/>
  <c r="C120" i="33"/>
  <c r="C120" i="20"/>
  <c r="C120" i="23"/>
  <c r="C120" i="22"/>
  <c r="I121" i="26"/>
  <c r="I121" i="20"/>
  <c r="R121" i="20" s="1"/>
  <c r="I120" i="26"/>
  <c r="I120" i="20"/>
  <c r="R120" i="20" s="1"/>
  <c r="J121" i="20"/>
  <c r="S121" i="20" s="1"/>
  <c r="J121" i="26"/>
  <c r="C121" i="27"/>
  <c r="C121" i="28"/>
  <c r="C121" i="20"/>
  <c r="C121" i="23"/>
  <c r="C121" i="22"/>
  <c r="C121" i="33"/>
  <c r="P7" i="37" l="1"/>
  <c r="D26" i="37"/>
  <c r="D25" i="37"/>
  <c r="C28" i="37"/>
  <c r="C26" i="37"/>
  <c r="C25" i="37"/>
  <c r="C24" i="37"/>
  <c r="D27" i="37"/>
  <c r="B26" i="37"/>
  <c r="B25" i="37"/>
  <c r="D28" i="37"/>
  <c r="B28" i="37"/>
  <c r="C27" i="37"/>
  <c r="B27" i="37"/>
  <c r="D24" i="37"/>
  <c r="B24" i="37"/>
  <c r="H110" i="36"/>
  <c r="F25" i="36"/>
  <c r="D17" i="36"/>
  <c r="D16" i="36"/>
  <c r="B136" i="36"/>
  <c r="E135" i="36"/>
  <c r="E132" i="36"/>
  <c r="E131" i="36"/>
  <c r="F130" i="36"/>
  <c r="E130" i="36"/>
  <c r="D130" i="36"/>
  <c r="C130" i="36"/>
  <c r="B130" i="36"/>
  <c r="B128" i="36"/>
  <c r="B122" i="36"/>
  <c r="B119" i="36"/>
  <c r="B127" i="36" s="1"/>
  <c r="B118" i="36"/>
  <c r="B126" i="36" s="1"/>
  <c r="B117" i="36"/>
  <c r="B133" i="36" s="1"/>
  <c r="B116" i="36"/>
  <c r="B124" i="36" s="1"/>
  <c r="B115" i="36"/>
  <c r="B131" i="36" s="1"/>
  <c r="G99" i="36"/>
  <c r="G98" i="36"/>
  <c r="G97" i="36"/>
  <c r="F96" i="36"/>
  <c r="D90" i="36"/>
  <c r="D89" i="36"/>
  <c r="D88" i="36"/>
  <c r="D87" i="36"/>
  <c r="D86" i="36"/>
  <c r="G81" i="36"/>
  <c r="F80" i="36"/>
  <c r="F79" i="36"/>
  <c r="F78" i="36"/>
  <c r="F77" i="36"/>
  <c r="F72" i="36"/>
  <c r="B72" i="36"/>
  <c r="B90" i="36" s="1"/>
  <c r="B99" i="36" s="1"/>
  <c r="F71" i="36"/>
  <c r="B71" i="36"/>
  <c r="B89" i="36" s="1"/>
  <c r="B98" i="36" s="1"/>
  <c r="F70" i="36"/>
  <c r="B70" i="36"/>
  <c r="B88" i="36" s="1"/>
  <c r="B97" i="36" s="1"/>
  <c r="F69" i="36"/>
  <c r="B69" i="36"/>
  <c r="B87" i="36" s="1"/>
  <c r="B96" i="36" s="1"/>
  <c r="F68" i="36"/>
  <c r="B68" i="36"/>
  <c r="B86" i="36" s="1"/>
  <c r="B95" i="36" s="1"/>
  <c r="F42" i="36"/>
  <c r="F43" i="36" s="1"/>
  <c r="F44" i="36" s="1"/>
  <c r="F45" i="36" s="1"/>
  <c r="C36" i="36"/>
  <c r="C35" i="36"/>
  <c r="C33" i="36"/>
  <c r="C32" i="36"/>
  <c r="F24" i="36"/>
  <c r="F34" i="36" s="1"/>
  <c r="D23" i="36"/>
  <c r="D32" i="36" s="1"/>
  <c r="D41" i="36" s="1"/>
  <c r="B18" i="36"/>
  <c r="B27" i="36" s="1"/>
  <c r="B17" i="36"/>
  <c r="B26" i="36" s="1"/>
  <c r="B16" i="36"/>
  <c r="B79" i="36" s="1"/>
  <c r="D15" i="36"/>
  <c r="D24" i="36" s="1"/>
  <c r="D33" i="36" s="1"/>
  <c r="D42" i="36" s="1"/>
  <c r="D43" i="36" s="1"/>
  <c r="B15" i="36"/>
  <c r="B24" i="36" s="1"/>
  <c r="B51" i="36" s="1"/>
  <c r="B60" i="36" s="1"/>
  <c r="F14" i="36"/>
  <c r="F15" i="36" s="1"/>
  <c r="F16" i="36" s="1"/>
  <c r="F17" i="36" s="1"/>
  <c r="F18" i="36" s="1"/>
  <c r="B14" i="36"/>
  <c r="F8" i="36"/>
  <c r="C127" i="36" s="1"/>
  <c r="F7" i="36"/>
  <c r="C126" i="36" s="1"/>
  <c r="F6" i="36"/>
  <c r="C125" i="36" s="1"/>
  <c r="F5" i="36"/>
  <c r="C124" i="36" s="1"/>
  <c r="F4" i="36"/>
  <c r="C123" i="36" s="1"/>
  <c r="F26" i="36" l="1"/>
  <c r="F27" i="36" s="1"/>
  <c r="D18" i="36"/>
  <c r="B78" i="36"/>
  <c r="B35" i="36"/>
  <c r="B44" i="36" s="1"/>
  <c r="B53" i="36"/>
  <c r="B62" i="36" s="1"/>
  <c r="B123" i="36"/>
  <c r="B135" i="36"/>
  <c r="B25" i="36"/>
  <c r="B34" i="36" s="1"/>
  <c r="B43" i="36" s="1"/>
  <c r="B80" i="36"/>
  <c r="B81" i="36"/>
  <c r="B33" i="36"/>
  <c r="B42" i="36" s="1"/>
  <c r="B23" i="36"/>
  <c r="B77" i="36"/>
  <c r="B54" i="36"/>
  <c r="B63" i="36" s="1"/>
  <c r="B36" i="36"/>
  <c r="B45" i="36" s="1"/>
  <c r="E32" i="36"/>
  <c r="B134" i="36"/>
  <c r="B132" i="36"/>
  <c r="D25" i="36"/>
  <c r="E33" i="36"/>
  <c r="B125" i="36"/>
  <c r="B52" i="36" l="1"/>
  <c r="B61" i="36" s="1"/>
  <c r="G32" i="36"/>
  <c r="B32" i="36"/>
  <c r="B41" i="36" s="1"/>
  <c r="B50" i="36"/>
  <c r="B59" i="36" s="1"/>
  <c r="G33" i="36"/>
  <c r="E77" i="36"/>
  <c r="D26" i="36"/>
  <c r="D35" i="36" s="1"/>
  <c r="D27" i="36"/>
  <c r="D36" i="36" s="1"/>
  <c r="D45" i="36" l="1"/>
  <c r="E36" i="36"/>
  <c r="G77" i="36"/>
  <c r="D44" i="36"/>
  <c r="E35" i="36"/>
  <c r="E79" i="36" s="1"/>
  <c r="G79" i="36" s="1"/>
  <c r="G36" i="36" l="1"/>
  <c r="E80" i="36"/>
  <c r="G80" i="36" s="1"/>
  <c r="G35" i="36"/>
  <c r="E84" i="34" l="1"/>
  <c r="D84" i="34"/>
  <c r="C84" i="34"/>
  <c r="B76" i="34"/>
  <c r="B77" i="34" s="1"/>
  <c r="B78" i="34" s="1"/>
  <c r="B79" i="34" s="1"/>
  <c r="B80" i="34" s="1"/>
  <c r="B81" i="34" s="1"/>
  <c r="B82" i="34" s="1"/>
  <c r="B83" i="34" s="1"/>
  <c r="B75" i="34"/>
  <c r="M30" i="34"/>
  <c r="N30" i="34"/>
  <c r="L30" i="34"/>
  <c r="M12" i="34"/>
  <c r="N12" i="34"/>
  <c r="O12" i="34"/>
  <c r="P12" i="34"/>
  <c r="Q12" i="34"/>
  <c r="R12" i="34"/>
  <c r="L12" i="34"/>
  <c r="L16" i="34"/>
  <c r="M16" i="34"/>
  <c r="N16" i="34"/>
  <c r="N26" i="34" s="1"/>
  <c r="O16" i="34"/>
  <c r="P16" i="34"/>
  <c r="Q16" i="34"/>
  <c r="R16" i="34"/>
  <c r="L17" i="34"/>
  <c r="M17" i="34"/>
  <c r="N17" i="34"/>
  <c r="O17" i="34"/>
  <c r="P17" i="34"/>
  <c r="P23" i="34" s="1"/>
  <c r="Q17" i="34"/>
  <c r="R17" i="34"/>
  <c r="L18" i="34"/>
  <c r="M18" i="34"/>
  <c r="M27" i="34" s="1"/>
  <c r="N18" i="34"/>
  <c r="O18" i="34"/>
  <c r="P18" i="34"/>
  <c r="Q18" i="34"/>
  <c r="Q25" i="34" s="1"/>
  <c r="R18" i="34"/>
  <c r="L19" i="34"/>
  <c r="M19" i="34"/>
  <c r="N19" i="34"/>
  <c r="O19" i="34"/>
  <c r="P19" i="34"/>
  <c r="Q19" i="34"/>
  <c r="R19" i="34"/>
  <c r="R27" i="34" s="1"/>
  <c r="L20" i="34"/>
  <c r="M20" i="34"/>
  <c r="N20" i="34"/>
  <c r="O20" i="34"/>
  <c r="P20" i="34"/>
  <c r="Q20" i="34"/>
  <c r="R20" i="34"/>
  <c r="L21" i="34"/>
  <c r="M21" i="34"/>
  <c r="N21" i="34"/>
  <c r="O21" i="34"/>
  <c r="P21" i="34"/>
  <c r="Q21" i="34"/>
  <c r="R21" i="34"/>
  <c r="L22" i="34"/>
  <c r="M22" i="34"/>
  <c r="N22" i="34"/>
  <c r="O22" i="34"/>
  <c r="P22" i="34"/>
  <c r="Q22" i="34"/>
  <c r="R22" i="34"/>
  <c r="M23" i="34"/>
  <c r="L23" i="34"/>
  <c r="L27" i="34"/>
  <c r="R26" i="34"/>
  <c r="K26" i="34"/>
  <c r="K27" i="34"/>
  <c r="K28" i="34"/>
  <c r="K29" i="34"/>
  <c r="K25" i="34"/>
  <c r="O4" i="34"/>
  <c r="K16" i="34"/>
  <c r="K17" i="34"/>
  <c r="K18" i="34"/>
  <c r="K19" i="34"/>
  <c r="K20" i="34"/>
  <c r="K21" i="34"/>
  <c r="K22" i="34"/>
  <c r="K15" i="34"/>
  <c r="C44" i="34"/>
  <c r="G44" i="34"/>
  <c r="K56" i="34" s="1"/>
  <c r="Q4" i="34"/>
  <c r="R4" i="34" s="1"/>
  <c r="Q5" i="34"/>
  <c r="R5" i="34"/>
  <c r="Q6" i="34"/>
  <c r="R6" i="34" s="1"/>
  <c r="Q7" i="34"/>
  <c r="R7" i="34"/>
  <c r="Q8" i="34"/>
  <c r="R8" i="34" s="1"/>
  <c r="Q9" i="34"/>
  <c r="R9" i="34"/>
  <c r="Q10" i="34"/>
  <c r="R10" i="34" s="1"/>
  <c r="Q11" i="34"/>
  <c r="R11" i="34"/>
  <c r="P5" i="34"/>
  <c r="P6" i="34"/>
  <c r="P7" i="34"/>
  <c r="P8" i="34"/>
  <c r="P9" i="34"/>
  <c r="P10" i="34"/>
  <c r="P11" i="34"/>
  <c r="P4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86" i="35"/>
  <c r="I87" i="35"/>
  <c r="I88" i="35"/>
  <c r="I90" i="35"/>
  <c r="I91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L148" i="26" l="1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Q26" i="34"/>
  <c r="Q30" i="34" s="1"/>
  <c r="Q27" i="34"/>
  <c r="P26" i="34"/>
  <c r="P25" i="34"/>
  <c r="P30" i="34" s="1"/>
  <c r="P27" i="34"/>
  <c r="N23" i="34"/>
  <c r="Q23" i="34"/>
  <c r="O27" i="34"/>
  <c r="N27" i="34"/>
  <c r="R25" i="34"/>
  <c r="R30" i="34" s="1"/>
  <c r="R23" i="34"/>
  <c r="O23" i="34"/>
  <c r="O26" i="34"/>
  <c r="O25" i="34"/>
  <c r="N25" i="34"/>
  <c r="M7" i="35"/>
  <c r="K20" i="14" l="1"/>
  <c r="K14" i="14"/>
  <c r="K21" i="14"/>
  <c r="K25" i="14"/>
  <c r="O30" i="3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E74" i="14"/>
  <c r="H66" i="14"/>
  <c r="H72" i="14"/>
  <c r="E73" i="14"/>
  <c r="E69" i="14"/>
  <c r="E68" i="14"/>
  <c r="H70" i="14"/>
  <c r="H73" i="14"/>
  <c r="H62" i="14"/>
  <c r="H69" i="14"/>
  <c r="H65" i="14"/>
  <c r="H67" i="14"/>
  <c r="H71" i="14"/>
  <c r="E77" i="14"/>
  <c r="H68" i="14"/>
  <c r="K63" i="14"/>
  <c r="K69" i="14"/>
  <c r="K70" i="14"/>
  <c r="K65" i="14"/>
  <c r="M12" i="35"/>
  <c r="K78" i="14" l="1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E111" i="14"/>
  <c r="P14" i="35"/>
  <c r="Q14" i="35"/>
  <c r="S14" i="35"/>
  <c r="O14" i="35"/>
  <c r="R14" i="35"/>
  <c r="M15" i="35"/>
  <c r="K118" i="14" l="1"/>
  <c r="K119" i="14"/>
  <c r="K120" i="14"/>
  <c r="K121" i="14"/>
  <c r="H118" i="14"/>
  <c r="I118" i="14" s="1"/>
  <c r="H121" i="14"/>
  <c r="H119" i="14"/>
  <c r="H120" i="14"/>
  <c r="H110" i="14"/>
  <c r="E114" i="14"/>
  <c r="E119" i="14"/>
  <c r="E119" i="15" s="1"/>
  <c r="E120" i="14"/>
  <c r="E120" i="15" s="1"/>
  <c r="E121" i="14"/>
  <c r="E121" i="15" s="1"/>
  <c r="E110" i="14"/>
  <c r="H155" i="27"/>
  <c r="O155" i="27" s="1"/>
  <c r="L157" i="26"/>
  <c r="J156" i="27"/>
  <c r="O15" i="35"/>
  <c r="Q15" i="31" s="1"/>
  <c r="S15" i="35"/>
  <c r="P15" i="35"/>
  <c r="Z15" i="31" s="1"/>
  <c r="N15" i="35"/>
  <c r="H15" i="31" s="1"/>
  <c r="Q15" i="35"/>
  <c r="R15" i="35"/>
  <c r="M16" i="35"/>
  <c r="K120" i="15" l="1"/>
  <c r="L120" i="14"/>
  <c r="L120" i="15" s="1"/>
  <c r="K119" i="15"/>
  <c r="L119" i="14"/>
  <c r="L119" i="15" s="1"/>
  <c r="K121" i="15"/>
  <c r="L121" i="14"/>
  <c r="L121" i="15" s="1"/>
  <c r="H119" i="15"/>
  <c r="I119" i="14"/>
  <c r="I119" i="15" s="1"/>
  <c r="H120" i="15"/>
  <c r="I120" i="14"/>
  <c r="I120" i="15" s="1"/>
  <c r="H121" i="15"/>
  <c r="I121" i="14"/>
  <c r="I121" i="15" s="1"/>
  <c r="H156" i="27"/>
  <c r="O156" i="27" s="1"/>
  <c r="L158" i="26"/>
  <c r="J157" i="27"/>
  <c r="R16" i="35"/>
  <c r="O16" i="35"/>
  <c r="Q16" i="31" s="1"/>
  <c r="S16" i="35"/>
  <c r="Q16" i="35"/>
  <c r="N16" i="35"/>
  <c r="P16" i="35"/>
  <c r="Z16" i="31" s="1"/>
  <c r="Z17" i="31" s="1"/>
  <c r="Z18" i="31" s="1"/>
  <c r="Z19" i="31" s="1"/>
  <c r="Z20" i="31" s="1"/>
  <c r="D119" i="28" l="1"/>
  <c r="D119" i="33"/>
  <c r="D119" i="23"/>
  <c r="CF119" i="15"/>
  <c r="D121" i="28"/>
  <c r="CF121" i="15"/>
  <c r="D121" i="23"/>
  <c r="D121" i="33"/>
  <c r="D120" i="28"/>
  <c r="D120" i="33"/>
  <c r="D120" i="23"/>
  <c r="CF120" i="15"/>
  <c r="Q17" i="31"/>
  <c r="Q18" i="31" s="1"/>
  <c r="Q19" i="31" s="1"/>
  <c r="Q20" i="31" s="1"/>
  <c r="D120" i="27"/>
  <c r="D120" i="22"/>
  <c r="CE120" i="15"/>
  <c r="CE121" i="15"/>
  <c r="D121" i="22"/>
  <c r="D121" i="27"/>
  <c r="D119" i="27"/>
  <c r="D119" i="22"/>
  <c r="CE119" i="15"/>
  <c r="H157" i="27"/>
  <c r="O157" i="27" s="1"/>
  <c r="L159" i="26"/>
  <c r="J158" i="27"/>
  <c r="H114" i="14"/>
  <c r="H89" i="14"/>
  <c r="H82" i="14"/>
  <c r="K81" i="14"/>
  <c r="K82" i="14"/>
  <c r="K92" i="14"/>
  <c r="K86" i="14"/>
  <c r="K111" i="14"/>
  <c r="K101" i="14"/>
  <c r="H111" i="14"/>
  <c r="H116" i="14"/>
  <c r="K79" i="14"/>
  <c r="K113" i="14"/>
  <c r="K88" i="14"/>
  <c r="K77" i="14"/>
  <c r="H101" i="14"/>
  <c r="K98" i="14"/>
  <c r="K96" i="14"/>
  <c r="H100" i="14"/>
  <c r="H105" i="14"/>
  <c r="H104" i="14"/>
  <c r="K114" i="14"/>
  <c r="H106" i="14"/>
  <c r="K93" i="14"/>
  <c r="K104" i="14"/>
  <c r="K75" i="14"/>
  <c r="H109" i="14"/>
  <c r="K76" i="14"/>
  <c r="K117" i="14"/>
  <c r="K108" i="14"/>
  <c r="H93" i="14"/>
  <c r="H103" i="14"/>
  <c r="H102" i="14"/>
  <c r="H88" i="14"/>
  <c r="H96" i="14"/>
  <c r="K103" i="14"/>
  <c r="H112" i="14"/>
  <c r="K100" i="14"/>
  <c r="K106" i="14"/>
  <c r="H108" i="14"/>
  <c r="H113" i="14"/>
  <c r="H87" i="14"/>
  <c r="K102" i="14"/>
  <c r="K105" i="14"/>
  <c r="K99" i="14"/>
  <c r="H99" i="14"/>
  <c r="K112" i="14"/>
  <c r="K110" i="14"/>
  <c r="H117" i="14"/>
  <c r="K109" i="14"/>
  <c r="H115" i="14"/>
  <c r="K116" i="14"/>
  <c r="H107" i="14"/>
  <c r="H98" i="14"/>
  <c r="K115" i="14"/>
  <c r="H16" i="31"/>
  <c r="H17" i="31" s="1"/>
  <c r="H18" i="31" s="1"/>
  <c r="H19" i="31" s="1"/>
  <c r="H20" i="31" s="1"/>
  <c r="E86" i="14"/>
  <c r="E116" i="14"/>
  <c r="E101" i="14"/>
  <c r="E100" i="14"/>
  <c r="E113" i="14"/>
  <c r="E104" i="14"/>
  <c r="E102" i="14"/>
  <c r="E107" i="14"/>
  <c r="E117" i="14"/>
  <c r="E112" i="14"/>
  <c r="E105" i="14"/>
  <c r="E118" i="14"/>
  <c r="E98" i="14"/>
  <c r="E108" i="14"/>
  <c r="E106" i="14"/>
  <c r="E99" i="14"/>
  <c r="E109" i="14"/>
  <c r="E103" i="14"/>
  <c r="E115" i="14"/>
  <c r="H158" i="27" l="1"/>
  <c r="O158" i="27" s="1"/>
  <c r="L160" i="26"/>
  <c r="J159" i="27"/>
  <c r="L47" i="34"/>
  <c r="H159" i="27" l="1"/>
  <c r="O159" i="27" s="1"/>
  <c r="L161" i="26"/>
  <c r="J160" i="27"/>
  <c r="E51" i="34"/>
  <c r="D51" i="34"/>
  <c r="E18" i="34"/>
  <c r="E19" i="34"/>
  <c r="M55" i="34"/>
  <c r="L55" i="34"/>
  <c r="K55" i="34"/>
  <c r="M47" i="34"/>
  <c r="M48" i="34"/>
  <c r="L48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F51" i="34" s="1"/>
  <c r="M11" i="34"/>
  <c r="L11" i="34"/>
  <c r="C51" i="34" s="1"/>
  <c r="O9" i="34"/>
  <c r="F49" i="34" s="1"/>
  <c r="N9" i="34"/>
  <c r="E49" i="34" s="1"/>
  <c r="M9" i="34"/>
  <c r="D49" i="34" s="1"/>
  <c r="L9" i="34"/>
  <c r="C49" i="34" s="1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Q112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E117" i="15"/>
  <c r="G117" i="15"/>
  <c r="EH237" i="16" s="1"/>
  <c r="H117" i="15"/>
  <c r="J117" i="15"/>
  <c r="EI237" i="16" s="1"/>
  <c r="K117" i="15"/>
  <c r="M117" i="15"/>
  <c r="N117" i="15"/>
  <c r="Q117" i="15"/>
  <c r="C29" i="18" s="1"/>
  <c r="R117" i="15"/>
  <c r="G29" i="18" s="1"/>
  <c r="S117" i="15"/>
  <c r="T117" i="15"/>
  <c r="O29" i="18" s="1"/>
  <c r="U117" i="15"/>
  <c r="S29" i="18" s="1"/>
  <c r="V117" i="15"/>
  <c r="W117" i="15"/>
  <c r="X117" i="15"/>
  <c r="BO117" i="15" s="1"/>
  <c r="Y117" i="15"/>
  <c r="BP117" i="15" s="1"/>
  <c r="Z117" i="15"/>
  <c r="AA117" i="15"/>
  <c r="BR117" i="15" s="1"/>
  <c r="AB117" i="15"/>
  <c r="AC117" i="15"/>
  <c r="AD117" i="15"/>
  <c r="AE117" i="15"/>
  <c r="BV117" i="15" s="1"/>
  <c r="AF117" i="15"/>
  <c r="BW117" i="15" s="1"/>
  <c r="AG117" i="15"/>
  <c r="BX117" i="15" s="1"/>
  <c r="AH117" i="15"/>
  <c r="AI117" i="15"/>
  <c r="AJ117" i="15"/>
  <c r="CA117" i="15" s="1"/>
  <c r="AK117" i="15"/>
  <c r="CB117" i="15" s="1"/>
  <c r="AL117" i="15"/>
  <c r="AN117" i="15"/>
  <c r="AO117" i="15"/>
  <c r="AP117" i="15"/>
  <c r="AQ117" i="15"/>
  <c r="BN117" i="15"/>
  <c r="BQ117" i="15"/>
  <c r="BT117" i="15"/>
  <c r="BU117" i="15"/>
  <c r="BY117" i="15"/>
  <c r="BZ117" i="15"/>
  <c r="CC117" i="15"/>
  <c r="A118" i="15"/>
  <c r="B118" i="15"/>
  <c r="D118" i="15"/>
  <c r="EG238" i="16" s="1"/>
  <c r="E118" i="15"/>
  <c r="G118" i="15"/>
  <c r="EH238" i="16" s="1"/>
  <c r="H118" i="15"/>
  <c r="J118" i="15"/>
  <c r="EI238" i="16" s="1"/>
  <c r="K118" i="15"/>
  <c r="M118" i="15"/>
  <c r="N118" i="15"/>
  <c r="Q118" i="15"/>
  <c r="R118" i="15"/>
  <c r="G30" i="18" s="1"/>
  <c r="S118" i="15"/>
  <c r="T118" i="15"/>
  <c r="O30" i="18" s="1"/>
  <c r="U118" i="15"/>
  <c r="S30" i="18" s="1"/>
  <c r="V118" i="15"/>
  <c r="W118" i="15"/>
  <c r="X118" i="15"/>
  <c r="BO118" i="15" s="1"/>
  <c r="Y118" i="15"/>
  <c r="Z118" i="15"/>
  <c r="AA118" i="15"/>
  <c r="AB118" i="15"/>
  <c r="AC118" i="15"/>
  <c r="BT118" i="15" s="1"/>
  <c r="AD118" i="15"/>
  <c r="F118" i="20" s="1"/>
  <c r="O118" i="20" s="1"/>
  <c r="AE118" i="15"/>
  <c r="AF118" i="15"/>
  <c r="AG118" i="15"/>
  <c r="AH118" i="15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P118" i="15"/>
  <c r="BQ118" i="15"/>
  <c r="BR118" i="15"/>
  <c r="BU118" i="15"/>
  <c r="BX118" i="15"/>
  <c r="BY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H160" i="27" l="1"/>
  <c r="O160" i="27" s="1"/>
  <c r="L162" i="26"/>
  <c r="J161" i="27"/>
  <c r="I118" i="20"/>
  <c r="R118" i="20" s="1"/>
  <c r="I118" i="26"/>
  <c r="BV118" i="15"/>
  <c r="E118" i="22"/>
  <c r="L118" i="22" s="1"/>
  <c r="K30" i="18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C30" i="18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K29" i="18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N10" i="34" s="1"/>
  <c r="E50" i="34" s="1"/>
  <c r="G51" i="34"/>
  <c r="H25" i="34"/>
  <c r="G7" i="34" s="1"/>
  <c r="L7" i="34" s="1"/>
  <c r="G49" i="34"/>
  <c r="O10" i="34"/>
  <c r="F50" i="34" s="1"/>
  <c r="AH52" i="33"/>
  <c r="AB55" i="33"/>
  <c r="E117" i="22"/>
  <c r="F117" i="22"/>
  <c r="F117" i="23"/>
  <c r="H161" i="27" l="1"/>
  <c r="O161" i="27" s="1"/>
  <c r="L163" i="26"/>
  <c r="J162" i="27"/>
  <c r="C118" i="33"/>
  <c r="C118" i="22"/>
  <c r="C118" i="28"/>
  <c r="C118" i="20"/>
  <c r="C118" i="23"/>
  <c r="M10" i="34"/>
  <c r="D50" i="34" s="1"/>
  <c r="L10" i="34"/>
  <c r="C50" i="34" s="1"/>
  <c r="G50" i="34" s="1"/>
  <c r="G6" i="34"/>
  <c r="G8" i="34"/>
  <c r="L8" i="34" s="1"/>
  <c r="C48" i="34" s="1"/>
  <c r="G4" i="34"/>
  <c r="G5" i="34"/>
  <c r="N5" i="34" s="1"/>
  <c r="E45" i="34" s="1"/>
  <c r="O8" i="34"/>
  <c r="F48" i="34" s="1"/>
  <c r="M8" i="34"/>
  <c r="D48" i="34" s="1"/>
  <c r="N8" i="34"/>
  <c r="E48" i="34" s="1"/>
  <c r="F44" i="34"/>
  <c r="N4" i="34"/>
  <c r="E44" i="34" s="1"/>
  <c r="D44" i="34"/>
  <c r="L5" i="34"/>
  <c r="C45" i="34" s="1"/>
  <c r="M61" i="34"/>
  <c r="L61" i="34"/>
  <c r="K61" i="34"/>
  <c r="L6" i="34"/>
  <c r="C46" i="34" s="1"/>
  <c r="O6" i="34"/>
  <c r="F46" i="34" s="1"/>
  <c r="D46" i="34"/>
  <c r="N6" i="34"/>
  <c r="E46" i="34" s="1"/>
  <c r="N7" i="34"/>
  <c r="E47" i="34" s="1"/>
  <c r="M7" i="34"/>
  <c r="D47" i="34" s="1"/>
  <c r="C47" i="34"/>
  <c r="O7" i="34"/>
  <c r="F47" i="34" s="1"/>
  <c r="AI52" i="33"/>
  <c r="AB56" i="33"/>
  <c r="H162" i="27" l="1"/>
  <c r="O162" i="27" s="1"/>
  <c r="L164" i="26"/>
  <c r="J163" i="27"/>
  <c r="O5" i="34"/>
  <c r="F45" i="34" s="1"/>
  <c r="D45" i="34"/>
  <c r="G46" i="34"/>
  <c r="K58" i="34" s="1"/>
  <c r="L62" i="34"/>
  <c r="K62" i="34"/>
  <c r="M62" i="34"/>
  <c r="G45" i="34"/>
  <c r="M58" i="34"/>
  <c r="L58" i="34"/>
  <c r="G47" i="34"/>
  <c r="G48" i="34"/>
  <c r="AB57" i="33"/>
  <c r="AJ52" i="33"/>
  <c r="L165" i="26" l="1"/>
  <c r="J164" i="27"/>
  <c r="H163" i="27"/>
  <c r="O163" i="27" s="1"/>
  <c r="K57" i="34"/>
  <c r="M57" i="34"/>
  <c r="L57" i="34"/>
  <c r="K59" i="34"/>
  <c r="M59" i="34"/>
  <c r="L59" i="34"/>
  <c r="K60" i="34"/>
  <c r="L60" i="34"/>
  <c r="M60" i="34"/>
  <c r="G53" i="34"/>
  <c r="L56" i="34"/>
  <c r="M56" i="34"/>
  <c r="AK52" i="33"/>
  <c r="AB58" i="33"/>
  <c r="H164" i="27" l="1"/>
  <c r="O164" i="27" s="1"/>
  <c r="L166" i="26"/>
  <c r="J165" i="27"/>
  <c r="K64" i="34"/>
  <c r="D12" i="32" s="1"/>
  <c r="M64" i="34"/>
  <c r="D14" i="32" s="1"/>
  <c r="D27" i="32" s="1"/>
  <c r="L64" i="34"/>
  <c r="D13" i="32" s="1"/>
  <c r="AB59" i="33"/>
  <c r="AL52" i="33"/>
  <c r="H165" i="27" l="1"/>
  <c r="O165" i="27" s="1"/>
  <c r="L167" i="26"/>
  <c r="J166" i="27"/>
  <c r="AM52" i="33"/>
  <c r="AB60" i="33"/>
  <c r="H166" i="27" l="1"/>
  <c r="O166" i="27" s="1"/>
  <c r="L168" i="26"/>
  <c r="J167" i="27"/>
  <c r="AB61" i="33"/>
  <c r="AN52" i="33"/>
  <c r="L169" i="26" l="1"/>
  <c r="J168" i="27"/>
  <c r="H167" i="27"/>
  <c r="O167" i="27" s="1"/>
  <c r="AB62" i="33"/>
  <c r="H168" i="27" l="1"/>
  <c r="O168" i="27" s="1"/>
  <c r="L170" i="26"/>
  <c r="J169" i="27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H169" i="27" l="1"/>
  <c r="O169" i="27" s="1"/>
  <c r="L171" i="26"/>
  <c r="J170" i="27"/>
  <c r="BM51" i="16"/>
  <c r="BM24" i="16"/>
  <c r="H170" i="27" l="1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K122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H122" i="27"/>
  <c r="O122" i="27" s="1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H123" i="27"/>
  <c r="O123" i="27" s="1"/>
  <c r="J141" i="27"/>
  <c r="J124" i="27"/>
  <c r="P11" i="25"/>
  <c r="I11" i="25"/>
  <c r="H178" i="27" l="1"/>
  <c r="O178" i="27" s="1"/>
  <c r="L180" i="26"/>
  <c r="J179" i="27"/>
  <c r="AK15" i="31"/>
  <c r="AK16" i="31" s="1"/>
  <c r="AK17" i="31" s="1"/>
  <c r="AK18" i="31" s="1"/>
  <c r="AK19" i="31" s="1"/>
  <c r="AK20" i="31" s="1"/>
  <c r="K12" i="31"/>
  <c r="B12" i="31"/>
  <c r="H124" i="27"/>
  <c r="O124" i="27" s="1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AC15" i="31"/>
  <c r="T15" i="31"/>
  <c r="B13" i="31"/>
  <c r="H142" i="27"/>
  <c r="O142" i="27" s="1"/>
  <c r="H125" i="27"/>
  <c r="O125" i="27" s="1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H126" i="27"/>
  <c r="O126" i="27" s="1"/>
  <c r="J145" i="27"/>
  <c r="J144" i="27"/>
  <c r="J127" i="27"/>
  <c r="H181" i="27" l="1"/>
  <c r="O181" i="27" s="1"/>
  <c r="L183" i="26"/>
  <c r="J182" i="27"/>
  <c r="H127" i="27"/>
  <c r="O127" i="27" s="1"/>
  <c r="H144" i="27"/>
  <c r="O144" i="27" s="1"/>
  <c r="H145" i="27"/>
  <c r="O145" i="27" s="1"/>
  <c r="J128" i="27"/>
  <c r="H182" i="27" l="1"/>
  <c r="O182" i="27" s="1"/>
  <c r="L184" i="26"/>
  <c r="J183" i="27"/>
  <c r="H128" i="27"/>
  <c r="O128" i="27" s="1"/>
  <c r="J129" i="27"/>
  <c r="H183" i="27" l="1"/>
  <c r="O183" i="27" s="1"/>
  <c r="L185" i="26"/>
  <c r="J184" i="27"/>
  <c r="H129" i="27"/>
  <c r="O129" i="27" s="1"/>
  <c r="J130" i="27"/>
  <c r="H184" i="27" l="1"/>
  <c r="O184" i="27" s="1"/>
  <c r="L186" i="26"/>
  <c r="J185" i="27"/>
  <c r="H130" i="27"/>
  <c r="O130" i="27" s="1"/>
  <c r="J131" i="27"/>
  <c r="H185" i="27" l="1"/>
  <c r="O185" i="27" s="1"/>
  <c r="L187" i="26"/>
  <c r="J186" i="27"/>
  <c r="H131" i="27"/>
  <c r="O131" i="27" s="1"/>
  <c r="J133" i="27"/>
  <c r="J132" i="27"/>
  <c r="H186" i="27" l="1"/>
  <c r="O186" i="27" s="1"/>
  <c r="L188" i="26"/>
  <c r="J187" i="27"/>
  <c r="H132" i="27"/>
  <c r="O132" i="27" s="1"/>
  <c r="H133" i="27"/>
  <c r="O133" i="27" s="1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R13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B13" i="25" l="1"/>
  <c r="AL52" i="23"/>
  <c r="AH52" i="22"/>
  <c r="H7" i="19"/>
  <c r="R14" i="18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F11" i="18"/>
  <c r="B13" i="19"/>
  <c r="B11" i="18"/>
  <c r="B14" i="19" l="1"/>
  <c r="F12" i="18"/>
  <c r="B12" i="18"/>
  <c r="F13" i="18" l="1"/>
  <c r="B13" i="18"/>
  <c r="F14" i="18" l="1"/>
  <c r="B14" i="18"/>
  <c r="F15" i="18" l="1"/>
  <c r="B15" i="18"/>
  <c r="AR63" i="15" l="1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D122" i="17"/>
  <c r="C120" i="17"/>
  <c r="AM120" i="15" s="1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AC1" i="15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G22" i="18" s="1"/>
  <c r="S110" i="15"/>
  <c r="T110" i="15"/>
  <c r="O22" i="18" s="1"/>
  <c r="U110" i="15"/>
  <c r="S22" i="18" s="1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G23" i="18" s="1"/>
  <c r="S111" i="15"/>
  <c r="T111" i="15"/>
  <c r="O23" i="18" s="1"/>
  <c r="U111" i="15"/>
  <c r="S23" i="18" s="1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G24" i="18" s="1"/>
  <c r="S112" i="15"/>
  <c r="T112" i="15"/>
  <c r="O24" i="18" s="1"/>
  <c r="U112" i="15"/>
  <c r="S24" i="18" s="1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G25" i="18" s="1"/>
  <c r="S113" i="15"/>
  <c r="T113" i="15"/>
  <c r="O25" i="18" s="1"/>
  <c r="U113" i="15"/>
  <c r="S25" i="18" s="1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G26" i="18" s="1"/>
  <c r="S114" i="15"/>
  <c r="T114" i="15"/>
  <c r="O26" i="18" s="1"/>
  <c r="U114" i="15"/>
  <c r="S26" i="18" s="1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G27" i="18" s="1"/>
  <c r="S115" i="15"/>
  <c r="T115" i="15"/>
  <c r="O27" i="18" s="1"/>
  <c r="U115" i="15"/>
  <c r="S27" i="18" s="1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G28" i="18" s="1"/>
  <c r="S116" i="15"/>
  <c r="T116" i="15"/>
  <c r="O28" i="18" s="1"/>
  <c r="U116" i="15"/>
  <c r="S28" i="18" s="1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21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CD121" i="15" l="1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E95" i="33"/>
  <c r="N95" i="33" s="1"/>
  <c r="E91" i="23"/>
  <c r="N91" i="23" s="1"/>
  <c r="E91" i="33"/>
  <c r="N91" i="33" s="1"/>
  <c r="E87" i="23"/>
  <c r="E87" i="33"/>
  <c r="N87" i="33" s="1"/>
  <c r="E83" i="23"/>
  <c r="N83" i="23" s="1"/>
  <c r="E83" i="33"/>
  <c r="N83" i="33" s="1"/>
  <c r="E79" i="23"/>
  <c r="E79" i="33"/>
  <c r="N79" i="33" s="1"/>
  <c r="E75" i="23"/>
  <c r="E75" i="33"/>
  <c r="N75" i="33" s="1"/>
  <c r="E71" i="23"/>
  <c r="E71" i="33"/>
  <c r="N71" i="33" s="1"/>
  <c r="E67" i="23"/>
  <c r="N67" i="23" s="1"/>
  <c r="E67" i="33"/>
  <c r="N67" i="33" s="1"/>
  <c r="E63" i="23"/>
  <c r="E63" i="33"/>
  <c r="N63" i="33" s="1"/>
  <c r="E59" i="23"/>
  <c r="N59" i="23" s="1"/>
  <c r="E59" i="33"/>
  <c r="N59" i="33" s="1"/>
  <c r="E55" i="23"/>
  <c r="E55" i="33"/>
  <c r="N55" i="33" s="1"/>
  <c r="E51" i="23"/>
  <c r="N51" i="23" s="1"/>
  <c r="E51" i="33"/>
  <c r="N51" i="33" s="1"/>
  <c r="E47" i="23"/>
  <c r="E47" i="33"/>
  <c r="N47" i="33" s="1"/>
  <c r="E43" i="23"/>
  <c r="E43" i="33"/>
  <c r="N43" i="33" s="1"/>
  <c r="E39" i="23"/>
  <c r="E39" i="33"/>
  <c r="N39" i="33" s="1"/>
  <c r="E35" i="23"/>
  <c r="E35" i="33"/>
  <c r="N35" i="33" s="1"/>
  <c r="E31" i="23"/>
  <c r="E31" i="33"/>
  <c r="N31" i="33" s="1"/>
  <c r="E27" i="23"/>
  <c r="N27" i="23" s="1"/>
  <c r="E27" i="33"/>
  <c r="N27" i="33" s="1"/>
  <c r="E23" i="23"/>
  <c r="E23" i="33"/>
  <c r="N23" i="33" s="1"/>
  <c r="E19" i="23"/>
  <c r="N19" i="23" s="1"/>
  <c r="E19" i="33"/>
  <c r="N19" i="33" s="1"/>
  <c r="E15" i="23"/>
  <c r="E15" i="33"/>
  <c r="N15" i="33" s="1"/>
  <c r="E11" i="23"/>
  <c r="E11" i="33"/>
  <c r="N11" i="33" s="1"/>
  <c r="E7" i="23"/>
  <c r="E7" i="33"/>
  <c r="N7" i="33" s="1"/>
  <c r="E3" i="23"/>
  <c r="E3" i="33"/>
  <c r="N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E114" i="33"/>
  <c r="N114" i="33" s="1"/>
  <c r="E110" i="23"/>
  <c r="N110" i="23" s="1"/>
  <c r="E110" i="33"/>
  <c r="N110" i="33" s="1"/>
  <c r="E106" i="23"/>
  <c r="E106" i="33"/>
  <c r="N106" i="33" s="1"/>
  <c r="E102" i="23"/>
  <c r="E102" i="33"/>
  <c r="N102" i="33" s="1"/>
  <c r="E98" i="23"/>
  <c r="E98" i="33"/>
  <c r="N98" i="33" s="1"/>
  <c r="E94" i="23"/>
  <c r="E94" i="33"/>
  <c r="N94" i="33" s="1"/>
  <c r="E90" i="23"/>
  <c r="E90" i="33"/>
  <c r="N90" i="33" s="1"/>
  <c r="E86" i="23"/>
  <c r="N86" i="23" s="1"/>
  <c r="E86" i="33"/>
  <c r="N86" i="33" s="1"/>
  <c r="E82" i="23"/>
  <c r="E82" i="33"/>
  <c r="N82" i="33" s="1"/>
  <c r="E78" i="23"/>
  <c r="N78" i="23" s="1"/>
  <c r="E78" i="33"/>
  <c r="N78" i="33" s="1"/>
  <c r="E74" i="23"/>
  <c r="E74" i="33"/>
  <c r="N74" i="33" s="1"/>
  <c r="E70" i="23"/>
  <c r="N70" i="23" s="1"/>
  <c r="E70" i="33"/>
  <c r="N70" i="33" s="1"/>
  <c r="E66" i="23"/>
  <c r="E66" i="33"/>
  <c r="N66" i="33" s="1"/>
  <c r="E62" i="23"/>
  <c r="N62" i="23" s="1"/>
  <c r="E62" i="33"/>
  <c r="N62" i="33" s="1"/>
  <c r="E58" i="23"/>
  <c r="E58" i="33"/>
  <c r="N58" i="33" s="1"/>
  <c r="E54" i="23"/>
  <c r="N54" i="23" s="1"/>
  <c r="E54" i="33"/>
  <c r="N54" i="33" s="1"/>
  <c r="E50" i="23"/>
  <c r="E50" i="33"/>
  <c r="N50" i="33" s="1"/>
  <c r="E46" i="23"/>
  <c r="E46" i="33"/>
  <c r="N46" i="33" s="1"/>
  <c r="E42" i="23"/>
  <c r="E42" i="33"/>
  <c r="N42" i="33" s="1"/>
  <c r="E38" i="23"/>
  <c r="N38" i="23" s="1"/>
  <c r="E38" i="33"/>
  <c r="N38" i="33" s="1"/>
  <c r="E34" i="23"/>
  <c r="E34" i="33"/>
  <c r="N34" i="33" s="1"/>
  <c r="E30" i="23"/>
  <c r="N30" i="23" s="1"/>
  <c r="E30" i="33"/>
  <c r="N30" i="33" s="1"/>
  <c r="E26" i="23"/>
  <c r="E26" i="33"/>
  <c r="N26" i="33" s="1"/>
  <c r="E22" i="23"/>
  <c r="N22" i="23" s="1"/>
  <c r="E22" i="33"/>
  <c r="N22" i="33" s="1"/>
  <c r="E18" i="23"/>
  <c r="E18" i="33"/>
  <c r="N18" i="33" s="1"/>
  <c r="E14" i="23"/>
  <c r="N14" i="23" s="1"/>
  <c r="E14" i="33"/>
  <c r="N14" i="33" s="1"/>
  <c r="E10" i="23"/>
  <c r="E10" i="33"/>
  <c r="N10" i="33" s="1"/>
  <c r="E6" i="23"/>
  <c r="E6" i="33"/>
  <c r="N6" i="33" s="1"/>
  <c r="E2" i="23"/>
  <c r="N2" i="23" s="1"/>
  <c r="E2" i="33"/>
  <c r="N2" i="33" s="1"/>
  <c r="W2" i="33" s="1"/>
  <c r="X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E109" i="33"/>
  <c r="N109" i="33" s="1"/>
  <c r="E105" i="23"/>
  <c r="E105" i="33"/>
  <c r="N105" i="33" s="1"/>
  <c r="E101" i="23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E85" i="33"/>
  <c r="N85" i="33" s="1"/>
  <c r="E81" i="23"/>
  <c r="E81" i="33"/>
  <c r="N81" i="33" s="1"/>
  <c r="E77" i="23"/>
  <c r="E77" i="33"/>
  <c r="N77" i="33" s="1"/>
  <c r="E73" i="23"/>
  <c r="E73" i="33"/>
  <c r="N73" i="33" s="1"/>
  <c r="E69" i="23"/>
  <c r="E69" i="33"/>
  <c r="N69" i="33" s="1"/>
  <c r="E65" i="23"/>
  <c r="E65" i="33"/>
  <c r="N65" i="33" s="1"/>
  <c r="E61" i="23"/>
  <c r="E61" i="33"/>
  <c r="N61" i="33" s="1"/>
  <c r="E57" i="23"/>
  <c r="E57" i="33"/>
  <c r="N57" i="33" s="1"/>
  <c r="E53" i="23"/>
  <c r="N53" i="23" s="1"/>
  <c r="E53" i="33"/>
  <c r="N53" i="33" s="1"/>
  <c r="E49" i="23"/>
  <c r="E49" i="33"/>
  <c r="N49" i="33" s="1"/>
  <c r="E45" i="23"/>
  <c r="E45" i="33"/>
  <c r="N45" i="33" s="1"/>
  <c r="E41" i="23"/>
  <c r="E41" i="33"/>
  <c r="N41" i="33" s="1"/>
  <c r="E37" i="23"/>
  <c r="E37" i="33"/>
  <c r="N37" i="33" s="1"/>
  <c r="E33" i="23"/>
  <c r="E33" i="33"/>
  <c r="N33" i="33" s="1"/>
  <c r="E29" i="23"/>
  <c r="E29" i="33"/>
  <c r="N29" i="33" s="1"/>
  <c r="E25" i="23"/>
  <c r="E25" i="33"/>
  <c r="N25" i="33" s="1"/>
  <c r="E21" i="23"/>
  <c r="N21" i="23" s="1"/>
  <c r="E21" i="33"/>
  <c r="N21" i="33" s="1"/>
  <c r="E17" i="23"/>
  <c r="E17" i="33"/>
  <c r="N17" i="33" s="1"/>
  <c r="E13" i="23"/>
  <c r="N13" i="23" s="1"/>
  <c r="E13" i="33"/>
  <c r="N13" i="33" s="1"/>
  <c r="E9" i="23"/>
  <c r="E9" i="33"/>
  <c r="N9" i="33" s="1"/>
  <c r="E5" i="23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E112" i="33"/>
  <c r="N112" i="33" s="1"/>
  <c r="E108" i="23"/>
  <c r="N108" i="23" s="1"/>
  <c r="E108" i="33"/>
  <c r="N108" i="33" s="1"/>
  <c r="E104" i="23"/>
  <c r="E104" i="33"/>
  <c r="N104" i="33" s="1"/>
  <c r="E100" i="23"/>
  <c r="E100" i="33"/>
  <c r="N100" i="33" s="1"/>
  <c r="E96" i="23"/>
  <c r="E96" i="33"/>
  <c r="N96" i="33" s="1"/>
  <c r="E92" i="23"/>
  <c r="N92" i="23" s="1"/>
  <c r="E92" i="33"/>
  <c r="N92" i="33" s="1"/>
  <c r="E88" i="23"/>
  <c r="E88" i="33"/>
  <c r="N88" i="33" s="1"/>
  <c r="E84" i="23"/>
  <c r="N84" i="23" s="1"/>
  <c r="E84" i="33"/>
  <c r="N84" i="33" s="1"/>
  <c r="E80" i="23"/>
  <c r="E80" i="33"/>
  <c r="N80" i="33" s="1"/>
  <c r="E76" i="23"/>
  <c r="E76" i="33"/>
  <c r="N76" i="33" s="1"/>
  <c r="E72" i="23"/>
  <c r="E72" i="33"/>
  <c r="N72" i="33" s="1"/>
  <c r="E68" i="23"/>
  <c r="E68" i="33"/>
  <c r="N68" i="33" s="1"/>
  <c r="E64" i="23"/>
  <c r="E64" i="33"/>
  <c r="N64" i="33" s="1"/>
  <c r="E60" i="23"/>
  <c r="N60" i="23" s="1"/>
  <c r="E60" i="33"/>
  <c r="N60" i="33" s="1"/>
  <c r="E56" i="23"/>
  <c r="E56" i="33"/>
  <c r="N56" i="33" s="1"/>
  <c r="E52" i="23"/>
  <c r="N52" i="23" s="1"/>
  <c r="E52" i="33"/>
  <c r="N52" i="33" s="1"/>
  <c r="E48" i="23"/>
  <c r="E48" i="33"/>
  <c r="N48" i="33" s="1"/>
  <c r="E44" i="23"/>
  <c r="N44" i="23" s="1"/>
  <c r="E44" i="33"/>
  <c r="N44" i="33" s="1"/>
  <c r="E40" i="23"/>
  <c r="E40" i="33"/>
  <c r="N40" i="33" s="1"/>
  <c r="E36" i="23"/>
  <c r="E36" i="33"/>
  <c r="N36" i="33" s="1"/>
  <c r="E32" i="23"/>
  <c r="E32" i="33"/>
  <c r="N32" i="33" s="1"/>
  <c r="E28" i="23"/>
  <c r="N28" i="23" s="1"/>
  <c r="E28" i="33"/>
  <c r="N28" i="33" s="1"/>
  <c r="E24" i="23"/>
  <c r="E24" i="33"/>
  <c r="N24" i="33" s="1"/>
  <c r="E20" i="23"/>
  <c r="N20" i="23" s="1"/>
  <c r="E20" i="33"/>
  <c r="N20" i="33" s="1"/>
  <c r="E16" i="23"/>
  <c r="E16" i="33"/>
  <c r="N16" i="33" s="1"/>
  <c r="E12" i="23"/>
  <c r="N12" i="23" s="1"/>
  <c r="E12" i="33"/>
  <c r="N12" i="33" s="1"/>
  <c r="E8" i="23"/>
  <c r="E8" i="33"/>
  <c r="N8" i="33" s="1"/>
  <c r="E4" i="23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K27" i="18"/>
  <c r="U115" i="33"/>
  <c r="K23" i="18"/>
  <c r="U111" i="33"/>
  <c r="K26" i="18"/>
  <c r="U114" i="33"/>
  <c r="K25" i="18"/>
  <c r="U113" i="33"/>
  <c r="K28" i="18"/>
  <c r="U116" i="33"/>
  <c r="K24" i="18"/>
  <c r="U112" i="33"/>
  <c r="K22" i="18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BS81" i="15"/>
  <c r="F81" i="23"/>
  <c r="O81" i="23" s="1"/>
  <c r="BS77" i="15"/>
  <c r="F77" i="23"/>
  <c r="O77" i="23" s="1"/>
  <c r="BS73" i="15"/>
  <c r="F73" i="23"/>
  <c r="O73" i="23" s="1"/>
  <c r="BS61" i="15"/>
  <c r="F61" i="23"/>
  <c r="BS57" i="15"/>
  <c r="F57" i="23"/>
  <c r="O57" i="23" s="1"/>
  <c r="BS53" i="15"/>
  <c r="F53" i="23"/>
  <c r="BS45" i="15"/>
  <c r="F45" i="23"/>
  <c r="BS29" i="15"/>
  <c r="F29" i="23"/>
  <c r="BS21" i="15"/>
  <c r="F21" i="23"/>
  <c r="O21" i="23" s="1"/>
  <c r="BS13" i="15"/>
  <c r="F13" i="23"/>
  <c r="BS5" i="15"/>
  <c r="F5" i="23"/>
  <c r="O5" i="23" s="1"/>
  <c r="BF26" i="15"/>
  <c r="I14" i="23"/>
  <c r="R14" i="23" s="1"/>
  <c r="BF28" i="15"/>
  <c r="I16" i="23"/>
  <c r="R16" i="23" s="1"/>
  <c r="BS108" i="15"/>
  <c r="F108" i="23"/>
  <c r="BS80" i="15"/>
  <c r="F80" i="23"/>
  <c r="O80" i="23" s="1"/>
  <c r="BS72" i="15"/>
  <c r="F72" i="23"/>
  <c r="BS60" i="15"/>
  <c r="F60" i="23"/>
  <c r="O60" i="23" s="1"/>
  <c r="BS56" i="15"/>
  <c r="F56" i="23"/>
  <c r="BS52" i="15"/>
  <c r="F52" i="23"/>
  <c r="O52" i="23" s="1"/>
  <c r="BS48" i="15"/>
  <c r="F48" i="23"/>
  <c r="BS32" i="15"/>
  <c r="F32" i="23"/>
  <c r="O32" i="23" s="1"/>
  <c r="BS24" i="15"/>
  <c r="F24" i="23"/>
  <c r="BS115" i="15"/>
  <c r="F115" i="23"/>
  <c r="O115" i="23" s="1"/>
  <c r="BS111" i="15"/>
  <c r="F111" i="23"/>
  <c r="BS107" i="15"/>
  <c r="F107" i="23"/>
  <c r="O107" i="23" s="1"/>
  <c r="BS103" i="15"/>
  <c r="F103" i="23"/>
  <c r="BS99" i="15"/>
  <c r="F99" i="23"/>
  <c r="O99" i="23" s="1"/>
  <c r="BS95" i="15"/>
  <c r="F95" i="23"/>
  <c r="BS91" i="15"/>
  <c r="F91" i="23"/>
  <c r="O91" i="23" s="1"/>
  <c r="BS87" i="15"/>
  <c r="F87" i="23"/>
  <c r="BS83" i="15"/>
  <c r="F83" i="23"/>
  <c r="O83" i="23" s="1"/>
  <c r="BS79" i="15"/>
  <c r="F79" i="23"/>
  <c r="BS75" i="15"/>
  <c r="F75" i="23"/>
  <c r="O75" i="23" s="1"/>
  <c r="BS71" i="15"/>
  <c r="F71" i="23"/>
  <c r="BS67" i="15"/>
  <c r="F67" i="23"/>
  <c r="O67" i="23" s="1"/>
  <c r="BS63" i="15"/>
  <c r="F63" i="23"/>
  <c r="BS59" i="15"/>
  <c r="F59" i="23"/>
  <c r="O59" i="23" s="1"/>
  <c r="BS55" i="15"/>
  <c r="F55" i="23"/>
  <c r="BS51" i="15"/>
  <c r="F51" i="23"/>
  <c r="O51" i="23" s="1"/>
  <c r="BS47" i="15"/>
  <c r="F47" i="23"/>
  <c r="BS43" i="15"/>
  <c r="F43" i="23"/>
  <c r="O43" i="23" s="1"/>
  <c r="BS39" i="15"/>
  <c r="F39" i="23"/>
  <c r="BS35" i="15"/>
  <c r="F35" i="23"/>
  <c r="O35" i="23" s="1"/>
  <c r="BS31" i="15"/>
  <c r="F31" i="23"/>
  <c r="BS27" i="15"/>
  <c r="F27" i="23"/>
  <c r="O27" i="23" s="1"/>
  <c r="BS23" i="15"/>
  <c r="F23" i="23"/>
  <c r="BS19" i="15"/>
  <c r="F19" i="23"/>
  <c r="O19" i="23" s="1"/>
  <c r="BS15" i="15"/>
  <c r="F15" i="23"/>
  <c r="BS11" i="15"/>
  <c r="F11" i="23"/>
  <c r="O11" i="23" s="1"/>
  <c r="BS7" i="15"/>
  <c r="F7" i="23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BS74" i="15"/>
  <c r="F74" i="23"/>
  <c r="O74" i="23" s="1"/>
  <c r="BS70" i="15"/>
  <c r="F70" i="23"/>
  <c r="O70" i="23" s="1"/>
  <c r="BS66" i="15"/>
  <c r="F66" i="23"/>
  <c r="O66" i="23" s="1"/>
  <c r="BS62" i="15"/>
  <c r="F62" i="23"/>
  <c r="BS58" i="15"/>
  <c r="F58" i="23"/>
  <c r="O58" i="23" s="1"/>
  <c r="BS54" i="15"/>
  <c r="F54" i="23"/>
  <c r="O54" i="23" s="1"/>
  <c r="BS50" i="15"/>
  <c r="F50" i="23"/>
  <c r="O50" i="23" s="1"/>
  <c r="BS46" i="15"/>
  <c r="F46" i="23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C28" i="18"/>
  <c r="R23" i="15"/>
  <c r="CE23" i="15" s="1"/>
  <c r="U23" i="15"/>
  <c r="Q23" i="15"/>
  <c r="B125" i="17"/>
  <c r="E130" i="17"/>
  <c r="E142" i="17" s="1"/>
  <c r="B129" i="17"/>
  <c r="F133" i="17"/>
  <c r="G131" i="17"/>
  <c r="G143" i="17" s="1"/>
  <c r="D126" i="17"/>
  <c r="D138" i="17" s="1"/>
  <c r="C132" i="17"/>
  <c r="BI107" i="15"/>
  <c r="H107" i="26" s="1"/>
  <c r="BI111" i="15"/>
  <c r="BN51" i="16"/>
  <c r="BN52" i="16" s="1"/>
  <c r="DR51" i="16"/>
  <c r="AZ51" i="16"/>
  <c r="AZ52" i="16" s="1"/>
  <c r="BY116" i="15"/>
  <c r="M116" i="22"/>
  <c r="BV115" i="15"/>
  <c r="L115" i="22"/>
  <c r="CA114" i="15"/>
  <c r="BW114" i="15"/>
  <c r="O114" i="23"/>
  <c r="CB113" i="15"/>
  <c r="BV111" i="15"/>
  <c r="N111" i="23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O62" i="23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N43" i="23"/>
  <c r="CA42" i="15"/>
  <c r="BW42" i="15"/>
  <c r="BV39" i="15"/>
  <c r="L39" i="22"/>
  <c r="N39" i="23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N15" i="23"/>
  <c r="CA14" i="15"/>
  <c r="BW14" i="15"/>
  <c r="CB13" i="15"/>
  <c r="BY12" i="15"/>
  <c r="M12" i="22"/>
  <c r="BV11" i="15"/>
  <c r="L11" i="22"/>
  <c r="N11" i="23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N114" i="23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N106" i="23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N98" i="23"/>
  <c r="CA97" i="15"/>
  <c r="BW97" i="15"/>
  <c r="CB96" i="15"/>
  <c r="BY95" i="15"/>
  <c r="M95" i="22"/>
  <c r="BV94" i="15"/>
  <c r="N94" i="23"/>
  <c r="L94" i="22"/>
  <c r="CA93" i="15"/>
  <c r="BW93" i="15"/>
  <c r="O93" i="23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N82" i="23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N74" i="23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O61" i="23"/>
  <c r="CB60" i="15"/>
  <c r="BY59" i="15"/>
  <c r="M59" i="22"/>
  <c r="BV58" i="15"/>
  <c r="L58" i="22"/>
  <c r="N58" i="23"/>
  <c r="CA57" i="15"/>
  <c r="BW57" i="15"/>
  <c r="CB56" i="15"/>
  <c r="BY55" i="15"/>
  <c r="M55" i="22"/>
  <c r="BV54" i="15"/>
  <c r="L54" i="22"/>
  <c r="CA53" i="15"/>
  <c r="BW53" i="15"/>
  <c r="O53" i="23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N46" i="23"/>
  <c r="L46" i="22"/>
  <c r="CA45" i="15"/>
  <c r="BW45" i="15"/>
  <c r="O45" i="23"/>
  <c r="CB44" i="15"/>
  <c r="BY43" i="15"/>
  <c r="M43" i="22"/>
  <c r="BV42" i="15"/>
  <c r="N42" i="23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N34" i="23"/>
  <c r="CA33" i="15"/>
  <c r="BW33" i="15"/>
  <c r="CB32" i="15"/>
  <c r="BY31" i="15"/>
  <c r="M31" i="22"/>
  <c r="BV30" i="15"/>
  <c r="L30" i="22"/>
  <c r="CA29" i="15"/>
  <c r="BW29" i="15"/>
  <c r="O29" i="23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N18" i="23"/>
  <c r="L18" i="22"/>
  <c r="CA17" i="15"/>
  <c r="BW17" i="15"/>
  <c r="CB16" i="15"/>
  <c r="BY15" i="15"/>
  <c r="M15" i="22"/>
  <c r="BV14" i="15"/>
  <c r="L14" i="22"/>
  <c r="CA13" i="15"/>
  <c r="BW13" i="15"/>
  <c r="O13" i="23"/>
  <c r="CB12" i="15"/>
  <c r="BY11" i="15"/>
  <c r="M11" i="22"/>
  <c r="BV10" i="15"/>
  <c r="N10" i="23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N95" i="23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N75" i="23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N1" i="23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N109" i="23"/>
  <c r="CA108" i="15"/>
  <c r="BW108" i="15"/>
  <c r="O108" i="23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N101" i="23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O92" i="23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N85" i="23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N77" i="23"/>
  <c r="CA76" i="15"/>
  <c r="BW76" i="15"/>
  <c r="CB75" i="15"/>
  <c r="BY74" i="15"/>
  <c r="M74" i="22"/>
  <c r="BV73" i="15"/>
  <c r="L73" i="22"/>
  <c r="N73" i="23"/>
  <c r="CA72" i="15"/>
  <c r="BW72" i="15"/>
  <c r="O72" i="23"/>
  <c r="CB71" i="15"/>
  <c r="BY70" i="15"/>
  <c r="M70" i="22"/>
  <c r="BV69" i="15"/>
  <c r="N69" i="23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N61" i="23"/>
  <c r="L61" i="22"/>
  <c r="CA60" i="15"/>
  <c r="BW60" i="15"/>
  <c r="CB59" i="15"/>
  <c r="BY58" i="15"/>
  <c r="M58" i="22"/>
  <c r="BV57" i="15"/>
  <c r="L57" i="22"/>
  <c r="N57" i="23"/>
  <c r="CA56" i="15"/>
  <c r="BW56" i="15"/>
  <c r="O56" i="23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O48" i="23"/>
  <c r="CB47" i="15"/>
  <c r="BY46" i="15"/>
  <c r="M46" i="22"/>
  <c r="BV45" i="15"/>
  <c r="L45" i="22"/>
  <c r="N45" i="23"/>
  <c r="CA44" i="15"/>
  <c r="BW44" i="15"/>
  <c r="O44" i="23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N37" i="23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N29" i="23"/>
  <c r="CA28" i="15"/>
  <c r="BW28" i="15"/>
  <c r="CB27" i="15"/>
  <c r="BY26" i="15"/>
  <c r="M26" i="22"/>
  <c r="BV25" i="15"/>
  <c r="L25" i="22"/>
  <c r="N25" i="23"/>
  <c r="CA24" i="15"/>
  <c r="BW24" i="15"/>
  <c r="O24" i="23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O12" i="23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N5" i="23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O102" i="23"/>
  <c r="BV99" i="15"/>
  <c r="L99" i="22"/>
  <c r="CA98" i="15"/>
  <c r="BW98" i="15"/>
  <c r="CB93" i="15"/>
  <c r="BV87" i="15"/>
  <c r="L87" i="22"/>
  <c r="N87" i="23"/>
  <c r="CA86" i="15"/>
  <c r="BW86" i="15"/>
  <c r="BV83" i="15"/>
  <c r="L83" i="22"/>
  <c r="CA82" i="15"/>
  <c r="BW78" i="15"/>
  <c r="O78" i="23"/>
  <c r="BV71" i="15"/>
  <c r="L71" i="22"/>
  <c r="N71" i="23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N55" i="23"/>
  <c r="CB53" i="15"/>
  <c r="BV51" i="15"/>
  <c r="L51" i="22"/>
  <c r="CA50" i="15"/>
  <c r="BW50" i="15"/>
  <c r="CB49" i="15"/>
  <c r="BV47" i="15"/>
  <c r="L47" i="22"/>
  <c r="N47" i="23"/>
  <c r="BW46" i="15"/>
  <c r="O46" i="23"/>
  <c r="BY44" i="15"/>
  <c r="M44" i="22"/>
  <c r="BY40" i="15"/>
  <c r="M40" i="22"/>
  <c r="BW38" i="15"/>
  <c r="CB37" i="15"/>
  <c r="BV35" i="15"/>
  <c r="N35" i="23"/>
  <c r="L35" i="22"/>
  <c r="CA34" i="15"/>
  <c r="BV23" i="15"/>
  <c r="L23" i="22"/>
  <c r="N23" i="23"/>
  <c r="CA22" i="15"/>
  <c r="BY20" i="15"/>
  <c r="M20" i="22"/>
  <c r="BW6" i="15"/>
  <c r="BV3" i="15"/>
  <c r="L3" i="22"/>
  <c r="N3" i="23"/>
  <c r="U3" i="23" s="1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N112" i="23"/>
  <c r="L112" i="22"/>
  <c r="CA111" i="15"/>
  <c r="BW111" i="15"/>
  <c r="O111" i="23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O103" i="23"/>
  <c r="CB102" i="15"/>
  <c r="BY101" i="15"/>
  <c r="M101" i="22"/>
  <c r="BV100" i="15"/>
  <c r="N100" i="23"/>
  <c r="L100" i="22"/>
  <c r="CA99" i="15"/>
  <c r="BW99" i="15"/>
  <c r="CB98" i="15"/>
  <c r="BY97" i="15"/>
  <c r="M97" i="22"/>
  <c r="BV96" i="15"/>
  <c r="L96" i="22"/>
  <c r="N96" i="23"/>
  <c r="CA95" i="15"/>
  <c r="BW95" i="15"/>
  <c r="O95" i="23"/>
  <c r="CB94" i="15"/>
  <c r="BY93" i="15"/>
  <c r="M93" i="22"/>
  <c r="BV92" i="15"/>
  <c r="L92" i="22"/>
  <c r="CA91" i="15"/>
  <c r="BW91" i="15"/>
  <c r="CB90" i="15"/>
  <c r="BY89" i="15"/>
  <c r="M89" i="22"/>
  <c r="BV88" i="15"/>
  <c r="N88" i="23"/>
  <c r="L88" i="22"/>
  <c r="CA87" i="15"/>
  <c r="BW87" i="15"/>
  <c r="O87" i="23"/>
  <c r="CB86" i="15"/>
  <c r="BY85" i="15"/>
  <c r="M85" i="22"/>
  <c r="BV84" i="15"/>
  <c r="L84" i="22"/>
  <c r="CA83" i="15"/>
  <c r="BW83" i="15"/>
  <c r="CB82" i="15"/>
  <c r="BY81" i="15"/>
  <c r="M81" i="22"/>
  <c r="BV80" i="15"/>
  <c r="N80" i="23"/>
  <c r="L80" i="22"/>
  <c r="CA79" i="15"/>
  <c r="BW79" i="15"/>
  <c r="O79" i="23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N72" i="23"/>
  <c r="L72" i="22"/>
  <c r="CA71" i="15"/>
  <c r="BW71" i="15"/>
  <c r="O71" i="23"/>
  <c r="CB70" i="15"/>
  <c r="BY69" i="15"/>
  <c r="M69" i="22"/>
  <c r="BV68" i="15"/>
  <c r="N68" i="23"/>
  <c r="L68" i="22"/>
  <c r="CA67" i="15"/>
  <c r="BW67" i="15"/>
  <c r="CB66" i="15"/>
  <c r="BY65" i="15"/>
  <c r="M65" i="22"/>
  <c r="BV64" i="15"/>
  <c r="N64" i="23"/>
  <c r="L64" i="22"/>
  <c r="CA63" i="15"/>
  <c r="BW63" i="15"/>
  <c r="O63" i="23"/>
  <c r="CB62" i="15"/>
  <c r="BY61" i="15"/>
  <c r="M61" i="22"/>
  <c r="BV60" i="15"/>
  <c r="L60" i="22"/>
  <c r="CA59" i="15"/>
  <c r="BW59" i="15"/>
  <c r="CB58" i="15"/>
  <c r="BY57" i="15"/>
  <c r="M57" i="22"/>
  <c r="BV56" i="15"/>
  <c r="N56" i="23"/>
  <c r="L56" i="22"/>
  <c r="CA55" i="15"/>
  <c r="BW55" i="15"/>
  <c r="O55" i="23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N48" i="23"/>
  <c r="CA47" i="15"/>
  <c r="BW47" i="15"/>
  <c r="O47" i="23"/>
  <c r="CB46" i="15"/>
  <c r="BY45" i="15"/>
  <c r="M45" i="22"/>
  <c r="BV44" i="15"/>
  <c r="L44" i="22"/>
  <c r="CA43" i="15"/>
  <c r="BW43" i="15"/>
  <c r="CB42" i="15"/>
  <c r="BY41" i="15"/>
  <c r="M41" i="22"/>
  <c r="BV40" i="15"/>
  <c r="N40" i="23"/>
  <c r="L40" i="22"/>
  <c r="CA39" i="15"/>
  <c r="BW39" i="15"/>
  <c r="O39" i="23"/>
  <c r="CB38" i="15"/>
  <c r="BY37" i="15"/>
  <c r="M37" i="22"/>
  <c r="BV36" i="15"/>
  <c r="N36" i="23"/>
  <c r="L36" i="22"/>
  <c r="CA35" i="15"/>
  <c r="BW35" i="15"/>
  <c r="CB34" i="15"/>
  <c r="BY33" i="15"/>
  <c r="M33" i="22"/>
  <c r="BV32" i="15"/>
  <c r="N32" i="23"/>
  <c r="L32" i="22"/>
  <c r="CA31" i="15"/>
  <c r="BW31" i="15"/>
  <c r="O31" i="23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N24" i="23"/>
  <c r="CA23" i="15"/>
  <c r="BW23" i="15"/>
  <c r="O23" i="23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O15" i="23"/>
  <c r="CB14" i="15"/>
  <c r="BY13" i="15"/>
  <c r="M13" i="22"/>
  <c r="BV12" i="15"/>
  <c r="L12" i="22"/>
  <c r="CA11" i="15"/>
  <c r="BW11" i="15"/>
  <c r="CB10" i="15"/>
  <c r="BY9" i="15"/>
  <c r="M9" i="22"/>
  <c r="BV8" i="15"/>
  <c r="N8" i="23"/>
  <c r="L8" i="22"/>
  <c r="CA7" i="15"/>
  <c r="BW7" i="15"/>
  <c r="O7" i="23"/>
  <c r="CB6" i="15"/>
  <c r="BY5" i="15"/>
  <c r="M5" i="22"/>
  <c r="BV4" i="15"/>
  <c r="N4" i="23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Z28" i="16"/>
  <c r="BP72" i="16" s="1"/>
  <c r="BY28" i="16"/>
  <c r="BP71" i="16" s="1"/>
  <c r="AC28" i="16"/>
  <c r="Z65" i="16" s="1"/>
  <c r="DO28" i="16"/>
  <c r="DF71" i="16" s="1"/>
  <c r="CM28" i="16"/>
  <c r="CD71" i="16" s="1"/>
  <c r="D1" i="20"/>
  <c r="K117" i="20"/>
  <c r="T117" i="20" s="1"/>
  <c r="A117" i="20"/>
  <c r="C25" i="18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C23" i="18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C26" i="18"/>
  <c r="K114" i="20"/>
  <c r="T114" i="20" s="1"/>
  <c r="A114" i="20"/>
  <c r="C114" i="15"/>
  <c r="C114" i="33" s="1"/>
  <c r="C24" i="18"/>
  <c r="K112" i="20"/>
  <c r="T112" i="20" s="1"/>
  <c r="A112" i="20"/>
  <c r="C112" i="15"/>
  <c r="C112" i="33" s="1"/>
  <c r="C22" i="18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C27" i="18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AF55" i="16"/>
  <c r="AA68" i="16" s="1"/>
  <c r="BY55" i="16"/>
  <c r="BQ71" i="16" s="1"/>
  <c r="F12" i="26" s="1"/>
  <c r="AJ55" i="16"/>
  <c r="AA72" i="16" s="1"/>
  <c r="DP55" i="16"/>
  <c r="DG72" i="16" s="1"/>
  <c r="DP28" i="16"/>
  <c r="DF72" i="16" s="1"/>
  <c r="CM55" i="16"/>
  <c r="CE71" i="16" s="1"/>
  <c r="ED28" i="16"/>
  <c r="DT72" i="16" s="1"/>
  <c r="AW55" i="16"/>
  <c r="AO71" i="16" s="1"/>
  <c r="DA28" i="16"/>
  <c r="CR71" i="16" s="1"/>
  <c r="AI28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AB55" i="16"/>
  <c r="AA64" i="16" s="1"/>
  <c r="ED55" i="16"/>
  <c r="DU72" i="16" s="1"/>
  <c r="EC28" i="16"/>
  <c r="DT71" i="16" s="1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F145" i="17"/>
  <c r="D134" i="17"/>
  <c r="G132" i="17"/>
  <c r="G144" i="17" s="1"/>
  <c r="B124" i="17"/>
  <c r="F125" i="17"/>
  <c r="B128" i="17"/>
  <c r="F129" i="17"/>
  <c r="B131" i="17"/>
  <c r="B133" i="17"/>
  <c r="D124" i="17"/>
  <c r="D136" i="17" s="1"/>
  <c r="D128" i="17"/>
  <c r="D140" i="17" s="1"/>
  <c r="A134" i="17"/>
  <c r="B134" i="17" s="1"/>
  <c r="F123" i="17"/>
  <c r="B126" i="17"/>
  <c r="F127" i="17"/>
  <c r="B132" i="17"/>
  <c r="C111" i="17"/>
  <c r="C115" i="17"/>
  <c r="D131" i="17"/>
  <c r="D143" i="17" s="1"/>
  <c r="D132" i="17"/>
  <c r="D144" i="17" s="1"/>
  <c r="C121" i="17"/>
  <c r="AM121" i="15" s="1"/>
  <c r="G133" i="17"/>
  <c r="G145" i="17" s="1"/>
  <c r="E122" i="17"/>
  <c r="E134" i="17" s="1"/>
  <c r="G123" i="17"/>
  <c r="G135" i="17" s="1"/>
  <c r="E124" i="17"/>
  <c r="E136" i="17" s="1"/>
  <c r="G125" i="17"/>
  <c r="G137" i="17" s="1"/>
  <c r="E126" i="17"/>
  <c r="E138" i="17" s="1"/>
  <c r="G127" i="17"/>
  <c r="G139" i="17" s="1"/>
  <c r="E128" i="17"/>
  <c r="E140" i="17" s="1"/>
  <c r="G129" i="17"/>
  <c r="G141" i="17" s="1"/>
  <c r="B130" i="17"/>
  <c r="F130" i="17"/>
  <c r="C117" i="17"/>
  <c r="AM117" i="15" s="1"/>
  <c r="C110" i="17"/>
  <c r="C112" i="17"/>
  <c r="C114" i="17"/>
  <c r="C116" i="17"/>
  <c r="C118" i="17"/>
  <c r="AM118" i="15" s="1"/>
  <c r="E131" i="17"/>
  <c r="E143" i="17" s="1"/>
  <c r="E132" i="17"/>
  <c r="E144" i="17" s="1"/>
  <c r="D133" i="17"/>
  <c r="D145" i="17" s="1"/>
  <c r="F122" i="17"/>
  <c r="D123" i="17"/>
  <c r="D135" i="17" s="1"/>
  <c r="F124" i="17"/>
  <c r="D125" i="17"/>
  <c r="D137" i="17" s="1"/>
  <c r="F126" i="17"/>
  <c r="D127" i="17"/>
  <c r="D139" i="17" s="1"/>
  <c r="F128" i="17"/>
  <c r="D129" i="17"/>
  <c r="D141" i="17" s="1"/>
  <c r="G130" i="17"/>
  <c r="G142" i="17" s="1"/>
  <c r="C113" i="17"/>
  <c r="C119" i="17"/>
  <c r="AM119" i="15" s="1"/>
  <c r="F131" i="17"/>
  <c r="E133" i="17"/>
  <c r="E145" i="17" s="1"/>
  <c r="G122" i="17"/>
  <c r="G134" i="17" s="1"/>
  <c r="E123" i="17"/>
  <c r="E135" i="17" s="1"/>
  <c r="G124" i="17"/>
  <c r="G136" i="17" s="1"/>
  <c r="E125" i="17"/>
  <c r="E137" i="17" s="1"/>
  <c r="G126" i="17"/>
  <c r="G138" i="17" s="1"/>
  <c r="E127" i="17"/>
  <c r="E139" i="17" s="1"/>
  <c r="G128" i="17"/>
  <c r="G140" i="17" s="1"/>
  <c r="E129" i="17"/>
  <c r="E141" i="17" s="1"/>
  <c r="D130" i="17"/>
  <c r="D142" i="17" s="1"/>
  <c r="Y28" i="16"/>
  <c r="Z61" i="16" s="1"/>
  <c r="DO55" i="16"/>
  <c r="DG71" i="16" s="1"/>
  <c r="EC55" i="16"/>
  <c r="DU71" i="16" s="1"/>
  <c r="DU55" i="16"/>
  <c r="DU63" i="16" s="1"/>
  <c r="AB28" i="16"/>
  <c r="Z64" i="16" s="1"/>
  <c r="CW55" i="16"/>
  <c r="CS67" i="16" s="1"/>
  <c r="AO55" i="16"/>
  <c r="AO63" i="16" s="1"/>
  <c r="AS55" i="16"/>
  <c r="AO67" i="16" s="1"/>
  <c r="BQ55" i="16"/>
  <c r="BQ63" i="16" s="1"/>
  <c r="F4" i="26" s="1"/>
  <c r="BU55" i="16"/>
  <c r="BQ67" i="16" s="1"/>
  <c r="F8" i="26" s="1"/>
  <c r="AP28" i="16"/>
  <c r="AN64" i="16" s="1"/>
  <c r="AT28" i="16"/>
  <c r="AN68" i="16" s="1"/>
  <c r="DH28" i="16"/>
  <c r="DF64" i="16" s="1"/>
  <c r="DL28" i="16"/>
  <c r="DF68" i="16" s="1"/>
  <c r="AP55" i="16"/>
  <c r="AO64" i="16" s="1"/>
  <c r="BD55" i="16"/>
  <c r="BC64" i="16" s="1"/>
  <c r="F5" i="28" s="1"/>
  <c r="BH55" i="16"/>
  <c r="BC68" i="16" s="1"/>
  <c r="F9" i="28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CU55" i="16"/>
  <c r="CS65" i="16" s="1"/>
  <c r="CY55" i="16"/>
  <c r="CS69" i="16" s="1"/>
  <c r="DY55" i="16"/>
  <c r="DU67" i="16" s="1"/>
  <c r="DZ55" i="16"/>
  <c r="DU68" i="16" s="1"/>
  <c r="CY28" i="16"/>
  <c r="CR69" i="16" s="1"/>
  <c r="CQ28" i="16"/>
  <c r="CR61" i="16" s="1"/>
  <c r="CU28" i="16"/>
  <c r="CR65" i="16" s="1"/>
  <c r="BP28" i="16"/>
  <c r="BP62" i="16" s="1"/>
  <c r="DV55" i="16"/>
  <c r="DU64" i="16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CW28" i="16"/>
  <c r="CR67" i="16" s="1"/>
  <c r="DG28" i="16"/>
  <c r="DF63" i="16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BD28" i="16"/>
  <c r="BB64" i="16" s="1"/>
  <c r="AF28" i="16"/>
  <c r="Z68" i="16" s="1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Q28" i="16"/>
  <c r="AN65" i="16" s="1"/>
  <c r="BE28" i="16"/>
  <c r="BB65" i="16" s="1"/>
  <c r="CD28" i="16"/>
  <c r="CD62" i="16" s="1"/>
  <c r="CR28" i="16"/>
  <c r="CR62" i="16" s="1"/>
  <c r="DE28" i="16"/>
  <c r="DF61" i="16" s="1"/>
  <c r="DM28" i="16"/>
  <c r="DF69" i="16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BF28" i="16"/>
  <c r="BB66" i="16" s="1"/>
  <c r="BJ28" i="16"/>
  <c r="BB70" i="16" s="1"/>
  <c r="BR28" i="16"/>
  <c r="BP64" i="16" s="1"/>
  <c r="BV28" i="16"/>
  <c r="BP68" i="16" s="1"/>
  <c r="DF28" i="16"/>
  <c r="DF62" i="16" s="1"/>
  <c r="DJ28" i="16"/>
  <c r="DF66" i="16" s="1"/>
  <c r="DN28" i="16"/>
  <c r="DF70" i="16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CB7" i="16"/>
  <c r="AU28" i="16"/>
  <c r="AN69" i="16" s="1"/>
  <c r="BI28" i="16"/>
  <c r="BB69" i="16" s="1"/>
  <c r="CL28" i="16"/>
  <c r="CD70" i="16" s="1"/>
  <c r="CZ28" i="16"/>
  <c r="CR70" i="16" s="1"/>
  <c r="DI28" i="16"/>
  <c r="DF65" i="16" s="1"/>
  <c r="DZ28" i="16"/>
  <c r="DT68" i="16" s="1"/>
  <c r="DG55" i="16"/>
  <c r="DG63" i="16" s="1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O28" i="16"/>
  <c r="AN63" i="16" s="1"/>
  <c r="AS28" i="16"/>
  <c r="AN67" i="16" s="1"/>
  <c r="BC28" i="16"/>
  <c r="BB63" i="16" s="1"/>
  <c r="BG28" i="16"/>
  <c r="BB67" i="1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EB28" i="16"/>
  <c r="DT70" i="16" s="1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BP55" i="16"/>
  <c r="BQ62" i="16" s="1"/>
  <c r="F3" i="26" s="1"/>
  <c r="BT55" i="16"/>
  <c r="BQ66" i="16" s="1"/>
  <c r="F7" i="26" s="1"/>
  <c r="BX55" i="16"/>
  <c r="BQ70" i="16" s="1"/>
  <c r="F11" i="26" s="1"/>
  <c r="CD55" i="16"/>
  <c r="CE62" i="16" s="1"/>
  <c r="CH55" i="16"/>
  <c r="CE66" i="16" s="1"/>
  <c r="CL55" i="16"/>
  <c r="CE70" i="16" s="1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F6" i="28" s="1"/>
  <c r="BI55" i="16"/>
  <c r="BC69" i="16" s="1"/>
  <c r="F10" i="28" s="1"/>
  <c r="BM42" i="16"/>
  <c r="BM47" i="16"/>
  <c r="BM50" i="16"/>
  <c r="AA55" i="16"/>
  <c r="AA63" i="16" s="1"/>
  <c r="AE55" i="16"/>
  <c r="AA67" i="16" s="1"/>
  <c r="BB55" i="16"/>
  <c r="BC62" i="16" s="1"/>
  <c r="F3" i="28" s="1"/>
  <c r="BF55" i="16"/>
  <c r="BC66" i="16" s="1"/>
  <c r="F7" i="28" s="1"/>
  <c r="BJ55" i="16"/>
  <c r="BC70" i="16" s="1"/>
  <c r="F11" i="28" s="1"/>
  <c r="BR55" i="16"/>
  <c r="BQ64" i="16" s="1"/>
  <c r="F5" i="26" s="1"/>
  <c r="BV55" i="16"/>
  <c r="BQ68" i="16" s="1"/>
  <c r="F9" i="26" s="1"/>
  <c r="CF55" i="16"/>
  <c r="CE64" i="16" s="1"/>
  <c r="CJ55" i="16"/>
  <c r="CE68" i="16" s="1"/>
  <c r="CS55" i="16"/>
  <c r="CS63" i="16" s="1"/>
  <c r="DA55" i="16"/>
  <c r="CS71" i="16" s="1"/>
  <c r="DT55" i="16"/>
  <c r="DU62" i="16" s="1"/>
  <c r="DX55" i="16"/>
  <c r="DU66" i="16" s="1"/>
  <c r="EB55" i="16"/>
  <c r="DU70" i="16" s="1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CC55" i="16"/>
  <c r="CE61" i="16" s="1"/>
  <c r="CG55" i="16"/>
  <c r="CE65" i="16" s="1"/>
  <c r="CK55" i="16"/>
  <c r="CE69" i="16" s="1"/>
  <c r="CT55" i="16"/>
  <c r="CS64" i="16" s="1"/>
  <c r="CX55" i="16"/>
  <c r="CS68" i="16" s="1"/>
  <c r="DK55" i="16"/>
  <c r="DG67" i="16" s="1"/>
  <c r="BM44" i="16"/>
  <c r="CR55" i="16"/>
  <c r="CS62" i="16" s="1"/>
  <c r="CV55" i="16"/>
  <c r="CS66" i="16" s="1"/>
  <c r="CZ55" i="16"/>
  <c r="CS70" i="16" s="1"/>
  <c r="DE55" i="16"/>
  <c r="DG61" i="16" s="1"/>
  <c r="DI55" i="16"/>
  <c r="DG65" i="16" s="1"/>
  <c r="DM55" i="16"/>
  <c r="DG69" i="16" s="1"/>
  <c r="BC55" i="16"/>
  <c r="BC63" i="16" s="1"/>
  <c r="F4" i="28" s="1"/>
  <c r="BG55" i="16"/>
  <c r="BC67" i="16" s="1"/>
  <c r="F8" i="28" s="1"/>
  <c r="BO55" i="16"/>
  <c r="BQ61" i="16" s="1"/>
  <c r="F2" i="26" s="1"/>
  <c r="BS55" i="16"/>
  <c r="BQ65" i="16" s="1"/>
  <c r="F6" i="26" s="1"/>
  <c r="BW55" i="16"/>
  <c r="BQ69" i="16" s="1"/>
  <c r="F10" i="26" s="1"/>
  <c r="DF55" i="16"/>
  <c r="DG62" i="16" s="1"/>
  <c r="DJ55" i="16"/>
  <c r="DG66" i="16" s="1"/>
  <c r="DN55" i="16"/>
  <c r="DG70" i="16" s="1"/>
  <c r="DS55" i="16"/>
  <c r="DU61" i="16" s="1"/>
  <c r="DW55" i="16"/>
  <c r="DU65" i="16" s="1"/>
  <c r="EA55" i="16"/>
  <c r="DU69" i="16" s="1"/>
  <c r="U9" i="23" l="1"/>
  <c r="U10" i="23"/>
  <c r="U11" i="23"/>
  <c r="U15" i="23"/>
  <c r="V15" i="23" s="1"/>
  <c r="W15" i="23" s="1"/>
  <c r="U8" i="23"/>
  <c r="U12" i="23"/>
  <c r="V12" i="23" s="1"/>
  <c r="U7" i="23"/>
  <c r="U13" i="23"/>
  <c r="V13" i="23" s="1"/>
  <c r="W13" i="23" s="1"/>
  <c r="U5" i="23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I127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N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N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N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N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V8" i="23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V5" i="23"/>
  <c r="W5" i="23" s="1"/>
  <c r="Q10" i="22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V9" i="23"/>
  <c r="W9" i="23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Q9" i="22"/>
  <c r="H111" i="26"/>
  <c r="H123" i="26" s="1"/>
  <c r="BF38" i="15"/>
  <c r="I26" i="23"/>
  <c r="R26" i="23" s="1"/>
  <c r="V10" i="23"/>
  <c r="V6" i="23"/>
  <c r="V11" i="23"/>
  <c r="W11" i="23" s="1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C125" i="17"/>
  <c r="AM113" i="15"/>
  <c r="C124" i="17"/>
  <c r="AM112" i="15"/>
  <c r="F141" i="17"/>
  <c r="F132" i="17"/>
  <c r="F138" i="17"/>
  <c r="F134" i="17"/>
  <c r="C130" i="17"/>
  <c r="C122" i="17"/>
  <c r="AM110" i="15"/>
  <c r="C127" i="17"/>
  <c r="AM115" i="15"/>
  <c r="F143" i="17"/>
  <c r="C128" i="17"/>
  <c r="AM116" i="15"/>
  <c r="C129" i="17"/>
  <c r="C133" i="17"/>
  <c r="C123" i="17"/>
  <c r="AM111" i="15"/>
  <c r="F135" i="17"/>
  <c r="F137" i="17"/>
  <c r="F139" i="17"/>
  <c r="C131" i="17"/>
  <c r="F140" i="17"/>
  <c r="F136" i="17"/>
  <c r="C126" i="17"/>
  <c r="AM114" i="15"/>
  <c r="F142" i="17"/>
  <c r="C144" i="17"/>
  <c r="AZ53" i="16"/>
  <c r="BH52" i="16"/>
  <c r="BG52" i="16"/>
  <c r="BJ52" i="16"/>
  <c r="BB52" i="16"/>
  <c r="BK52" i="16"/>
  <c r="BE52" i="16"/>
  <c r="BA52" i="16"/>
  <c r="BD52" i="16" a="1"/>
  <c r="BD52" i="16" s="1"/>
  <c r="BF52" i="16"/>
  <c r="BC52" i="16"/>
  <c r="BI52" i="16"/>
  <c r="BN53" i="16"/>
  <c r="BW52" i="16"/>
  <c r="BO52" i="16"/>
  <c r="BX52" i="16"/>
  <c r="BV52" i="16"/>
  <c r="BQ52" i="16"/>
  <c r="BU52" i="16"/>
  <c r="BT52" i="16"/>
  <c r="BS52" i="16"/>
  <c r="BR52" i="16"/>
  <c r="BP52" i="16"/>
  <c r="DR52" i="16"/>
  <c r="EB52" i="16" s="1"/>
  <c r="X52" i="16"/>
  <c r="X53" i="16" s="1"/>
  <c r="AJ53" i="16" s="1"/>
  <c r="AF72" i="16" s="1"/>
  <c r="X51" i="16"/>
  <c r="AF53" i="16" s="1"/>
  <c r="AF68" i="16" s="1"/>
  <c r="AL51" i="16"/>
  <c r="AL52" i="16" s="1"/>
  <c r="CP51" i="16"/>
  <c r="CP52" i="16" s="1"/>
  <c r="CB51" i="16"/>
  <c r="CB52" i="16" s="1"/>
  <c r="DD51" i="16"/>
  <c r="DD52" i="16" s="1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I29" i="20"/>
  <c r="R29" i="20" s="1"/>
  <c r="I29" i="26"/>
  <c r="I45" i="20"/>
  <c r="R45" i="20" s="1"/>
  <c r="I45" i="26"/>
  <c r="I57" i="20"/>
  <c r="R57" i="20" s="1"/>
  <c r="I57" i="26"/>
  <c r="I73" i="20"/>
  <c r="R73" i="20" s="1"/>
  <c r="I73" i="26"/>
  <c r="I89" i="20"/>
  <c r="R89" i="20" s="1"/>
  <c r="I89" i="26"/>
  <c r="I105" i="20"/>
  <c r="R105" i="20" s="1"/>
  <c r="I105" i="26"/>
  <c r="I113" i="20"/>
  <c r="R113" i="20" s="1"/>
  <c r="I113" i="26"/>
  <c r="I39" i="20"/>
  <c r="R39" i="20" s="1"/>
  <c r="I39" i="26"/>
  <c r="J86" i="20"/>
  <c r="S86" i="20" s="1"/>
  <c r="J86" i="26"/>
  <c r="G99" i="20"/>
  <c r="P99" i="20" s="1"/>
  <c r="G99" i="28"/>
  <c r="G99" i="27"/>
  <c r="G99" i="26"/>
  <c r="G99" i="22"/>
  <c r="N99" i="22" s="1"/>
  <c r="G99" i="23"/>
  <c r="I40" i="20"/>
  <c r="R40" i="20" s="1"/>
  <c r="I40" i="26"/>
  <c r="I96" i="20"/>
  <c r="R96" i="20" s="1"/>
  <c r="I96" i="26"/>
  <c r="J6" i="20"/>
  <c r="S6" i="20" s="1"/>
  <c r="J6" i="26"/>
  <c r="I31" i="20"/>
  <c r="R31" i="20" s="1"/>
  <c r="I31" i="26"/>
  <c r="I79" i="20"/>
  <c r="R79" i="20" s="1"/>
  <c r="I79" i="26"/>
  <c r="I87" i="20"/>
  <c r="R87" i="20" s="1"/>
  <c r="I87" i="26"/>
  <c r="I103" i="20"/>
  <c r="R103" i="20" s="1"/>
  <c r="I103" i="26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I24" i="20"/>
  <c r="R24" i="20" s="1"/>
  <c r="I24" i="26"/>
  <c r="I48" i="20"/>
  <c r="R48" i="20" s="1"/>
  <c r="I48" i="26"/>
  <c r="I68" i="20"/>
  <c r="R68" i="20" s="1"/>
  <c r="I68" i="26"/>
  <c r="I92" i="20"/>
  <c r="R92" i="20" s="1"/>
  <c r="I92" i="26"/>
  <c r="J99" i="20"/>
  <c r="S99" i="20" s="1"/>
  <c r="J99" i="26"/>
  <c r="J115" i="20"/>
  <c r="S115" i="20" s="1"/>
  <c r="J115" i="26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I25" i="20"/>
  <c r="R25" i="20" s="1"/>
  <c r="I25" i="26"/>
  <c r="I41" i="20"/>
  <c r="R41" i="20" s="1"/>
  <c r="I41" i="26"/>
  <c r="I65" i="20"/>
  <c r="R65" i="20" s="1"/>
  <c r="I65" i="26"/>
  <c r="I81" i="20"/>
  <c r="R81" i="20" s="1"/>
  <c r="I81" i="26"/>
  <c r="I101" i="20"/>
  <c r="R101" i="20" s="1"/>
  <c r="I101" i="26"/>
  <c r="J34" i="20"/>
  <c r="S34" i="20" s="1"/>
  <c r="J34" i="26"/>
  <c r="J110" i="20"/>
  <c r="S110" i="20" s="1"/>
  <c r="J110" i="26"/>
  <c r="I28" i="20"/>
  <c r="R28" i="20" s="1"/>
  <c r="I28" i="26"/>
  <c r="I80" i="20"/>
  <c r="R80" i="20" s="1"/>
  <c r="I80" i="26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I37" i="20"/>
  <c r="R37" i="20" s="1"/>
  <c r="I37" i="26"/>
  <c r="I53" i="20"/>
  <c r="R53" i="20" s="1"/>
  <c r="I53" i="26"/>
  <c r="I69" i="20"/>
  <c r="R69" i="20" s="1"/>
  <c r="I69" i="26"/>
  <c r="I85" i="20"/>
  <c r="R85" i="20" s="1"/>
  <c r="I85" i="26"/>
  <c r="I97" i="20"/>
  <c r="R97" i="20" s="1"/>
  <c r="I97" i="26"/>
  <c r="I3" i="20"/>
  <c r="R3" i="20" s="1"/>
  <c r="I3" i="26"/>
  <c r="J74" i="20"/>
  <c r="S74" i="20" s="1"/>
  <c r="J74" i="26"/>
  <c r="G52" i="28"/>
  <c r="P52" i="28" s="1"/>
  <c r="G52" i="27"/>
  <c r="N52" i="27" s="1"/>
  <c r="G52" i="26"/>
  <c r="P52" i="26" s="1"/>
  <c r="G52" i="23"/>
  <c r="G52" i="22"/>
  <c r="N52" i="22" s="1"/>
  <c r="Q52" i="22" s="1"/>
  <c r="J63" i="20"/>
  <c r="S63" i="20" s="1"/>
  <c r="J63" i="26"/>
  <c r="I11" i="20"/>
  <c r="R11" i="20" s="1"/>
  <c r="I11" i="26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I17" i="20"/>
  <c r="R17" i="20" s="1"/>
  <c r="I17" i="26"/>
  <c r="I33" i="20"/>
  <c r="R33" i="20" s="1"/>
  <c r="I33" i="26"/>
  <c r="I49" i="20"/>
  <c r="R49" i="20" s="1"/>
  <c r="I49" i="26"/>
  <c r="I61" i="20"/>
  <c r="R61" i="20" s="1"/>
  <c r="I61" i="26"/>
  <c r="I77" i="20"/>
  <c r="R77" i="20" s="1"/>
  <c r="I77" i="26"/>
  <c r="I93" i="20"/>
  <c r="R93" i="20" s="1"/>
  <c r="I93" i="26"/>
  <c r="I109" i="20"/>
  <c r="R109" i="20" s="1"/>
  <c r="I109" i="26"/>
  <c r="I117" i="20"/>
  <c r="R117" i="20" s="1"/>
  <c r="I117" i="26"/>
  <c r="I59" i="20"/>
  <c r="R59" i="20" s="1"/>
  <c r="I59" i="26"/>
  <c r="I12" i="20"/>
  <c r="R12" i="20" s="1"/>
  <c r="I12" i="26"/>
  <c r="I52" i="20"/>
  <c r="R52" i="20" s="1"/>
  <c r="I52" i="26"/>
  <c r="I112" i="20"/>
  <c r="R112" i="20" s="1"/>
  <c r="I112" i="26"/>
  <c r="J18" i="20"/>
  <c r="S18" i="20" s="1"/>
  <c r="J18" i="26"/>
  <c r="I43" i="20"/>
  <c r="R43" i="20" s="1"/>
  <c r="I43" i="26"/>
  <c r="I55" i="20"/>
  <c r="R55" i="20" s="1"/>
  <c r="I55" i="26"/>
  <c r="I91" i="20"/>
  <c r="R91" i="20" s="1"/>
  <c r="I91" i="26"/>
  <c r="I99" i="20"/>
  <c r="R99" i="20" s="1"/>
  <c r="I99" i="26"/>
  <c r="I16" i="20"/>
  <c r="R16" i="20" s="1"/>
  <c r="I16" i="26"/>
  <c r="J35" i="20"/>
  <c r="S35" i="20" s="1"/>
  <c r="J35" i="26"/>
  <c r="I64" i="20"/>
  <c r="R64" i="20" s="1"/>
  <c r="I64" i="26"/>
  <c r="J79" i="20"/>
  <c r="S79" i="20" s="1"/>
  <c r="J79" i="26"/>
  <c r="I104" i="20"/>
  <c r="R104" i="20" s="1"/>
  <c r="I104" i="26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I14" i="20"/>
  <c r="R14" i="20" s="1"/>
  <c r="I14" i="26"/>
  <c r="I22" i="20"/>
  <c r="R22" i="20" s="1"/>
  <c r="I22" i="26"/>
  <c r="I30" i="20"/>
  <c r="R30" i="20" s="1"/>
  <c r="I30" i="26"/>
  <c r="I38" i="20"/>
  <c r="R38" i="20" s="1"/>
  <c r="I38" i="26"/>
  <c r="I46" i="20"/>
  <c r="R46" i="20" s="1"/>
  <c r="I46" i="26"/>
  <c r="I54" i="20"/>
  <c r="R54" i="20" s="1"/>
  <c r="I54" i="26"/>
  <c r="I62" i="20"/>
  <c r="R62" i="20" s="1"/>
  <c r="I62" i="26"/>
  <c r="I70" i="20"/>
  <c r="R70" i="20" s="1"/>
  <c r="I70" i="26"/>
  <c r="I78" i="20"/>
  <c r="R78" i="20" s="1"/>
  <c r="I78" i="26"/>
  <c r="I86" i="20"/>
  <c r="R86" i="20" s="1"/>
  <c r="I86" i="26"/>
  <c r="I94" i="20"/>
  <c r="R94" i="20" s="1"/>
  <c r="I94" i="26"/>
  <c r="I98" i="20"/>
  <c r="R98" i="20" s="1"/>
  <c r="I98" i="26"/>
  <c r="I106" i="20"/>
  <c r="R106" i="20" s="1"/>
  <c r="I106" i="26"/>
  <c r="I110" i="20"/>
  <c r="R110" i="20" s="1"/>
  <c r="I110" i="26"/>
  <c r="I114" i="20"/>
  <c r="R114" i="20" s="1"/>
  <c r="I114" i="26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J38" i="20"/>
  <c r="S38" i="20" s="1"/>
  <c r="J38" i="26"/>
  <c r="J58" i="20"/>
  <c r="S58" i="20" s="1"/>
  <c r="J58" i="26"/>
  <c r="J70" i="20"/>
  <c r="S70" i="20" s="1"/>
  <c r="J70" i="26"/>
  <c r="J98" i="20"/>
  <c r="S98" i="20" s="1"/>
  <c r="J98" i="26"/>
  <c r="I32" i="20"/>
  <c r="R32" i="20" s="1"/>
  <c r="I32" i="26"/>
  <c r="J55" i="20"/>
  <c r="S55" i="20" s="1"/>
  <c r="J55" i="26"/>
  <c r="I84" i="20"/>
  <c r="R84" i="20" s="1"/>
  <c r="I84" i="26"/>
  <c r="J111" i="20"/>
  <c r="S111" i="20" s="1"/>
  <c r="J111" i="26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J8" i="20"/>
  <c r="S8" i="20" s="1"/>
  <c r="J8" i="26"/>
  <c r="J12" i="20"/>
  <c r="S12" i="20" s="1"/>
  <c r="J12" i="26"/>
  <c r="J16" i="20"/>
  <c r="S16" i="20" s="1"/>
  <c r="J16" i="26"/>
  <c r="J20" i="20"/>
  <c r="S20" i="20" s="1"/>
  <c r="J20" i="26"/>
  <c r="J24" i="20"/>
  <c r="S24" i="20" s="1"/>
  <c r="J24" i="26"/>
  <c r="J28" i="20"/>
  <c r="S28" i="20" s="1"/>
  <c r="J28" i="26"/>
  <c r="J32" i="20"/>
  <c r="S32" i="20" s="1"/>
  <c r="J32" i="26"/>
  <c r="J36" i="20"/>
  <c r="S36" i="20" s="1"/>
  <c r="J36" i="26"/>
  <c r="J40" i="20"/>
  <c r="S40" i="20" s="1"/>
  <c r="J40" i="26"/>
  <c r="J44" i="20"/>
  <c r="S44" i="20" s="1"/>
  <c r="J44" i="26"/>
  <c r="J48" i="20"/>
  <c r="S48" i="20" s="1"/>
  <c r="J48" i="26"/>
  <c r="J52" i="20"/>
  <c r="S52" i="20" s="1"/>
  <c r="J52" i="26"/>
  <c r="J56" i="20"/>
  <c r="S56" i="20" s="1"/>
  <c r="J56" i="26"/>
  <c r="J60" i="20"/>
  <c r="S60" i="20" s="1"/>
  <c r="J60" i="26"/>
  <c r="J64" i="20"/>
  <c r="S64" i="20" s="1"/>
  <c r="J64" i="26"/>
  <c r="J68" i="20"/>
  <c r="S68" i="20" s="1"/>
  <c r="J68" i="26"/>
  <c r="J72" i="20"/>
  <c r="S72" i="20" s="1"/>
  <c r="J72" i="26"/>
  <c r="J76" i="20"/>
  <c r="S76" i="20" s="1"/>
  <c r="J76" i="26"/>
  <c r="J80" i="20"/>
  <c r="S80" i="20" s="1"/>
  <c r="J80" i="26"/>
  <c r="J84" i="20"/>
  <c r="S84" i="20" s="1"/>
  <c r="J84" i="26"/>
  <c r="J88" i="20"/>
  <c r="S88" i="20" s="1"/>
  <c r="J88" i="26"/>
  <c r="J92" i="20"/>
  <c r="S92" i="20" s="1"/>
  <c r="J92" i="26"/>
  <c r="J96" i="20"/>
  <c r="S96" i="20" s="1"/>
  <c r="J96" i="26"/>
  <c r="J100" i="20"/>
  <c r="S100" i="20" s="1"/>
  <c r="J100" i="26"/>
  <c r="J104" i="20"/>
  <c r="S104" i="20" s="1"/>
  <c r="J104" i="26"/>
  <c r="J108" i="20"/>
  <c r="S108" i="20" s="1"/>
  <c r="J108" i="26"/>
  <c r="J112" i="20"/>
  <c r="S112" i="20" s="1"/>
  <c r="J112" i="26"/>
  <c r="J116" i="20"/>
  <c r="S116" i="20" s="1"/>
  <c r="J116" i="26"/>
  <c r="I1" i="20"/>
  <c r="R1" i="20" s="1"/>
  <c r="I1" i="26"/>
  <c r="R1" i="26" s="1"/>
  <c r="J2" i="20"/>
  <c r="S2" i="20" s="1"/>
  <c r="J2" i="26"/>
  <c r="J22" i="20"/>
  <c r="S22" i="20" s="1"/>
  <c r="J22" i="26"/>
  <c r="I35" i="20"/>
  <c r="R35" i="20" s="1"/>
  <c r="I35" i="26"/>
  <c r="J46" i="20"/>
  <c r="S46" i="20" s="1"/>
  <c r="J46" i="26"/>
  <c r="I67" i="20"/>
  <c r="R67" i="20" s="1"/>
  <c r="I67" i="26"/>
  <c r="I75" i="20"/>
  <c r="R75" i="20" s="1"/>
  <c r="I75" i="26"/>
  <c r="J106" i="20"/>
  <c r="S106" i="20" s="1"/>
  <c r="J106" i="26"/>
  <c r="J114" i="20"/>
  <c r="S114" i="20" s="1"/>
  <c r="J114" i="26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J15" i="20"/>
  <c r="S15" i="20" s="1"/>
  <c r="J15" i="26"/>
  <c r="I36" i="20"/>
  <c r="R36" i="20" s="1"/>
  <c r="I36" i="26"/>
  <c r="J43" i="20"/>
  <c r="S43" i="20" s="1"/>
  <c r="J43" i="26"/>
  <c r="I60" i="20"/>
  <c r="R60" i="20" s="1"/>
  <c r="I60" i="26"/>
  <c r="I72" i="20"/>
  <c r="R72" i="20" s="1"/>
  <c r="I72" i="26"/>
  <c r="J87" i="20"/>
  <c r="S87" i="20" s="1"/>
  <c r="J87" i="26"/>
  <c r="J103" i="20"/>
  <c r="S103" i="20" s="1"/>
  <c r="J103" i="26"/>
  <c r="I116" i="20"/>
  <c r="R116" i="20" s="1"/>
  <c r="I116" i="26"/>
  <c r="H116" i="20"/>
  <c r="Q116" i="20" s="1"/>
  <c r="H116" i="26"/>
  <c r="J10" i="20"/>
  <c r="S10" i="20" s="1"/>
  <c r="J10" i="26"/>
  <c r="J14" i="20"/>
  <c r="S14" i="20" s="1"/>
  <c r="J14" i="26"/>
  <c r="J26" i="20"/>
  <c r="S26" i="20" s="1"/>
  <c r="J26" i="26"/>
  <c r="J42" i="20"/>
  <c r="S42" i="20" s="1"/>
  <c r="J42" i="26"/>
  <c r="I51" i="20"/>
  <c r="R51" i="20" s="1"/>
  <c r="I51" i="26"/>
  <c r="I71" i="20"/>
  <c r="R71" i="20" s="1"/>
  <c r="I71" i="26"/>
  <c r="I83" i="20"/>
  <c r="R83" i="20" s="1"/>
  <c r="I83" i="26"/>
  <c r="J90" i="20"/>
  <c r="S90" i="20" s="1"/>
  <c r="J90" i="26"/>
  <c r="J94" i="20"/>
  <c r="S94" i="20" s="1"/>
  <c r="J94" i="26"/>
  <c r="J102" i="20"/>
  <c r="S102" i="20" s="1"/>
  <c r="J102" i="26"/>
  <c r="I107" i="20"/>
  <c r="R107" i="20" s="1"/>
  <c r="I107" i="26"/>
  <c r="J7" i="20"/>
  <c r="S7" i="20" s="1"/>
  <c r="J7" i="26"/>
  <c r="I20" i="20"/>
  <c r="R20" i="20" s="1"/>
  <c r="I20" i="26"/>
  <c r="J31" i="20"/>
  <c r="S31" i="20" s="1"/>
  <c r="J31" i="26"/>
  <c r="I44" i="20"/>
  <c r="R44" i="20" s="1"/>
  <c r="I44" i="26"/>
  <c r="I56" i="20"/>
  <c r="R56" i="20" s="1"/>
  <c r="I56" i="26"/>
  <c r="J67" i="20"/>
  <c r="S67" i="20" s="1"/>
  <c r="J67" i="26"/>
  <c r="I76" i="20"/>
  <c r="R76" i="20" s="1"/>
  <c r="I76" i="26"/>
  <c r="J83" i="20"/>
  <c r="S83" i="20" s="1"/>
  <c r="J83" i="26"/>
  <c r="J95" i="20"/>
  <c r="S95" i="20" s="1"/>
  <c r="J95" i="26"/>
  <c r="I100" i="20"/>
  <c r="R100" i="20" s="1"/>
  <c r="I100" i="26"/>
  <c r="J107" i="20"/>
  <c r="S107" i="20" s="1"/>
  <c r="J107" i="26"/>
  <c r="V3" i="23"/>
  <c r="W3" i="23" s="1"/>
  <c r="V7" i="23"/>
  <c r="W7" i="23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I10" i="20"/>
  <c r="R10" i="20" s="1"/>
  <c r="I10" i="26"/>
  <c r="I18" i="20"/>
  <c r="R18" i="20" s="1"/>
  <c r="I18" i="26"/>
  <c r="I26" i="20"/>
  <c r="R26" i="20" s="1"/>
  <c r="I26" i="26"/>
  <c r="I34" i="20"/>
  <c r="R34" i="20" s="1"/>
  <c r="I34" i="26"/>
  <c r="I42" i="20"/>
  <c r="R42" i="20" s="1"/>
  <c r="I42" i="26"/>
  <c r="I50" i="20"/>
  <c r="R50" i="20" s="1"/>
  <c r="I50" i="26"/>
  <c r="I58" i="20"/>
  <c r="R58" i="20" s="1"/>
  <c r="I58" i="26"/>
  <c r="I66" i="20"/>
  <c r="R66" i="20" s="1"/>
  <c r="I66" i="26"/>
  <c r="I74" i="20"/>
  <c r="R74" i="20" s="1"/>
  <c r="I74" i="26"/>
  <c r="I82" i="20"/>
  <c r="R82" i="20" s="1"/>
  <c r="I82" i="26"/>
  <c r="I90" i="20"/>
  <c r="R90" i="20" s="1"/>
  <c r="I90" i="26"/>
  <c r="I102" i="20"/>
  <c r="R102" i="20" s="1"/>
  <c r="I102" i="26"/>
  <c r="J1" i="20"/>
  <c r="S1" i="20" s="1"/>
  <c r="J1" i="26"/>
  <c r="S1" i="26" s="1"/>
  <c r="I7" i="20"/>
  <c r="R7" i="20" s="1"/>
  <c r="I7" i="26"/>
  <c r="I27" i="20"/>
  <c r="R27" i="20" s="1"/>
  <c r="I27" i="26"/>
  <c r="J50" i="20"/>
  <c r="S50" i="20" s="1"/>
  <c r="J50" i="26"/>
  <c r="I63" i="20"/>
  <c r="R63" i="20" s="1"/>
  <c r="I63" i="26"/>
  <c r="J82" i="20"/>
  <c r="S82" i="20" s="1"/>
  <c r="J82" i="26"/>
  <c r="I115" i="20"/>
  <c r="R115" i="20" s="1"/>
  <c r="I115" i="26"/>
  <c r="J11" i="20"/>
  <c r="S11" i="20" s="1"/>
  <c r="J11" i="26"/>
  <c r="J23" i="20"/>
  <c r="S23" i="20" s="1"/>
  <c r="J23" i="26"/>
  <c r="J47" i="20"/>
  <c r="S47" i="20" s="1"/>
  <c r="J47" i="26"/>
  <c r="J71" i="20"/>
  <c r="S71" i="20" s="1"/>
  <c r="J71" i="26"/>
  <c r="J91" i="20"/>
  <c r="S91" i="20" s="1"/>
  <c r="J91" i="26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Q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J9" i="20"/>
  <c r="S9" i="20" s="1"/>
  <c r="J9" i="26"/>
  <c r="J13" i="20"/>
  <c r="S13" i="20" s="1"/>
  <c r="J13" i="26"/>
  <c r="J17" i="20"/>
  <c r="S17" i="20" s="1"/>
  <c r="J17" i="26"/>
  <c r="J21" i="20"/>
  <c r="S21" i="20" s="1"/>
  <c r="J21" i="26"/>
  <c r="J25" i="20"/>
  <c r="S25" i="20" s="1"/>
  <c r="J25" i="26"/>
  <c r="J29" i="20"/>
  <c r="S29" i="20" s="1"/>
  <c r="J29" i="26"/>
  <c r="J33" i="20"/>
  <c r="S33" i="20" s="1"/>
  <c r="J33" i="26"/>
  <c r="J37" i="20"/>
  <c r="S37" i="20" s="1"/>
  <c r="J37" i="26"/>
  <c r="J41" i="20"/>
  <c r="S41" i="20" s="1"/>
  <c r="J41" i="26"/>
  <c r="J45" i="20"/>
  <c r="S45" i="20" s="1"/>
  <c r="J45" i="26"/>
  <c r="J49" i="20"/>
  <c r="S49" i="20" s="1"/>
  <c r="J49" i="26"/>
  <c r="J53" i="20"/>
  <c r="S53" i="20" s="1"/>
  <c r="J53" i="26"/>
  <c r="J57" i="20"/>
  <c r="S57" i="20" s="1"/>
  <c r="J57" i="26"/>
  <c r="J61" i="20"/>
  <c r="S61" i="20" s="1"/>
  <c r="J61" i="26"/>
  <c r="J65" i="20"/>
  <c r="S65" i="20" s="1"/>
  <c r="J65" i="26"/>
  <c r="J69" i="20"/>
  <c r="S69" i="20" s="1"/>
  <c r="J69" i="26"/>
  <c r="J73" i="20"/>
  <c r="S73" i="20" s="1"/>
  <c r="J73" i="26"/>
  <c r="J77" i="20"/>
  <c r="S77" i="20" s="1"/>
  <c r="J77" i="26"/>
  <c r="J81" i="20"/>
  <c r="S81" i="20" s="1"/>
  <c r="J81" i="26"/>
  <c r="J85" i="20"/>
  <c r="S85" i="20" s="1"/>
  <c r="J85" i="26"/>
  <c r="J89" i="20"/>
  <c r="S89" i="20" s="1"/>
  <c r="J89" i="26"/>
  <c r="J93" i="20"/>
  <c r="S93" i="20" s="1"/>
  <c r="J93" i="26"/>
  <c r="J97" i="20"/>
  <c r="S97" i="20" s="1"/>
  <c r="J97" i="26"/>
  <c r="J101" i="20"/>
  <c r="S101" i="20" s="1"/>
  <c r="J101" i="26"/>
  <c r="J105" i="20"/>
  <c r="S105" i="20" s="1"/>
  <c r="J105" i="26"/>
  <c r="J109" i="20"/>
  <c r="S109" i="20" s="1"/>
  <c r="J109" i="26"/>
  <c r="J113" i="20"/>
  <c r="S113" i="20" s="1"/>
  <c r="J113" i="26"/>
  <c r="J117" i="20"/>
  <c r="S117" i="20" s="1"/>
  <c r="J117" i="26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I23" i="20"/>
  <c r="R23" i="20" s="1"/>
  <c r="I23" i="26"/>
  <c r="J30" i="20"/>
  <c r="S30" i="20" s="1"/>
  <c r="J30" i="26"/>
  <c r="I47" i="20"/>
  <c r="R47" i="20" s="1"/>
  <c r="I47" i="26"/>
  <c r="J54" i="20"/>
  <c r="S54" i="20" s="1"/>
  <c r="J54" i="26"/>
  <c r="J62" i="20"/>
  <c r="S62" i="20" s="1"/>
  <c r="J62" i="26"/>
  <c r="J66" i="20"/>
  <c r="S66" i="20" s="1"/>
  <c r="J66" i="26"/>
  <c r="J78" i="20"/>
  <c r="S78" i="20" s="1"/>
  <c r="J78" i="26"/>
  <c r="I95" i="20"/>
  <c r="R95" i="20" s="1"/>
  <c r="I95" i="26"/>
  <c r="I111" i="20"/>
  <c r="R111" i="20" s="1"/>
  <c r="I111" i="26"/>
  <c r="I8" i="20"/>
  <c r="R8" i="20" s="1"/>
  <c r="I8" i="26"/>
  <c r="J19" i="20"/>
  <c r="S19" i="20" s="1"/>
  <c r="J19" i="26"/>
  <c r="J27" i="20"/>
  <c r="S27" i="20" s="1"/>
  <c r="J27" i="26"/>
  <c r="J39" i="20"/>
  <c r="S39" i="20" s="1"/>
  <c r="J39" i="26"/>
  <c r="J51" i="20"/>
  <c r="S51" i="20" s="1"/>
  <c r="J51" i="26"/>
  <c r="J59" i="20"/>
  <c r="S59" i="20" s="1"/>
  <c r="J59" i="26"/>
  <c r="J75" i="20"/>
  <c r="S75" i="20" s="1"/>
  <c r="J75" i="26"/>
  <c r="I88" i="20"/>
  <c r="R88" i="20" s="1"/>
  <c r="I88" i="26"/>
  <c r="I108" i="20"/>
  <c r="R108" i="20" s="1"/>
  <c r="I108" i="26"/>
  <c r="H127" i="26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Z55" i="16"/>
  <c r="BQ72" i="16" s="1"/>
  <c r="F13" i="26" s="1"/>
  <c r="BZ52" i="16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Y52" i="16"/>
  <c r="BY53" i="16"/>
  <c r="BV71" i="16" s="1"/>
  <c r="BK55" i="16"/>
  <c r="BC71" i="16" s="1"/>
  <c r="F12" i="28" s="1"/>
  <c r="BK53" i="16"/>
  <c r="BH71" i="16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L55" i="16"/>
  <c r="BC72" i="16" s="1"/>
  <c r="F13" i="28" s="1"/>
  <c r="ED52" i="16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BL53" i="16"/>
  <c r="BH72" i="16" s="1"/>
  <c r="BL52" i="16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EC52" i="16"/>
  <c r="DB55" i="16"/>
  <c r="CS72" i="16" s="1"/>
  <c r="AA53" i="16"/>
  <c r="AF63" i="16" s="1"/>
  <c r="AI52" i="16"/>
  <c r="Z53" i="16"/>
  <c r="AF62" i="16" s="1"/>
  <c r="AB52" i="16"/>
  <c r="Y52" i="16"/>
  <c r="AC53" i="16"/>
  <c r="AF65" i="16" s="1"/>
  <c r="AB53" i="16"/>
  <c r="AF64" i="16" s="1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U26" i="23" l="1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I123" i="27"/>
  <c r="N99" i="27"/>
  <c r="G147" i="27"/>
  <c r="N147" i="27" s="1"/>
  <c r="P116" i="27"/>
  <c r="I128" i="27"/>
  <c r="P107" i="27"/>
  <c r="P110" i="27"/>
  <c r="I122" i="27"/>
  <c r="P127" i="27"/>
  <c r="I139" i="27"/>
  <c r="N111" i="27"/>
  <c r="G159" i="27"/>
  <c r="N159" i="27" s="1"/>
  <c r="P108" i="27"/>
  <c r="P112" i="27"/>
  <c r="I124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C143" i="17"/>
  <c r="C135" i="17"/>
  <c r="C141" i="17"/>
  <c r="C134" i="17"/>
  <c r="F144" i="17"/>
  <c r="C136" i="17"/>
  <c r="C138" i="17"/>
  <c r="C145" i="17"/>
  <c r="C140" i="17"/>
  <c r="C139" i="17"/>
  <c r="C142" i="17"/>
  <c r="C137" i="17"/>
  <c r="DR26" i="16"/>
  <c r="DX25" i="16"/>
  <c r="EA25" i="16"/>
  <c r="DS25" i="16"/>
  <c r="EB25" i="16"/>
  <c r="DV25" i="16"/>
  <c r="X26" i="16"/>
  <c r="AH26" i="16" s="1"/>
  <c r="AE70" i="16" s="1"/>
  <c r="AE25" i="16"/>
  <c r="AB25" i="16"/>
  <c r="AG25" i="16"/>
  <c r="BM52" i="16"/>
  <c r="CB53" i="16"/>
  <c r="CJ52" i="16"/>
  <c r="CN52" i="16"/>
  <c r="CK52" i="16"/>
  <c r="CD52" i="16"/>
  <c r="CC52" i="16"/>
  <c r="CG52" i="16"/>
  <c r="CH52" i="16"/>
  <c r="CL52" i="16"/>
  <c r="CF52" i="16"/>
  <c r="CI52" i="16"/>
  <c r="CE52" i="16"/>
  <c r="CM52" i="16"/>
  <c r="CP53" i="16"/>
  <c r="DA52" i="16"/>
  <c r="DB52" i="16"/>
  <c r="DD53" i="16"/>
  <c r="DF52" i="16"/>
  <c r="DN52" i="16"/>
  <c r="DH52" i="16"/>
  <c r="DL52" i="16"/>
  <c r="DO52" i="16"/>
  <c r="DE52" i="16"/>
  <c r="DP52" i="16"/>
  <c r="DK52" i="16"/>
  <c r="DI52" i="16"/>
  <c r="DM52" i="16"/>
  <c r="DJ52" i="16"/>
  <c r="DG52" i="16"/>
  <c r="AL53" i="16"/>
  <c r="AO52" i="16"/>
  <c r="AU52" i="16"/>
  <c r="AW52" i="16"/>
  <c r="AR52" i="16"/>
  <c r="AX52" i="16"/>
  <c r="AM52" i="16"/>
  <c r="AS52" i="16"/>
  <c r="AN52" i="16"/>
  <c r="AT52" i="16"/>
  <c r="AV52" i="16"/>
  <c r="AQ52" i="16"/>
  <c r="AP52" i="16"/>
  <c r="BN26" i="16"/>
  <c r="BU25" i="16"/>
  <c r="BV25" i="16"/>
  <c r="BZ25" i="16"/>
  <c r="BQ25" i="16"/>
  <c r="BO25" i="16"/>
  <c r="BY25" i="16"/>
  <c r="BT25" i="16"/>
  <c r="BX25" i="16"/>
  <c r="BS25" i="16"/>
  <c r="BR25" i="16"/>
  <c r="BW25" i="16"/>
  <c r="BP25" i="16"/>
  <c r="AC26" i="16"/>
  <c r="AE65" i="16" s="1"/>
  <c r="DW25" i="16"/>
  <c r="CB24" i="16"/>
  <c r="CB25" i="16" s="1"/>
  <c r="Y26" i="16"/>
  <c r="AE61" i="16" s="1"/>
  <c r="DY25" i="16"/>
  <c r="EC26" i="16"/>
  <c r="DY71" i="16" s="1"/>
  <c r="AD26" i="16"/>
  <c r="AE66" i="16" s="1"/>
  <c r="ED25" i="16"/>
  <c r="AH53" i="16"/>
  <c r="AF70" i="16" s="1"/>
  <c r="AI53" i="16"/>
  <c r="AF71" i="16" s="1"/>
  <c r="AA52" i="16"/>
  <c r="AD53" i="16"/>
  <c r="AF66" i="16" s="1"/>
  <c r="Y53" i="16"/>
  <c r="AF61" i="16" s="1"/>
  <c r="Z26" i="16"/>
  <c r="AE62" i="16" s="1"/>
  <c r="Z52" i="16"/>
  <c r="DR53" i="16"/>
  <c r="DT52" i="16"/>
  <c r="DV52" i="16"/>
  <c r="DU52" i="16"/>
  <c r="DS52" i="16"/>
  <c r="DX52" i="16"/>
  <c r="CU53" i="16"/>
  <c r="CX65" i="16" s="1"/>
  <c r="CW53" i="16"/>
  <c r="CX67" i="16" s="1"/>
  <c r="CW52" i="16"/>
  <c r="CV52" i="16"/>
  <c r="CY53" i="16"/>
  <c r="CX69" i="16" s="1"/>
  <c r="CT53" i="16"/>
  <c r="CX64" i="16" s="1"/>
  <c r="CV53" i="16"/>
  <c r="CX66" i="16" s="1"/>
  <c r="CZ52" i="16"/>
  <c r="CQ52" i="16"/>
  <c r="CU52" i="16"/>
  <c r="CR53" i="16"/>
  <c r="CX62" i="16" s="1"/>
  <c r="CQ53" i="16"/>
  <c r="CX61" i="16" s="1"/>
  <c r="CX52" i="16"/>
  <c r="CS52" i="16"/>
  <c r="CR52" i="16"/>
  <c r="CZ53" i="16"/>
  <c r="CX70" i="16" s="1"/>
  <c r="CX53" i="16"/>
  <c r="CX68" i="16" s="1"/>
  <c r="CT52" i="16"/>
  <c r="CS53" i="16"/>
  <c r="CX63" i="16" s="1"/>
  <c r="CY52" i="16"/>
  <c r="EC25" i="16"/>
  <c r="Z25" i="16"/>
  <c r="DW26" i="16"/>
  <c r="DY65" i="16" s="1"/>
  <c r="AA26" i="16"/>
  <c r="AE63" i="16" s="1"/>
  <c r="DS26" i="16"/>
  <c r="DY61" i="16" s="1"/>
  <c r="AF26" i="16"/>
  <c r="AE68" i="16" s="1"/>
  <c r="DZ25" i="16"/>
  <c r="AA25" i="16"/>
  <c r="DX26" i="16"/>
  <c r="DY66" i="16" s="1"/>
  <c r="AF25" i="16"/>
  <c r="AG53" i="16"/>
  <c r="AF69" i="16" s="1"/>
  <c r="AC52" i="16"/>
  <c r="AH52" i="16"/>
  <c r="AD52" i="16"/>
  <c r="AG26" i="16"/>
  <c r="AE69" i="16" s="1"/>
  <c r="AG52" i="16"/>
  <c r="EA52" i="16"/>
  <c r="DW52" i="16"/>
  <c r="BX53" i="16"/>
  <c r="BV70" i="16" s="1"/>
  <c r="BO53" i="16"/>
  <c r="BV61" i="16" s="1"/>
  <c r="BV53" i="16"/>
  <c r="BV68" i="16" s="1"/>
  <c r="BS53" i="16"/>
  <c r="BV65" i="16" s="1"/>
  <c r="BT53" i="16"/>
  <c r="BV66" i="16" s="1"/>
  <c r="BW53" i="16"/>
  <c r="BV69" i="16" s="1"/>
  <c r="BQ53" i="16"/>
  <c r="BV63" i="16" s="1"/>
  <c r="BZ53" i="16"/>
  <c r="BV72" i="16" s="1"/>
  <c r="BR53" i="16"/>
  <c r="BV64" i="16" s="1"/>
  <c r="BU53" i="16"/>
  <c r="BV67" i="16" s="1"/>
  <c r="BP53" i="16"/>
  <c r="BV62" i="16" s="1"/>
  <c r="AE26" i="16"/>
  <c r="AE67" i="16" s="1"/>
  <c r="DY26" i="16"/>
  <c r="DY67" i="16" s="1"/>
  <c r="DT25" i="16"/>
  <c r="DU26" i="16"/>
  <c r="DY63" i="16" s="1"/>
  <c r="DV26" i="16"/>
  <c r="DY64" i="16" s="1"/>
  <c r="ED26" i="16"/>
  <c r="DY72" i="16" s="1"/>
  <c r="DZ26" i="16"/>
  <c r="DY68" i="16" s="1"/>
  <c r="EA26" i="16"/>
  <c r="DY69" i="16" s="1"/>
  <c r="AH25" i="16"/>
  <c r="DU25" i="16"/>
  <c r="AE52" i="16"/>
  <c r="AF52" i="16"/>
  <c r="AE53" i="16"/>
  <c r="AF67" i="16" s="1"/>
  <c r="AJ52" i="16"/>
  <c r="Y25" i="16"/>
  <c r="AD25" i="16"/>
  <c r="AB26" i="16"/>
  <c r="AE64" i="16" s="1"/>
  <c r="AC25" i="16"/>
  <c r="DZ52" i="16"/>
  <c r="DY52" i="16"/>
  <c r="BE53" i="16"/>
  <c r="BH65" i="16" s="1"/>
  <c r="BF53" i="16"/>
  <c r="BH66" i="16" s="1"/>
  <c r="BD53" i="16"/>
  <c r="BH64" i="16" s="1"/>
  <c r="BA53" i="16"/>
  <c r="BH61" i="16" s="1"/>
  <c r="BC53" i="16"/>
  <c r="BH63" i="16" s="1"/>
  <c r="BJ53" i="16"/>
  <c r="BH70" i="16" s="1"/>
  <c r="BH53" i="16"/>
  <c r="BH68" i="16" s="1"/>
  <c r="BG53" i="16"/>
  <c r="BH67" i="16" s="1"/>
  <c r="BI53" i="16"/>
  <c r="BH69" i="16" s="1"/>
  <c r="BB53" i="16"/>
  <c r="BH62" i="16" s="1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N75" i="27"/>
  <c r="G123" i="27"/>
  <c r="H131" i="26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123" i="28"/>
  <c r="H128" i="26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24" i="26"/>
  <c r="H135" i="26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H122" i="26"/>
  <c r="P75" i="26"/>
  <c r="G123" i="26"/>
  <c r="W10" i="23"/>
  <c r="W4" i="23"/>
  <c r="W8" i="23"/>
  <c r="W6" i="23"/>
  <c r="W12" i="23"/>
  <c r="E131" i="28"/>
  <c r="E136" i="28"/>
  <c r="N124" i="28"/>
  <c r="E130" i="28"/>
  <c r="E140" i="28"/>
  <c r="N128" i="28"/>
  <c r="E132" i="28"/>
  <c r="E138" i="28"/>
  <c r="N126" i="28"/>
  <c r="E137" i="28"/>
  <c r="N125" i="28"/>
  <c r="E135" i="28"/>
  <c r="N123" i="28"/>
  <c r="E141" i="28"/>
  <c r="N129" i="28"/>
  <c r="E133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U39" i="23" l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I132" i="27"/>
  <c r="P139" i="27"/>
  <c r="I151" i="27"/>
  <c r="I13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P101" i="26"/>
  <c r="G149" i="26"/>
  <c r="P149" i="26" s="1"/>
  <c r="P100" i="26"/>
  <c r="G148" i="26"/>
  <c r="P148" i="26" s="1"/>
  <c r="P108" i="26"/>
  <c r="G156" i="26"/>
  <c r="P156" i="26" s="1"/>
  <c r="H147" i="26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V39" i="23"/>
  <c r="W39" i="23" s="1"/>
  <c r="Q2" i="27"/>
  <c r="Q6" i="27"/>
  <c r="Q11" i="27"/>
  <c r="Q7" i="27"/>
  <c r="Q3" i="27"/>
  <c r="Q8" i="27"/>
  <c r="Q5" i="27"/>
  <c r="Q12" i="27"/>
  <c r="Q10" i="27"/>
  <c r="Q9" i="27"/>
  <c r="DT26" i="16"/>
  <c r="DY62" i="16" s="1"/>
  <c r="EB26" i="16"/>
  <c r="DY70" i="16" s="1"/>
  <c r="BM53" i="16"/>
  <c r="CB26" i="16"/>
  <c r="CF25" i="16"/>
  <c r="CI25" i="16"/>
  <c r="CK25" i="16"/>
  <c r="CG25" i="16"/>
  <c r="CM25" i="16"/>
  <c r="CH25" i="16"/>
  <c r="CL25" i="16"/>
  <c r="CJ25" i="16"/>
  <c r="CN25" i="16"/>
  <c r="CD25" i="16"/>
  <c r="CE25" i="16"/>
  <c r="CC25" i="16"/>
  <c r="DY53" i="16"/>
  <c r="DZ67" i="16" s="1"/>
  <c r="DT53" i="16"/>
  <c r="DZ62" i="16" s="1"/>
  <c r="DZ53" i="16"/>
  <c r="DZ68" i="16" s="1"/>
  <c r="DV53" i="16"/>
  <c r="DZ64" i="16" s="1"/>
  <c r="EC53" i="16"/>
  <c r="DZ71" i="16" s="1"/>
  <c r="DX53" i="16"/>
  <c r="DZ66" i="16" s="1"/>
  <c r="EA53" i="16"/>
  <c r="DZ69" i="16" s="1"/>
  <c r="DW53" i="16"/>
  <c r="DZ65" i="16" s="1"/>
  <c r="ED53" i="16"/>
  <c r="DZ72" i="16" s="1"/>
  <c r="EB53" i="16"/>
  <c r="DZ70" i="16" s="1"/>
  <c r="DS53" i="16"/>
  <c r="DZ61" i="16" s="1"/>
  <c r="DU53" i="16"/>
  <c r="DZ63" i="16" s="1"/>
  <c r="BZ26" i="16"/>
  <c r="BU72" i="16" s="1"/>
  <c r="BS26" i="16"/>
  <c r="BU65" i="16" s="1"/>
  <c r="BP26" i="16"/>
  <c r="BU62" i="16" s="1"/>
  <c r="BX26" i="16"/>
  <c r="BU70" i="16" s="1"/>
  <c r="BY26" i="16"/>
  <c r="BU71" i="16" s="1"/>
  <c r="BV26" i="16"/>
  <c r="BU68" i="16" s="1"/>
  <c r="BU26" i="16"/>
  <c r="BU67" i="16" s="1"/>
  <c r="BQ26" i="16"/>
  <c r="BU63" i="16" s="1"/>
  <c r="BW26" i="16"/>
  <c r="BU69" i="16" s="1"/>
  <c r="BO26" i="16"/>
  <c r="BU61" i="16" s="1"/>
  <c r="BR26" i="16"/>
  <c r="BU64" i="16" s="1"/>
  <c r="BT26" i="16"/>
  <c r="BU66" i="16" s="1"/>
  <c r="AS53" i="16"/>
  <c r="AT67" i="16" s="1"/>
  <c r="AQ53" i="16"/>
  <c r="AT65" i="16" s="1"/>
  <c r="AP53" i="16"/>
  <c r="AT64" i="16" s="1"/>
  <c r="AV53" i="16"/>
  <c r="AT70" i="16" s="1"/>
  <c r="AW53" i="16"/>
  <c r="AT71" i="16" s="1"/>
  <c r="AO53" i="16"/>
  <c r="AT63" i="16" s="1"/>
  <c r="AM53" i="16"/>
  <c r="AT61" i="16" s="1"/>
  <c r="AN53" i="16"/>
  <c r="AT62" i="16" s="1"/>
  <c r="AX53" i="16"/>
  <c r="AT72" i="16" s="1"/>
  <c r="AT53" i="16"/>
  <c r="AT68" i="16" s="1"/>
  <c r="AU53" i="16"/>
  <c r="AT69" i="16" s="1"/>
  <c r="AR53" i="16"/>
  <c r="AT66" i="16" s="1"/>
  <c r="DA53" i="16"/>
  <c r="CX71" i="16" s="1"/>
  <c r="DB53" i="16"/>
  <c r="CX72" i="16" s="1"/>
  <c r="DK53" i="16"/>
  <c r="DL67" i="16" s="1"/>
  <c r="DN53" i="16"/>
  <c r="DL70" i="16" s="1"/>
  <c r="DJ53" i="16"/>
  <c r="DL66" i="16" s="1"/>
  <c r="DP53" i="16"/>
  <c r="DL72" i="16" s="1"/>
  <c r="DM53" i="16"/>
  <c r="DL69" i="16" s="1"/>
  <c r="DH53" i="16"/>
  <c r="DL64" i="16" s="1"/>
  <c r="DI53" i="16"/>
  <c r="DL65" i="16" s="1"/>
  <c r="DO53" i="16"/>
  <c r="DL71" i="16" s="1"/>
  <c r="DE53" i="16"/>
  <c r="DL61" i="16" s="1"/>
  <c r="DF53" i="16"/>
  <c r="DL62" i="16" s="1"/>
  <c r="DG53" i="16"/>
  <c r="DL63" i="16" s="1"/>
  <c r="DL53" i="16"/>
  <c r="DL68" i="16" s="1"/>
  <c r="CN53" i="16"/>
  <c r="CJ72" i="16" s="1"/>
  <c r="CM53" i="16"/>
  <c r="CJ71" i="16" s="1"/>
  <c r="CD53" i="16"/>
  <c r="CJ62" i="16" s="1"/>
  <c r="CG53" i="16"/>
  <c r="CJ65" i="16" s="1"/>
  <c r="CF53" i="16"/>
  <c r="CJ64" i="16" s="1"/>
  <c r="CH53" i="16"/>
  <c r="CJ66" i="16" s="1"/>
  <c r="CI53" i="16"/>
  <c r="CJ67" i="16" s="1"/>
  <c r="CC53" i="16"/>
  <c r="CJ61" i="16" s="1"/>
  <c r="CJ53" i="16"/>
  <c r="CJ68" i="16" s="1"/>
  <c r="CL53" i="16"/>
  <c r="CJ70" i="16" s="1"/>
  <c r="CK53" i="16"/>
  <c r="CJ69" i="16" s="1"/>
  <c r="CE53" i="16"/>
  <c r="CJ63" i="16" s="1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G122" i="27"/>
  <c r="N74" i="27"/>
  <c r="H143" i="26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G122" i="28"/>
  <c r="H140" i="26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Q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G122" i="26"/>
  <c r="H132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U50" i="23" l="1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P115" i="26"/>
  <c r="G163" i="26"/>
  <c r="P163" i="26" s="1"/>
  <c r="P112" i="26"/>
  <c r="G160" i="26"/>
  <c r="P160" i="26" s="1"/>
  <c r="H159" i="26"/>
  <c r="H163" i="26"/>
  <c r="P114" i="26"/>
  <c r="G162" i="26"/>
  <c r="P162" i="26" s="1"/>
  <c r="G167" i="26"/>
  <c r="P167" i="26" s="1"/>
  <c r="G168" i="26"/>
  <c r="P168" i="26" s="1"/>
  <c r="H152" i="26"/>
  <c r="H146" i="26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D26" i="16"/>
  <c r="CI62" i="16" s="1"/>
  <c r="CL26" i="16"/>
  <c r="CI70" i="16" s="1"/>
  <c r="CE26" i="16"/>
  <c r="CI63" i="16" s="1"/>
  <c r="CG26" i="16"/>
  <c r="CI65" i="16" s="1"/>
  <c r="CH26" i="16"/>
  <c r="CI66" i="16" s="1"/>
  <c r="CM26" i="16"/>
  <c r="CI71" i="16" s="1"/>
  <c r="CK26" i="16"/>
  <c r="CI69" i="16" s="1"/>
  <c r="CJ26" i="16"/>
  <c r="CI68" i="16" s="1"/>
  <c r="CC26" i="16"/>
  <c r="CI61" i="16" s="1"/>
  <c r="CI26" i="16"/>
  <c r="CI67" i="16" s="1"/>
  <c r="CN26" i="16"/>
  <c r="CI72" i="16" s="1"/>
  <c r="CF26" i="16"/>
  <c r="CI64" i="16" s="1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G133" i="26"/>
  <c r="P80" i="26"/>
  <c r="G128" i="26"/>
  <c r="G127" i="28"/>
  <c r="G130" i="28"/>
  <c r="G131" i="26"/>
  <c r="P83" i="26"/>
  <c r="N86" i="27"/>
  <c r="G134" i="27"/>
  <c r="N76" i="27"/>
  <c r="G124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G133" i="27"/>
  <c r="N85" i="27"/>
  <c r="G128" i="27"/>
  <c r="N80" i="27"/>
  <c r="N83" i="27"/>
  <c r="G131" i="27"/>
  <c r="N81" i="27"/>
  <c r="G129" i="27"/>
  <c r="G134" i="28"/>
  <c r="G12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G126" i="28"/>
  <c r="G132" i="28"/>
  <c r="G125" i="28"/>
  <c r="P81" i="26"/>
  <c r="G129" i="26"/>
  <c r="H144" i="26"/>
  <c r="G133" i="28"/>
  <c r="G128" i="28"/>
  <c r="P95" i="26"/>
  <c r="G143" i="26"/>
  <c r="P79" i="26"/>
  <c r="G127" i="26"/>
  <c r="P78" i="26"/>
  <c r="G126" i="26"/>
  <c r="P82" i="26"/>
  <c r="G130" i="26"/>
  <c r="G132" i="26"/>
  <c r="P84" i="26"/>
  <c r="P77" i="26"/>
  <c r="G125" i="26"/>
  <c r="G131" i="28"/>
  <c r="G129" i="28"/>
  <c r="G143" i="27"/>
  <c r="N95" i="27"/>
  <c r="N79" i="27"/>
  <c r="G127" i="27"/>
  <c r="N78" i="27"/>
  <c r="G126" i="27"/>
  <c r="N82" i="27"/>
  <c r="G130" i="27"/>
  <c r="N84" i="27"/>
  <c r="G132" i="27"/>
  <c r="G125" i="27"/>
  <c r="N77" i="27"/>
  <c r="P86" i="26"/>
  <c r="G134" i="26"/>
  <c r="P76" i="26"/>
  <c r="G124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AL11" i="16"/>
  <c r="U63" i="23" l="1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H175" i="26"/>
  <c r="H160" i="26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H171" i="26"/>
  <c r="H167" i="26"/>
  <c r="P124" i="26"/>
  <c r="G172" i="26"/>
  <c r="P172" i="26" s="1"/>
  <c r="P126" i="26"/>
  <c r="G174" i="26"/>
  <c r="P174" i="26" s="1"/>
  <c r="P143" i="26"/>
  <c r="G191" i="26"/>
  <c r="P191" i="26" s="1"/>
  <c r="H156" i="26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CP25" i="16"/>
  <c r="U83" i="23" l="1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H179" i="26"/>
  <c r="H170" i="26"/>
  <c r="H187" i="26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H172" i="26"/>
  <c r="H176" i="26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U86" i="23" l="1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H191" i="26"/>
  <c r="H188" i="26"/>
  <c r="H180" i="26"/>
  <c r="H182" i="26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Q69" i="27" s="1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U106" i="23" l="1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I132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I129" i="27"/>
  <c r="P179" i="27"/>
  <c r="I191" i="27"/>
  <c r="P191" i="27" s="1"/>
  <c r="H192" i="26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U117" i="23" l="1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I128" i="28"/>
  <c r="R116" i="28"/>
  <c r="R119" i="28"/>
  <c r="I131" i="28"/>
  <c r="I123" i="28"/>
  <c r="R111" i="28"/>
  <c r="I126" i="28"/>
  <c r="R114" i="28"/>
  <c r="R118" i="28"/>
  <c r="I130" i="28"/>
  <c r="R113" i="28"/>
  <c r="I125" i="28"/>
  <c r="I124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I127" i="28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I129" i="28"/>
  <c r="R117" i="28"/>
  <c r="I122" i="28"/>
  <c r="R110" i="28"/>
  <c r="R121" i="28"/>
  <c r="I133" i="28"/>
  <c r="Q77" i="27"/>
  <c r="P118" i="27"/>
  <c r="I130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29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118" i="28" s="1"/>
  <c r="U118" i="28" s="1"/>
  <c r="O91" i="28"/>
  <c r="F103" i="28"/>
  <c r="O89" i="28"/>
  <c r="F101" i="28"/>
  <c r="O97" i="28"/>
  <c r="F109" i="28"/>
  <c r="F121" i="28" s="1"/>
  <c r="O121" i="28" s="1"/>
  <c r="U121" i="28" s="1"/>
  <c r="O96" i="28"/>
  <c r="F108" i="28"/>
  <c r="F120" i="28" s="1"/>
  <c r="O120" i="28" s="1"/>
  <c r="U120" i="28" s="1"/>
  <c r="O95" i="28"/>
  <c r="F107" i="28"/>
  <c r="F119" i="28" s="1"/>
  <c r="O119" i="28" s="1"/>
  <c r="U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99" i="27"/>
  <c r="M87" i="27"/>
  <c r="E101" i="27"/>
  <c r="L89" i="27"/>
  <c r="M96" i="27"/>
  <c r="F108" i="27"/>
  <c r="F120" i="27" s="1"/>
  <c r="M120" i="27" s="1"/>
  <c r="F107" i="27"/>
  <c r="F119" i="27" s="1"/>
  <c r="M119" i="27" s="1"/>
  <c r="M95" i="27"/>
  <c r="E107" i="27"/>
  <c r="E119" i="27" s="1"/>
  <c r="L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F97" i="27"/>
  <c r="M85" i="27"/>
  <c r="Q85" i="27" s="1"/>
  <c r="F105" i="27"/>
  <c r="M93" i="27"/>
  <c r="L96" i="27"/>
  <c r="E108" i="27"/>
  <c r="E120" i="27" s="1"/>
  <c r="L120" i="27" s="1"/>
  <c r="F103" i="27"/>
  <c r="M91" i="27"/>
  <c r="E105" i="27"/>
  <c r="L93" i="27"/>
  <c r="E109" i="27"/>
  <c r="E121" i="27" s="1"/>
  <c r="L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O120" i="26" s="1"/>
  <c r="E107" i="26"/>
  <c r="E119" i="26" s="1"/>
  <c r="N119" i="26" s="1"/>
  <c r="N95" i="26"/>
  <c r="F103" i="26"/>
  <c r="O91" i="26"/>
  <c r="N96" i="26"/>
  <c r="E108" i="26"/>
  <c r="E120" i="26" s="1"/>
  <c r="N120" i="26" s="1"/>
  <c r="O92" i="26"/>
  <c r="F104" i="26"/>
  <c r="E109" i="26"/>
  <c r="E121" i="26" s="1"/>
  <c r="N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F109" i="26"/>
  <c r="F121" i="26" s="1"/>
  <c r="O121" i="26" s="1"/>
  <c r="O97" i="26"/>
  <c r="O94" i="26"/>
  <c r="F106" i="26"/>
  <c r="F118" i="26" s="1"/>
  <c r="F101" i="26"/>
  <c r="O89" i="26"/>
  <c r="F107" i="26"/>
  <c r="F119" i="26" s="1"/>
  <c r="O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Z25" i="16"/>
  <c r="BE25" i="16" s="1"/>
  <c r="BD25" i="16"/>
  <c r="DD25" i="16"/>
  <c r="DK25" i="16" s="1"/>
  <c r="DM25" i="16"/>
  <c r="DO25" i="16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W122" i="23" l="1"/>
  <c r="S17" i="25" s="1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119" i="27"/>
  <c r="Q120" i="27"/>
  <c r="Q87" i="27"/>
  <c r="Q88" i="27"/>
  <c r="P113" i="27"/>
  <c r="I125" i="27"/>
  <c r="I133" i="27"/>
  <c r="P114" i="27"/>
  <c r="I126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DJ25" i="16"/>
  <c r="DI25" i="16"/>
  <c r="DE25" i="16"/>
  <c r="DG25" i="16"/>
  <c r="DP25" i="16"/>
  <c r="DH25" i="16"/>
  <c r="H141" i="26"/>
  <c r="H125" i="26"/>
  <c r="H126" i="26"/>
  <c r="H130" i="26"/>
  <c r="H133" i="26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O102" i="28"/>
  <c r="F114" i="28"/>
  <c r="O98" i="28"/>
  <c r="F110" i="28"/>
  <c r="O100" i="28"/>
  <c r="F112" i="28"/>
  <c r="O103" i="28"/>
  <c r="F115" i="28"/>
  <c r="F117" i="28"/>
  <c r="O105" i="28"/>
  <c r="O99" i="28"/>
  <c r="F111" i="28"/>
  <c r="O101" i="28"/>
  <c r="F113" i="28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M104" i="27"/>
  <c r="F116" i="27"/>
  <c r="E117" i="27"/>
  <c r="L105" i="27"/>
  <c r="M97" i="27"/>
  <c r="Q97" i="27" s="1"/>
  <c r="F109" i="27"/>
  <c r="F121" i="27" s="1"/>
  <c r="M121" i="27" s="1"/>
  <c r="Q121" i="27" s="1"/>
  <c r="L102" i="27"/>
  <c r="E114" i="27"/>
  <c r="F113" i="27"/>
  <c r="M101" i="27"/>
  <c r="F111" i="27"/>
  <c r="M99" i="27"/>
  <c r="E111" i="27"/>
  <c r="L99" i="27"/>
  <c r="E115" i="27"/>
  <c r="L103" i="27"/>
  <c r="L104" i="27"/>
  <c r="E116" i="27"/>
  <c r="M98" i="27"/>
  <c r="F110" i="27"/>
  <c r="E112" i="27"/>
  <c r="L100" i="27"/>
  <c r="F112" i="27"/>
  <c r="M100" i="27"/>
  <c r="F115" i="27"/>
  <c r="M103" i="27"/>
  <c r="M105" i="27"/>
  <c r="F117" i="27"/>
  <c r="M102" i="27"/>
  <c r="F114" i="27"/>
  <c r="E113" i="27"/>
  <c r="L101" i="27"/>
  <c r="O107" i="26"/>
  <c r="N108" i="26"/>
  <c r="N106" i="26"/>
  <c r="N107" i="26"/>
  <c r="O106" i="26"/>
  <c r="O109" i="26"/>
  <c r="N109" i="26"/>
  <c r="O108" i="26"/>
  <c r="O98" i="26"/>
  <c r="F110" i="26"/>
  <c r="E111" i="26"/>
  <c r="N99" i="26"/>
  <c r="N102" i="26"/>
  <c r="E114" i="26"/>
  <c r="F116" i="26"/>
  <c r="O104" i="26"/>
  <c r="O103" i="26"/>
  <c r="F115" i="26"/>
  <c r="N100" i="26"/>
  <c r="E112" i="26"/>
  <c r="F112" i="26"/>
  <c r="O100" i="26"/>
  <c r="E116" i="26"/>
  <c r="N104" i="26"/>
  <c r="E117" i="26"/>
  <c r="N105" i="26"/>
  <c r="N98" i="26"/>
  <c r="E110" i="26"/>
  <c r="E115" i="26"/>
  <c r="N103" i="26"/>
  <c r="E113" i="26"/>
  <c r="N101" i="26"/>
  <c r="F117" i="26"/>
  <c r="O105" i="26"/>
  <c r="O101" i="26"/>
  <c r="F113" i="26"/>
  <c r="O102" i="26"/>
  <c r="F114" i="26"/>
  <c r="F111" i="26"/>
  <c r="O99" i="26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U108" i="28" l="1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J14" i="19"/>
  <c r="M14" i="31"/>
  <c r="Q14" i="31" s="1"/>
  <c r="U14" i="31"/>
  <c r="C13" i="18"/>
  <c r="C14" i="31"/>
  <c r="AD14" i="31"/>
  <c r="AL14" i="31"/>
  <c r="D14" i="31"/>
  <c r="H14" i="31" s="1"/>
  <c r="V14" i="31"/>
  <c r="Z14" i="31" s="1"/>
  <c r="L14" i="31"/>
  <c r="N14" i="31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13" i="18"/>
  <c r="AE14" i="31" s="1"/>
  <c r="AF14" i="31" s="1"/>
  <c r="AG14" i="31" s="1"/>
  <c r="I14" i="19" s="1"/>
  <c r="O7" i="18"/>
  <c r="O11" i="18"/>
  <c r="O6" i="18"/>
  <c r="AD7" i="31"/>
  <c r="O5" i="18"/>
  <c r="O10" i="18"/>
  <c r="H142" i="26"/>
  <c r="H137" i="26"/>
  <c r="U2" i="26"/>
  <c r="R2" i="22"/>
  <c r="H145" i="26"/>
  <c r="H138" i="26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K13" i="18"/>
  <c r="C4" i="18"/>
  <c r="J5" i="19"/>
  <c r="K12" i="18"/>
  <c r="D7" i="19"/>
  <c r="J8" i="19"/>
  <c r="G7" i="18"/>
  <c r="J10" i="19"/>
  <c r="D22" i="32" s="1"/>
  <c r="C9" i="18"/>
  <c r="J12" i="19"/>
  <c r="F22" i="32" s="1"/>
  <c r="C11" i="18"/>
  <c r="G13" i="18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E6" i="31" s="1"/>
  <c r="S6" i="18"/>
  <c r="S8" i="18"/>
  <c r="K6" i="18"/>
  <c r="S13" i="18"/>
  <c r="AM14" i="31" s="1"/>
  <c r="K9" i="18"/>
  <c r="J6" i="19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D5" i="18" s="1"/>
  <c r="C7" i="18"/>
  <c r="C8" i="18"/>
  <c r="D10" i="19"/>
  <c r="D21" i="32" s="1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G5" i="18"/>
  <c r="H5" i="18" s="1"/>
  <c r="C6" i="18"/>
  <c r="D8" i="19"/>
  <c r="D9" i="19"/>
  <c r="C21" i="32" s="1"/>
  <c r="D11" i="19"/>
  <c r="D12" i="19"/>
  <c r="F21" i="32" s="1"/>
  <c r="J13" i="19"/>
  <c r="J29" i="19" s="1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F133" i="28"/>
  <c r="F130" i="28"/>
  <c r="F131" i="28"/>
  <c r="F132" i="28"/>
  <c r="O113" i="28"/>
  <c r="F125" i="28"/>
  <c r="O112" i="28"/>
  <c r="F124" i="28"/>
  <c r="O114" i="28"/>
  <c r="F126" i="28"/>
  <c r="O117" i="28"/>
  <c r="F129" i="28"/>
  <c r="O111" i="28"/>
  <c r="F123" i="28"/>
  <c r="O115" i="28"/>
  <c r="F127" i="28"/>
  <c r="O110" i="28"/>
  <c r="F122" i="28"/>
  <c r="O116" i="28"/>
  <c r="F128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U113" i="28" s="1"/>
  <c r="N101" i="28"/>
  <c r="U101" i="28" s="1"/>
  <c r="N105" i="28"/>
  <c r="U105" i="28" s="1"/>
  <c r="N117" i="28"/>
  <c r="N116" i="28"/>
  <c r="N104" i="28"/>
  <c r="U104" i="28" s="1"/>
  <c r="N115" i="28"/>
  <c r="U115" i="28" s="1"/>
  <c r="N103" i="28"/>
  <c r="U103" i="28" s="1"/>
  <c r="E131" i="27"/>
  <c r="F132" i="27"/>
  <c r="F131" i="27"/>
  <c r="F130" i="27"/>
  <c r="M118" i="27"/>
  <c r="E132" i="27"/>
  <c r="E133" i="27"/>
  <c r="E130" i="27"/>
  <c r="L118" i="27"/>
  <c r="L113" i="27"/>
  <c r="E125" i="27"/>
  <c r="L116" i="27"/>
  <c r="E128" i="27"/>
  <c r="L115" i="27"/>
  <c r="E127" i="27"/>
  <c r="M111" i="27"/>
  <c r="F123" i="27"/>
  <c r="L117" i="27"/>
  <c r="E129" i="27"/>
  <c r="L110" i="27"/>
  <c r="E122" i="27"/>
  <c r="M114" i="27"/>
  <c r="F126" i="27"/>
  <c r="M112" i="27"/>
  <c r="F124" i="27"/>
  <c r="M109" i="27"/>
  <c r="Q109" i="27" s="1"/>
  <c r="M115" i="27"/>
  <c r="F127" i="27"/>
  <c r="M110" i="27"/>
  <c r="F122" i="27"/>
  <c r="L111" i="27"/>
  <c r="E123" i="27"/>
  <c r="M113" i="27"/>
  <c r="F125" i="27"/>
  <c r="M116" i="27"/>
  <c r="F128" i="27"/>
  <c r="M117" i="27"/>
  <c r="F129" i="27"/>
  <c r="L112" i="27"/>
  <c r="E124" i="27"/>
  <c r="L114" i="27"/>
  <c r="E126" i="27"/>
  <c r="O118" i="26"/>
  <c r="N118" i="26"/>
  <c r="E133" i="26"/>
  <c r="E132" i="26"/>
  <c r="F132" i="26"/>
  <c r="F133" i="26"/>
  <c r="E131" i="26"/>
  <c r="F131" i="26"/>
  <c r="F130" i="26"/>
  <c r="E130" i="26"/>
  <c r="O117" i="26"/>
  <c r="F129" i="26"/>
  <c r="N113" i="26"/>
  <c r="E125" i="26"/>
  <c r="O114" i="26"/>
  <c r="F126" i="26"/>
  <c r="N115" i="26"/>
  <c r="E127" i="26"/>
  <c r="O110" i="26"/>
  <c r="F122" i="26"/>
  <c r="N112" i="26"/>
  <c r="E124" i="26"/>
  <c r="O115" i="26"/>
  <c r="F127" i="26"/>
  <c r="N114" i="26"/>
  <c r="E126" i="26"/>
  <c r="O111" i="26"/>
  <c r="F123" i="26"/>
  <c r="O113" i="26"/>
  <c r="F125" i="26"/>
  <c r="N117" i="26"/>
  <c r="E129" i="26"/>
  <c r="O112" i="26"/>
  <c r="F124" i="26"/>
  <c r="N110" i="26"/>
  <c r="E122" i="26"/>
  <c r="N116" i="26"/>
  <c r="E128" i="26"/>
  <c r="O116" i="26"/>
  <c r="F128" i="26"/>
  <c r="N111" i="26"/>
  <c r="E123" i="26"/>
  <c r="AT3" i="15"/>
  <c r="S3" i="33" s="1"/>
  <c r="W3" i="33" s="1"/>
  <c r="X3" i="33" s="1"/>
  <c r="U2" i="20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U116" i="28" l="1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F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K14" i="19"/>
  <c r="R148" i="28"/>
  <c r="I160" i="28"/>
  <c r="I164" i="28"/>
  <c r="R152" i="28"/>
  <c r="AM64" i="20"/>
  <c r="AK64" i="20"/>
  <c r="AJ64" i="20"/>
  <c r="AL64" i="20"/>
  <c r="H33" i="32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H149" i="26"/>
  <c r="H165" i="26"/>
  <c r="H150" i="26"/>
  <c r="H154" i="26"/>
  <c r="Q112" i="27"/>
  <c r="E8" i="31"/>
  <c r="Q118" i="27"/>
  <c r="Q110" i="27"/>
  <c r="Q117" i="27"/>
  <c r="Q115" i="27"/>
  <c r="Q113" i="27"/>
  <c r="Q116" i="27"/>
  <c r="D29" i="19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J28" i="19"/>
  <c r="D23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H35" i="32"/>
  <c r="L13" i="18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E6" i="19" s="1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D28" i="19"/>
  <c r="E36" i="32"/>
  <c r="AE11" i="31"/>
  <c r="AF11" i="31" s="1"/>
  <c r="AG11" i="31" s="1"/>
  <c r="P10" i="18"/>
  <c r="H37" i="32"/>
  <c r="T13" i="18"/>
  <c r="AM7" i="31"/>
  <c r="AN7" i="31" s="1"/>
  <c r="AO7" i="31" s="1"/>
  <c r="T6" i="18"/>
  <c r="W8" i="31"/>
  <c r="C8" i="19"/>
  <c r="E8" i="19" s="1"/>
  <c r="H34" i="32"/>
  <c r="H13" i="18"/>
  <c r="D33" i="32"/>
  <c r="D9" i="18"/>
  <c r="P13" i="18"/>
  <c r="H36" i="32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E10" i="19" s="1"/>
  <c r="W10" i="31"/>
  <c r="D34" i="32"/>
  <c r="H9" i="18"/>
  <c r="E5" i="19"/>
  <c r="AM8" i="31"/>
  <c r="AN8" i="31" s="1"/>
  <c r="AO8" i="31" s="1"/>
  <c r="T7" i="18"/>
  <c r="C13" i="19"/>
  <c r="E13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3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I123" i="26"/>
  <c r="R123" i="26" s="1"/>
  <c r="N128" i="26"/>
  <c r="I128" i="26"/>
  <c r="R128" i="26" s="1"/>
  <c r="O126" i="26"/>
  <c r="J126" i="26"/>
  <c r="S126" i="26" s="1"/>
  <c r="O129" i="26"/>
  <c r="J129" i="26"/>
  <c r="S129" i="26" s="1"/>
  <c r="O130" i="26"/>
  <c r="J130" i="26"/>
  <c r="S130" i="26" s="1"/>
  <c r="N131" i="26"/>
  <c r="I131" i="26"/>
  <c r="R131" i="26" s="1"/>
  <c r="O132" i="26"/>
  <c r="J132" i="26"/>
  <c r="S132" i="26" s="1"/>
  <c r="N133" i="26"/>
  <c r="I133" i="26"/>
  <c r="R133" i="26" s="1"/>
  <c r="O124" i="26"/>
  <c r="J124" i="26"/>
  <c r="S124" i="26" s="1"/>
  <c r="O125" i="26"/>
  <c r="J125" i="26"/>
  <c r="S125" i="26" s="1"/>
  <c r="N126" i="26"/>
  <c r="I126" i="26"/>
  <c r="R126" i="26" s="1"/>
  <c r="N124" i="26"/>
  <c r="I124" i="26"/>
  <c r="R124" i="26" s="1"/>
  <c r="O128" i="26"/>
  <c r="J128" i="26"/>
  <c r="S128" i="26" s="1"/>
  <c r="N122" i="26"/>
  <c r="I122" i="26"/>
  <c r="R122" i="26" s="1"/>
  <c r="N127" i="26"/>
  <c r="I127" i="26"/>
  <c r="R127" i="26" s="1"/>
  <c r="N125" i="26"/>
  <c r="I125" i="26"/>
  <c r="R125" i="26" s="1"/>
  <c r="N130" i="26"/>
  <c r="I130" i="26"/>
  <c r="R130" i="26" s="1"/>
  <c r="O131" i="26"/>
  <c r="J131" i="26"/>
  <c r="S131" i="26" s="1"/>
  <c r="O133" i="26"/>
  <c r="J133" i="26"/>
  <c r="S133" i="26" s="1"/>
  <c r="N132" i="26"/>
  <c r="I132" i="26"/>
  <c r="R132" i="26" s="1"/>
  <c r="N129" i="26"/>
  <c r="I129" i="26"/>
  <c r="R129" i="26" s="1"/>
  <c r="O123" i="26"/>
  <c r="J123" i="26"/>
  <c r="S123" i="26" s="1"/>
  <c r="O127" i="26"/>
  <c r="J127" i="26"/>
  <c r="S127" i="26" s="1"/>
  <c r="O122" i="26"/>
  <c r="J122" i="26"/>
  <c r="S122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I172" i="28" l="1"/>
  <c r="R160" i="28"/>
  <c r="R163" i="28"/>
  <c r="I175" i="28"/>
  <c r="R167" i="28"/>
  <c r="I179" i="28"/>
  <c r="AE53" i="33"/>
  <c r="AO14" i="31"/>
  <c r="AN15" i="31"/>
  <c r="I181" i="28"/>
  <c r="R169" i="28"/>
  <c r="R166" i="28"/>
  <c r="I178" i="28"/>
  <c r="R159" i="28"/>
  <c r="I171" i="28"/>
  <c r="E18" i="19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C29" i="19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H161" i="26"/>
  <c r="H166" i="26"/>
  <c r="H177" i="26"/>
  <c r="H169" i="26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E29" i="19"/>
  <c r="T14" i="18"/>
  <c r="H14" i="18"/>
  <c r="H36" i="18" s="1"/>
  <c r="P14" i="18"/>
  <c r="F6" i="19"/>
  <c r="L14" i="18"/>
  <c r="K14" i="18" s="1"/>
  <c r="S6" i="25"/>
  <c r="F12" i="19"/>
  <c r="AE63" i="23"/>
  <c r="S7" i="25"/>
  <c r="S13" i="25"/>
  <c r="U4" i="26"/>
  <c r="L7" i="19"/>
  <c r="Y53" i="22"/>
  <c r="L8" i="19"/>
  <c r="AN54" i="23"/>
  <c r="AG63" i="23"/>
  <c r="F7" i="19"/>
  <c r="S9" i="25"/>
  <c r="AI63" i="23"/>
  <c r="F10" i="19"/>
  <c r="F9" i="19"/>
  <c r="F8" i="19"/>
  <c r="H38" i="32"/>
  <c r="C14" i="25"/>
  <c r="C28" i="19"/>
  <c r="E28" i="19" s="1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4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4" i="25"/>
  <c r="S5" i="25"/>
  <c r="S12" i="25"/>
  <c r="F11" i="19"/>
  <c r="C6" i="32"/>
  <c r="I9" i="19"/>
  <c r="K9" i="19" s="1"/>
  <c r="J14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AJ28" i="16"/>
  <c r="Z72" i="16" s="1"/>
  <c r="AJ25" i="16"/>
  <c r="AJ26" i="16"/>
  <c r="AE72" i="16" s="1"/>
  <c r="Z71" i="16"/>
  <c r="AI26" i="16"/>
  <c r="AE71" i="16" s="1"/>
  <c r="AI25" i="16"/>
  <c r="D13" i="18"/>
  <c r="P15" i="18" l="1"/>
  <c r="P48" i="18" s="1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15" i="18"/>
  <c r="L48" i="18" s="1"/>
  <c r="L36" i="18"/>
  <c r="T15" i="18"/>
  <c r="T48" i="18" s="1"/>
  <c r="T36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D14" i="18"/>
  <c r="Q139" i="27"/>
  <c r="Q137" i="27"/>
  <c r="Q136" i="27"/>
  <c r="Q135" i="27"/>
  <c r="F24" i="19"/>
  <c r="F23" i="19"/>
  <c r="F21" i="19"/>
  <c r="F22" i="19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H173" i="26"/>
  <c r="H178" i="26"/>
  <c r="H181" i="26"/>
  <c r="H174" i="26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G14" i="18"/>
  <c r="S16" i="25"/>
  <c r="S14" i="18"/>
  <c r="AM15" i="31" s="1"/>
  <c r="V4" i="20"/>
  <c r="G36" i="18"/>
  <c r="H15" i="18"/>
  <c r="O14" i="18"/>
  <c r="L12" i="19"/>
  <c r="R4" i="22"/>
  <c r="L11" i="19"/>
  <c r="U5" i="26"/>
  <c r="R5" i="22"/>
  <c r="F20" i="19"/>
  <c r="L9" i="19"/>
  <c r="L10" i="19"/>
  <c r="E19" i="19"/>
  <c r="E20" i="19" s="1"/>
  <c r="E21" i="19" s="1"/>
  <c r="E22" i="19" s="1"/>
  <c r="E23" i="19" s="1"/>
  <c r="E24" i="19" s="1"/>
  <c r="F18" i="19"/>
  <c r="F19" i="19"/>
  <c r="L49" i="18"/>
  <c r="K48" i="18"/>
  <c r="S14" i="25"/>
  <c r="I37" i="32"/>
  <c r="T49" i="18"/>
  <c r="S48" i="18"/>
  <c r="AN63" i="23"/>
  <c r="AF15" i="31"/>
  <c r="P49" i="18"/>
  <c r="O48" i="18"/>
  <c r="I35" i="32"/>
  <c r="K15" i="18"/>
  <c r="J35" i="32" s="1"/>
  <c r="H7" i="32"/>
  <c r="G6" i="32"/>
  <c r="I13" i="19"/>
  <c r="I29" i="19" s="1"/>
  <c r="T37" i="18"/>
  <c r="AT6" i="15"/>
  <c r="S6" i="33" s="1"/>
  <c r="W6" i="33" s="1"/>
  <c r="U5" i="20"/>
  <c r="X6" i="33" l="1"/>
  <c r="AG53" i="33"/>
  <c r="C14" i="18"/>
  <c r="D36" i="18"/>
  <c r="H37" i="18"/>
  <c r="S15" i="18"/>
  <c r="J37" i="32" s="1"/>
  <c r="C119" i="36" s="1"/>
  <c r="C135" i="36" s="1"/>
  <c r="O15" i="18"/>
  <c r="C117" i="36"/>
  <c r="C133" i="36" s="1"/>
  <c r="K35" i="32"/>
  <c r="L35" i="32" s="1"/>
  <c r="M35" i="32" s="1"/>
  <c r="N35" i="32" s="1"/>
  <c r="C17" i="37"/>
  <c r="G17" i="37" s="1"/>
  <c r="I34" i="32"/>
  <c r="D15" i="18"/>
  <c r="D48" i="18" s="1"/>
  <c r="C48" i="18" s="1"/>
  <c r="K135" i="26" s="1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H185" i="26"/>
  <c r="H190" i="26"/>
  <c r="H186" i="26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I33" i="32"/>
  <c r="V5" i="20"/>
  <c r="O36" i="18"/>
  <c r="AE15" i="31"/>
  <c r="AG15" i="31" s="1"/>
  <c r="I36" i="32"/>
  <c r="H48" i="18"/>
  <c r="G15" i="18"/>
  <c r="J34" i="32" s="1"/>
  <c r="S5" i="22"/>
  <c r="AA53" i="22"/>
  <c r="S4" i="22"/>
  <c r="Z53" i="22"/>
  <c r="S36" i="18"/>
  <c r="S37" i="18" s="1"/>
  <c r="U6" i="26"/>
  <c r="R6" i="22"/>
  <c r="K29" i="19"/>
  <c r="I28" i="19"/>
  <c r="K28" i="19" s="1"/>
  <c r="K13" i="19"/>
  <c r="O49" i="18"/>
  <c r="P50" i="18"/>
  <c r="T38" i="18"/>
  <c r="S49" i="18"/>
  <c r="T50" i="18"/>
  <c r="I18" i="19"/>
  <c r="H6" i="32"/>
  <c r="L37" i="18"/>
  <c r="K36" i="18"/>
  <c r="G37" i="18"/>
  <c r="H38" i="18"/>
  <c r="AO15" i="31"/>
  <c r="I7" i="32" s="1"/>
  <c r="AN16" i="31"/>
  <c r="AN17" i="31" s="1"/>
  <c r="AF16" i="31"/>
  <c r="AM16" i="31"/>
  <c r="AM17" i="31" s="1"/>
  <c r="AM18" i="31" s="1"/>
  <c r="AM19" i="31" s="1"/>
  <c r="AM20" i="31" s="1"/>
  <c r="L50" i="18"/>
  <c r="K49" i="18"/>
  <c r="AT7" i="15"/>
  <c r="S7" i="33" s="1"/>
  <c r="W7" i="33" s="1"/>
  <c r="U6" i="20"/>
  <c r="D37" i="18"/>
  <c r="X7" i="33" l="1"/>
  <c r="AH53" i="33"/>
  <c r="L14" i="19"/>
  <c r="K18" i="19"/>
  <c r="K37" i="32"/>
  <c r="L37" i="32" s="1"/>
  <c r="M37" i="32" s="1"/>
  <c r="N37" i="32" s="1"/>
  <c r="C19" i="37"/>
  <c r="G19" i="37" s="1"/>
  <c r="AE16" i="31"/>
  <c r="J36" i="32"/>
  <c r="C16" i="37"/>
  <c r="G16" i="37" s="1"/>
  <c r="C116" i="36"/>
  <c r="C132" i="36" s="1"/>
  <c r="E96" i="36"/>
  <c r="G96" i="36" s="1"/>
  <c r="K34" i="32"/>
  <c r="L34" i="32" s="1"/>
  <c r="M34" i="32" s="1"/>
  <c r="N34" i="32" s="1"/>
  <c r="C15" i="18"/>
  <c r="J33" i="32" s="1"/>
  <c r="Q162" i="27"/>
  <c r="AN18" i="31"/>
  <c r="AO17" i="31"/>
  <c r="K7" i="32" s="1"/>
  <c r="G16" i="32" s="1"/>
  <c r="AG16" i="31"/>
  <c r="J6" i="32" s="1"/>
  <c r="C15" i="32" s="1"/>
  <c r="E15" i="32" s="1"/>
  <c r="AF17" i="31"/>
  <c r="W5" i="20"/>
  <c r="AE55" i="20"/>
  <c r="Q159" i="27"/>
  <c r="K5" i="32"/>
  <c r="G14" i="32" s="1"/>
  <c r="C21" i="19"/>
  <c r="D21" i="19" s="1"/>
  <c r="K21" i="32" s="1"/>
  <c r="G27" i="32" s="1"/>
  <c r="J18" i="19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I38" i="32"/>
  <c r="P37" i="18"/>
  <c r="O37" i="18" s="1"/>
  <c r="V6" i="20"/>
  <c r="G48" i="18"/>
  <c r="H49" i="18"/>
  <c r="L13" i="19"/>
  <c r="K19" i="19"/>
  <c r="K20" i="19" s="1"/>
  <c r="K21" i="19" s="1"/>
  <c r="S6" i="22"/>
  <c r="AB53" i="22"/>
  <c r="U7" i="26"/>
  <c r="R7" i="22"/>
  <c r="S38" i="18"/>
  <c r="T39" i="18"/>
  <c r="K37" i="18"/>
  <c r="L38" i="18"/>
  <c r="S50" i="18"/>
  <c r="T51" i="18"/>
  <c r="P51" i="18"/>
  <c r="O50" i="18"/>
  <c r="I6" i="32"/>
  <c r="I19" i="19"/>
  <c r="H39" i="18"/>
  <c r="G38" i="18"/>
  <c r="L51" i="18"/>
  <c r="K50" i="18"/>
  <c r="AO16" i="31"/>
  <c r="J7" i="32" s="1"/>
  <c r="C16" i="32" s="1"/>
  <c r="E16" i="32" s="1"/>
  <c r="AT8" i="15"/>
  <c r="S8" i="33" s="1"/>
  <c r="W8" i="33" s="1"/>
  <c r="U7" i="20"/>
  <c r="D38" i="18"/>
  <c r="X8" i="33" l="1"/>
  <c r="AI53" i="33"/>
  <c r="J38" i="32"/>
  <c r="I20" i="19"/>
  <c r="J20" i="19" s="1"/>
  <c r="P38" i="18"/>
  <c r="K36" i="32"/>
  <c r="L36" i="32" s="1"/>
  <c r="M36" i="32" s="1"/>
  <c r="N36" i="32" s="1"/>
  <c r="C118" i="36"/>
  <c r="C134" i="36" s="1"/>
  <c r="C18" i="37"/>
  <c r="G18" i="37" s="1"/>
  <c r="C15" i="37"/>
  <c r="E95" i="36"/>
  <c r="C115" i="36"/>
  <c r="K33" i="32"/>
  <c r="D19" i="37"/>
  <c r="H19" i="37" s="1"/>
  <c r="I19" i="37" s="1"/>
  <c r="J19" i="37" s="1"/>
  <c r="C8" i="36"/>
  <c r="C7" i="36"/>
  <c r="AN19" i="31"/>
  <c r="AO18" i="31"/>
  <c r="L7" i="32" s="1"/>
  <c r="H16" i="32" s="1"/>
  <c r="AF18" i="31"/>
  <c r="W6" i="20"/>
  <c r="AF55" i="20"/>
  <c r="J19" i="19"/>
  <c r="I22" i="32" s="1"/>
  <c r="Q176" i="27"/>
  <c r="Q185" i="27"/>
  <c r="Q173" i="27"/>
  <c r="Q188" i="27"/>
  <c r="L21" i="19"/>
  <c r="L24" i="19"/>
  <c r="L23" i="19"/>
  <c r="L22" i="19"/>
  <c r="K22" i="19"/>
  <c r="L5" i="32"/>
  <c r="H14" i="32" s="1"/>
  <c r="C22" i="19"/>
  <c r="D22" i="19" s="1"/>
  <c r="L21" i="32" s="1"/>
  <c r="H27" i="32" s="1"/>
  <c r="Q175" i="27"/>
  <c r="Q174" i="27"/>
  <c r="Q192" i="27"/>
  <c r="Q177" i="27"/>
  <c r="P18" i="31"/>
  <c r="R18" i="31" s="1"/>
  <c r="L4" i="32" s="1"/>
  <c r="H13" i="32" s="1"/>
  <c r="Y19" i="31"/>
  <c r="AA19" i="31" s="1"/>
  <c r="L19" i="19"/>
  <c r="L20" i="19"/>
  <c r="L18" i="19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49" i="18"/>
  <c r="H50" i="18"/>
  <c r="H22" i="32"/>
  <c r="J22" i="32"/>
  <c r="C28" i="32" s="1"/>
  <c r="E28" i="32" s="1"/>
  <c r="D18" i="37" s="1"/>
  <c r="H18" i="37" s="1"/>
  <c r="S7" i="22"/>
  <c r="AC53" i="22"/>
  <c r="U8" i="26"/>
  <c r="R8" i="22"/>
  <c r="K38" i="18"/>
  <c r="L39" i="18"/>
  <c r="S39" i="18"/>
  <c r="T40" i="18"/>
  <c r="P39" i="18"/>
  <c r="O38" i="18"/>
  <c r="L52" i="18"/>
  <c r="K51" i="18"/>
  <c r="H40" i="18"/>
  <c r="G39" i="18"/>
  <c r="P52" i="18"/>
  <c r="O51" i="18"/>
  <c r="T52" i="18"/>
  <c r="S51" i="18"/>
  <c r="V7" i="20"/>
  <c r="AT9" i="15"/>
  <c r="S9" i="33" s="1"/>
  <c r="W9" i="33" s="1"/>
  <c r="U8" i="20"/>
  <c r="D39" i="18"/>
  <c r="X9" i="33" l="1"/>
  <c r="AJ53" i="33"/>
  <c r="I18" i="37"/>
  <c r="J18" i="37" s="1"/>
  <c r="L33" i="32"/>
  <c r="K38" i="32"/>
  <c r="C120" i="36"/>
  <c r="C136" i="36" s="1"/>
  <c r="C131" i="36"/>
  <c r="E100" i="36"/>
  <c r="G95" i="36"/>
  <c r="G100" i="36" s="1"/>
  <c r="G15" i="37"/>
  <c r="G20" i="37" s="1"/>
  <c r="C20" i="37"/>
  <c r="K19" i="37"/>
  <c r="C18" i="36"/>
  <c r="C27" i="36" s="1"/>
  <c r="C17" i="36"/>
  <c r="C26" i="36" s="1"/>
  <c r="D7" i="36"/>
  <c r="D118" i="36"/>
  <c r="D119" i="36"/>
  <c r="AN20" i="31"/>
  <c r="AO20" i="31" s="1"/>
  <c r="N7" i="32" s="1"/>
  <c r="J16" i="32" s="1"/>
  <c r="AO19" i="31"/>
  <c r="M7" i="32" s="1"/>
  <c r="I16" i="32" s="1"/>
  <c r="AF19" i="31"/>
  <c r="W7" i="20"/>
  <c r="AG55" i="20"/>
  <c r="P19" i="31"/>
  <c r="R19" i="31" s="1"/>
  <c r="M4" i="32" s="1"/>
  <c r="I13" i="32" s="1"/>
  <c r="K23" i="19"/>
  <c r="M5" i="32"/>
  <c r="I14" i="32" s="1"/>
  <c r="C23" i="19"/>
  <c r="D23" i="19" s="1"/>
  <c r="M21" i="32" s="1"/>
  <c r="I27" i="32" s="1"/>
  <c r="Y20" i="31"/>
  <c r="AA20" i="31" s="1"/>
  <c r="Q182" i="27"/>
  <c r="P20" i="31" s="1"/>
  <c r="R20" i="31" s="1"/>
  <c r="N4" i="32" s="1"/>
  <c r="J13" i="32" s="1"/>
  <c r="V8" i="20"/>
  <c r="G50" i="18"/>
  <c r="H51" i="18"/>
  <c r="S8" i="22"/>
  <c r="AD53" i="22"/>
  <c r="U9" i="26"/>
  <c r="R9" i="22"/>
  <c r="T41" i="18"/>
  <c r="S40" i="18"/>
  <c r="H41" i="18"/>
  <c r="G40" i="18"/>
  <c r="K39" i="18"/>
  <c r="L40" i="18"/>
  <c r="T53" i="18"/>
  <c r="S52" i="18"/>
  <c r="P53" i="18"/>
  <c r="O52" i="18"/>
  <c r="L53" i="18"/>
  <c r="K52" i="18"/>
  <c r="O39" i="18"/>
  <c r="P40" i="18"/>
  <c r="AT10" i="15"/>
  <c r="S10" i="33" s="1"/>
  <c r="W10" i="33" s="1"/>
  <c r="U9" i="20"/>
  <c r="D40" i="18"/>
  <c r="X10" i="33" l="1"/>
  <c r="AK53" i="33"/>
  <c r="K18" i="37"/>
  <c r="C110" i="36"/>
  <c r="D110" i="36"/>
  <c r="G110" i="36" s="1"/>
  <c r="I110" i="36" s="1"/>
  <c r="M33" i="32"/>
  <c r="L38" i="32"/>
  <c r="E18" i="36"/>
  <c r="G18" i="36" s="1"/>
  <c r="E17" i="36"/>
  <c r="G17" i="36" s="1"/>
  <c r="E53" i="36"/>
  <c r="E118" i="36"/>
  <c r="E134" i="36" s="1"/>
  <c r="C45" i="36"/>
  <c r="E45" i="36" s="1"/>
  <c r="C44" i="36"/>
  <c r="E44" i="36" s="1"/>
  <c r="G44" i="36" s="1"/>
  <c r="D127" i="36"/>
  <c r="F135" i="36" s="1"/>
  <c r="D135" i="36"/>
  <c r="D126" i="36"/>
  <c r="F134" i="36" s="1"/>
  <c r="D134" i="36"/>
  <c r="E27" i="36"/>
  <c r="G27" i="36" s="1"/>
  <c r="E26" i="36"/>
  <c r="G26" i="36" s="1"/>
  <c r="C18" i="19"/>
  <c r="D18" i="19" s="1"/>
  <c r="H21" i="32" s="1"/>
  <c r="H23" i="32" s="1"/>
  <c r="AF20" i="31"/>
  <c r="W8" i="20"/>
  <c r="AH55" i="20"/>
  <c r="K24" i="19"/>
  <c r="N5" i="32"/>
  <c r="J14" i="32" s="1"/>
  <c r="C24" i="19"/>
  <c r="D24" i="19" s="1"/>
  <c r="N21" i="32" s="1"/>
  <c r="J27" i="32" s="1"/>
  <c r="H5" i="32"/>
  <c r="V9" i="20"/>
  <c r="G51" i="18"/>
  <c r="H52" i="18"/>
  <c r="S9" i="22"/>
  <c r="AE53" i="22"/>
  <c r="U10" i="26"/>
  <c r="R10" i="22"/>
  <c r="S41" i="18"/>
  <c r="T42" i="18"/>
  <c r="O40" i="18"/>
  <c r="P41" i="18"/>
  <c r="L41" i="18"/>
  <c r="K40" i="18"/>
  <c r="O53" i="18"/>
  <c r="P54" i="18"/>
  <c r="G41" i="18"/>
  <c r="H42" i="18"/>
  <c r="L54" i="18"/>
  <c r="K53" i="18"/>
  <c r="T54" i="18"/>
  <c r="S53" i="18"/>
  <c r="C36" i="18"/>
  <c r="AT11" i="15"/>
  <c r="S11" i="33" s="1"/>
  <c r="W11" i="33" s="1"/>
  <c r="U10" i="20"/>
  <c r="D41" i="18"/>
  <c r="X11" i="33" l="1"/>
  <c r="AL53" i="33"/>
  <c r="N33" i="32"/>
  <c r="N38" i="32" s="1"/>
  <c r="M38" i="32"/>
  <c r="F110" i="36"/>
  <c r="E62" i="36"/>
  <c r="G62" i="36" s="1"/>
  <c r="G53" i="36"/>
  <c r="E72" i="36"/>
  <c r="E71" i="36"/>
  <c r="E54" i="36"/>
  <c r="G45" i="36"/>
  <c r="W9" i="20"/>
  <c r="AI55" i="20"/>
  <c r="V10" i="20"/>
  <c r="G52" i="18"/>
  <c r="H53" i="18"/>
  <c r="S10" i="22"/>
  <c r="AF53" i="22"/>
  <c r="U11" i="26"/>
  <c r="R11" i="22"/>
  <c r="G42" i="18"/>
  <c r="H43" i="18"/>
  <c r="S42" i="18"/>
  <c r="T43" i="18"/>
  <c r="T55" i="18"/>
  <c r="S54" i="18"/>
  <c r="K41" i="18"/>
  <c r="L42" i="18"/>
  <c r="L55" i="18"/>
  <c r="K54" i="18"/>
  <c r="P55" i="18"/>
  <c r="O54" i="18"/>
  <c r="O41" i="18"/>
  <c r="P42" i="18"/>
  <c r="C37" i="18"/>
  <c r="K123" i="26"/>
  <c r="AT12" i="15"/>
  <c r="S12" i="33" s="1"/>
  <c r="W12" i="33" s="1"/>
  <c r="U11" i="20"/>
  <c r="D42" i="18"/>
  <c r="X12" i="33" l="1"/>
  <c r="AM53" i="33"/>
  <c r="E63" i="36"/>
  <c r="G63" i="36" s="1"/>
  <c r="G54" i="36"/>
  <c r="G71" i="36"/>
  <c r="E89" i="36"/>
  <c r="G89" i="36" s="1"/>
  <c r="E90" i="36"/>
  <c r="G90" i="36" s="1"/>
  <c r="G72" i="36"/>
  <c r="W10" i="20"/>
  <c r="AJ55" i="20"/>
  <c r="V11" i="20"/>
  <c r="G53" i="18"/>
  <c r="H54" i="18"/>
  <c r="S11" i="22"/>
  <c r="AG53" i="22"/>
  <c r="U12" i="26"/>
  <c r="R12" i="22"/>
  <c r="L56" i="18"/>
  <c r="K55" i="18"/>
  <c r="G43" i="18"/>
  <c r="H44" i="18"/>
  <c r="P43" i="18"/>
  <c r="O42" i="18"/>
  <c r="K42" i="18"/>
  <c r="L43" i="18"/>
  <c r="S43" i="18"/>
  <c r="T44" i="18"/>
  <c r="O55" i="18"/>
  <c r="P56" i="18"/>
  <c r="S55" i="18"/>
  <c r="T56" i="18"/>
  <c r="K124" i="26"/>
  <c r="C38" i="18"/>
  <c r="AT13" i="15"/>
  <c r="S13" i="33" s="1"/>
  <c r="W13" i="33" s="1"/>
  <c r="U12" i="20"/>
  <c r="D43" i="18"/>
  <c r="X13" i="33" l="1"/>
  <c r="AN53" i="33"/>
  <c r="L71" i="36"/>
  <c r="K71" i="36"/>
  <c r="L72" i="36"/>
  <c r="K72" i="36"/>
  <c r="W11" i="20"/>
  <c r="AK55" i="20"/>
  <c r="V12" i="20"/>
  <c r="G54" i="18"/>
  <c r="H55" i="18"/>
  <c r="S12" i="22"/>
  <c r="AH53" i="22"/>
  <c r="U13" i="26"/>
  <c r="R13" i="22"/>
  <c r="T57" i="18"/>
  <c r="S56" i="18"/>
  <c r="L44" i="18"/>
  <c r="K43" i="18"/>
  <c r="O43" i="18"/>
  <c r="P44" i="18"/>
  <c r="O56" i="18"/>
  <c r="P57" i="18"/>
  <c r="S44" i="18"/>
  <c r="T45" i="18"/>
  <c r="H45" i="18"/>
  <c r="G44" i="18"/>
  <c r="K56" i="18"/>
  <c r="L57" i="18"/>
  <c r="K125" i="26"/>
  <c r="C39" i="18"/>
  <c r="AT14" i="15"/>
  <c r="S14" i="33" s="1"/>
  <c r="W14" i="33" s="1"/>
  <c r="U13" i="20"/>
  <c r="D44" i="18"/>
  <c r="AO53" i="33" l="1"/>
  <c r="X14" i="33"/>
  <c r="AC54" i="33"/>
  <c r="W12" i="20"/>
  <c r="AL55" i="20"/>
  <c r="V13" i="20"/>
  <c r="G55" i="18"/>
  <c r="H56" i="18"/>
  <c r="S13" i="22"/>
  <c r="AI53" i="22"/>
  <c r="U14" i="26"/>
  <c r="L58" i="18"/>
  <c r="K57" i="18"/>
  <c r="S45" i="18"/>
  <c r="T46" i="18"/>
  <c r="K44" i="18"/>
  <c r="L45" i="18"/>
  <c r="P58" i="18"/>
  <c r="O57" i="18"/>
  <c r="O44" i="18"/>
  <c r="P45" i="18"/>
  <c r="H46" i="18"/>
  <c r="G45" i="18"/>
  <c r="S57" i="18"/>
  <c r="T58" i="18"/>
  <c r="K126" i="26"/>
  <c r="C40" i="18"/>
  <c r="AT15" i="15"/>
  <c r="S15" i="33" s="1"/>
  <c r="W15" i="33" s="1"/>
  <c r="U14" i="20"/>
  <c r="D45" i="18"/>
  <c r="X15" i="33" l="1"/>
  <c r="AD54" i="33"/>
  <c r="W13" i="20"/>
  <c r="AM55" i="20"/>
  <c r="AN55" i="20" s="1"/>
  <c r="G56" i="18"/>
  <c r="H57" i="18"/>
  <c r="S46" i="18"/>
  <c r="S18" i="18" s="1"/>
  <c r="AJ53" i="22"/>
  <c r="R14" i="22"/>
  <c r="U15" i="26"/>
  <c r="R15" i="22"/>
  <c r="S58" i="18"/>
  <c r="S19" i="18" s="1"/>
  <c r="G46" i="18"/>
  <c r="G18" i="18" s="1"/>
  <c r="O58" i="18"/>
  <c r="O19" i="18" s="1"/>
  <c r="O45" i="18"/>
  <c r="P46" i="18"/>
  <c r="L46" i="18"/>
  <c r="K45" i="18"/>
  <c r="K58" i="18"/>
  <c r="V14" i="20"/>
  <c r="K127" i="26"/>
  <c r="C41" i="18"/>
  <c r="AT16" i="15"/>
  <c r="S16" i="33" s="1"/>
  <c r="W16" i="33" s="1"/>
  <c r="U15" i="20"/>
  <c r="D46" i="18"/>
  <c r="X16" i="33" l="1"/>
  <c r="AE54" i="33"/>
  <c r="T18" i="18"/>
  <c r="S20" i="18"/>
  <c r="H18" i="18"/>
  <c r="W14" i="20"/>
  <c r="AB56" i="20"/>
  <c r="V15" i="20"/>
  <c r="G57" i="18"/>
  <c r="H58" i="18"/>
  <c r="T19" i="18"/>
  <c r="Y16" i="31"/>
  <c r="AA16" i="31" s="1"/>
  <c r="C20" i="19" s="1"/>
  <c r="K19" i="18"/>
  <c r="S14" i="22"/>
  <c r="X54" i="22"/>
  <c r="S15" i="22"/>
  <c r="Y54" i="22"/>
  <c r="U16" i="26"/>
  <c r="K46" i="18"/>
  <c r="O46" i="18"/>
  <c r="O18" i="18" s="1"/>
  <c r="K128" i="26"/>
  <c r="C42" i="18"/>
  <c r="AT17" i="15"/>
  <c r="S17" i="33" s="1"/>
  <c r="W17" i="33" s="1"/>
  <c r="U16" i="20"/>
  <c r="X17" i="33" l="1"/>
  <c r="AF54" i="33"/>
  <c r="P18" i="18"/>
  <c r="AE17" i="31" s="1"/>
  <c r="O20" i="18"/>
  <c r="W15" i="20"/>
  <c r="AC56" i="20"/>
  <c r="D20" i="19"/>
  <c r="J21" i="32" s="1"/>
  <c r="G58" i="18"/>
  <c r="G19" i="18" s="1"/>
  <c r="J5" i="32"/>
  <c r="C14" i="32" s="1"/>
  <c r="E14" i="32" s="1"/>
  <c r="Y15" i="31"/>
  <c r="AA15" i="31" s="1"/>
  <c r="K18" i="18"/>
  <c r="R16" i="22"/>
  <c r="U17" i="26"/>
  <c r="R17" i="22"/>
  <c r="P19" i="18"/>
  <c r="K129" i="26"/>
  <c r="C43" i="18"/>
  <c r="V16" i="20"/>
  <c r="AT18" i="15"/>
  <c r="S18" i="33" s="1"/>
  <c r="W18" i="33" s="1"/>
  <c r="U17" i="20"/>
  <c r="X18" i="33" l="1"/>
  <c r="AG54" i="33"/>
  <c r="AE18" i="31"/>
  <c r="AG17" i="31"/>
  <c r="L18" i="18"/>
  <c r="K20" i="18"/>
  <c r="H19" i="18"/>
  <c r="G20" i="18"/>
  <c r="C6" i="36"/>
  <c r="C19" i="19"/>
  <c r="D19" i="19" s="1"/>
  <c r="I21" i="32" s="1"/>
  <c r="I23" i="32" s="1"/>
  <c r="W16" i="20"/>
  <c r="AD56" i="20"/>
  <c r="J23" i="32"/>
  <c r="C27" i="32"/>
  <c r="V17" i="20"/>
  <c r="L19" i="18"/>
  <c r="I5" i="32"/>
  <c r="S17" i="22"/>
  <c r="AA54" i="22"/>
  <c r="S16" i="22"/>
  <c r="Z54" i="22"/>
  <c r="U18" i="26"/>
  <c r="R18" i="22"/>
  <c r="K130" i="26"/>
  <c r="C44" i="18"/>
  <c r="AT19" i="15"/>
  <c r="S19" i="33" s="1"/>
  <c r="W19" i="33" s="1"/>
  <c r="U18" i="20"/>
  <c r="D49" i="18"/>
  <c r="D50" i="18" s="1"/>
  <c r="X19" i="33" l="1"/>
  <c r="AH54" i="33"/>
  <c r="I21" i="19"/>
  <c r="J21" i="19" s="1"/>
  <c r="K22" i="32" s="1"/>
  <c r="K6" i="32"/>
  <c r="G15" i="32" s="1"/>
  <c r="AE19" i="31"/>
  <c r="AG18" i="31"/>
  <c r="G6" i="36"/>
  <c r="C34" i="36" s="1"/>
  <c r="D117" i="36"/>
  <c r="W17" i="20"/>
  <c r="AE56" i="20"/>
  <c r="C29" i="32"/>
  <c r="E27" i="32"/>
  <c r="S18" i="22"/>
  <c r="AB54" i="22"/>
  <c r="U19" i="26"/>
  <c r="V18" i="20"/>
  <c r="K131" i="26"/>
  <c r="C45" i="18"/>
  <c r="AT20" i="15"/>
  <c r="S20" i="33" s="1"/>
  <c r="W20" i="33" s="1"/>
  <c r="U19" i="20"/>
  <c r="C49" i="18"/>
  <c r="D51" i="18"/>
  <c r="D17" i="37" l="1"/>
  <c r="X20" i="33"/>
  <c r="AI54" i="33"/>
  <c r="L6" i="32"/>
  <c r="H15" i="32" s="1"/>
  <c r="I22" i="19"/>
  <c r="J22" i="19" s="1"/>
  <c r="L22" i="32" s="1"/>
  <c r="AE20" i="31"/>
  <c r="AG20" i="31" s="1"/>
  <c r="AG19" i="31"/>
  <c r="G28" i="32"/>
  <c r="K23" i="32"/>
  <c r="D6" i="36"/>
  <c r="H6" i="36"/>
  <c r="D133" i="36"/>
  <c r="D125" i="36"/>
  <c r="F133" i="36" s="1"/>
  <c r="E34" i="36"/>
  <c r="C37" i="36"/>
  <c r="W18" i="20"/>
  <c r="AF56" i="20"/>
  <c r="E29" i="32"/>
  <c r="V19" i="20"/>
  <c r="R19" i="22"/>
  <c r="U20" i="26"/>
  <c r="R20" i="22"/>
  <c r="K132" i="26"/>
  <c r="C46" i="18"/>
  <c r="C50" i="18"/>
  <c r="K137" i="26" s="1"/>
  <c r="K136" i="26"/>
  <c r="AT21" i="15"/>
  <c r="S21" i="33" s="1"/>
  <c r="W21" i="33" s="1"/>
  <c r="U20" i="20"/>
  <c r="D52" i="18"/>
  <c r="X21" i="33" l="1"/>
  <c r="AJ54" i="33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C16" i="36"/>
  <c r="C43" i="36" s="1"/>
  <c r="E43" i="36" s="1"/>
  <c r="G43" i="36" s="1"/>
  <c r="D9" i="36"/>
  <c r="E117" i="36"/>
  <c r="E52" i="36"/>
  <c r="E37" i="36"/>
  <c r="G34" i="36"/>
  <c r="G37" i="36" s="1"/>
  <c r="E78" i="36"/>
  <c r="W19" i="20"/>
  <c r="AG56" i="20"/>
  <c r="K133" i="26"/>
  <c r="C18" i="18"/>
  <c r="S19" i="22"/>
  <c r="AC54" i="22"/>
  <c r="S20" i="22"/>
  <c r="AD54" i="22"/>
  <c r="U21" i="26"/>
  <c r="C51" i="18"/>
  <c r="K138" i="26" s="1"/>
  <c r="V20" i="20"/>
  <c r="AT22" i="15"/>
  <c r="S22" i="33" s="1"/>
  <c r="W22" i="33" s="1"/>
  <c r="U21" i="20"/>
  <c r="D53" i="18"/>
  <c r="X22" i="33" l="1"/>
  <c r="AK54" i="33"/>
  <c r="J28" i="32"/>
  <c r="J29" i="32" s="1"/>
  <c r="N23" i="32"/>
  <c r="I28" i="32"/>
  <c r="I29" i="32" s="1"/>
  <c r="M23" i="32"/>
  <c r="E16" i="36"/>
  <c r="G16" i="36" s="1"/>
  <c r="C25" i="36"/>
  <c r="E25" i="36" s="1"/>
  <c r="G25" i="36" s="1"/>
  <c r="E61" i="36"/>
  <c r="G61" i="36" s="1"/>
  <c r="G52" i="36"/>
  <c r="E120" i="36"/>
  <c r="E136" i="36" s="1"/>
  <c r="E133" i="36"/>
  <c r="G78" i="36"/>
  <c r="G82" i="36" s="1"/>
  <c r="E82" i="36"/>
  <c r="W20" i="20"/>
  <c r="AH56" i="20"/>
  <c r="D18" i="18"/>
  <c r="V21" i="20"/>
  <c r="R21" i="22"/>
  <c r="C52" i="18"/>
  <c r="K139" i="26" s="1"/>
  <c r="U22" i="26"/>
  <c r="R22" i="22"/>
  <c r="AT23" i="15"/>
  <c r="S23" i="33" s="1"/>
  <c r="W23" i="33" s="1"/>
  <c r="U22" i="20"/>
  <c r="D54" i="18"/>
  <c r="X23" i="33" l="1"/>
  <c r="AL54" i="33"/>
  <c r="E70" i="36"/>
  <c r="E88" i="36" s="1"/>
  <c r="G88" i="36" s="1"/>
  <c r="W21" i="20"/>
  <c r="AI56" i="20"/>
  <c r="C53" i="18"/>
  <c r="K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55" i="18"/>
  <c r="X24" i="33" l="1"/>
  <c r="AM54" i="33"/>
  <c r="G70" i="36"/>
  <c r="L70" i="36" s="1"/>
  <c r="W22" i="20"/>
  <c r="AJ56" i="20"/>
  <c r="V23" i="20"/>
  <c r="C54" i="18"/>
  <c r="K141" i="26" s="1"/>
  <c r="S23" i="22"/>
  <c r="AG54" i="22"/>
  <c r="U24" i="26"/>
  <c r="R24" i="22"/>
  <c r="AT25" i="15"/>
  <c r="S25" i="33" s="1"/>
  <c r="W25" i="33" s="1"/>
  <c r="U24" i="20"/>
  <c r="D56" i="18"/>
  <c r="X25" i="33" l="1"/>
  <c r="AN54" i="33"/>
  <c r="K70" i="36"/>
  <c r="W23" i="20"/>
  <c r="AK56" i="20"/>
  <c r="V24" i="20"/>
  <c r="C55" i="18"/>
  <c r="K142" i="26" s="1"/>
  <c r="S24" i="22"/>
  <c r="AH54" i="22"/>
  <c r="U25" i="26"/>
  <c r="R25" i="22"/>
  <c r="AT26" i="15"/>
  <c r="S26" i="33" s="1"/>
  <c r="W26" i="33" s="1"/>
  <c r="U25" i="20"/>
  <c r="D57" i="18"/>
  <c r="AO54" i="33" l="1"/>
  <c r="X26" i="33"/>
  <c r="AC55" i="33"/>
  <c r="W24" i="20"/>
  <c r="AL56" i="20"/>
  <c r="V25" i="20"/>
  <c r="C56" i="18"/>
  <c r="K143" i="26" s="1"/>
  <c r="S25" i="22"/>
  <c r="AI54" i="22"/>
  <c r="U26" i="26"/>
  <c r="AT27" i="15"/>
  <c r="S27" i="33" s="1"/>
  <c r="W27" i="33" s="1"/>
  <c r="U26" i="20"/>
  <c r="D58" i="18"/>
  <c r="X27" i="33" l="1"/>
  <c r="AD55" i="33"/>
  <c r="W25" i="20"/>
  <c r="AM56" i="20"/>
  <c r="AN56" i="20" s="1"/>
  <c r="C57" i="18"/>
  <c r="K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58" i="18"/>
  <c r="C19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W27" i="20"/>
  <c r="AC57" i="20"/>
  <c r="D19" i="18"/>
  <c r="C20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K148" i="26" s="1"/>
  <c r="W29" i="20"/>
  <c r="AE57" i="20"/>
  <c r="R30" i="22"/>
  <c r="U31" i="26"/>
  <c r="R31" i="22"/>
  <c r="V30" i="20"/>
  <c r="AT32" i="15"/>
  <c r="S32" i="33" s="1"/>
  <c r="W32" i="33" s="1"/>
  <c r="U31" i="20"/>
  <c r="X32" i="33" l="1"/>
  <c r="AI55" i="33"/>
  <c r="W30" i="20"/>
  <c r="AF57" i="20"/>
  <c r="K149" i="26"/>
  <c r="V31" i="20"/>
  <c r="S30" i="22"/>
  <c r="AB55" i="22"/>
  <c r="S31" i="22"/>
  <c r="AC55" i="22"/>
  <c r="U32" i="26"/>
  <c r="AT33" i="15"/>
  <c r="S33" i="33" s="1"/>
  <c r="W33" i="33" s="1"/>
  <c r="U32" i="20"/>
  <c r="X33" i="33" l="1"/>
  <c r="AJ55" i="33"/>
  <c r="W31" i="20"/>
  <c r="AG57" i="20"/>
  <c r="K150" i="26"/>
  <c r="R32" i="22"/>
  <c r="U33" i="26"/>
  <c r="R33" i="22"/>
  <c r="V32" i="20"/>
  <c r="AT34" i="15"/>
  <c r="S34" i="33" s="1"/>
  <c r="W34" i="33" s="1"/>
  <c r="U33" i="20"/>
  <c r="X34" i="33" l="1"/>
  <c r="AK55" i="33"/>
  <c r="W32" i="20"/>
  <c r="AH57" i="20"/>
  <c r="K151" i="26"/>
  <c r="V33" i="20"/>
  <c r="S33" i="22"/>
  <c r="AE55" i="22"/>
  <c r="S32" i="22"/>
  <c r="AD55" i="22"/>
  <c r="U34" i="26"/>
  <c r="AT35" i="15"/>
  <c r="S35" i="33" s="1"/>
  <c r="W35" i="33" s="1"/>
  <c r="U34" i="20"/>
  <c r="X35" i="33" l="1"/>
  <c r="AL55" i="33"/>
  <c r="W33" i="20"/>
  <c r="AI57" i="20"/>
  <c r="K152" i="26"/>
  <c r="R34" i="22"/>
  <c r="U35" i="26"/>
  <c r="R35" i="22"/>
  <c r="V34" i="20"/>
  <c r="AT36" i="15"/>
  <c r="S36" i="33" s="1"/>
  <c r="W36" i="33" s="1"/>
  <c r="U35" i="20"/>
  <c r="X36" i="33" l="1"/>
  <c r="AM55" i="33"/>
  <c r="W34" i="20"/>
  <c r="AJ57" i="20"/>
  <c r="K153" i="26"/>
  <c r="V35" i="20"/>
  <c r="S35" i="22"/>
  <c r="AG55" i="22"/>
  <c r="S34" i="22"/>
  <c r="AF55" i="22"/>
  <c r="U36" i="26"/>
  <c r="R36" i="22"/>
  <c r="AT37" i="15"/>
  <c r="S37" i="33" s="1"/>
  <c r="W37" i="33" s="1"/>
  <c r="U36" i="20"/>
  <c r="X37" i="33" l="1"/>
  <c r="AN55" i="33"/>
  <c r="W35" i="20"/>
  <c r="AK57" i="20"/>
  <c r="K154" i="26"/>
  <c r="V36" i="20"/>
  <c r="S36" i="22"/>
  <c r="AH55" i="22"/>
  <c r="U37" i="26"/>
  <c r="R37" i="22"/>
  <c r="AT38" i="15"/>
  <c r="S38" i="33" s="1"/>
  <c r="W38" i="33" s="1"/>
  <c r="U37" i="20"/>
  <c r="X38" i="33" l="1"/>
  <c r="AC56" i="33"/>
  <c r="AO55" i="33"/>
  <c r="W36" i="20"/>
  <c r="AL57" i="20"/>
  <c r="K155" i="26"/>
  <c r="V37" i="20"/>
  <c r="S37" i="22"/>
  <c r="AI55" i="22"/>
  <c r="AJ55" i="22" s="1"/>
  <c r="U38" i="26"/>
  <c r="AT39" i="15"/>
  <c r="S39" i="33" s="1"/>
  <c r="W39" i="33" s="1"/>
  <c r="U38" i="20"/>
  <c r="X39" i="33" l="1"/>
  <c r="AD56" i="33"/>
  <c r="W37" i="20"/>
  <c r="AM57" i="20"/>
  <c r="AN57" i="20" s="1"/>
  <c r="K156" i="26"/>
  <c r="R38" i="22"/>
  <c r="U39" i="26"/>
  <c r="R39" i="22"/>
  <c r="V38" i="20"/>
  <c r="AT40" i="15"/>
  <c r="S40" i="33" s="1"/>
  <c r="W40" i="33" s="1"/>
  <c r="U39" i="20"/>
  <c r="X40" i="33" l="1"/>
  <c r="AE56" i="33"/>
  <c r="W38" i="20"/>
  <c r="AB58" i="20"/>
  <c r="K157" i="26"/>
  <c r="V39" i="20"/>
  <c r="S38" i="22"/>
  <c r="X56" i="22"/>
  <c r="U40" i="26"/>
  <c r="S39" i="22"/>
  <c r="Y56" i="22"/>
  <c r="AT41" i="15"/>
  <c r="S41" i="33" s="1"/>
  <c r="W41" i="33" s="1"/>
  <c r="U40" i="20"/>
  <c r="X41" i="33" l="1"/>
  <c r="AF56" i="33"/>
  <c r="W39" i="20"/>
  <c r="AC58" i="20"/>
  <c r="K158" i="26"/>
  <c r="R40" i="22"/>
  <c r="U41" i="26"/>
  <c r="R41" i="22"/>
  <c r="V40" i="20"/>
  <c r="AT42" i="15"/>
  <c r="S42" i="33" s="1"/>
  <c r="W42" i="33" s="1"/>
  <c r="U41" i="20"/>
  <c r="X42" i="33" l="1"/>
  <c r="AG56" i="33"/>
  <c r="W40" i="20"/>
  <c r="AD58" i="20"/>
  <c r="K159" i="26"/>
  <c r="V41" i="20"/>
  <c r="S41" i="22"/>
  <c r="AA56" i="22"/>
  <c r="S40" i="22"/>
  <c r="Z56" i="22"/>
  <c r="U42" i="26"/>
  <c r="AT43" i="15"/>
  <c r="S43" i="33" s="1"/>
  <c r="W43" i="33" s="1"/>
  <c r="U42" i="20"/>
  <c r="X43" i="33" l="1"/>
  <c r="AH56" i="33"/>
  <c r="W41" i="20"/>
  <c r="AE58" i="20"/>
  <c r="K160" i="26"/>
  <c r="R42" i="22"/>
  <c r="U43" i="26"/>
  <c r="R43" i="22"/>
  <c r="V42" i="20"/>
  <c r="AT44" i="15"/>
  <c r="S44" i="33" s="1"/>
  <c r="W44" i="33" s="1"/>
  <c r="U43" i="20"/>
  <c r="X44" i="33" l="1"/>
  <c r="AI56" i="33"/>
  <c r="W42" i="20"/>
  <c r="AF58" i="20"/>
  <c r="K161" i="26"/>
  <c r="V43" i="20"/>
  <c r="S43" i="22"/>
  <c r="AC56" i="22"/>
  <c r="S42" i="22"/>
  <c r="AB56" i="22"/>
  <c r="U44" i="26"/>
  <c r="AT45" i="15"/>
  <c r="S45" i="33" s="1"/>
  <c r="W45" i="33" s="1"/>
  <c r="U44" i="20"/>
  <c r="X45" i="33" l="1"/>
  <c r="AJ56" i="33"/>
  <c r="W43" i="20"/>
  <c r="AG58" i="20"/>
  <c r="K162" i="26"/>
  <c r="R44" i="22"/>
  <c r="U45" i="26"/>
  <c r="R45" i="22"/>
  <c r="V44" i="20"/>
  <c r="AT46" i="15"/>
  <c r="S46" i="33" s="1"/>
  <c r="W46" i="33" s="1"/>
  <c r="U45" i="20"/>
  <c r="X46" i="33" l="1"/>
  <c r="AK56" i="33"/>
  <c r="W44" i="20"/>
  <c r="AH58" i="20"/>
  <c r="K163" i="26"/>
  <c r="V45" i="20"/>
  <c r="S45" i="22"/>
  <c r="AE56" i="22"/>
  <c r="S44" i="22"/>
  <c r="AD56" i="22"/>
  <c r="U46" i="26"/>
  <c r="AT47" i="15"/>
  <c r="S47" i="33" s="1"/>
  <c r="W47" i="33" s="1"/>
  <c r="U46" i="20"/>
  <c r="X47" i="33" l="1"/>
  <c r="AL56" i="33"/>
  <c r="W45" i="20"/>
  <c r="AI58" i="20"/>
  <c r="K164" i="26"/>
  <c r="R46" i="22"/>
  <c r="U47" i="26"/>
  <c r="R47" i="22"/>
  <c r="V46" i="20"/>
  <c r="AT48" i="15"/>
  <c r="S48" i="33" s="1"/>
  <c r="W48" i="33" s="1"/>
  <c r="U47" i="20"/>
  <c r="X48" i="33" l="1"/>
  <c r="AM56" i="33"/>
  <c r="W46" i="20"/>
  <c r="AJ58" i="20"/>
  <c r="K165" i="26"/>
  <c r="V47" i="20"/>
  <c r="S47" i="22"/>
  <c r="AG56" i="22"/>
  <c r="S46" i="22"/>
  <c r="AF56" i="22"/>
  <c r="U48" i="26"/>
  <c r="R48" i="22"/>
  <c r="AT49" i="15"/>
  <c r="S49" i="33" s="1"/>
  <c r="W49" i="33" s="1"/>
  <c r="U48" i="20"/>
  <c r="X49" i="33" l="1"/>
  <c r="AN56" i="33"/>
  <c r="W47" i="20"/>
  <c r="AK58" i="20"/>
  <c r="K166" i="26"/>
  <c r="V48" i="20"/>
  <c r="S48" i="22"/>
  <c r="AH56" i="22"/>
  <c r="U49" i="26"/>
  <c r="R49" i="22"/>
  <c r="AT50" i="15"/>
  <c r="S50" i="33" s="1"/>
  <c r="W50" i="33" s="1"/>
  <c r="U49" i="20"/>
  <c r="X50" i="33" l="1"/>
  <c r="AC57" i="33"/>
  <c r="AO56" i="33"/>
  <c r="W48" i="20"/>
  <c r="AL58" i="20"/>
  <c r="K167" i="26"/>
  <c r="V49" i="20"/>
  <c r="S49" i="22"/>
  <c r="AI56" i="22"/>
  <c r="U50" i="26"/>
  <c r="AT51" i="15"/>
  <c r="S51" i="33" s="1"/>
  <c r="W51" i="33" s="1"/>
  <c r="U50" i="20"/>
  <c r="X51" i="33" l="1"/>
  <c r="AD57" i="33"/>
  <c r="W49" i="20"/>
  <c r="AM58" i="20"/>
  <c r="AN58" i="20" s="1"/>
  <c r="K168" i="26"/>
  <c r="AJ56" i="22"/>
  <c r="R50" i="22"/>
  <c r="U51" i="26"/>
  <c r="R51" i="22"/>
  <c r="V50" i="20"/>
  <c r="AT52" i="15"/>
  <c r="S52" i="33" s="1"/>
  <c r="W52" i="33" s="1"/>
  <c r="U51" i="20"/>
  <c r="X52" i="33" l="1"/>
  <c r="AE57" i="33"/>
  <c r="W50" i="20"/>
  <c r="AB59" i="20"/>
  <c r="K169" i="26"/>
  <c r="V51" i="20"/>
  <c r="S50" i="22"/>
  <c r="X57" i="22"/>
  <c r="S51" i="22"/>
  <c r="Y57" i="22"/>
  <c r="U52" i="26"/>
  <c r="AT53" i="15"/>
  <c r="S53" i="33" s="1"/>
  <c r="W53" i="33" s="1"/>
  <c r="U52" i="20"/>
  <c r="X53" i="33" l="1"/>
  <c r="AF57" i="33"/>
  <c r="W51" i="20"/>
  <c r="AC59" i="20"/>
  <c r="K170" i="26"/>
  <c r="R52" i="22"/>
  <c r="U53" i="26"/>
  <c r="R53" i="22"/>
  <c r="V52" i="20"/>
  <c r="AT54" i="15"/>
  <c r="S54" i="33" s="1"/>
  <c r="W54" i="33" s="1"/>
  <c r="U53" i="20"/>
  <c r="X54" i="33" l="1"/>
  <c r="AG57" i="33"/>
  <c r="W52" i="20"/>
  <c r="AD59" i="20"/>
  <c r="K171" i="26"/>
  <c r="V53" i="20"/>
  <c r="S53" i="22"/>
  <c r="AA57" i="22"/>
  <c r="S52" i="22"/>
  <c r="Z57" i="22"/>
  <c r="U54" i="26"/>
  <c r="AT55" i="15"/>
  <c r="S55" i="33" s="1"/>
  <c r="W55" i="33" s="1"/>
  <c r="U54" i="20"/>
  <c r="X55" i="33" l="1"/>
  <c r="AH57" i="33"/>
  <c r="W53" i="20"/>
  <c r="AE59" i="20"/>
  <c r="K172" i="26"/>
  <c r="R54" i="22"/>
  <c r="U55" i="26"/>
  <c r="R55" i="22"/>
  <c r="V54" i="20"/>
  <c r="AT56" i="15"/>
  <c r="S56" i="33" s="1"/>
  <c r="W56" i="33" s="1"/>
  <c r="U55" i="20"/>
  <c r="X56" i="33" l="1"/>
  <c r="AI57" i="33"/>
  <c r="W54" i="20"/>
  <c r="AF59" i="20"/>
  <c r="K173" i="26"/>
  <c r="V55" i="20"/>
  <c r="S55" i="22"/>
  <c r="AC57" i="22"/>
  <c r="S54" i="22"/>
  <c r="AB57" i="22"/>
  <c r="U56" i="26"/>
  <c r="AT57" i="15"/>
  <c r="S57" i="33" s="1"/>
  <c r="W57" i="33" s="1"/>
  <c r="U56" i="20"/>
  <c r="X57" i="33" l="1"/>
  <c r="AJ57" i="33"/>
  <c r="W55" i="20"/>
  <c r="AG59" i="20"/>
  <c r="K174" i="26"/>
  <c r="R56" i="22"/>
  <c r="U57" i="26"/>
  <c r="R57" i="22"/>
  <c r="V56" i="20"/>
  <c r="AT58" i="15"/>
  <c r="S58" i="33" s="1"/>
  <c r="W58" i="33" s="1"/>
  <c r="U57" i="20"/>
  <c r="X58" i="33" l="1"/>
  <c r="AK57" i="33"/>
  <c r="W56" i="20"/>
  <c r="AH59" i="20"/>
  <c r="K175" i="26"/>
  <c r="V57" i="20"/>
  <c r="S57" i="22"/>
  <c r="AE57" i="22"/>
  <c r="S56" i="22"/>
  <c r="AD57" i="22"/>
  <c r="U58" i="26"/>
  <c r="AT59" i="15"/>
  <c r="S59" i="33" s="1"/>
  <c r="W59" i="33" s="1"/>
  <c r="U58" i="20"/>
  <c r="X59" i="33" l="1"/>
  <c r="AL57" i="33"/>
  <c r="W57" i="20"/>
  <c r="AI59" i="20"/>
  <c r="K176" i="26"/>
  <c r="R58" i="22"/>
  <c r="U59" i="26"/>
  <c r="R59" i="22"/>
  <c r="V58" i="20"/>
  <c r="AT60" i="15"/>
  <c r="S60" i="33" s="1"/>
  <c r="W60" i="33" s="1"/>
  <c r="U59" i="20"/>
  <c r="X60" i="33" l="1"/>
  <c r="AM57" i="33"/>
  <c r="W58" i="20"/>
  <c r="AJ59" i="20"/>
  <c r="K177" i="26"/>
  <c r="V59" i="20"/>
  <c r="S59" i="22"/>
  <c r="AG57" i="22"/>
  <c r="S58" i="22"/>
  <c r="AF57" i="22"/>
  <c r="U60" i="26"/>
  <c r="R60" i="22"/>
  <c r="AT61" i="15"/>
  <c r="S61" i="33" s="1"/>
  <c r="W61" i="33" s="1"/>
  <c r="U60" i="20"/>
  <c r="X61" i="33" l="1"/>
  <c r="AN57" i="33"/>
  <c r="W59" i="20"/>
  <c r="AK59" i="20"/>
  <c r="K178" i="26"/>
  <c r="V60" i="20"/>
  <c r="S60" i="22"/>
  <c r="AH57" i="22"/>
  <c r="U61" i="26"/>
  <c r="R61" i="22"/>
  <c r="AT62" i="15"/>
  <c r="S62" i="33" s="1"/>
  <c r="W62" i="33" s="1"/>
  <c r="U61" i="20"/>
  <c r="X62" i="33" l="1"/>
  <c r="AC58" i="33"/>
  <c r="AO57" i="33"/>
  <c r="W60" i="20"/>
  <c r="AL59" i="20"/>
  <c r="K179" i="26"/>
  <c r="V61" i="20"/>
  <c r="S61" i="22"/>
  <c r="AI57" i="22"/>
  <c r="AJ57" i="22" s="1"/>
  <c r="U62" i="26"/>
  <c r="AT63" i="15"/>
  <c r="S63" i="33" s="1"/>
  <c r="W63" i="33" s="1"/>
  <c r="U62" i="20"/>
  <c r="X63" i="33" l="1"/>
  <c r="AD58" i="33"/>
  <c r="W61" i="20"/>
  <c r="AM59" i="20"/>
  <c r="AN59" i="20" s="1"/>
  <c r="K180" i="26"/>
  <c r="R62" i="22"/>
  <c r="U63" i="26"/>
  <c r="R63" i="22"/>
  <c r="V62" i="20"/>
  <c r="AT64" i="15"/>
  <c r="S64" i="33" s="1"/>
  <c r="W64" i="33" s="1"/>
  <c r="U63" i="20"/>
  <c r="X64" i="33" l="1"/>
  <c r="AE58" i="33"/>
  <c r="W62" i="20"/>
  <c r="AB60" i="20"/>
  <c r="K181" i="26"/>
  <c r="V63" i="20"/>
  <c r="S62" i="22"/>
  <c r="X58" i="22"/>
  <c r="U64" i="26"/>
  <c r="S63" i="22"/>
  <c r="Y58" i="22"/>
  <c r="AT65" i="15"/>
  <c r="S65" i="33" s="1"/>
  <c r="W65" i="33" s="1"/>
  <c r="U64" i="20"/>
  <c r="X65" i="33" l="1"/>
  <c r="AF58" i="33"/>
  <c r="W63" i="20"/>
  <c r="AC60" i="20"/>
  <c r="K182" i="26"/>
  <c r="R64" i="22"/>
  <c r="U65" i="26"/>
  <c r="R65" i="22"/>
  <c r="V64" i="20"/>
  <c r="AT66" i="15"/>
  <c r="S66" i="33" s="1"/>
  <c r="W66" i="33" s="1"/>
  <c r="U65" i="20"/>
  <c r="X66" i="33" l="1"/>
  <c r="AG58" i="33"/>
  <c r="W64" i="20"/>
  <c r="AD60" i="20"/>
  <c r="K183" i="26"/>
  <c r="V65" i="20"/>
  <c r="S65" i="22"/>
  <c r="AA58" i="22"/>
  <c r="S64" i="22"/>
  <c r="Z58" i="22"/>
  <c r="U66" i="26"/>
  <c r="AT67" i="15"/>
  <c r="S67" i="33" s="1"/>
  <c r="W67" i="33" s="1"/>
  <c r="U66" i="20"/>
  <c r="X67" i="33" l="1"/>
  <c r="AH58" i="33"/>
  <c r="W65" i="20"/>
  <c r="AE60" i="20"/>
  <c r="K184" i="26"/>
  <c r="R66" i="22"/>
  <c r="U67" i="26"/>
  <c r="R67" i="22"/>
  <c r="V66" i="20"/>
  <c r="AT68" i="15"/>
  <c r="S68" i="33" s="1"/>
  <c r="W68" i="33" s="1"/>
  <c r="U67" i="20"/>
  <c r="X68" i="33" l="1"/>
  <c r="AI58" i="33"/>
  <c r="W66" i="20"/>
  <c r="AF60" i="20"/>
  <c r="K185" i="26"/>
  <c r="V67" i="20"/>
  <c r="S66" i="22"/>
  <c r="AB58" i="22"/>
  <c r="S67" i="22"/>
  <c r="AC58" i="22"/>
  <c r="U68" i="26"/>
  <c r="AT69" i="15"/>
  <c r="S69" i="33" s="1"/>
  <c r="W69" i="33" s="1"/>
  <c r="U68" i="20"/>
  <c r="X69" i="33" l="1"/>
  <c r="AJ58" i="33"/>
  <c r="W67" i="20"/>
  <c r="AG60" i="20"/>
  <c r="K186" i="26"/>
  <c r="R68" i="22"/>
  <c r="U69" i="26"/>
  <c r="R69" i="22"/>
  <c r="V68" i="20"/>
  <c r="AT70" i="15"/>
  <c r="S70" i="33" s="1"/>
  <c r="W70" i="33" s="1"/>
  <c r="U69" i="20"/>
  <c r="X70" i="33" l="1"/>
  <c r="AK58" i="33"/>
  <c r="W68" i="20"/>
  <c r="AH60" i="20"/>
  <c r="K187" i="26"/>
  <c r="V69" i="20"/>
  <c r="S69" i="22"/>
  <c r="AE58" i="22"/>
  <c r="S68" i="22"/>
  <c r="AD58" i="22"/>
  <c r="U70" i="26"/>
  <c r="AT71" i="15"/>
  <c r="S71" i="33" s="1"/>
  <c r="W71" i="33" s="1"/>
  <c r="U70" i="20"/>
  <c r="X71" i="33" l="1"/>
  <c r="AL58" i="33"/>
  <c r="W69" i="20"/>
  <c r="AI60" i="20"/>
  <c r="K188" i="26"/>
  <c r="R70" i="22"/>
  <c r="U71" i="26"/>
  <c r="R71" i="22"/>
  <c r="V70" i="20"/>
  <c r="AT72" i="15"/>
  <c r="S72" i="33" s="1"/>
  <c r="W72" i="33" s="1"/>
  <c r="U71" i="20"/>
  <c r="X72" i="33" l="1"/>
  <c r="AM58" i="33"/>
  <c r="W70" i="20"/>
  <c r="AJ60" i="20"/>
  <c r="K189" i="26"/>
  <c r="V71" i="20"/>
  <c r="S71" i="22"/>
  <c r="AG58" i="22"/>
  <c r="S70" i="22"/>
  <c r="AF58" i="22"/>
  <c r="U72" i="26"/>
  <c r="R72" i="22"/>
  <c r="AT73" i="15"/>
  <c r="S73" i="33" s="1"/>
  <c r="W73" i="33" s="1"/>
  <c r="U72" i="20"/>
  <c r="X73" i="33" l="1"/>
  <c r="AN58" i="33"/>
  <c r="AO58" i="33" s="1"/>
  <c r="W71" i="20"/>
  <c r="AK60" i="20"/>
  <c r="K190" i="26"/>
  <c r="V72" i="20"/>
  <c r="S72" i="22"/>
  <c r="AH58" i="22"/>
  <c r="U73" i="26"/>
  <c r="R73" i="22"/>
  <c r="AT74" i="15"/>
  <c r="S74" i="33" s="1"/>
  <c r="W74" i="33" s="1"/>
  <c r="U73" i="20"/>
  <c r="X74" i="33" l="1"/>
  <c r="AC59" i="33"/>
  <c r="W72" i="20"/>
  <c r="AL60" i="20"/>
  <c r="K191" i="26"/>
  <c r="V73" i="20"/>
  <c r="S73" i="22"/>
  <c r="AI58" i="22"/>
  <c r="AJ58" i="22" s="1"/>
  <c r="U74" i="26"/>
  <c r="AT75" i="15"/>
  <c r="S75" i="33" s="1"/>
  <c r="W75" i="33" s="1"/>
  <c r="U74" i="20"/>
  <c r="X75" i="33" l="1"/>
  <c r="AD59" i="33"/>
  <c r="W73" i="20"/>
  <c r="AM60" i="20"/>
  <c r="AN60" i="20" s="1"/>
  <c r="K192" i="26"/>
  <c r="R74" i="22"/>
  <c r="U75" i="26"/>
  <c r="R75" i="22"/>
  <c r="V74" i="20"/>
  <c r="AT76" i="15"/>
  <c r="S76" i="33" s="1"/>
  <c r="W76" i="33" s="1"/>
  <c r="U75" i="20"/>
  <c r="X76" i="33" l="1"/>
  <c r="AE59" i="33"/>
  <c r="W74" i="20"/>
  <c r="AB61" i="20"/>
  <c r="K193" i="26"/>
  <c r="V75" i="20"/>
  <c r="S74" i="22"/>
  <c r="X59" i="22"/>
  <c r="U76" i="26"/>
  <c r="S75" i="22"/>
  <c r="Y59" i="22"/>
  <c r="AT77" i="15"/>
  <c r="S77" i="33" s="1"/>
  <c r="W77" i="33" s="1"/>
  <c r="U76" i="20"/>
  <c r="X77" i="33" l="1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6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AI65" i="20"/>
  <c r="AN65" i="20" s="1"/>
  <c r="AN64" i="20"/>
  <c r="D14" i="25"/>
  <c r="E14" i="25" s="1"/>
  <c r="L4" i="25"/>
  <c r="L16" i="25" s="1"/>
  <c r="K14" i="25"/>
  <c r="L14" i="25" s="1"/>
  <c r="AD63" i="22"/>
  <c r="S117" i="22"/>
  <c r="AE62" i="22"/>
  <c r="AE63" i="22" s="1"/>
  <c r="AJ63" i="22" s="1"/>
  <c r="U118" i="26"/>
  <c r="X119" i="33" l="1"/>
  <c r="AL62" i="33"/>
  <c r="AL63" i="33" s="1"/>
  <c r="AT121" i="15"/>
  <c r="U120" i="26"/>
  <c r="S120" i="33"/>
  <c r="W120" i="33" s="1"/>
  <c r="S122" i="22"/>
  <c r="L17" i="25" s="1"/>
  <c r="W122" i="20"/>
  <c r="E17" i="25" s="1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I3" i="32" l="1"/>
  <c r="I4" i="32"/>
  <c r="J4" i="32"/>
  <c r="C13" i="32" s="1"/>
  <c r="E13" i="32" s="1"/>
  <c r="H4" i="32"/>
  <c r="U146" i="26"/>
  <c r="C12" i="32"/>
  <c r="E8" i="32"/>
  <c r="D8" i="32"/>
  <c r="G8" i="32"/>
  <c r="C8" i="32"/>
  <c r="F8" i="32"/>
  <c r="D16" i="37" l="1"/>
  <c r="H16" i="37" s="1"/>
  <c r="I16" i="37" s="1"/>
  <c r="J16" i="37" s="1"/>
  <c r="C5" i="36"/>
  <c r="I8" i="32"/>
  <c r="J8" i="32"/>
  <c r="C17" i="32"/>
  <c r="U147" i="26"/>
  <c r="E12" i="32"/>
  <c r="D15" i="37" l="1"/>
  <c r="D20" i="37" s="1"/>
  <c r="K16" i="37"/>
  <c r="D116" i="36"/>
  <c r="C15" i="36"/>
  <c r="E15" i="36" s="1"/>
  <c r="C4" i="36"/>
  <c r="E17" i="32"/>
  <c r="U148" i="26"/>
  <c r="H15" i="37" l="1"/>
  <c r="I15" i="37" s="1"/>
  <c r="C24" i="36"/>
  <c r="E24" i="36" s="1"/>
  <c r="C42" i="36"/>
  <c r="E42" i="36" s="1"/>
  <c r="G42" i="36" s="1"/>
  <c r="G15" i="36"/>
  <c r="D132" i="36"/>
  <c r="D124" i="36"/>
  <c r="F132" i="36" s="1"/>
  <c r="D115" i="36"/>
  <c r="C14" i="36"/>
  <c r="C23" i="36" s="1"/>
  <c r="C9" i="36"/>
  <c r="U149" i="26"/>
  <c r="K15" i="37" l="1"/>
  <c r="J15" i="37"/>
  <c r="G24" i="36"/>
  <c r="E69" i="36"/>
  <c r="E87" i="36" s="1"/>
  <c r="G87" i="36" s="1"/>
  <c r="E51" i="36"/>
  <c r="G51" i="36" s="1"/>
  <c r="C41" i="36"/>
  <c r="C46" i="36" s="1"/>
  <c r="E23" i="36"/>
  <c r="C28" i="36"/>
  <c r="C19" i="36"/>
  <c r="E14" i="36"/>
  <c r="D123" i="36"/>
  <c r="D120" i="36"/>
  <c r="D136" i="36" s="1"/>
  <c r="D131" i="36"/>
  <c r="U150" i="26"/>
  <c r="G69" i="36" l="1"/>
  <c r="K69" i="36" s="1"/>
  <c r="E60" i="36"/>
  <c r="G60" i="36" s="1"/>
  <c r="E41" i="36"/>
  <c r="E46" i="36" s="1"/>
  <c r="D128" i="36"/>
  <c r="F136" i="36" s="1"/>
  <c r="F131" i="36"/>
  <c r="E19" i="36"/>
  <c r="G14" i="36"/>
  <c r="G19" i="36" s="1"/>
  <c r="E68" i="36"/>
  <c r="E50" i="36"/>
  <c r="E28" i="36"/>
  <c r="G23" i="36"/>
  <c r="G28" i="36" s="1"/>
  <c r="U151" i="26"/>
  <c r="L69" i="36" l="1"/>
  <c r="G41" i="36"/>
  <c r="G46" i="36" s="1"/>
  <c r="E104" i="36" s="1"/>
  <c r="H104" i="36" s="1"/>
  <c r="E59" i="36"/>
  <c r="E55" i="36"/>
  <c r="G50" i="36"/>
  <c r="G55" i="36" s="1"/>
  <c r="C106" i="36" s="1"/>
  <c r="E73" i="36"/>
  <c r="E86" i="36"/>
  <c r="G68" i="36"/>
  <c r="D104" i="36"/>
  <c r="G104" i="36" s="1"/>
  <c r="U152" i="26"/>
  <c r="I104" i="36" l="1"/>
  <c r="C104" i="36"/>
  <c r="G73" i="36"/>
  <c r="L68" i="36"/>
  <c r="K68" i="36"/>
  <c r="E91" i="36"/>
  <c r="G86" i="36"/>
  <c r="G91" i="36" s="1"/>
  <c r="C108" i="36" s="1"/>
  <c r="G59" i="36"/>
  <c r="G64" i="36" s="1"/>
  <c r="C107" i="36" s="1"/>
  <c r="E64" i="36"/>
  <c r="U153" i="26"/>
  <c r="F104" i="36" l="1"/>
  <c r="C105" i="36"/>
  <c r="D109" i="36"/>
  <c r="G109" i="36" s="1"/>
  <c r="D107" i="36"/>
  <c r="G107" i="36" s="1"/>
  <c r="D105" i="36"/>
  <c r="G105" i="36" s="1"/>
  <c r="D108" i="36"/>
  <c r="G108" i="36" s="1"/>
  <c r="D106" i="36"/>
  <c r="G106" i="36" s="1"/>
  <c r="E109" i="36"/>
  <c r="H109" i="36" s="1"/>
  <c r="E107" i="36"/>
  <c r="H107" i="36" s="1"/>
  <c r="E105" i="36"/>
  <c r="H105" i="36" s="1"/>
  <c r="E108" i="36"/>
  <c r="H108" i="36" s="1"/>
  <c r="E106" i="36"/>
  <c r="H106" i="36" s="1"/>
  <c r="U154" i="26"/>
  <c r="I106" i="36" l="1"/>
  <c r="I109" i="36"/>
  <c r="I108" i="36"/>
  <c r="I105" i="36"/>
  <c r="I107" i="36"/>
  <c r="C111" i="36"/>
  <c r="E111" i="36"/>
  <c r="E112" i="36" s="1"/>
  <c r="F107" i="36"/>
  <c r="F106" i="36"/>
  <c r="F109" i="36"/>
  <c r="F108" i="36"/>
  <c r="D111" i="36"/>
  <c r="D112" i="36" s="1"/>
  <c r="F105" i="36"/>
  <c r="U155" i="26"/>
  <c r="C112" i="36" l="1"/>
  <c r="U156" i="26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H3" i="32" s="1"/>
  <c r="H8" i="32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4" i="34" l="1"/>
  <c r="N57" i="34"/>
  <c r="N59" i="34"/>
  <c r="N60" i="34"/>
  <c r="N61" i="34"/>
  <c r="N62" i="34"/>
  <c r="N58" i="34"/>
  <c r="N56" i="34"/>
  <c r="N47" i="34"/>
  <c r="N48" i="34"/>
  <c r="N44" i="34"/>
  <c r="N46" i="34"/>
  <c r="N45" i="34"/>
  <c r="N50" i="34"/>
  <c r="J27" i="37" l="1"/>
  <c r="Q7" i="37" l="1"/>
  <c r="G9" i="37" l="1"/>
  <c r="T7" i="37" l="1"/>
  <c r="D9" i="37" l="1"/>
  <c r="Z7" i="37"/>
  <c r="L18" i="37"/>
  <c r="O18" i="37" s="1"/>
  <c r="M18" i="37"/>
  <c r="P18" i="37" s="1"/>
  <c r="R18" i="37" l="1"/>
  <c r="S18" i="37" s="1"/>
  <c r="X18" i="37" l="1"/>
  <c r="E27" i="37" s="1"/>
  <c r="G27" i="37" s="1"/>
  <c r="T18" i="37"/>
  <c r="V18" i="37" l="1"/>
  <c r="Y18" i="37"/>
  <c r="F27" i="37" s="1"/>
  <c r="H27" i="37" s="1"/>
  <c r="U18" i="37"/>
  <c r="H17" i="37"/>
  <c r="I17" i="37" l="1"/>
  <c r="K17" i="37" s="1"/>
  <c r="H20" i="37"/>
  <c r="J17" i="37" l="1"/>
  <c r="I20" i="37"/>
  <c r="J20" i="37" s="1"/>
  <c r="C9" i="37"/>
  <c r="K20" i="37" l="1"/>
  <c r="F5" i="37"/>
  <c r="H5" i="37" s="1"/>
  <c r="I25" i="37" l="1"/>
  <c r="J5" i="37"/>
  <c r="F7" i="37"/>
  <c r="H7" i="37" s="1"/>
  <c r="F6" i="37"/>
  <c r="H6" i="37" s="1"/>
  <c r="F8" i="37"/>
  <c r="H8" i="37" s="1"/>
  <c r="J7" i="37" l="1"/>
  <c r="K7" i="37" s="1"/>
  <c r="I27" i="37"/>
  <c r="I28" i="37"/>
  <c r="J8" i="37"/>
  <c r="K8" i="37" s="1"/>
  <c r="E9" i="37"/>
  <c r="F4" i="37"/>
  <c r="J6" i="37"/>
  <c r="K6" i="37" s="1"/>
  <c r="I26" i="37"/>
  <c r="K5" i="37"/>
  <c r="H4" i="37" l="1"/>
  <c r="F9" i="37"/>
  <c r="H9" i="37" s="1"/>
  <c r="L11" i="37"/>
  <c r="M4" i="37" l="1"/>
  <c r="M7" i="37"/>
  <c r="N7" i="37" s="1"/>
  <c r="J4" i="37"/>
  <c r="I24" i="37"/>
  <c r="L10" i="37" l="1"/>
  <c r="K10" i="37"/>
  <c r="K11" i="37"/>
  <c r="K4" i="37"/>
  <c r="K9" i="37" s="1"/>
  <c r="L9" i="37" s="1"/>
  <c r="N4" i="37"/>
  <c r="M5" i="37" l="1"/>
  <c r="M6" i="37"/>
  <c r="N6" i="37" s="1"/>
  <c r="M8" i="37"/>
  <c r="P8" i="37" l="1"/>
  <c r="N8" i="37"/>
  <c r="P5" i="37"/>
  <c r="N5" i="37"/>
  <c r="N10" i="37"/>
  <c r="N11" i="37"/>
  <c r="N9" i="37" l="1"/>
  <c r="O9" i="37" s="1"/>
  <c r="P6" i="37" s="1"/>
  <c r="J25" i="37"/>
  <c r="Q5" i="37"/>
  <c r="J28" i="37"/>
  <c r="Q8" i="37"/>
  <c r="P4" i="37" l="1"/>
  <c r="Q4" i="37" s="1"/>
  <c r="T5" i="37"/>
  <c r="T8" i="37"/>
  <c r="Q6" i="37"/>
  <c r="T6" i="37" s="1"/>
  <c r="J26" i="37"/>
  <c r="Q10" i="37" l="1"/>
  <c r="Q11" i="37"/>
  <c r="J24" i="37"/>
  <c r="T4" i="37"/>
  <c r="Q9" i="37"/>
  <c r="S4" i="37" s="1"/>
  <c r="Z8" i="37"/>
  <c r="M19" i="37"/>
  <c r="P19" i="37" s="1"/>
  <c r="L19" i="37"/>
  <c r="O19" i="37" s="1"/>
  <c r="R19" i="37" s="1"/>
  <c r="S19" i="37" s="1"/>
  <c r="T19" i="37" s="1"/>
  <c r="Z6" i="37"/>
  <c r="M17" i="37"/>
  <c r="P17" i="37" s="1"/>
  <c r="L17" i="37"/>
  <c r="O17" i="37" s="1"/>
  <c r="R17" i="37" s="1"/>
  <c r="Z5" i="37"/>
  <c r="L16" i="37"/>
  <c r="O16" i="37" s="1"/>
  <c r="R16" i="37" s="1"/>
  <c r="S16" i="37" s="1"/>
  <c r="M16" i="37"/>
  <c r="P16" i="37" s="1"/>
  <c r="S17" i="37" l="1"/>
  <c r="V19" i="37"/>
  <c r="Y19" i="37"/>
  <c r="F28" i="37" s="1"/>
  <c r="H28" i="37" s="1"/>
  <c r="X16" i="37"/>
  <c r="E25" i="37" s="1"/>
  <c r="G25" i="37" s="1"/>
  <c r="T16" i="37"/>
  <c r="U16" i="37" s="1"/>
  <c r="X19" i="37"/>
  <c r="E28" i="37" s="1"/>
  <c r="G28" i="37" s="1"/>
  <c r="U19" i="37"/>
  <c r="S6" i="37"/>
  <c r="S7" i="37"/>
  <c r="R9" i="37"/>
  <c r="S5" i="37"/>
  <c r="S8" i="37"/>
  <c r="Z4" i="37"/>
  <c r="L15" i="37"/>
  <c r="T9" i="37"/>
  <c r="M15" i="37"/>
  <c r="P15" i="37" s="1"/>
  <c r="S9" i="37" l="1"/>
  <c r="X17" i="37"/>
  <c r="E26" i="37" s="1"/>
  <c r="G26" i="37" s="1"/>
  <c r="T17" i="37"/>
  <c r="U17" i="37" s="1"/>
  <c r="O15" i="37"/>
  <c r="S15" i="37"/>
  <c r="U4" i="37"/>
  <c r="U9" i="37"/>
  <c r="U7" i="37"/>
  <c r="U8" i="37"/>
  <c r="U6" i="37"/>
  <c r="U5" i="37"/>
  <c r="Y16" i="37"/>
  <c r="F25" i="37" s="1"/>
  <c r="H25" i="37" s="1"/>
  <c r="V16" i="37"/>
  <c r="V17" i="37" l="1"/>
  <c r="Y17" i="37"/>
  <c r="F26" i="37" s="1"/>
  <c r="H26" i="37" s="1"/>
  <c r="X15" i="37"/>
  <c r="E24" i="37" s="1"/>
  <c r="G24" i="37" s="1"/>
  <c r="T15" i="37"/>
  <c r="Y15" i="37" s="1"/>
  <c r="F24" i="37" s="1"/>
  <c r="U15" i="37" l="1"/>
</calcChain>
</file>

<file path=xl/sharedStrings.xml><?xml version="1.0" encoding="utf-8"?>
<sst xmlns="http://schemas.openxmlformats.org/spreadsheetml/2006/main" count="1464" uniqueCount="358">
  <si>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</si>
  <si>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</si>
  <si>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</si>
  <si>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</si>
  <si>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</si>
  <si>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</si>
  <si>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</si>
  <si>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</si>
  <si>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</si>
  <si>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</si>
  <si>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</si>
  <si>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</si>
  <si>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</si>
  <si>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</si>
  <si>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</si>
  <si>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</si>
  <si>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</si>
  <si>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</si>
  <si>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</si>
  <si>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</si>
  <si>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</si>
  <si>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</si>
  <si>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</si>
  <si>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</si>
  <si>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</si>
  <si>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</si>
  <si>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</si>
  <si>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</si>
  <si>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</si>
  <si>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</si>
  <si>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</si>
  <si>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</si>
  <si>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</si>
  <si>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</si>
  <si>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</si>
  <si>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</si>
  <si>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</si>
  <si>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</si>
  <si>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</si>
  <si>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</si>
  <si>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</si>
  <si>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</si>
  <si>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</si>
  <si>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</si>
  <si>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</si>
  <si>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</si>
  <si>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</si>
  <si>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</si>
  <si>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</si>
  <si>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</si>
  <si>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</si>
  <si>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</si>
  <si>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</si>
  <si>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</si>
  <si>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</si>
  <si>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</si>
  <si>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</si>
  <si>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</si>
  <si>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</si>
  <si>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</si>
  <si>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</si>
  <si>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</si>
  <si>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</si>
  <si>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</si>
  <si>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</si>
  <si>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</si>
  <si>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</si>
  <si>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</si>
  <si>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</si>
  <si>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</si>
  <si>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</si>
  <si>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</si>
  <si>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</si>
  <si>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</si>
  <si>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</si>
  <si>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</si>
  <si>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</si>
  <si>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</si>
  <si>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</si>
  <si>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</si>
  <si>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</si>
  <si>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</si>
  <si>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</si>
  <si>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</si>
  <si>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</si>
  <si>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</si>
  <si>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</si>
  <si>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</si>
  <si>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</si>
  <si>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</si>
  <si>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</si>
  <si>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</si>
  <si>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</si>
  <si>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</si>
  <si>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</si>
  <si>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</si>
  <si>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</si>
  <si>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</si>
  <si>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</si>
  <si>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</si>
  <si>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</si>
  <si>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</si>
  <si>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</si>
  <si>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</si>
  <si>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</si>
  <si>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</si>
  <si>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</si>
  <si>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</si>
  <si>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</si>
  <si>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</si>
  <si>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</si>
  <si>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</si>
  <si>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</si>
  <si>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</si>
  <si>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</si>
  <si>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</si>
  <si>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</si>
  <si>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</si>
  <si>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</si>
  <si>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</si>
  <si>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</si>
  <si>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</si>
  <si>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</si>
  <si>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</si>
  <si>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</si>
  <si>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</si>
  <si>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</si>
  <si>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</si>
  <si>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</si>
  <si>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</si>
  <si>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</si>
  <si>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</si>
  <si>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</si>
  <si>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</si>
  <si>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</si>
  <si>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</si>
  <si>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</si>
  <si>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</si>
  <si>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</si>
  <si>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</si>
  <si>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</si>
  <si>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</si>
  <si>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</si>
  <si>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</si>
  <si>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</si>
  <si>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</si>
  <si>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</si>
  <si>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</si>
  <si>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</si>
  <si>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</si>
  <si>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</si>
  <si>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</si>
  <si>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</si>
  <si>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</si>
  <si>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</si>
  <si>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</si>
  <si>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</si>
  <si>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</si>
  <si>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</si>
  <si>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</si>
  <si>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</si>
  <si>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</si>
  <si>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</si>
  <si>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</si>
  <si>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</si>
  <si>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</si>
  <si>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</si>
  <si>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</si>
  <si>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</si>
  <si>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</si>
  <si>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</si>
  <si>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</si>
  <si>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</si>
  <si>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</si>
  <si>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</si>
  <si>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</si>
  <si>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</si>
  <si>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</si>
  <si>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</si>
  <si>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</si>
  <si>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</si>
  <si>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</si>
  <si>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</si>
  <si>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</si>
  <si>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</si>
  <si>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</si>
  <si>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</si>
  <si>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</si>
  <si>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</si>
  <si>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</si>
  <si>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</si>
  <si>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</si>
  <si>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</si>
  <si>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</si>
  <si>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</si>
  <si>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</si>
  <si>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</si>
  <si>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</si>
  <si>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Average Used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</si>
  <si>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</si>
  <si>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</si>
  <si>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</si>
  <si>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</si>
  <si>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</si>
  <si>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</si>
  <si>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</si>
  <si>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</si>
  <si>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</si>
  <si>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</si>
  <si>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</si>
  <si>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</si>
  <si>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</si>
  <si>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</si>
  <si>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</si>
  <si>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</si>
  <si>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</si>
  <si>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</si>
  <si>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</si>
  <si>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</si>
  <si>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</si>
  <si>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</si>
  <si>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</si>
  <si>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</si>
  <si>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</si>
  <si>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</si>
  <si>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</si>
  <si>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</si>
  <si>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</si>
  <si>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</si>
  <si>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2021 Estimate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</si>
  <si>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</si>
  <si>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</si>
  <si>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</si>
  <si>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</si>
  <si>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</si>
  <si>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</si>
  <si>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</si>
  <si>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</si>
  <si>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</si>
  <si>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</si>
  <si>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</si>
  <si>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</si>
  <si>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</si>
  <si>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</si>
  <si>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</si>
  <si>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</si>
  <si>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</si>
  <si>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</si>
  <si>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</si>
  <si>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</si>
  <si>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</si>
  <si>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</si>
  <si>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Cost of Power 2023</t>
  </si>
  <si>
    <t>2023 Load Forecast</t>
  </si>
  <si>
    <t>2021 %RPP</t>
  </si>
  <si>
    <t>Class A</t>
  </si>
  <si>
    <t>Class B</t>
  </si>
  <si>
    <t xml:space="preserve">Residential </t>
  </si>
  <si>
    <t>General Service &lt; 50 kW</t>
  </si>
  <si>
    <t>General Service &gt; 50 kW</t>
  </si>
  <si>
    <t>TOTAL</t>
  </si>
  <si>
    <t>Electricity - Commodity RPP</t>
  </si>
  <si>
    <t>2023 Forecasted Metered kWhs</t>
  </si>
  <si>
    <t>2023  Loss Factor</t>
  </si>
  <si>
    <t>Class per Load Forecast RPP</t>
  </si>
  <si>
    <t>Electricity - Commodity Non-RPP</t>
  </si>
  <si>
    <t>Class per Load Forecast</t>
  </si>
  <si>
    <t>Electricity - Class A</t>
  </si>
  <si>
    <t>2023 Loss Factor</t>
  </si>
  <si>
    <t>Transmission - Network</t>
  </si>
  <si>
    <t>Volume</t>
  </si>
  <si>
    <t>Metric</t>
  </si>
  <si>
    <t>Transmission - Connection</t>
  </si>
  <si>
    <t>Wholesale Market Service</t>
  </si>
  <si>
    <t>RPP</t>
  </si>
  <si>
    <t>non-RPP</t>
  </si>
  <si>
    <t>CBR</t>
  </si>
  <si>
    <t>Rural Rate Assistance</t>
  </si>
  <si>
    <t xml:space="preserve"> </t>
  </si>
  <si>
    <t>Smart Metering Entity Charge</t>
  </si>
  <si>
    <t>Non-RPP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</si>
  <si>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</si>
  <si>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</si>
  <si>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</si>
  <si>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</si>
  <si>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</si>
  <si>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</si>
  <si>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</si>
  <si>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Rate Class</t>
  </si>
  <si>
    <t>Customer Numbers</t>
  </si>
  <si>
    <t>2021 % Non-RPP</t>
  </si>
  <si>
    <t>2023 kWh Non-RPP less Class A</t>
  </si>
  <si>
    <t>Rev @ Existing</t>
  </si>
  <si>
    <t>Misc Rev</t>
  </si>
  <si>
    <t>Rev. Status Quo</t>
  </si>
  <si>
    <t>Total Rev Status Quo</t>
  </si>
  <si>
    <t>Rev Req</t>
  </si>
  <si>
    <t>R/E</t>
  </si>
  <si>
    <t>1st Est</t>
  </si>
  <si>
    <t>Surplus/ Shortfall</t>
  </si>
  <si>
    <t>After 1st Est</t>
  </si>
  <si>
    <t>2nd Est</t>
  </si>
  <si>
    <t>Range</t>
  </si>
  <si>
    <t>CA 'O1' Row Reference:</t>
  </si>
  <si>
    <t>Adj. %</t>
  </si>
  <si>
    <t>Adj. Rev</t>
  </si>
  <si>
    <t>Share %</t>
  </si>
  <si>
    <t>Rev - Misc</t>
  </si>
  <si>
    <t>Min</t>
  </si>
  <si>
    <t>Max</t>
  </si>
  <si>
    <t>Status Quo Rates</t>
  </si>
  <si>
    <t>Proposed Rates (1st Est)</t>
  </si>
  <si>
    <t>Adjusted Fixed/Var. and Rates</t>
  </si>
  <si>
    <t>LF Customers</t>
  </si>
  <si>
    <t>LF Load</t>
  </si>
  <si>
    <t>Fixed</t>
  </si>
  <si>
    <t>Var Rate</t>
  </si>
  <si>
    <t>Fix Rev</t>
  </si>
  <si>
    <t>Var Rev</t>
  </si>
  <si>
    <t>Total Rev</t>
  </si>
  <si>
    <t>Fixed %</t>
  </si>
  <si>
    <t>Var %</t>
  </si>
  <si>
    <t>Variable</t>
  </si>
  <si>
    <t>TOA</t>
  </si>
  <si>
    <t>1st Est. Fixed</t>
  </si>
  <si>
    <t>1st Est. Var.</t>
  </si>
  <si>
    <t>Maximum</t>
  </si>
  <si>
    <t>Fixed Rev. w/ Max</t>
  </si>
  <si>
    <t>Var. Rev. w/ Max Fixed</t>
  </si>
  <si>
    <t>Fixed Rate</t>
  </si>
  <si>
    <t>Current Charges</t>
  </si>
  <si>
    <t>Proposed Charges</t>
  </si>
  <si>
    <t>Dx Bill Impact</t>
  </si>
  <si>
    <t>Fixed Charge</t>
  </si>
  <si>
    <t>Variable Charge</t>
  </si>
  <si>
    <t>Average Rate Increase</t>
  </si>
  <si>
    <t>Fully Fixed Rates</t>
  </si>
  <si>
    <t>Higher Rate Increase to reach minimum 80% R/E ratio</t>
  </si>
  <si>
    <t>Same fixed/variable rate increase</t>
  </si>
  <si>
    <t>Lower Rate Increase to offset GS&gt;50 revenues</t>
  </si>
  <si>
    <t>Rate Decrease to move to range &amp; to offset GS&gt;50 revenues</t>
  </si>
  <si>
    <t>Maximum fixed rate = Current rate ($155.01 without adjustment)</t>
  </si>
  <si>
    <t>Avg. Rate Increase</t>
  </si>
  <si>
    <t>Model 2: Prais-Winsten, using observations 2012:01-2021:12 (T = 120)</t>
  </si>
  <si>
    <t>rho = 0.195683</t>
  </si>
  <si>
    <t>F(7, 112)</t>
  </si>
  <si>
    <t>Model 3: Prais-Winsten, using observations 2012:01-2021:12 (T = 120)</t>
  </si>
  <si>
    <t>rho = 0.484588</t>
  </si>
  <si>
    <t>F(5, 114)</t>
  </si>
  <si>
    <t>D_2012</t>
  </si>
  <si>
    <t>Model 1: Prais-Winsten, using observations 2012:01-2021:12 (T = 120)</t>
  </si>
  <si>
    <t>rho = 0.351288</t>
  </si>
  <si>
    <t>rho = 0.286531</t>
  </si>
  <si>
    <t>GS &lt;50</t>
  </si>
  <si>
    <t>GS &gt;50</t>
  </si>
  <si>
    <t>rho = 0.195618</t>
  </si>
  <si>
    <t>rho = 0.491169</t>
  </si>
  <si>
    <t>rho = 0.346357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</si>
</sst>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#,##0.0000_);\(#,##0.0000\)"/>
    <numFmt numFmtId="291" formatCode="&quot;$&quot;#,##0.00000_);\(&quot;$&quot;#,##0.00000\)"/>
    <numFmt numFmtId="292" formatCode="&quot;$&quot;#,##0.00000_);[Red]\(&quot;$&quot;#,##0.00000\)"/>
    <numFmt numFmtId="293" formatCode="#,##0.00000_);\(#,##0.00000\)"/>
    <numFmt numFmtId="294" formatCode="_(* #,##0.00000000_);_(* \(#,##0.00000000\);_(* &quot;-&quot;??_);_(@_)"/>
    <numFmt numFmtId="295" formatCode="_-* #,##0.00000_-;\-* #,##0.00000_-;_-* &quot;-&quot;??_-;_-@_-"/>
    <numFmt numFmtId="296" formatCode="&quot;$&quot;#,##0.0000_);\(&quot;$&quot;#,##0.0000\)"/>
    <numFmt numFmtId="297" formatCode="_(* #,##0_);_(* \(#,##0\);_(* &quot;-&quot;?_);_(@_)"/>
    <numFmt numFmtId="298" formatCode="_(* #,##0.0000_);_(* \(#,##0.0000\);_(* &quot;-&quot;????_);_(@_)"/>
  </numFmts>
  <fonts count="2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87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218" fillId="0" borderId="0" applyNumberFormat="0" applyFill="0" applyBorder="0" applyAlignment="0" applyProtection="0"/>
  </cellStyleXfs>
  <cellXfs count="387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4" borderId="0" xfId="0" applyFont="1" applyFill="1" applyAlignment="1">
      <alignment horizontal="right"/>
    </xf>
    <xf numFmtId="171" fontId="0" fillId="84" borderId="0" xfId="0" applyNumberFormat="1" applyFill="1"/>
    <xf numFmtId="0" fontId="0" fillId="84" borderId="0" xfId="0" applyFill="1"/>
    <xf numFmtId="17" fontId="0" fillId="84" borderId="0" xfId="0" applyNumberFormat="1" applyFill="1"/>
    <xf numFmtId="171" fontId="0" fillId="0" borderId="0" xfId="5779" applyNumberFormat="1" applyFont="1"/>
    <xf numFmtId="171" fontId="0" fillId="84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5" borderId="0" xfId="0" applyFill="1"/>
    <xf numFmtId="171" fontId="0" fillId="85" borderId="0" xfId="5779" applyNumberFormat="1" applyFont="1" applyFill="1"/>
    <xf numFmtId="0" fontId="0" fillId="86" borderId="0" xfId="0" applyFill="1"/>
    <xf numFmtId="215" fontId="0" fillId="86" borderId="0" xfId="0" applyNumberFormat="1" applyFill="1"/>
    <xf numFmtId="1" fontId="0" fillId="86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7" borderId="0" xfId="0" applyFont="1" applyFill="1" applyAlignment="1">
      <alignment horizontal="center" wrapText="1"/>
    </xf>
    <xf numFmtId="1" fontId="0" fillId="87" borderId="0" xfId="0" applyNumberFormat="1" applyFill="1" applyAlignment="1">
      <alignment horizontal="center"/>
    </xf>
    <xf numFmtId="0" fontId="0" fillId="87" borderId="0" xfId="0" applyFill="1"/>
    <xf numFmtId="0" fontId="7" fillId="84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6" borderId="0" xfId="0" applyFill="1" applyAlignment="1">
      <alignment wrapText="1"/>
    </xf>
    <xf numFmtId="0" fontId="0" fillId="85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43" fontId="207" fillId="0" borderId="0" xfId="4252" applyNumberFormat="1" applyFont="1"/>
    <xf numFmtId="174" fontId="205" fillId="0" borderId="0" xfId="2843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8" borderId="0" xfId="2843" applyFill="1" applyAlignment="1">
      <alignment horizontal="right" wrapText="1"/>
    </xf>
    <xf numFmtId="0" fontId="6" fillId="88" borderId="0" xfId="2843" applyFill="1" applyAlignment="1">
      <alignment horizontal="right"/>
    </xf>
    <xf numFmtId="0" fontId="6" fillId="88" borderId="0" xfId="2843" applyFill="1"/>
    <xf numFmtId="3" fontId="6" fillId="88" borderId="0" xfId="2843" applyNumberFormat="1" applyFill="1"/>
    <xf numFmtId="3" fontId="205" fillId="88" borderId="0" xfId="2843" applyNumberFormat="1" applyFont="1" applyFill="1"/>
    <xf numFmtId="0" fontId="205" fillId="88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8" borderId="0" xfId="2843" applyFont="1" applyFill="1"/>
    <xf numFmtId="0" fontId="7" fillId="89" borderId="54" xfId="2843" applyFont="1" applyFill="1" applyBorder="1"/>
    <xf numFmtId="0" fontId="7" fillId="89" borderId="55" xfId="2843" applyFont="1" applyFill="1" applyBorder="1" applyAlignment="1">
      <alignment vertical="center"/>
    </xf>
    <xf numFmtId="0" fontId="7" fillId="89" borderId="56" xfId="2843" applyFont="1" applyFill="1" applyBorder="1" applyAlignment="1">
      <alignment vertical="center"/>
    </xf>
    <xf numFmtId="0" fontId="7" fillId="88" borderId="57" xfId="2843" applyFont="1" applyFill="1" applyBorder="1" applyAlignment="1">
      <alignment horizontal="center"/>
    </xf>
    <xf numFmtId="3" fontId="6" fillId="88" borderId="58" xfId="2843" applyNumberFormat="1" applyFill="1" applyBorder="1"/>
    <xf numFmtId="0" fontId="7" fillId="88" borderId="59" xfId="2843" applyFont="1" applyFill="1" applyBorder="1" applyAlignment="1">
      <alignment horizontal="center"/>
    </xf>
    <xf numFmtId="0" fontId="7" fillId="89" borderId="60" xfId="2843" applyFont="1" applyFill="1" applyBorder="1" applyAlignment="1">
      <alignment horizontal="center"/>
    </xf>
    <xf numFmtId="3" fontId="6" fillId="89" borderId="21" xfId="2843" applyNumberFormat="1" applyFill="1" applyBorder="1"/>
    <xf numFmtId="3" fontId="6" fillId="89" borderId="61" xfId="2843" applyNumberFormat="1" applyFill="1" applyBorder="1"/>
    <xf numFmtId="0" fontId="7" fillId="89" borderId="54" xfId="2843" applyFont="1" applyFill="1" applyBorder="1" applyAlignment="1">
      <alignment horizontal="center"/>
    </xf>
    <xf numFmtId="0" fontId="7" fillId="89" borderId="55" xfId="2843" applyFont="1" applyFill="1" applyBorder="1" applyAlignment="1">
      <alignment horizontal="center" vertical="center" wrapText="1"/>
    </xf>
    <xf numFmtId="0" fontId="7" fillId="89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6" fillId="0" borderId="0" xfId="2758" applyNumberFormat="1"/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4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9" fontId="0" fillId="0" borderId="0" xfId="5138" applyFont="1"/>
    <xf numFmtId="171" fontId="6" fillId="84" borderId="0" xfId="5780" applyNumberFormat="1" applyFont="1" applyFill="1"/>
    <xf numFmtId="9" fontId="0" fillId="0" borderId="0" xfId="0" applyNumberFormat="1"/>
    <xf numFmtId="172" fontId="0" fillId="83" borderId="0" xfId="5138" applyNumberFormat="1" applyFont="1" applyFill="1"/>
    <xf numFmtId="0" fontId="216" fillId="0" borderId="0" xfId="0" applyFont="1"/>
    <xf numFmtId="0" fontId="7" fillId="89" borderId="54" xfId="2843" applyFont="1" applyFill="1" applyBorder="1" applyAlignment="1">
      <alignment horizontal="center" vertical="center" wrapText="1"/>
    </xf>
    <xf numFmtId="3" fontId="6" fillId="88" borderId="64" xfId="2843" applyNumberFormat="1" applyFill="1" applyBorder="1"/>
    <xf numFmtId="3" fontId="6" fillId="89" borderId="65" xfId="2843" applyNumberFormat="1" applyFill="1" applyBorder="1"/>
    <xf numFmtId="10" fontId="6" fillId="88" borderId="0" xfId="5785" applyNumberFormat="1" applyFont="1" applyFill="1"/>
    <xf numFmtId="0" fontId="217" fillId="0" borderId="68" xfId="46" applyFont="1" applyBorder="1"/>
    <xf numFmtId="0" fontId="7" fillId="0" borderId="0" xfId="46" applyFont="1" applyAlignment="1">
      <alignment horizontal="center"/>
    </xf>
    <xf numFmtId="0" fontId="7" fillId="0" borderId="58" xfId="46" applyFont="1" applyBorder="1" applyAlignment="1">
      <alignment horizontal="center"/>
    </xf>
    <xf numFmtId="3" fontId="6" fillId="0" borderId="69" xfId="46" applyNumberFormat="1" applyBorder="1"/>
    <xf numFmtId="37" fontId="6" fillId="0" borderId="19" xfId="46" applyNumberFormat="1" applyBorder="1"/>
    <xf numFmtId="290" fontId="6" fillId="0" borderId="19" xfId="46" applyNumberFormat="1" applyBorder="1"/>
    <xf numFmtId="10" fontId="6" fillId="90" borderId="70" xfId="5138" applyNumberFormat="1" applyFill="1" applyBorder="1"/>
    <xf numFmtId="10" fontId="6" fillId="0" borderId="0" xfId="46" applyNumberFormat="1"/>
    <xf numFmtId="211" fontId="6" fillId="0" borderId="0" xfId="46" applyNumberFormat="1"/>
    <xf numFmtId="10" fontId="0" fillId="0" borderId="0" xfId="5138" applyNumberFormat="1" applyFont="1"/>
    <xf numFmtId="17" fontId="6" fillId="0" borderId="0" xfId="46" applyNumberFormat="1"/>
    <xf numFmtId="2" fontId="6" fillId="0" borderId="0" xfId="46" applyNumberFormat="1"/>
    <xf numFmtId="10" fontId="6" fillId="0" borderId="0" xfId="5138" applyNumberFormat="1" applyFont="1"/>
    <xf numFmtId="0" fontId="218" fillId="0" borderId="0" xfId="5786"/>
    <xf numFmtId="171" fontId="6" fillId="0" borderId="19" xfId="5780" applyNumberFormat="1" applyFill="1" applyBorder="1"/>
    <xf numFmtId="171" fontId="6" fillId="0" borderId="0" xfId="46" applyNumberFormat="1"/>
    <xf numFmtId="170" fontId="6" fillId="0" borderId="0" xfId="46" applyNumberFormat="1"/>
    <xf numFmtId="37" fontId="6" fillId="0" borderId="0" xfId="46" applyNumberFormat="1"/>
    <xf numFmtId="0" fontId="7" fillId="0" borderId="71" xfId="46" applyFont="1" applyBorder="1" applyAlignment="1">
      <alignment horizontal="left" indent="1"/>
    </xf>
    <xf numFmtId="37" fontId="7" fillId="0" borderId="72" xfId="46" applyNumberFormat="1" applyFont="1" applyBorder="1"/>
    <xf numFmtId="37" fontId="7" fillId="0" borderId="73" xfId="46" applyNumberFormat="1" applyFont="1" applyBorder="1"/>
    <xf numFmtId="3" fontId="6" fillId="0" borderId="0" xfId="46" applyNumberFormat="1"/>
    <xf numFmtId="0" fontId="217" fillId="91" borderId="19" xfId="46" applyFont="1" applyFill="1" applyBorder="1"/>
    <xf numFmtId="0" fontId="7" fillId="91" borderId="19" xfId="46" applyFont="1" applyFill="1" applyBorder="1"/>
    <xf numFmtId="3" fontId="6" fillId="0" borderId="22" xfId="46" applyNumberFormat="1" applyBorder="1"/>
    <xf numFmtId="290" fontId="6" fillId="92" borderId="19" xfId="46" applyNumberFormat="1" applyFill="1" applyBorder="1"/>
    <xf numFmtId="291" fontId="205" fillId="85" borderId="19" xfId="46" applyNumberFormat="1" applyFont="1" applyFill="1" applyBorder="1"/>
    <xf numFmtId="5" fontId="6" fillId="0" borderId="19" xfId="46" applyNumberFormat="1" applyBorder="1"/>
    <xf numFmtId="43" fontId="0" fillId="0" borderId="0" xfId="5780" applyFont="1"/>
    <xf numFmtId="170" fontId="219" fillId="0" borderId="0" xfId="46" applyNumberFormat="1" applyFont="1"/>
    <xf numFmtId="0" fontId="219" fillId="0" borderId="0" xfId="46" applyFont="1"/>
    <xf numFmtId="292" fontId="219" fillId="0" borderId="0" xfId="46" applyNumberFormat="1" applyFont="1"/>
    <xf numFmtId="290" fontId="6" fillId="85" borderId="19" xfId="46" applyNumberFormat="1" applyFill="1" applyBorder="1"/>
    <xf numFmtId="0" fontId="7" fillId="0" borderId="19" xfId="46" applyFont="1" applyBorder="1" applyAlignment="1">
      <alignment horizontal="left" indent="1"/>
    </xf>
    <xf numFmtId="37" fontId="7" fillId="0" borderId="19" xfId="46" applyNumberFormat="1" applyFont="1" applyBorder="1"/>
    <xf numFmtId="0" fontId="7" fillId="0" borderId="19" xfId="46" applyFont="1" applyBorder="1"/>
    <xf numFmtId="293" fontId="6" fillId="0" borderId="19" xfId="46" applyNumberFormat="1" applyBorder="1"/>
    <xf numFmtId="5" fontId="7" fillId="0" borderId="19" xfId="46" applyNumberFormat="1" applyFont="1" applyBorder="1"/>
    <xf numFmtId="0" fontId="7" fillId="0" borderId="0" xfId="46" applyFont="1" applyAlignment="1">
      <alignment horizontal="left" indent="1"/>
    </xf>
    <xf numFmtId="37" fontId="7" fillId="0" borderId="0" xfId="46" applyNumberFormat="1" applyFont="1"/>
    <xf numFmtId="0" fontId="7" fillId="0" borderId="0" xfId="46" applyFont="1"/>
    <xf numFmtId="293" fontId="6" fillId="0" borderId="0" xfId="46" applyNumberFormat="1"/>
    <xf numFmtId="5" fontId="7" fillId="0" borderId="0" xfId="46" applyNumberFormat="1" applyFont="1"/>
    <xf numFmtId="294" fontId="0" fillId="0" borderId="0" xfId="5780" applyNumberFormat="1" applyFont="1"/>
    <xf numFmtId="295" fontId="6" fillId="0" borderId="0" xfId="46" applyNumberFormat="1"/>
    <xf numFmtId="0" fontId="217" fillId="91" borderId="74" xfId="46" applyFont="1" applyFill="1" applyBorder="1"/>
    <xf numFmtId="0" fontId="7" fillId="91" borderId="75" xfId="46" applyFont="1" applyFill="1" applyBorder="1"/>
    <xf numFmtId="0" fontId="7" fillId="91" borderId="23" xfId="46" applyFont="1" applyFill="1" applyBorder="1" applyAlignment="1">
      <alignment horizontal="center"/>
    </xf>
    <xf numFmtId="0" fontId="7" fillId="91" borderId="23" xfId="46" applyFont="1" applyFill="1" applyBorder="1"/>
    <xf numFmtId="0" fontId="7" fillId="91" borderId="62" xfId="46" applyFont="1" applyFill="1" applyBorder="1"/>
    <xf numFmtId="5" fontId="6" fillId="0" borderId="0" xfId="46" applyNumberFormat="1"/>
    <xf numFmtId="0" fontId="7" fillId="91" borderId="53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3" fontId="6" fillId="0" borderId="25" xfId="46" applyNumberFormat="1" applyBorder="1"/>
    <xf numFmtId="290" fontId="6" fillId="0" borderId="19" xfId="46" applyNumberFormat="1" applyBorder="1" applyAlignment="1">
      <alignment horizontal="center"/>
    </xf>
    <xf numFmtId="296" fontId="205" fillId="90" borderId="19" xfId="46" applyNumberFormat="1" applyFont="1" applyFill="1" applyBorder="1"/>
    <xf numFmtId="171" fontId="6" fillId="0" borderId="0" xfId="5780" applyNumberFormat="1"/>
    <xf numFmtId="0" fontId="7" fillId="91" borderId="74" xfId="46" applyFont="1" applyFill="1" applyBorder="1" applyAlignment="1">
      <alignment horizontal="center"/>
    </xf>
    <xf numFmtId="0" fontId="7" fillId="91" borderId="34" xfId="46" applyFont="1" applyFill="1" applyBorder="1" applyAlignment="1">
      <alignment horizontal="center"/>
    </xf>
    <xf numFmtId="296" fontId="6" fillId="90" borderId="19" xfId="46" applyNumberFormat="1" applyFill="1" applyBorder="1"/>
    <xf numFmtId="296" fontId="220" fillId="90" borderId="19" xfId="46" applyNumberFormat="1" applyFont="1" applyFill="1" applyBorder="1"/>
    <xf numFmtId="0" fontId="6" fillId="91" borderId="23" xfId="46" applyFill="1" applyBorder="1"/>
    <xf numFmtId="0" fontId="7" fillId="91" borderId="76" xfId="46" applyFont="1" applyFill="1" applyBorder="1" applyAlignment="1">
      <alignment horizontal="center"/>
    </xf>
    <xf numFmtId="0" fontId="6" fillId="0" borderId="23" xfId="46" applyBorder="1"/>
    <xf numFmtId="37" fontId="6" fillId="0" borderId="74" xfId="46" applyNumberFormat="1" applyBorder="1"/>
    <xf numFmtId="0" fontId="6" fillId="0" borderId="22" xfId="46" applyBorder="1"/>
    <xf numFmtId="5" fontId="6" fillId="0" borderId="25" xfId="46" applyNumberFormat="1" applyBorder="1"/>
    <xf numFmtId="5" fontId="6" fillId="0" borderId="0" xfId="5780" applyNumberFormat="1"/>
    <xf numFmtId="0" fontId="6" fillId="0" borderId="0" xfId="5780" applyNumberFormat="1"/>
    <xf numFmtId="5" fontId="6" fillId="83" borderId="25" xfId="46" applyNumberFormat="1" applyFill="1" applyBorder="1"/>
    <xf numFmtId="0" fontId="7" fillId="0" borderId="77" xfId="46" applyFont="1" applyBorder="1"/>
    <xf numFmtId="0" fontId="6" fillId="0" borderId="19" xfId="46" applyBorder="1"/>
    <xf numFmtId="3" fontId="6" fillId="0" borderId="19" xfId="46" applyNumberFormat="1" applyBorder="1"/>
    <xf numFmtId="171" fontId="6" fillId="0" borderId="19" xfId="5780" applyNumberFormat="1" applyBorder="1"/>
    <xf numFmtId="0" fontId="6" fillId="0" borderId="19" xfId="46" applyBorder="1" applyAlignment="1">
      <alignment wrapText="1"/>
    </xf>
    <xf numFmtId="9" fontId="6" fillId="0" borderId="19" xfId="5138" applyBorder="1"/>
    <xf numFmtId="43" fontId="6" fillId="0" borderId="0" xfId="46" applyNumberFormat="1"/>
    <xf numFmtId="171" fontId="6" fillId="0" borderId="0" xfId="5779" applyNumberFormat="1" applyFont="1"/>
    <xf numFmtId="0" fontId="6" fillId="0" borderId="78" xfId="46" applyBorder="1" applyAlignment="1">
      <alignment wrapText="1"/>
    </xf>
    <xf numFmtId="0" fontId="6" fillId="0" borderId="79" xfId="46" applyBorder="1" applyAlignment="1">
      <alignment horizontal="center" vertical="center" wrapText="1"/>
    </xf>
    <xf numFmtId="0" fontId="6" fillId="0" borderId="80" xfId="46" applyBorder="1" applyAlignment="1">
      <alignment horizontal="center" vertical="center" wrapText="1"/>
    </xf>
    <xf numFmtId="10" fontId="6" fillId="0" borderId="0" xfId="5138" applyNumberFormat="1" applyAlignment="1">
      <alignment wrapText="1"/>
    </xf>
    <xf numFmtId="0" fontId="6" fillId="0" borderId="64" xfId="46" applyBorder="1"/>
    <xf numFmtId="0" fontId="6" fillId="0" borderId="58" xfId="46" applyBorder="1"/>
    <xf numFmtId="0" fontId="7" fillId="59" borderId="69" xfId="46" applyFont="1" applyFill="1" applyBorder="1" applyAlignment="1">
      <alignment horizontal="center" vertical="center" wrapText="1"/>
    </xf>
    <xf numFmtId="6" fontId="6" fillId="0" borderId="19" xfId="46" applyNumberFormat="1" applyBorder="1"/>
    <xf numFmtId="10" fontId="0" fillId="0" borderId="70" xfId="5138" applyNumberFormat="1" applyFont="1" applyBorder="1"/>
    <xf numFmtId="10" fontId="6" fillId="0" borderId="19" xfId="46" applyNumberFormat="1" applyBorder="1"/>
    <xf numFmtId="10" fontId="0" fillId="0" borderId="19" xfId="5138" applyNumberFormat="1" applyFont="1" applyBorder="1"/>
    <xf numFmtId="172" fontId="0" fillId="0" borderId="19" xfId="5138" applyNumberFormat="1" applyFont="1" applyBorder="1"/>
    <xf numFmtId="9" fontId="0" fillId="0" borderId="19" xfId="5138" applyFont="1" applyBorder="1"/>
    <xf numFmtId="0" fontId="6" fillId="0" borderId="71" xfId="46" applyBorder="1"/>
    <xf numFmtId="6" fontId="7" fillId="0" borderId="72" xfId="46" applyNumberFormat="1" applyFont="1" applyBorder="1"/>
    <xf numFmtId="10" fontId="7" fillId="0" borderId="73" xfId="5138" applyNumberFormat="1" applyFont="1" applyBorder="1"/>
    <xf numFmtId="6" fontId="7" fillId="0" borderId="19" xfId="46" applyNumberFormat="1" applyFont="1" applyBorder="1"/>
    <xf numFmtId="6" fontId="7" fillId="0" borderId="0" xfId="46" applyNumberFormat="1" applyFont="1"/>
    <xf numFmtId="6" fontId="7" fillId="83" borderId="0" xfId="46" applyNumberFormat="1" applyFont="1" applyFill="1"/>
    <xf numFmtId="9" fontId="7" fillId="0" borderId="19" xfId="5138" applyFont="1" applyBorder="1"/>
    <xf numFmtId="172" fontId="7" fillId="0" borderId="19" xfId="5138" applyNumberFormat="1" applyFont="1" applyBorder="1"/>
    <xf numFmtId="10" fontId="6" fillId="83" borderId="0" xfId="46" applyNumberFormat="1" applyFill="1"/>
    <xf numFmtId="0" fontId="7" fillId="0" borderId="81" xfId="46" applyFont="1" applyBorder="1"/>
    <xf numFmtId="0" fontId="7" fillId="0" borderId="82" xfId="46" applyFont="1" applyBorder="1"/>
    <xf numFmtId="0" fontId="7" fillId="0" borderId="83" xfId="46" applyFont="1" applyBorder="1"/>
    <xf numFmtId="0" fontId="7" fillId="0" borderId="84" xfId="46" applyFont="1" applyBorder="1"/>
    <xf numFmtId="0" fontId="7" fillId="0" borderId="85" xfId="46" applyFont="1" applyBorder="1"/>
    <xf numFmtId="0" fontId="7" fillId="0" borderId="82" xfId="46" applyFont="1" applyBorder="1" applyAlignment="1">
      <alignment horizontal="center"/>
    </xf>
    <xf numFmtId="0" fontId="6" fillId="0" borderId="82" xfId="46" applyBorder="1"/>
    <xf numFmtId="0" fontId="6" fillId="0" borderId="84" xfId="46" applyBorder="1"/>
    <xf numFmtId="0" fontId="6" fillId="0" borderId="68" xfId="46" applyBorder="1"/>
    <xf numFmtId="0" fontId="6" fillId="0" borderId="34" xfId="46" applyBorder="1"/>
    <xf numFmtId="0" fontId="6" fillId="0" borderId="86" xfId="46" applyBorder="1"/>
    <xf numFmtId="0" fontId="7" fillId="59" borderId="19" xfId="46" applyFont="1" applyFill="1" applyBorder="1" applyAlignment="1">
      <alignment horizontal="center" vertical="center" wrapText="1"/>
    </xf>
    <xf numFmtId="171" fontId="0" fillId="0" borderId="69" xfId="5780" applyNumberFormat="1" applyFont="1" applyBorder="1"/>
    <xf numFmtId="171" fontId="0" fillId="0" borderId="19" xfId="5780" applyNumberFormat="1" applyFont="1" applyBorder="1"/>
    <xf numFmtId="8" fontId="0" fillId="0" borderId="19" xfId="5780" applyNumberFormat="1" applyFont="1" applyBorder="1"/>
    <xf numFmtId="287" fontId="0" fillId="0" borderId="77" xfId="5780" applyNumberFormat="1" applyFont="1" applyBorder="1"/>
    <xf numFmtId="171" fontId="6" fillId="0" borderId="70" xfId="46" applyNumberFormat="1" applyBorder="1"/>
    <xf numFmtId="172" fontId="0" fillId="0" borderId="76" xfId="5138" applyNumberFormat="1" applyFont="1" applyBorder="1"/>
    <xf numFmtId="172" fontId="0" fillId="0" borderId="70" xfId="5138" applyNumberFormat="1" applyFont="1" applyBorder="1"/>
    <xf numFmtId="171" fontId="6" fillId="0" borderId="69" xfId="46" applyNumberFormat="1" applyBorder="1"/>
    <xf numFmtId="297" fontId="6" fillId="0" borderId="19" xfId="46" applyNumberFormat="1" applyBorder="1"/>
    <xf numFmtId="297" fontId="6" fillId="0" borderId="19" xfId="46" applyNumberFormat="1" applyBorder="1" applyAlignment="1">
      <alignment horizontal="center"/>
    </xf>
    <xf numFmtId="2" fontId="6" fillId="0" borderId="19" xfId="46" applyNumberFormat="1" applyBorder="1"/>
    <xf numFmtId="179" fontId="6" fillId="0" borderId="19" xfId="46" applyNumberFormat="1" applyBorder="1"/>
    <xf numFmtId="43" fontId="0" fillId="0" borderId="70" xfId="5780" applyFont="1" applyBorder="1"/>
    <xf numFmtId="43" fontId="0" fillId="0" borderId="69" xfId="5780" applyFont="1" applyBorder="1"/>
    <xf numFmtId="287" fontId="0" fillId="0" borderId="70" xfId="5780" applyNumberFormat="1" applyFont="1" applyBorder="1"/>
    <xf numFmtId="298" fontId="6" fillId="0" borderId="0" xfId="46" applyNumberFormat="1"/>
    <xf numFmtId="171" fontId="0" fillId="0" borderId="71" xfId="5780" applyNumberFormat="1" applyFont="1" applyBorder="1"/>
    <xf numFmtId="171" fontId="0" fillId="0" borderId="72" xfId="5780" applyNumberFormat="1" applyFont="1" applyBorder="1"/>
    <xf numFmtId="10" fontId="0" fillId="0" borderId="72" xfId="5138" applyNumberFormat="1" applyFont="1" applyBorder="1"/>
    <xf numFmtId="10" fontId="0" fillId="0" borderId="73" xfId="5138" applyNumberFormat="1" applyFont="1" applyBorder="1"/>
    <xf numFmtId="0" fontId="6" fillId="0" borderId="21" xfId="46" applyBorder="1"/>
    <xf numFmtId="43" fontId="0" fillId="0" borderId="71" xfId="5780" applyFont="1" applyBorder="1"/>
    <xf numFmtId="287" fontId="0" fillId="0" borderId="73" xfId="5780" applyNumberFormat="1" applyFont="1" applyBorder="1"/>
    <xf numFmtId="171" fontId="7" fillId="0" borderId="71" xfId="46" applyNumberFormat="1" applyFont="1" applyBorder="1"/>
    <xf numFmtId="171" fontId="7" fillId="0" borderId="72" xfId="46" applyNumberFormat="1" applyFont="1" applyBorder="1"/>
    <xf numFmtId="171" fontId="7" fillId="0" borderId="87" xfId="46" applyNumberFormat="1" applyFont="1" applyBorder="1"/>
    <xf numFmtId="171" fontId="7" fillId="0" borderId="73" xfId="46" applyNumberFormat="1" applyFont="1" applyBorder="1"/>
    <xf numFmtId="172" fontId="7" fillId="0" borderId="88" xfId="5138" applyNumberFormat="1" applyFont="1" applyBorder="1"/>
    <xf numFmtId="172" fontId="7" fillId="0" borderId="73" xfId="5138" applyNumberFormat="1" applyFont="1" applyBorder="1"/>
    <xf numFmtId="0" fontId="6" fillId="0" borderId="72" xfId="46" applyBorder="1"/>
    <xf numFmtId="0" fontId="6" fillId="0" borderId="72" xfId="46" applyBorder="1" applyAlignment="1">
      <alignment horizontal="center"/>
    </xf>
    <xf numFmtId="2" fontId="6" fillId="0" borderId="72" xfId="46" applyNumberFormat="1" applyBorder="1"/>
    <xf numFmtId="0" fontId="6" fillId="0" borderId="73" xfId="46" applyBorder="1"/>
    <xf numFmtId="0" fontId="6" fillId="0" borderId="54" xfId="46" applyBorder="1"/>
    <xf numFmtId="0" fontId="6" fillId="0" borderId="89" xfId="46" applyBorder="1"/>
    <xf numFmtId="0" fontId="6" fillId="0" borderId="69" xfId="46" applyBorder="1"/>
    <xf numFmtId="0" fontId="6" fillId="0" borderId="70" xfId="46" applyBorder="1"/>
    <xf numFmtId="0" fontId="6" fillId="0" borderId="77" xfId="46" applyBorder="1"/>
    <xf numFmtId="43" fontId="6" fillId="0" borderId="69" xfId="46" applyNumberFormat="1" applyBorder="1"/>
    <xf numFmtId="43" fontId="6" fillId="0" borderId="70" xfId="46" applyNumberFormat="1" applyBorder="1"/>
    <xf numFmtId="287" fontId="6" fillId="0" borderId="37" xfId="46" applyNumberFormat="1" applyBorder="1"/>
    <xf numFmtId="10" fontId="6" fillId="0" borderId="69" xfId="5138" applyNumberFormat="1" applyBorder="1"/>
    <xf numFmtId="10" fontId="6" fillId="0" borderId="90" xfId="5138" applyNumberFormat="1" applyBorder="1"/>
    <xf numFmtId="43" fontId="6" fillId="0" borderId="0" xfId="5780" applyFont="1"/>
    <xf numFmtId="287" fontId="6" fillId="0" borderId="70" xfId="46" applyNumberFormat="1" applyBorder="1"/>
    <xf numFmtId="0" fontId="6" fillId="0" borderId="91" xfId="46" applyBorder="1"/>
    <xf numFmtId="43" fontId="6" fillId="0" borderId="71" xfId="46" applyNumberFormat="1" applyBorder="1"/>
    <xf numFmtId="287" fontId="6" fillId="0" borderId="73" xfId="46" applyNumberFormat="1" applyBorder="1"/>
    <xf numFmtId="287" fontId="6" fillId="0" borderId="92" xfId="46" applyNumberFormat="1" applyBorder="1"/>
    <xf numFmtId="10" fontId="6" fillId="0" borderId="71" xfId="5138" applyNumberFormat="1" applyBorder="1"/>
    <xf numFmtId="10" fontId="6" fillId="0" borderId="93" xfId="5138" applyNumberFormat="1" applyBorder="1"/>
    <xf numFmtId="169" fontId="0" fillId="0" borderId="0" xfId="1705" applyFont="1"/>
    <xf numFmtId="10" fontId="6" fillId="0" borderId="0" xfId="5785" applyNumberFormat="1" applyFont="1"/>
    <xf numFmtId="15" fontId="0" fillId="0" borderId="0" xfId="0" applyNumberFormat="1" applyAlignment="1">
      <alignment horizontal="center"/>
    </xf>
    <xf numFmtId="172" fontId="6" fillId="0" borderId="0" xfId="46" applyNumberFormat="1"/>
    <xf numFmtId="171" fontId="0" fillId="83" borderId="0" xfId="5779" applyNumberFormat="1" applyFont="1" applyFill="1"/>
    <xf numFmtId="0" fontId="0" fillId="83" borderId="0" xfId="0" applyFill="1"/>
    <xf numFmtId="171" fontId="0" fillId="83" borderId="0" xfId="0" applyNumberFormat="1" applyFill="1"/>
    <xf numFmtId="0" fontId="6" fillId="0" borderId="0" xfId="0" applyFont="1" applyAlignment="1">
      <alignment horizontal="center"/>
    </xf>
    <xf numFmtId="0" fontId="5" fillId="0" borderId="0" xfId="50"/>
    <xf numFmtId="0" fontId="6" fillId="88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0" fontId="7" fillId="91" borderId="22" xfId="46" applyFont="1" applyFill="1" applyBorder="1" applyAlignment="1">
      <alignment horizontal="center"/>
    </xf>
    <xf numFmtId="0" fontId="7" fillId="91" borderId="24" xfId="46" applyFont="1" applyFill="1" applyBorder="1" applyAlignment="1">
      <alignment horizontal="center"/>
    </xf>
    <xf numFmtId="0" fontId="7" fillId="91" borderId="53" xfId="46" applyFont="1" applyFill="1" applyBorder="1" applyAlignment="1">
      <alignment horizontal="center"/>
    </xf>
    <xf numFmtId="0" fontId="7" fillId="91" borderId="74" xfId="46" applyFont="1" applyFill="1" applyBorder="1" applyAlignment="1">
      <alignment horizontal="center" wrapText="1"/>
    </xf>
    <xf numFmtId="0" fontId="7" fillId="91" borderId="25" xfId="46" applyFont="1" applyFill="1" applyBorder="1" applyAlignment="1">
      <alignment horizontal="center" wrapText="1"/>
    </xf>
    <xf numFmtId="0" fontId="7" fillId="91" borderId="34" xfId="46" applyFont="1" applyFill="1" applyBorder="1" applyAlignment="1">
      <alignment horizontal="center" wrapText="1"/>
    </xf>
    <xf numFmtId="0" fontId="7" fillId="91" borderId="23" xfId="46" applyFont="1" applyFill="1" applyBorder="1" applyAlignment="1">
      <alignment horizontal="center"/>
    </xf>
    <xf numFmtId="0" fontId="7" fillId="91" borderId="62" xfId="46" applyFont="1" applyFill="1" applyBorder="1" applyAlignment="1">
      <alignment horizontal="center"/>
    </xf>
    <xf numFmtId="0" fontId="7" fillId="91" borderId="75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0" fontId="7" fillId="91" borderId="20" xfId="46" applyFont="1" applyFill="1" applyBorder="1" applyAlignment="1">
      <alignment horizontal="center"/>
    </xf>
    <xf numFmtId="0" fontId="7" fillId="0" borderId="66" xfId="46" applyFont="1" applyBorder="1" applyAlignment="1">
      <alignment horizontal="center" wrapText="1"/>
    </xf>
    <xf numFmtId="0" fontId="7" fillId="0" borderId="36" xfId="46" applyFont="1" applyBorder="1" applyAlignment="1">
      <alignment horizontal="center" wrapText="1"/>
    </xf>
    <xf numFmtId="0" fontId="7" fillId="0" borderId="67" xfId="46" applyFont="1" applyBorder="1" applyAlignment="1">
      <alignment horizontal="center" wrapText="1"/>
    </xf>
    <xf numFmtId="0" fontId="6" fillId="0" borderId="81" xfId="46" applyBorder="1" applyAlignment="1">
      <alignment horizontal="center"/>
    </xf>
    <xf numFmtId="0" fontId="6" fillId="0" borderId="84" xfId="46" applyBorder="1" applyAlignment="1">
      <alignment horizontal="center"/>
    </xf>
    <xf numFmtId="0" fontId="6" fillId="0" borderId="83" xfId="46" applyBorder="1" applyAlignment="1">
      <alignment horizontal="center"/>
    </xf>
    <xf numFmtId="0" fontId="6" fillId="0" borderId="19" xfId="46" applyBorder="1" applyAlignment="1">
      <alignment horizontal="center" wrapText="1"/>
    </xf>
    <xf numFmtId="0" fontId="6" fillId="0" borderId="77" xfId="46" applyBorder="1" applyAlignment="1">
      <alignment horizontal="center" wrapText="1"/>
    </xf>
    <xf numFmtId="0" fontId="6" fillId="0" borderId="76" xfId="46" applyBorder="1" applyAlignment="1">
      <alignment horizontal="center" wrapText="1"/>
    </xf>
    <xf numFmtId="0" fontId="7" fillId="0" borderId="66" xfId="46" applyFont="1" applyBorder="1" applyAlignment="1">
      <alignment horizontal="center"/>
    </xf>
    <xf numFmtId="0" fontId="7" fillId="0" borderId="36" xfId="46" applyFont="1" applyBorder="1" applyAlignment="1">
      <alignment horizontal="center"/>
    </xf>
    <xf numFmtId="0" fontId="7" fillId="0" borderId="67" xfId="46" applyFont="1" applyBorder="1" applyAlignment="1">
      <alignment horizontal="center"/>
    </xf>
    <xf numFmtId="17" fontId="0" fillId="83" borderId="0" xfId="0" applyNumberFormat="1" applyFill="1"/>
  </cellXfs>
  <cellStyles count="5787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" xfId="5786" builtinId="8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Weather!$EI$122:$EI$237</c:f>
              <c:numCache>
                <c:formatCode>_(* #,##0_);_(* \(#,##0\);_(* "-"??_);_(@_)</c:formatCode>
                <c:ptCount val="116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Weather!$EU$122:$EU$237</c:f>
              <c:numCache>
                <c:formatCode>_(* #,##0_);_(* \(#,##0\);_(* "-"??_);_(@_)</c:formatCode>
                <c:ptCount val="116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Weather!$C$122:$C$237</c:f>
              <c:numCache>
                <c:formatCode>0</c:formatCode>
                <c:ptCount val="116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</c:numCache>
            </c:numRef>
          </c:xVal>
          <c:yVal>
            <c:numRef>
              <c:f>Weather!$EV$122:$EV$237</c:f>
              <c:numCache>
                <c:formatCode>_(* #,##0_);_(* \(#,##0\);_(* "-"??_);_(@_)</c:formatCode>
                <c:ptCount val="116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Weather!$EI$122:$EI$238</c:f>
              <c:numCache>
                <c:formatCode>_(* #,##0_);_(* \(#,##0\);_(* "-"??_);_(@_)</c:formatCode>
                <c:ptCount val="117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Weather!$EW$122:$EW$238</c:f>
              <c:numCache>
                <c:formatCode>_(* #,##0_);_(* \(#,##0\);_(* "-"??_);_(@_)</c:formatCode>
                <c:ptCount val="117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Residential!$D$2:$D$117</c15:sqref>
                  </c15:fullRef>
                </c:ext>
              </c:extLst>
              <c:f>Residential!$D$3:$D$117</c:f>
              <c:numCache>
                <c:formatCode>_(* #,##0_);_(* \(#,##0\);_(* "-"??_);_(@_)</c:formatCode>
                <c:ptCount val="115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Residential!$U$2:$U$117</c15:sqref>
                  </c15:fullRef>
                </c:ext>
              </c:extLst>
              <c:f>Residential!$U$3:$U$117</c:f>
              <c:numCache>
                <c:formatCode>_(* #,##0_);_(* \(#,##0\);_(* "-"??_);_(@_)</c:formatCode>
                <c:ptCount val="115"/>
                <c:pt idx="0">
                  <c:v>10956412.207934763</c:v>
                </c:pt>
                <c:pt idx="1">
                  <c:v>9354763.4820036013</c:v>
                </c:pt>
                <c:pt idx="2">
                  <c:v>9113392.4912821371</c:v>
                </c:pt>
                <c:pt idx="3">
                  <c:v>7962378.0742181335</c:v>
                </c:pt>
                <c:pt idx="4">
                  <c:v>8842674.917307606</c:v>
                </c:pt>
                <c:pt idx="5">
                  <c:v>10041510.189550236</c:v>
                </c:pt>
                <c:pt idx="6">
                  <c:v>9409813.0327446833</c:v>
                </c:pt>
                <c:pt idx="7">
                  <c:v>7530437.406995602</c:v>
                </c:pt>
                <c:pt idx="8">
                  <c:v>8340450.6851826068</c:v>
                </c:pt>
                <c:pt idx="9">
                  <c:v>9867149.4706417471</c:v>
                </c:pt>
                <c:pt idx="10">
                  <c:v>11685096.882812317</c:v>
                </c:pt>
                <c:pt idx="11">
                  <c:v>12553954.15988424</c:v>
                </c:pt>
                <c:pt idx="12">
                  <c:v>11819431.020194581</c:v>
                </c:pt>
                <c:pt idx="13">
                  <c:v>11435263.816373598</c:v>
                </c:pt>
                <c:pt idx="14">
                  <c:v>9247113.550793374</c:v>
                </c:pt>
                <c:pt idx="15">
                  <c:v>8324925.8656375706</c:v>
                </c:pt>
                <c:pt idx="16">
                  <c:v>8378719.4315085541</c:v>
                </c:pt>
                <c:pt idx="17">
                  <c:v>9731721.8723910861</c:v>
                </c:pt>
                <c:pt idx="18">
                  <c:v>9134260.6540220845</c:v>
                </c:pt>
                <c:pt idx="19">
                  <c:v>7689361.1119175423</c:v>
                </c:pt>
                <c:pt idx="20">
                  <c:v>8394864.1455431469</c:v>
                </c:pt>
                <c:pt idx="21">
                  <c:v>10283453.805605771</c:v>
                </c:pt>
                <c:pt idx="22">
                  <c:v>13363616.394870743</c:v>
                </c:pt>
                <c:pt idx="23">
                  <c:v>14351657.235603841</c:v>
                </c:pt>
                <c:pt idx="24">
                  <c:v>12778795.90475418</c:v>
                </c:pt>
                <c:pt idx="25">
                  <c:v>12868157.794407178</c:v>
                </c:pt>
                <c:pt idx="26">
                  <c:v>9525343.104166368</c:v>
                </c:pt>
                <c:pt idx="27">
                  <c:v>8172771.5866533071</c:v>
                </c:pt>
                <c:pt idx="28">
                  <c:v>8411628.1120921616</c:v>
                </c:pt>
                <c:pt idx="29">
                  <c:v>8830781.9804371353</c:v>
                </c:pt>
                <c:pt idx="30">
                  <c:v>8923630.0544247515</c:v>
                </c:pt>
                <c:pt idx="31">
                  <c:v>7587127.8728224561</c:v>
                </c:pt>
                <c:pt idx="32">
                  <c:v>8599493.2113973238</c:v>
                </c:pt>
                <c:pt idx="33">
                  <c:v>10439016.513044586</c:v>
                </c:pt>
                <c:pt idx="34">
                  <c:v>12193078.348699726</c:v>
                </c:pt>
                <c:pt idx="35">
                  <c:v>14501310.783714619</c:v>
                </c:pt>
                <c:pt idx="36">
                  <c:v>13984941.285475472</c:v>
                </c:pt>
                <c:pt idx="37">
                  <c:v>12216551.55539665</c:v>
                </c:pt>
                <c:pt idx="38">
                  <c:v>9357095.7920868509</c:v>
                </c:pt>
                <c:pt idx="39">
                  <c:v>8623136.8676344417</c:v>
                </c:pt>
                <c:pt idx="40">
                  <c:v>7903722.5320782252</c:v>
                </c:pt>
                <c:pt idx="41">
                  <c:v>9545344.9867236409</c:v>
                </c:pt>
                <c:pt idx="42">
                  <c:v>9317662.9786917642</c:v>
                </c:pt>
                <c:pt idx="43">
                  <c:v>8510549.2690894306</c:v>
                </c:pt>
                <c:pt idx="44">
                  <c:v>8861865.0891661365</c:v>
                </c:pt>
                <c:pt idx="45">
                  <c:v>9251007.7081658095</c:v>
                </c:pt>
                <c:pt idx="46">
                  <c:v>11013153.558574963</c:v>
                </c:pt>
                <c:pt idx="47">
                  <c:v>13282609.729430689</c:v>
                </c:pt>
                <c:pt idx="48">
                  <c:v>12163220.188141966</c:v>
                </c:pt>
                <c:pt idx="49">
                  <c:v>11111475.381275568</c:v>
                </c:pt>
                <c:pt idx="50">
                  <c:v>10169939.569054754</c:v>
                </c:pt>
                <c:pt idx="51">
                  <c:v>8985405.8727250658</c:v>
                </c:pt>
                <c:pt idx="52">
                  <c:v>8674924.5394387543</c:v>
                </c:pt>
                <c:pt idx="53">
                  <c:v>10470030.027257798</c:v>
                </c:pt>
                <c:pt idx="54">
                  <c:v>10740319.444221726</c:v>
                </c:pt>
                <c:pt idx="55">
                  <c:v>8113613.9451362304</c:v>
                </c:pt>
                <c:pt idx="56">
                  <c:v>8736183.3618729655</c:v>
                </c:pt>
                <c:pt idx="57">
                  <c:v>9208274.7200871389</c:v>
                </c:pt>
                <c:pt idx="58">
                  <c:v>12637421.093411025</c:v>
                </c:pt>
                <c:pt idx="59">
                  <c:v>12859026.837214243</c:v>
                </c:pt>
                <c:pt idx="60">
                  <c:v>11090106.746855173</c:v>
                </c:pt>
                <c:pt idx="61">
                  <c:v>12175190.994582446</c:v>
                </c:pt>
                <c:pt idx="62">
                  <c:v>9095176.9170213398</c:v>
                </c:pt>
                <c:pt idx="63">
                  <c:v>9033557.0912636481</c:v>
                </c:pt>
                <c:pt idx="64">
                  <c:v>8873739.315355802</c:v>
                </c:pt>
                <c:pt idx="65">
                  <c:v>9834523.7168875914</c:v>
                </c:pt>
                <c:pt idx="66">
                  <c:v>9384784.8121422585</c:v>
                </c:pt>
                <c:pt idx="67">
                  <c:v>8698129.8974920046</c:v>
                </c:pt>
                <c:pt idx="68">
                  <c:v>8672065.109592475</c:v>
                </c:pt>
                <c:pt idx="69">
                  <c:v>10563266.397553155</c:v>
                </c:pt>
                <c:pt idx="70">
                  <c:v>13923292.714996846</c:v>
                </c:pt>
                <c:pt idx="71">
                  <c:v>14014717.401329841</c:v>
                </c:pt>
                <c:pt idx="72">
                  <c:v>11646826.881761562</c:v>
                </c:pt>
                <c:pt idx="73">
                  <c:v>12325974.022557065</c:v>
                </c:pt>
                <c:pt idx="74">
                  <c:v>10875183.686365413</c:v>
                </c:pt>
                <c:pt idx="75">
                  <c:v>9022671.6164984368</c:v>
                </c:pt>
                <c:pt idx="76">
                  <c:v>8885259.6099298354</c:v>
                </c:pt>
                <c:pt idx="77">
                  <c:v>10651775.509083081</c:v>
                </c:pt>
                <c:pt idx="78">
                  <c:v>10863890.77753618</c:v>
                </c:pt>
                <c:pt idx="79">
                  <c:v>8872787.1309676059</c:v>
                </c:pt>
                <c:pt idx="80">
                  <c:v>9902862.5911671855</c:v>
                </c:pt>
                <c:pt idx="81">
                  <c:v>11272534.809483197</c:v>
                </c:pt>
                <c:pt idx="82">
                  <c:v>12919917.79049379</c:v>
                </c:pt>
                <c:pt idx="83">
                  <c:v>14727427.080481103</c:v>
                </c:pt>
                <c:pt idx="84">
                  <c:v>12603364.25465152</c:v>
                </c:pt>
                <c:pt idx="85">
                  <c:v>12587483.733142264</c:v>
                </c:pt>
                <c:pt idx="86">
                  <c:v>10344687.696537606</c:v>
                </c:pt>
                <c:pt idx="87">
                  <c:v>9371193.4484004341</c:v>
                </c:pt>
                <c:pt idx="88">
                  <c:v>9033036.4001123756</c:v>
                </c:pt>
                <c:pt idx="89">
                  <c:v>10822676.406625299</c:v>
                </c:pt>
                <c:pt idx="90">
                  <c:v>10017222.39739098</c:v>
                </c:pt>
                <c:pt idx="91">
                  <c:v>8287422.1414946374</c:v>
                </c:pt>
                <c:pt idx="92">
                  <c:v>9590693.8014265224</c:v>
                </c:pt>
                <c:pt idx="93">
                  <c:v>11704912.188679447</c:v>
                </c:pt>
                <c:pt idx="94">
                  <c:v>13180682.865522992</c:v>
                </c:pt>
                <c:pt idx="95">
                  <c:v>13518130.800089169</c:v>
                </c:pt>
                <c:pt idx="96">
                  <c:v>13053692.425191242</c:v>
                </c:pt>
                <c:pt idx="97">
                  <c:v>12358580.325904325</c:v>
                </c:pt>
                <c:pt idx="98">
                  <c:v>11239390.70913464</c:v>
                </c:pt>
                <c:pt idx="99">
                  <c:v>10728588.583599083</c:v>
                </c:pt>
                <c:pt idx="100">
                  <c:v>10553447.262920797</c:v>
                </c:pt>
                <c:pt idx="101">
                  <c:v>13575776.108651865</c:v>
                </c:pt>
                <c:pt idx="102">
                  <c:v>12030432.359851949</c:v>
                </c:pt>
                <c:pt idx="103">
                  <c:v>9347329.021054456</c:v>
                </c:pt>
                <c:pt idx="104">
                  <c:v>10368288.072676362</c:v>
                </c:pt>
                <c:pt idx="105">
                  <c:v>10771198.523086093</c:v>
                </c:pt>
                <c:pt idx="106">
                  <c:v>14076440.254869618</c:v>
                </c:pt>
                <c:pt idx="107">
                  <c:v>14764947.91929988</c:v>
                </c:pt>
                <c:pt idx="108">
                  <c:v>13986175.215607254</c:v>
                </c:pt>
                <c:pt idx="109">
                  <c:v>12327312.038783163</c:v>
                </c:pt>
                <c:pt idx="110">
                  <c:v>10648536.615744438</c:v>
                </c:pt>
                <c:pt idx="111">
                  <c:v>10335765.796817269</c:v>
                </c:pt>
                <c:pt idx="112">
                  <c:v>11745503.265604097</c:v>
                </c:pt>
                <c:pt idx="113">
                  <c:v>11595010.016886264</c:v>
                </c:pt>
                <c:pt idx="114">
                  <c:v>13448119.447094342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GSlt50!$D$2:$D$117</c15:sqref>
                  </c15:fullRef>
                </c:ext>
              </c:extLst>
              <c:f>GSlt50!$D$3:$D$117</c:f>
              <c:numCache>
                <c:formatCode>_(* #,##0_);_(* \(#,##0\);_(* "-"??_);_(@_)</c:formatCode>
                <c:ptCount val="115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GSlt50!$Q$2:$Q$117</c15:sqref>
                  </c15:fullRef>
                </c:ext>
              </c:extLst>
              <c:f>GSlt50!$Q$3:$Q$117</c:f>
              <c:numCache>
                <c:formatCode>_(* #,##0_);_(* \(#,##0\);_(* "-"??_);_(@_)</c:formatCode>
                <c:ptCount val="115"/>
                <c:pt idx="0">
                  <c:v>4227870.0393101647</c:v>
                </c:pt>
                <c:pt idx="1">
                  <c:v>3988038.9188361596</c:v>
                </c:pt>
                <c:pt idx="2">
                  <c:v>3893189.7383573214</c:v>
                </c:pt>
                <c:pt idx="3">
                  <c:v>3758031.4484056174</c:v>
                </c:pt>
                <c:pt idx="4">
                  <c:v>3973908.8979180083</c:v>
                </c:pt>
                <c:pt idx="5">
                  <c:v>4342612.5699060308</c:v>
                </c:pt>
                <c:pt idx="6">
                  <c:v>4205575.6366430558</c:v>
                </c:pt>
                <c:pt idx="7">
                  <c:v>3641562.9727567146</c:v>
                </c:pt>
                <c:pt idx="8">
                  <c:v>3727872.5737704099</c:v>
                </c:pt>
                <c:pt idx="9">
                  <c:v>4014995.530364552</c:v>
                </c:pt>
                <c:pt idx="10">
                  <c:v>4387516.6513786558</c:v>
                </c:pt>
                <c:pt idx="11">
                  <c:v>4589974.6618937347</c:v>
                </c:pt>
                <c:pt idx="12">
                  <c:v>4343296.8146208264</c:v>
                </c:pt>
                <c:pt idx="13">
                  <c:v>4392251.91362671</c:v>
                </c:pt>
                <c:pt idx="14">
                  <c:v>3873685.9300145078</c:v>
                </c:pt>
                <c:pt idx="15">
                  <c:v>3781059.6808144473</c:v>
                </c:pt>
                <c:pt idx="16">
                  <c:v>3773338.0145325204</c:v>
                </c:pt>
                <c:pt idx="17">
                  <c:v>4228245.9441211279</c:v>
                </c:pt>
                <c:pt idx="18">
                  <c:v>4087487.0200781701</c:v>
                </c:pt>
                <c:pt idx="19">
                  <c:v>3639574.4894002015</c:v>
                </c:pt>
                <c:pt idx="20">
                  <c:v>3739425.9794411012</c:v>
                </c:pt>
                <c:pt idx="21">
                  <c:v>4080078.8908128547</c:v>
                </c:pt>
                <c:pt idx="22">
                  <c:v>4756605.0244747307</c:v>
                </c:pt>
                <c:pt idx="23">
                  <c:v>4986834.7620866429</c:v>
                </c:pt>
                <c:pt idx="24">
                  <c:v>4538970.8917992748</c:v>
                </c:pt>
                <c:pt idx="25">
                  <c:v>4705584.83461235</c:v>
                </c:pt>
                <c:pt idx="26">
                  <c:v>3895640.7032232019</c:v>
                </c:pt>
                <c:pt idx="27">
                  <c:v>3684320.3136944519</c:v>
                </c:pt>
                <c:pt idx="28">
                  <c:v>3799994.5889966497</c:v>
                </c:pt>
                <c:pt idx="29">
                  <c:v>3987669.9946150156</c:v>
                </c:pt>
                <c:pt idx="30">
                  <c:v>3998885.0374875264</c:v>
                </c:pt>
                <c:pt idx="31">
                  <c:v>3647910.402230036</c:v>
                </c:pt>
                <c:pt idx="32">
                  <c:v>3745912.281825603</c:v>
                </c:pt>
                <c:pt idx="33">
                  <c:v>4083470.8574811704</c:v>
                </c:pt>
                <c:pt idx="34">
                  <c:v>4465319.8868331406</c:v>
                </c:pt>
                <c:pt idx="35">
                  <c:v>4983866.7912518661</c:v>
                </c:pt>
                <c:pt idx="36">
                  <c:v>4794640.3794235522</c:v>
                </c:pt>
                <c:pt idx="37">
                  <c:v>4528990.5699431766</c:v>
                </c:pt>
                <c:pt idx="38">
                  <c:v>3847093.1802829369</c:v>
                </c:pt>
                <c:pt idx="39">
                  <c:v>3814365.4850472836</c:v>
                </c:pt>
                <c:pt idx="40">
                  <c:v>3672465.1688287738</c:v>
                </c:pt>
                <c:pt idx="41">
                  <c:v>4129105.6442543333</c:v>
                </c:pt>
                <c:pt idx="42">
                  <c:v>4098652.9924181164</c:v>
                </c:pt>
                <c:pt idx="43">
                  <c:v>3887142.5238136477</c:v>
                </c:pt>
                <c:pt idx="44">
                  <c:v>3756549.7017534003</c:v>
                </c:pt>
                <c:pt idx="45">
                  <c:v>3825916.4814924728</c:v>
                </c:pt>
                <c:pt idx="46">
                  <c:v>4161102.8762685987</c:v>
                </c:pt>
                <c:pt idx="47">
                  <c:v>4681981.757771791</c:v>
                </c:pt>
                <c:pt idx="48">
                  <c:v>4380296.5414675903</c:v>
                </c:pt>
                <c:pt idx="49">
                  <c:v>4246185.3489723746</c:v>
                </c:pt>
                <c:pt idx="50">
                  <c:v>4001851.6595248296</c:v>
                </c:pt>
                <c:pt idx="51">
                  <c:v>3804471.1772107659</c:v>
                </c:pt>
                <c:pt idx="52">
                  <c:v>3792518.2142771478</c:v>
                </c:pt>
                <c:pt idx="53">
                  <c:v>4325356.0671988409</c:v>
                </c:pt>
                <c:pt idx="54">
                  <c:v>4378479.0265131304</c:v>
                </c:pt>
                <c:pt idx="55">
                  <c:v>3740599.0390420891</c:v>
                </c:pt>
                <c:pt idx="56">
                  <c:v>3762028.6158405482</c:v>
                </c:pt>
                <c:pt idx="57">
                  <c:v>3752863.7948287968</c:v>
                </c:pt>
                <c:pt idx="58">
                  <c:v>4499875.5472666044</c:v>
                </c:pt>
                <c:pt idx="59">
                  <c:v>4537187.1806180747</c:v>
                </c:pt>
                <c:pt idx="60">
                  <c:v>4056251.6353146313</c:v>
                </c:pt>
                <c:pt idx="61">
                  <c:v>4449279.353237763</c:v>
                </c:pt>
                <c:pt idx="62">
                  <c:v>3739511.1338290446</c:v>
                </c:pt>
                <c:pt idx="63">
                  <c:v>3768988.9461776712</c:v>
                </c:pt>
                <c:pt idx="64">
                  <c:v>3800908.3285693205</c:v>
                </c:pt>
                <c:pt idx="65">
                  <c:v>4113879.3183362251</c:v>
                </c:pt>
                <c:pt idx="66">
                  <c:v>4003573.0461294842</c:v>
                </c:pt>
                <c:pt idx="67">
                  <c:v>3772011.2932268018</c:v>
                </c:pt>
                <c:pt idx="68">
                  <c:v>3756901.21857573</c:v>
                </c:pt>
                <c:pt idx="69">
                  <c:v>4012451.5553633156</c:v>
                </c:pt>
                <c:pt idx="70">
                  <c:v>4752789.0619728761</c:v>
                </c:pt>
                <c:pt idx="71">
                  <c:v>4753849.0515567251</c:v>
                </c:pt>
                <c:pt idx="72">
                  <c:v>4144866.7645243728</c:v>
                </c:pt>
                <c:pt idx="73">
                  <c:v>4423839.6032253969</c:v>
                </c:pt>
                <c:pt idx="74">
                  <c:v>4070962.9803917571</c:v>
                </c:pt>
                <c:pt idx="75">
                  <c:v>3789495.9808796346</c:v>
                </c:pt>
                <c:pt idx="76">
                  <c:v>3735118.7341246698</c:v>
                </c:pt>
                <c:pt idx="77">
                  <c:v>4271556.3822881915</c:v>
                </c:pt>
                <c:pt idx="78">
                  <c:v>4318588.8112352379</c:v>
                </c:pt>
                <c:pt idx="79">
                  <c:v>3768595.2720854622</c:v>
                </c:pt>
                <c:pt idx="80">
                  <c:v>3895197.6239045011</c:v>
                </c:pt>
                <c:pt idx="81">
                  <c:v>4135834.3429232901</c:v>
                </c:pt>
                <c:pt idx="82">
                  <c:v>4482703.7160082581</c:v>
                </c:pt>
                <c:pt idx="83">
                  <c:v>4884651.7662036391</c:v>
                </c:pt>
                <c:pt idx="84">
                  <c:v>4314889.0937736854</c:v>
                </c:pt>
                <c:pt idx="85">
                  <c:v>4453943.3074066965</c:v>
                </c:pt>
                <c:pt idx="86">
                  <c:v>3898608.6740579782</c:v>
                </c:pt>
                <c:pt idx="87">
                  <c:v>3733633.0800259868</c:v>
                </c:pt>
                <c:pt idx="88">
                  <c:v>3667137.9586797669</c:v>
                </c:pt>
                <c:pt idx="89">
                  <c:v>4260728.7727464251</c:v>
                </c:pt>
                <c:pt idx="90">
                  <c:v>4085118.480490909</c:v>
                </c:pt>
                <c:pt idx="91">
                  <c:v>3610089.1400096673</c:v>
                </c:pt>
                <c:pt idx="92">
                  <c:v>3739936.5698965164</c:v>
                </c:pt>
                <c:pt idx="93">
                  <c:v>4178657.9221107727</c:v>
                </c:pt>
                <c:pt idx="94">
                  <c:v>4471679.8243362326</c:v>
                </c:pt>
                <c:pt idx="95">
                  <c:v>4536763.1847845353</c:v>
                </c:pt>
                <c:pt idx="96">
                  <c:v>4376480.5789657347</c:v>
                </c:pt>
                <c:pt idx="97">
                  <c:v>3957236.1161184637</c:v>
                </c:pt>
                <c:pt idx="98">
                  <c:v>3451936.9188306108</c:v>
                </c:pt>
                <c:pt idx="99">
                  <c:v>3410286.0645501888</c:v>
                </c:pt>
                <c:pt idx="100">
                  <c:v>3621274.011003444</c:v>
                </c:pt>
                <c:pt idx="101">
                  <c:v>4158359.199360528</c:v>
                </c:pt>
                <c:pt idx="102">
                  <c:v>3941468.6457270291</c:v>
                </c:pt>
                <c:pt idx="103">
                  <c:v>3409628.6714840876</c:v>
                </c:pt>
                <c:pt idx="104">
                  <c:v>3538808.6760476064</c:v>
                </c:pt>
                <c:pt idx="105">
                  <c:v>3627087.5329791652</c:v>
                </c:pt>
                <c:pt idx="106">
                  <c:v>4209654.3269120762</c:v>
                </c:pt>
                <c:pt idx="107">
                  <c:v>4354024.9082322521</c:v>
                </c:pt>
                <c:pt idx="108">
                  <c:v>4094627.1859531617</c:v>
                </c:pt>
                <c:pt idx="109">
                  <c:v>3917021.2982512936</c:v>
                </c:pt>
                <c:pt idx="110">
                  <c:v>3565007.4212847259</c:v>
                </c:pt>
                <c:pt idx="111">
                  <c:v>3563963.9491319936</c:v>
                </c:pt>
                <c:pt idx="112">
                  <c:v>3788990.3482193993</c:v>
                </c:pt>
                <c:pt idx="113">
                  <c:v>3852479.2298056399</c:v>
                </c:pt>
                <c:pt idx="114">
                  <c:v>4118770.7519734465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GSgt50!$D$2:$D$117</c15:sqref>
                  </c15:fullRef>
                </c:ext>
              </c:extLst>
              <c:f>GSgt50!$D$3:$D$117</c:f>
              <c:numCache>
                <c:formatCode>General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GSgt50!$U$2:$U$117</c15:sqref>
                  </c15:fullRef>
                </c:ext>
              </c:extLst>
              <c:f>GSgt50!$U$3:$U$117</c:f>
              <c:numCache>
                <c:formatCode>_(* #,##0_);_(* \(#,##0\);_(* "-"??_);_(@_)</c:formatCode>
                <c:ptCount val="115"/>
                <c:pt idx="0">
                  <c:v>12041083.579289043</c:v>
                </c:pt>
                <c:pt idx="1">
                  <c:v>12213059.459288782</c:v>
                </c:pt>
                <c:pt idx="2">
                  <c:v>11978082.002003456</c:v>
                </c:pt>
                <c:pt idx="3">
                  <c:v>11940893.335634787</c:v>
                </c:pt>
                <c:pt idx="4">
                  <c:v>11842912.569189476</c:v>
                </c:pt>
                <c:pt idx="5">
                  <c:v>12291121.818600779</c:v>
                </c:pt>
                <c:pt idx="6">
                  <c:v>10058767.054790983</c:v>
                </c:pt>
                <c:pt idx="7">
                  <c:v>9580240.931840308</c:v>
                </c:pt>
                <c:pt idx="8">
                  <c:v>9934050.3478478789</c:v>
                </c:pt>
                <c:pt idx="9">
                  <c:v>10045222.430020362</c:v>
                </c:pt>
                <c:pt idx="10">
                  <c:v>9874250.8238209467</c:v>
                </c:pt>
                <c:pt idx="11">
                  <c:v>10727400.944213817</c:v>
                </c:pt>
                <c:pt idx="12">
                  <c:v>10015083.666857192</c:v>
                </c:pt>
                <c:pt idx="13">
                  <c:v>10627155.832557483</c:v>
                </c:pt>
                <c:pt idx="14">
                  <c:v>10008243.131785786</c:v>
                </c:pt>
                <c:pt idx="15">
                  <c:v>9998504.6210798416</c:v>
                </c:pt>
                <c:pt idx="16">
                  <c:v>9736465.5747343674</c:v>
                </c:pt>
                <c:pt idx="17">
                  <c:v>10199186.933517452</c:v>
                </c:pt>
                <c:pt idx="18">
                  <c:v>10031033.231765397</c:v>
                </c:pt>
                <c:pt idx="19">
                  <c:v>9693804.6481458955</c:v>
                </c:pt>
                <c:pt idx="20">
                  <c:v>10018053.817158926</c:v>
                </c:pt>
                <c:pt idx="21">
                  <c:v>10197948.607636308</c:v>
                </c:pt>
                <c:pt idx="22">
                  <c:v>10280506.966366671</c:v>
                </c:pt>
                <c:pt idx="23">
                  <c:v>11232701.340438012</c:v>
                </c:pt>
                <c:pt idx="24">
                  <c:v>10352601.680432605</c:v>
                </c:pt>
                <c:pt idx="25">
                  <c:v>11062797.368124545</c:v>
                </c:pt>
                <c:pt idx="26">
                  <c:v>10218465.765480138</c:v>
                </c:pt>
                <c:pt idx="27">
                  <c:v>10139763.914841641</c:v>
                </c:pt>
                <c:pt idx="28">
                  <c:v>9886608.3879242223</c:v>
                </c:pt>
                <c:pt idx="29">
                  <c:v>10145129.172321048</c:v>
                </c:pt>
                <c:pt idx="30">
                  <c:v>10125365.304611985</c:v>
                </c:pt>
                <c:pt idx="31">
                  <c:v>9824189.4019589387</c:v>
                </c:pt>
                <c:pt idx="32">
                  <c:v>10209393.733837526</c:v>
                </c:pt>
                <c:pt idx="33">
                  <c:v>10375109.802389331</c:v>
                </c:pt>
                <c:pt idx="34">
                  <c:v>10211917.358293761</c:v>
                </c:pt>
                <c:pt idx="35">
                  <c:v>11422059.458297729</c:v>
                </c:pt>
                <c:pt idx="36">
                  <c:v>10757654.747535229</c:v>
                </c:pt>
                <c:pt idx="37">
                  <c:v>11107356.991369557</c:v>
                </c:pt>
                <c:pt idx="38">
                  <c:v>10369812.068514261</c:v>
                </c:pt>
                <c:pt idx="39">
                  <c:v>10396097.197113525</c:v>
                </c:pt>
                <c:pt idx="40">
                  <c:v>9908925.7555228435</c:v>
                </c:pt>
                <c:pt idx="41">
                  <c:v>10482227.892659731</c:v>
                </c:pt>
                <c:pt idx="42">
                  <c:v>10403247.811811103</c:v>
                </c:pt>
                <c:pt idx="43">
                  <c:v>10198361.058102302</c:v>
                </c:pt>
                <c:pt idx="44">
                  <c:v>10439659.13023166</c:v>
                </c:pt>
                <c:pt idx="45">
                  <c:v>10331895.913673341</c:v>
                </c:pt>
                <c:pt idx="46">
                  <c:v>10150043.900027111</c:v>
                </c:pt>
                <c:pt idx="47">
                  <c:v>11337104.48556794</c:v>
                </c:pt>
                <c:pt idx="48">
                  <c:v>10747778.324863054</c:v>
                </c:pt>
                <c:pt idx="49">
                  <c:v>11038313.941124899</c:v>
                </c:pt>
                <c:pt idx="50">
                  <c:v>10665682.440595306</c:v>
                </c:pt>
                <c:pt idx="51">
                  <c:v>10608840.028167062</c:v>
                </c:pt>
                <c:pt idx="52">
                  <c:v>10231614.831694223</c:v>
                </c:pt>
                <c:pt idx="53">
                  <c:v>10858664.025334744</c:v>
                </c:pt>
                <c:pt idx="54">
                  <c:v>10924850.79487215</c:v>
                </c:pt>
                <c:pt idx="55">
                  <c:v>10236260.920959346</c:v>
                </c:pt>
                <c:pt idx="56">
                  <c:v>10523938.62825425</c:v>
                </c:pt>
                <c:pt idx="57">
                  <c:v>10448573.098242611</c:v>
                </c:pt>
                <c:pt idx="58">
                  <c:v>10599375.924520319</c:v>
                </c:pt>
                <c:pt idx="59">
                  <c:v>11425169.243046962</c:v>
                </c:pt>
                <c:pt idx="60">
                  <c:v>10517488.917400658</c:v>
                </c:pt>
                <c:pt idx="61">
                  <c:v>11416506.085249502</c:v>
                </c:pt>
                <c:pt idx="62">
                  <c:v>10631434.080739092</c:v>
                </c:pt>
                <c:pt idx="63">
                  <c:v>10788851.836115273</c:v>
                </c:pt>
                <c:pt idx="64">
                  <c:v>10468385.08983662</c:v>
                </c:pt>
                <c:pt idx="65">
                  <c:v>10759112.418308221</c:v>
                </c:pt>
                <c:pt idx="66">
                  <c:v>10683300.201125994</c:v>
                </c:pt>
                <c:pt idx="67">
                  <c:v>10536064.487471741</c:v>
                </c:pt>
                <c:pt idx="68">
                  <c:v>10673416.460193511</c:v>
                </c:pt>
                <c:pt idx="69">
                  <c:v>10883340.966758795</c:v>
                </c:pt>
                <c:pt idx="70">
                  <c:v>11019115.86624499</c:v>
                </c:pt>
                <c:pt idx="71">
                  <c:v>11832815.676728992</c:v>
                </c:pt>
                <c:pt idx="72">
                  <c:v>10818348.671293575</c:v>
                </c:pt>
                <c:pt idx="73">
                  <c:v>11622247.902509073</c:v>
                </c:pt>
                <c:pt idx="74">
                  <c:v>11159095.24295295</c:v>
                </c:pt>
                <c:pt idx="75">
                  <c:v>10979418.087437484</c:v>
                </c:pt>
                <c:pt idx="76">
                  <c:v>10642050.813833773</c:v>
                </c:pt>
                <c:pt idx="77">
                  <c:v>11224242.219565153</c:v>
                </c:pt>
                <c:pt idx="78">
                  <c:v>11290368.119945567</c:v>
                </c:pt>
                <c:pt idx="79">
                  <c:v>10782012.195043081</c:v>
                </c:pt>
                <c:pt idx="80">
                  <c:v>11155912.762044592</c:v>
                </c:pt>
                <c:pt idx="81">
                  <c:v>11213195.779402401</c:v>
                </c:pt>
                <c:pt idx="82">
                  <c:v>11020831.477417421</c:v>
                </c:pt>
                <c:pt idx="83">
                  <c:v>12107900.905067898</c:v>
                </c:pt>
                <c:pt idx="84">
                  <c:v>11126141.740296368</c:v>
                </c:pt>
                <c:pt idx="85">
                  <c:v>11813353.539954226</c:v>
                </c:pt>
                <c:pt idx="86">
                  <c:v>11181357.702916976</c:v>
                </c:pt>
                <c:pt idx="87">
                  <c:v>11159727.124092733</c:v>
                </c:pt>
                <c:pt idx="88">
                  <c:v>10775479.214563441</c:v>
                </c:pt>
                <c:pt idx="89">
                  <c:v>11370185.782482024</c:v>
                </c:pt>
                <c:pt idx="90">
                  <c:v>11126498.131003387</c:v>
                </c:pt>
                <c:pt idx="91">
                  <c:v>10715799.340662755</c:v>
                </c:pt>
                <c:pt idx="92">
                  <c:v>11201764.779114855</c:v>
                </c:pt>
                <c:pt idx="93">
                  <c:v>11414909.365170974</c:v>
                </c:pt>
                <c:pt idx="94">
                  <c:v>11177638.081950177</c:v>
                </c:pt>
                <c:pt idx="95">
                  <c:v>11406793.639838168</c:v>
                </c:pt>
                <c:pt idx="96">
                  <c:v>10935392.504661985</c:v>
                </c:pt>
                <c:pt idx="97">
                  <c:v>9907895.2663825825</c:v>
                </c:pt>
                <c:pt idx="98">
                  <c:v>8237386.0131262429</c:v>
                </c:pt>
                <c:pt idx="99">
                  <c:v>8332831.4324622136</c:v>
                </c:pt>
                <c:pt idx="100">
                  <c:v>9191018.8910877313</c:v>
                </c:pt>
                <c:pt idx="101">
                  <c:v>11130188.391869508</c:v>
                </c:pt>
                <c:pt idx="102">
                  <c:v>10840103.916891836</c:v>
                </c:pt>
                <c:pt idx="103">
                  <c:v>10383770.501265988</c:v>
                </c:pt>
                <c:pt idx="104">
                  <c:v>10816814.913917204</c:v>
                </c:pt>
                <c:pt idx="105">
                  <c:v>10671573.243281405</c:v>
                </c:pt>
                <c:pt idx="106">
                  <c:v>10741022.32825109</c:v>
                </c:pt>
                <c:pt idx="107">
                  <c:v>11777648.430866823</c:v>
                </c:pt>
                <c:pt idx="108">
                  <c:v>11054723.205186779</c:v>
                </c:pt>
                <c:pt idx="109">
                  <c:v>11466835.544990571</c:v>
                </c:pt>
                <c:pt idx="110">
                  <c:v>10974070.481781293</c:v>
                </c:pt>
                <c:pt idx="111">
                  <c:v>11114434.439851765</c:v>
                </c:pt>
                <c:pt idx="112">
                  <c:v>10944444.385618921</c:v>
                </c:pt>
                <c:pt idx="113">
                  <c:v>11082544.390718779</c:v>
                </c:pt>
                <c:pt idx="114">
                  <c:v>11419793.754907375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12215934.467689676</c:v>
                </c:pt>
                <c:pt idx="72">
                  <c:v>11246663.948850876</c:v>
                </c:pt>
                <c:pt idx="73">
                  <c:v>11833094.152173556</c:v>
                </c:pt>
                <c:pt idx="74">
                  <c:v>12075562.275509886</c:v>
                </c:pt>
                <c:pt idx="75">
                  <c:v>11037344.447534388</c:v>
                </c:pt>
                <c:pt idx="76">
                  <c:v>10693499.99815206</c:v>
                </c:pt>
                <c:pt idx="77">
                  <c:v>11281894.607963804</c:v>
                </c:pt>
                <c:pt idx="78">
                  <c:v>11155320.29009367</c:v>
                </c:pt>
                <c:pt idx="79">
                  <c:v>10632479.101455819</c:v>
                </c:pt>
                <c:pt idx="80">
                  <c:v>11211121.006597502</c:v>
                </c:pt>
                <c:pt idx="81">
                  <c:v>10978195.187337091</c:v>
                </c:pt>
                <c:pt idx="82">
                  <c:v>10873200.16235809</c:v>
                </c:pt>
                <c:pt idx="83">
                  <c:v>11819531.600870468</c:v>
                </c:pt>
                <c:pt idx="84">
                  <c:v>10756164.047013856</c:v>
                </c:pt>
                <c:pt idx="85">
                  <c:v>11460978.667937119</c:v>
                </c:pt>
                <c:pt idx="86">
                  <c:v>10864906.947152356</c:v>
                </c:pt>
                <c:pt idx="87">
                  <c:v>10875146.899373345</c:v>
                </c:pt>
                <c:pt idx="88">
                  <c:v>10487459.997437783</c:v>
                </c:pt>
                <c:pt idx="89">
                  <c:v>10978623.822987475</c:v>
                </c:pt>
                <c:pt idx="90">
                  <c:v>10799512.93770311</c:v>
                </c:pt>
                <c:pt idx="91">
                  <c:v>10688144.218731735</c:v>
                </c:pt>
                <c:pt idx="92">
                  <c:v>11349660.767297903</c:v>
                </c:pt>
                <c:pt idx="93">
                  <c:v>11252851.131446529</c:v>
                </c:pt>
                <c:pt idx="94">
                  <c:v>11016875.66918174</c:v>
                </c:pt>
                <c:pt idx="95">
                  <c:v>11488777.410338232</c:v>
                </c:pt>
                <c:pt idx="96">
                  <c:v>11086541.656530257</c:v>
                </c:pt>
                <c:pt idx="97">
                  <c:v>9947203.0250485186</c:v>
                </c:pt>
                <c:pt idx="98">
                  <c:v>8254549.0953635043</c:v>
                </c:pt>
                <c:pt idx="99">
                  <c:v>8358045.1357398247</c:v>
                </c:pt>
                <c:pt idx="100">
                  <c:v>9439184.179197602</c:v>
                </c:pt>
                <c:pt idx="101">
                  <c:v>11475406.062783582</c:v>
                </c:pt>
                <c:pt idx="102">
                  <c:v>11078976.923078027</c:v>
                </c:pt>
                <c:pt idx="103">
                  <c:v>10341275.125588326</c:v>
                </c:pt>
                <c:pt idx="104">
                  <c:v>10864546.56948231</c:v>
                </c:pt>
                <c:pt idx="105">
                  <c:v>10527866.892701427</c:v>
                </c:pt>
                <c:pt idx="106">
                  <c:v>10660503.386271453</c:v>
                </c:pt>
                <c:pt idx="107">
                  <c:v>11470133.934764808</c:v>
                </c:pt>
                <c:pt idx="108">
                  <c:v>10819869.065050105</c:v>
                </c:pt>
                <c:pt idx="109">
                  <c:v>11281813.31302036</c:v>
                </c:pt>
                <c:pt idx="110">
                  <c:v>10114870.916136378</c:v>
                </c:pt>
                <c:pt idx="111">
                  <c:v>10950373.311833879</c:v>
                </c:pt>
                <c:pt idx="112">
                  <c:v>10883699.249226833</c:v>
                </c:pt>
                <c:pt idx="113">
                  <c:v>11057212.785186786</c:v>
                </c:pt>
                <c:pt idx="114">
                  <c:v>12022946.400672685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Summary'!$D$4:$D$12</c:f>
              <c:numCache>
                <c:formatCode>_(* #,##0_);_(* \(#,##0\);_(* "-"??_);_(@_)</c:formatCode>
                <c:ptCount val="9"/>
                <c:pt idx="0">
                  <c:v>115389858.74579962</c:v>
                </c:pt>
                <c:pt idx="1">
                  <c:v>120356685.82874228</c:v>
                </c:pt>
                <c:pt idx="2">
                  <c:v>122681481.718503</c:v>
                </c:pt>
                <c:pt idx="3">
                  <c:v>123086342.40679801</c:v>
                </c:pt>
                <c:pt idx="4">
                  <c:v>124293417.8720537</c:v>
                </c:pt>
                <c:pt idx="5">
                  <c:v>124202860.55095698</c:v>
                </c:pt>
                <c:pt idx="6">
                  <c:v>131254401.82717319</c:v>
                </c:pt>
                <c:pt idx="7">
                  <c:v>132270802.41446516</c:v>
                </c:pt>
                <c:pt idx="8">
                  <c:v>141621294.44702959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Summary'!$J$4:$J$12</c:f>
              <c:numCache>
                <c:formatCode>_(* #,##0_);_(* \(#,##0\);_(* "-"??_);_(@_)</c:formatCode>
                <c:ptCount val="9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Summary'!$K$4:$K$12</c:f>
              <c:numCache>
                <c:formatCode>_(* #,##0_);_(* \(#,##0\);_(* "-"??_);_(@_)</c:formatCode>
                <c:ptCount val="9"/>
                <c:pt idx="0">
                  <c:v>48740125.747868396</c:v>
                </c:pt>
                <c:pt idx="1">
                  <c:v>49285024.363830931</c:v>
                </c:pt>
                <c:pt idx="2">
                  <c:v>49540514.554885067</c:v>
                </c:pt>
                <c:pt idx="3">
                  <c:v>49499891.794778161</c:v>
                </c:pt>
                <c:pt idx="4">
                  <c:v>49366506.789914504</c:v>
                </c:pt>
                <c:pt idx="5">
                  <c:v>48763732.07135094</c:v>
                </c:pt>
                <c:pt idx="6">
                  <c:v>49790609.263147503</c:v>
                </c:pt>
                <c:pt idx="7">
                  <c:v>49299074.589738272</c:v>
                </c:pt>
                <c:pt idx="8">
                  <c:v>46238983.926763475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Summary'!$Q$4:$Q$12</c:f>
              <c:numCache>
                <c:formatCode>_(* #,##0_);_(* \(#,##0\);_(* "-"??_);_(@_)</c:formatCode>
                <c:ptCount val="9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Summary'!$R$4:$R$12</c:f>
              <c:numCache>
                <c:formatCode>_(* #,##0_);_(* \(#,##0\);_(* "-"??_);_(@_)</c:formatCode>
                <c:ptCount val="9"/>
                <c:pt idx="0">
                  <c:v>134471288.29164335</c:v>
                </c:pt>
                <c:pt idx="1">
                  <c:v>121533387.97581914</c:v>
                </c:pt>
                <c:pt idx="2">
                  <c:v>123784043.23065375</c:v>
                </c:pt>
                <c:pt idx="3">
                  <c:v>125967341.92485839</c:v>
                </c:pt>
                <c:pt idx="4">
                  <c:v>128220997.44419591</c:v>
                </c:pt>
                <c:pt idx="5">
                  <c:v>129802185.65249135</c:v>
                </c:pt>
                <c:pt idx="6">
                  <c:v>133740538.94817407</c:v>
                </c:pt>
                <c:pt idx="7">
                  <c:v>135170755.70727581</c:v>
                </c:pt>
                <c:pt idx="8">
                  <c:v>122594791.04303597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  <c:pt idx="115">
                  <c:v>9628321.4779526275</c:v>
                </c:pt>
                <c:pt idx="116">
                  <c:v>9915708.4743651673</c:v>
                </c:pt>
                <c:pt idx="117">
                  <c:v>11426084.56467288</c:v>
                </c:pt>
                <c:pt idx="118">
                  <c:v>13758832.04968879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11760774.050664017</c:v>
                </c:pt>
                <c:pt idx="1">
                  <c:v>11025423.078547554</c:v>
                </c:pt>
                <c:pt idx="2">
                  <c:v>9148647.7891593259</c:v>
                </c:pt>
                <c:pt idx="3">
                  <c:v>8215162.4124523485</c:v>
                </c:pt>
                <c:pt idx="4">
                  <c:v>8192261.3952077664</c:v>
                </c:pt>
                <c:pt idx="5">
                  <c:v>9489859.7120632771</c:v>
                </c:pt>
                <c:pt idx="6">
                  <c:v>9288620.0719942153</c:v>
                </c:pt>
                <c:pt idx="7">
                  <c:v>7596539.6120527731</c:v>
                </c:pt>
                <c:pt idx="8">
                  <c:v>8380465.5391979897</c:v>
                </c:pt>
                <c:pt idx="9">
                  <c:v>9713224.2068801839</c:v>
                </c:pt>
                <c:pt idx="10">
                  <c:v>12069103.816299619</c:v>
                </c:pt>
                <c:pt idx="11">
                  <c:v>13077442.836189087</c:v>
                </c:pt>
                <c:pt idx="12">
                  <c:v>11730311.151184117</c:v>
                </c:pt>
                <c:pt idx="13">
                  <c:v>11246581.406867255</c:v>
                </c:pt>
                <c:pt idx="14">
                  <c:v>9368469.8133804165</c:v>
                </c:pt>
                <c:pt idx="15">
                  <c:v>8418948.7874901369</c:v>
                </c:pt>
                <c:pt idx="16">
                  <c:v>8372662.4485199079</c:v>
                </c:pt>
                <c:pt idx="17">
                  <c:v>9692309.7830024585</c:v>
                </c:pt>
                <c:pt idx="18">
                  <c:v>9503096.8798208721</c:v>
                </c:pt>
                <c:pt idx="19">
                  <c:v>7734178.9342094446</c:v>
                </c:pt>
                <c:pt idx="20">
                  <c:v>8517436.7093053553</c:v>
                </c:pt>
                <c:pt idx="21">
                  <c:v>9850195.3769875504</c:v>
                </c:pt>
                <c:pt idx="22">
                  <c:v>12163647.331276167</c:v>
                </c:pt>
                <c:pt idx="23">
                  <c:v>13171986.351165636</c:v>
                </c:pt>
                <c:pt idx="24">
                  <c:v>11849910.368009575</c:v>
                </c:pt>
                <c:pt idx="25">
                  <c:v>11334777.477375412</c:v>
                </c:pt>
                <c:pt idx="26">
                  <c:v>9472701.5330718774</c:v>
                </c:pt>
                <c:pt idx="27">
                  <c:v>8525184.9633295108</c:v>
                </c:pt>
                <c:pt idx="28">
                  <c:v>8501615.7940356247</c:v>
                </c:pt>
                <c:pt idx="29">
                  <c:v>9730394.4498127997</c:v>
                </c:pt>
                <c:pt idx="30">
                  <c:v>9583943.2777866852</c:v>
                </c:pt>
                <c:pt idx="31">
                  <c:v>7829724.677259949</c:v>
                </c:pt>
                <c:pt idx="32">
                  <c:v>8606300.9318628181</c:v>
                </c:pt>
                <c:pt idx="33">
                  <c:v>9991175.4593907427</c:v>
                </c:pt>
                <c:pt idx="34">
                  <c:v>12243157.42514337</c:v>
                </c:pt>
                <c:pt idx="35">
                  <c:v>13334347.299146563</c:v>
                </c:pt>
                <c:pt idx="36">
                  <c:v>11958819.152046164</c:v>
                </c:pt>
                <c:pt idx="37">
                  <c:v>11441013.653214784</c:v>
                </c:pt>
                <c:pt idx="38">
                  <c:v>9512790.6560301315</c:v>
                </c:pt>
                <c:pt idx="39">
                  <c:v>8666833.1977820061</c:v>
                </c:pt>
                <c:pt idx="40">
                  <c:v>8612529.0342201274</c:v>
                </c:pt>
                <c:pt idx="41">
                  <c:v>9841975.8420466073</c:v>
                </c:pt>
                <c:pt idx="42">
                  <c:v>9670134.8921469301</c:v>
                </c:pt>
                <c:pt idx="43">
                  <c:v>7958009.8707263609</c:v>
                </c:pt>
                <c:pt idx="44">
                  <c:v>8704519.2831105404</c:v>
                </c:pt>
                <c:pt idx="45">
                  <c:v>9997856.9798837863</c:v>
                </c:pt>
                <c:pt idx="46">
                  <c:v>12368770.010412565</c:v>
                </c:pt>
                <c:pt idx="47">
                  <c:v>13411184.78481655</c:v>
                </c:pt>
                <c:pt idx="48">
                  <c:v>12313335.795438616</c:v>
                </c:pt>
                <c:pt idx="49">
                  <c:v>11549588.361226723</c:v>
                </c:pt>
                <c:pt idx="50">
                  <c:v>9661454.487000322</c:v>
                </c:pt>
                <c:pt idx="51">
                  <c:v>8804472.5199386775</c:v>
                </c:pt>
                <c:pt idx="52">
                  <c:v>8743486.8358837552</c:v>
                </c:pt>
                <c:pt idx="53">
                  <c:v>9996318.9654358849</c:v>
                </c:pt>
                <c:pt idx="54">
                  <c:v>9837172.9044729881</c:v>
                </c:pt>
                <c:pt idx="55">
                  <c:v>8070927.5670587765</c:v>
                </c:pt>
                <c:pt idx="56">
                  <c:v>8909641.9622469395</c:v>
                </c:pt>
                <c:pt idx="57">
                  <c:v>10226364.980745832</c:v>
                </c:pt>
                <c:pt idx="58">
                  <c:v>12539148.782985143</c:v>
                </c:pt>
                <c:pt idx="59">
                  <c:v>13608957.791410601</c:v>
                </c:pt>
                <c:pt idx="60">
                  <c:v>12232761.492260899</c:v>
                </c:pt>
                <c:pt idx="61">
                  <c:v>11741682.075401688</c:v>
                </c:pt>
                <c:pt idx="62">
                  <c:v>9812122.7741184253</c:v>
                </c:pt>
                <c:pt idx="63">
                  <c:v>8951465.9707856085</c:v>
                </c:pt>
                <c:pt idx="64">
                  <c:v>8842373.3391807824</c:v>
                </c:pt>
                <c:pt idx="65">
                  <c:v>10317031.949101914</c:v>
                </c:pt>
                <c:pt idx="66">
                  <c:v>10032941.454919128</c:v>
                </c:pt>
                <c:pt idx="67">
                  <c:v>8332175.0183367291</c:v>
                </c:pt>
                <c:pt idx="68">
                  <c:v>9104742.3606437743</c:v>
                </c:pt>
                <c:pt idx="69">
                  <c:v>10420129.075044058</c:v>
                </c:pt>
                <c:pt idx="70">
                  <c:v>12739594.397776414</c:v>
                </c:pt>
                <c:pt idx="71">
                  <c:v>13834793.184075432</c:v>
                </c:pt>
                <c:pt idx="72">
                  <c:v>12409153.633277215</c:v>
                </c:pt>
                <c:pt idx="73">
                  <c:v>12001593.222581035</c:v>
                </c:pt>
                <c:pt idx="74">
                  <c:v>10070029.465149859</c:v>
                </c:pt>
                <c:pt idx="75">
                  <c:v>9165942.7786122672</c:v>
                </c:pt>
                <c:pt idx="76">
                  <c:v>9132351.3285788186</c:v>
                </c:pt>
                <c:pt idx="77">
                  <c:v>10421263.668793375</c:v>
                </c:pt>
                <c:pt idx="78">
                  <c:v>10204656.531590315</c:v>
                </c:pt>
                <c:pt idx="79">
                  <c:v>8501217.4868106991</c:v>
                </c:pt>
                <c:pt idx="80">
                  <c:v>9255744.723786531</c:v>
                </c:pt>
                <c:pt idx="81">
                  <c:v>10599861.976306897</c:v>
                </c:pt>
                <c:pt idx="82">
                  <c:v>12895273.825264299</c:v>
                </c:pt>
                <c:pt idx="83">
                  <c:v>13986129.62324284</c:v>
                </c:pt>
                <c:pt idx="84">
                  <c:v>12635991.254016003</c:v>
                </c:pt>
                <c:pt idx="85">
                  <c:v>12133887.328343272</c:v>
                </c:pt>
                <c:pt idx="86">
                  <c:v>10279161.056582082</c:v>
                </c:pt>
                <c:pt idx="87">
                  <c:v>9375074.3700444903</c:v>
                </c:pt>
                <c:pt idx="88">
                  <c:v>9379567.5868213829</c:v>
                </c:pt>
                <c:pt idx="89">
                  <c:v>10641085.693014465</c:v>
                </c:pt>
                <c:pt idx="90">
                  <c:v>10440514.204994708</c:v>
                </c:pt>
                <c:pt idx="91">
                  <c:v>8745761.1368560474</c:v>
                </c:pt>
                <c:pt idx="92">
                  <c:v>9507638.0463742241</c:v>
                </c:pt>
                <c:pt idx="93">
                  <c:v>10848414.538648071</c:v>
                </c:pt>
                <c:pt idx="94">
                  <c:v>13203291.91999355</c:v>
                </c:pt>
                <c:pt idx="95">
                  <c:v>14269760.168172484</c:v>
                </c:pt>
                <c:pt idx="96">
                  <c:v>13220018.126344455</c:v>
                </c:pt>
                <c:pt idx="97">
                  <c:v>13043373.054894095</c:v>
                </c:pt>
                <c:pt idx="98">
                  <c:v>11105069.427964017</c:v>
                </c:pt>
                <c:pt idx="99">
                  <c:v>10196214.011493543</c:v>
                </c:pt>
                <c:pt idx="100">
                  <c:v>10437704.489546129</c:v>
                </c:pt>
                <c:pt idx="101">
                  <c:v>12810467.534669261</c:v>
                </c:pt>
                <c:pt idx="102">
                  <c:v>12039813.977325732</c:v>
                </c:pt>
                <c:pt idx="103">
                  <c:v>9509706.7906651273</c:v>
                </c:pt>
                <c:pt idx="104">
                  <c:v>10138537.221754812</c:v>
                </c:pt>
                <c:pt idx="105">
                  <c:v>11561885.975953983</c:v>
                </c:pt>
                <c:pt idx="106">
                  <c:v>14230170.825647136</c:v>
                </c:pt>
                <c:pt idx="107">
                  <c:v>15307350.192761565</c:v>
                </c:pt>
                <c:pt idx="108">
                  <c:v>13970544.209450876</c:v>
                </c:pt>
                <c:pt idx="109">
                  <c:v>13241367.991988275</c:v>
                </c:pt>
                <c:pt idx="110">
                  <c:v>11183987.145687722</c:v>
                </c:pt>
                <c:pt idx="111">
                  <c:v>10239852.699076105</c:v>
                </c:pt>
                <c:pt idx="112">
                  <c:v>11086710.981164929</c:v>
                </c:pt>
                <c:pt idx="113">
                  <c:v>12157025.8812229</c:v>
                </c:pt>
                <c:pt idx="114">
                  <c:v>12667746.070501527</c:v>
                </c:pt>
                <c:pt idx="115">
                  <c:v>9681347.0010466818</c:v>
                </c:pt>
                <c:pt idx="116">
                  <c:v>10350767.249757307</c:v>
                </c:pt>
                <c:pt idx="117">
                  <c:v>11867821.414843392</c:v>
                </c:pt>
                <c:pt idx="118">
                  <c:v>14202051.439455595</c:v>
                </c:pt>
                <c:pt idx="119">
                  <c:v>15101980.405970681</c:v>
                </c:pt>
                <c:pt idx="120">
                  <c:v>13730848.338387445</c:v>
                </c:pt>
                <c:pt idx="121">
                  <c:v>13197023.765090909</c:v>
                </c:pt>
                <c:pt idx="122">
                  <c:v>11200695.201387547</c:v>
                </c:pt>
                <c:pt idx="123">
                  <c:v>10267584.492267556</c:v>
                </c:pt>
                <c:pt idx="124">
                  <c:v>10379635.450964086</c:v>
                </c:pt>
                <c:pt idx="125">
                  <c:v>11989897.97300192</c:v>
                </c:pt>
                <c:pt idx="126">
                  <c:v>11759242.323783129</c:v>
                </c:pt>
                <c:pt idx="127">
                  <c:v>9705874.4143933896</c:v>
                </c:pt>
                <c:pt idx="128">
                  <c:v>10345519.084652934</c:v>
                </c:pt>
                <c:pt idx="129">
                  <c:v>11761980.269164231</c:v>
                </c:pt>
                <c:pt idx="130">
                  <c:v>14195512.821818</c:v>
                </c:pt>
                <c:pt idx="131">
                  <c:v>15073593.566511836</c:v>
                </c:pt>
                <c:pt idx="132">
                  <c:v>13721403.270793807</c:v>
                </c:pt>
                <c:pt idx="133">
                  <c:v>13216072.327600382</c:v>
                </c:pt>
                <c:pt idx="134">
                  <c:v>11282310.916219905</c:v>
                </c:pt>
                <c:pt idx="135">
                  <c:v>10350479.554306736</c:v>
                </c:pt>
                <c:pt idx="136">
                  <c:v>10403549.290843559</c:v>
                </c:pt>
                <c:pt idx="137">
                  <c:v>11840931.280931285</c:v>
                </c:pt>
                <c:pt idx="138">
                  <c:v>11639516.802313514</c:v>
                </c:pt>
                <c:pt idx="139">
                  <c:v>9748932.952815732</c:v>
                </c:pt>
                <c:pt idx="140">
                  <c:v>10456902.341721816</c:v>
                </c:pt>
                <c:pt idx="141">
                  <c:v>11828043.014542215</c:v>
                </c:pt>
                <c:pt idx="142">
                  <c:v>14209771.274617199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  <c:pt idx="115">
                  <c:v>3708378.6938781603</c:v>
                </c:pt>
                <c:pt idx="116">
                  <c:v>3691197.7080561365</c:v>
                </c:pt>
                <c:pt idx="117">
                  <c:v>3985831.0760538317</c:v>
                </c:pt>
                <c:pt idx="118">
                  <c:v>4419793.6759724179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4418335.7469392885</c:v>
                </c:pt>
                <c:pt idx="1">
                  <c:v>4352376.9901441904</c:v>
                </c:pt>
                <c:pt idx="2">
                  <c:v>3892731.4700450618</c:v>
                </c:pt>
                <c:pt idx="3">
                  <c:v>3779536.8745348849</c:v>
                </c:pt>
                <c:pt idx="4">
                  <c:v>3808055.4080793047</c:v>
                </c:pt>
                <c:pt idx="5">
                  <c:v>4212603.4584951298</c:v>
                </c:pt>
                <c:pt idx="6">
                  <c:v>4169238.8296145713</c:v>
                </c:pt>
                <c:pt idx="7">
                  <c:v>3698980.5240170746</c:v>
                </c:pt>
                <c:pt idx="8">
                  <c:v>3767357.3379398002</c:v>
                </c:pt>
                <c:pt idx="9">
                  <c:v>3988402.7724274234</c:v>
                </c:pt>
                <c:pt idx="10">
                  <c:v>4476830.2304972373</c:v>
                </c:pt>
                <c:pt idx="11">
                  <c:v>4712008.8378813062</c:v>
                </c:pt>
                <c:pt idx="12">
                  <c:v>4321397.4686579984</c:v>
                </c:pt>
                <c:pt idx="13">
                  <c:v>4352376.9901441904</c:v>
                </c:pt>
                <c:pt idx="14">
                  <c:v>3892731.4700450618</c:v>
                </c:pt>
                <c:pt idx="15">
                  <c:v>3779536.8745348849</c:v>
                </c:pt>
                <c:pt idx="16">
                  <c:v>3808055.4080793047</c:v>
                </c:pt>
                <c:pt idx="17">
                  <c:v>4212603.4584951298</c:v>
                </c:pt>
                <c:pt idx="18">
                  <c:v>4169238.8296145713</c:v>
                </c:pt>
                <c:pt idx="19">
                  <c:v>3698980.5240170746</c:v>
                </c:pt>
                <c:pt idx="20">
                  <c:v>3767357.3379398002</c:v>
                </c:pt>
                <c:pt idx="21">
                  <c:v>3988402.7724274234</c:v>
                </c:pt>
                <c:pt idx="22">
                  <c:v>4476830.2304972373</c:v>
                </c:pt>
                <c:pt idx="23">
                  <c:v>4712008.8378813062</c:v>
                </c:pt>
                <c:pt idx="24">
                  <c:v>4321397.4686579984</c:v>
                </c:pt>
                <c:pt idx="25">
                  <c:v>4352376.9901441904</c:v>
                </c:pt>
                <c:pt idx="26">
                  <c:v>3892731.4700450618</c:v>
                </c:pt>
                <c:pt idx="27">
                  <c:v>3779536.8745348849</c:v>
                </c:pt>
                <c:pt idx="28">
                  <c:v>3808055.4080793047</c:v>
                </c:pt>
                <c:pt idx="29">
                  <c:v>4212603.4584951298</c:v>
                </c:pt>
                <c:pt idx="30">
                  <c:v>4169238.8296145713</c:v>
                </c:pt>
                <c:pt idx="31">
                  <c:v>3698980.5240170746</c:v>
                </c:pt>
                <c:pt idx="32">
                  <c:v>3767357.3379398002</c:v>
                </c:pt>
                <c:pt idx="33">
                  <c:v>3988402.7724274234</c:v>
                </c:pt>
                <c:pt idx="34">
                  <c:v>4476830.2304972373</c:v>
                </c:pt>
                <c:pt idx="35">
                  <c:v>4712008.8378813062</c:v>
                </c:pt>
                <c:pt idx="36">
                  <c:v>4321397.4686579984</c:v>
                </c:pt>
                <c:pt idx="37">
                  <c:v>4352376.9901441904</c:v>
                </c:pt>
                <c:pt idx="38">
                  <c:v>3892731.4700450618</c:v>
                </c:pt>
                <c:pt idx="39">
                  <c:v>3779536.8745348849</c:v>
                </c:pt>
                <c:pt idx="40">
                  <c:v>3808055.4080793047</c:v>
                </c:pt>
                <c:pt idx="41">
                  <c:v>4212603.4584951298</c:v>
                </c:pt>
                <c:pt idx="42">
                  <c:v>4169238.8296145713</c:v>
                </c:pt>
                <c:pt idx="43">
                  <c:v>3698980.5240170746</c:v>
                </c:pt>
                <c:pt idx="44">
                  <c:v>3767357.3379398002</c:v>
                </c:pt>
                <c:pt idx="45">
                  <c:v>3988402.7724274234</c:v>
                </c:pt>
                <c:pt idx="46">
                  <c:v>4476830.2304972373</c:v>
                </c:pt>
                <c:pt idx="47">
                  <c:v>4712008.8378813062</c:v>
                </c:pt>
                <c:pt idx="48">
                  <c:v>4418335.7469392885</c:v>
                </c:pt>
                <c:pt idx="49">
                  <c:v>4352376.9901441904</c:v>
                </c:pt>
                <c:pt idx="50">
                  <c:v>3892731.4700450618</c:v>
                </c:pt>
                <c:pt idx="51">
                  <c:v>3779536.8745348849</c:v>
                </c:pt>
                <c:pt idx="52">
                  <c:v>3808055.4080793047</c:v>
                </c:pt>
                <c:pt idx="53">
                  <c:v>4212603.4584951298</c:v>
                </c:pt>
                <c:pt idx="54">
                  <c:v>4169238.8296145713</c:v>
                </c:pt>
                <c:pt idx="55">
                  <c:v>3698980.5240170746</c:v>
                </c:pt>
                <c:pt idx="56">
                  <c:v>3767357.3379398002</c:v>
                </c:pt>
                <c:pt idx="57">
                  <c:v>3988402.7724274234</c:v>
                </c:pt>
                <c:pt idx="58">
                  <c:v>4476830.2304972373</c:v>
                </c:pt>
                <c:pt idx="59">
                  <c:v>4712008.8378813062</c:v>
                </c:pt>
                <c:pt idx="60">
                  <c:v>4321397.4686579984</c:v>
                </c:pt>
                <c:pt idx="61">
                  <c:v>4352376.9901441904</c:v>
                </c:pt>
                <c:pt idx="62">
                  <c:v>3892731.4700450618</c:v>
                </c:pt>
                <c:pt idx="63">
                  <c:v>3779536.8745348849</c:v>
                </c:pt>
                <c:pt idx="64">
                  <c:v>3808055.4080793047</c:v>
                </c:pt>
                <c:pt idx="65">
                  <c:v>4212603.4584951298</c:v>
                </c:pt>
                <c:pt idx="66">
                  <c:v>4169238.8296145713</c:v>
                </c:pt>
                <c:pt idx="67">
                  <c:v>3698980.5240170746</c:v>
                </c:pt>
                <c:pt idx="68">
                  <c:v>3767357.3379398002</c:v>
                </c:pt>
                <c:pt idx="69">
                  <c:v>3988402.7724274234</c:v>
                </c:pt>
                <c:pt idx="70">
                  <c:v>4476830.2304972373</c:v>
                </c:pt>
                <c:pt idx="71">
                  <c:v>4712008.8378813062</c:v>
                </c:pt>
                <c:pt idx="72">
                  <c:v>4321397.4686579984</c:v>
                </c:pt>
                <c:pt idx="73">
                  <c:v>4352376.9901441904</c:v>
                </c:pt>
                <c:pt idx="74">
                  <c:v>3892731.4700450618</c:v>
                </c:pt>
                <c:pt idx="75">
                  <c:v>3779536.8745348849</c:v>
                </c:pt>
                <c:pt idx="76">
                  <c:v>3808055.4080793047</c:v>
                </c:pt>
                <c:pt idx="77">
                  <c:v>4212603.4584951298</c:v>
                </c:pt>
                <c:pt idx="78">
                  <c:v>4169238.8296145713</c:v>
                </c:pt>
                <c:pt idx="79">
                  <c:v>3698980.5240170746</c:v>
                </c:pt>
                <c:pt idx="80">
                  <c:v>3767357.3379398002</c:v>
                </c:pt>
                <c:pt idx="81">
                  <c:v>3988402.7724274234</c:v>
                </c:pt>
                <c:pt idx="82">
                  <c:v>4476830.2304972373</c:v>
                </c:pt>
                <c:pt idx="83">
                  <c:v>4712008.8378813062</c:v>
                </c:pt>
                <c:pt idx="84">
                  <c:v>4321397.4686579984</c:v>
                </c:pt>
                <c:pt idx="85">
                  <c:v>4352376.9901441904</c:v>
                </c:pt>
                <c:pt idx="86">
                  <c:v>3892731.4700450618</c:v>
                </c:pt>
                <c:pt idx="87">
                  <c:v>3779536.8745348849</c:v>
                </c:pt>
                <c:pt idx="88">
                  <c:v>3808055.4080793047</c:v>
                </c:pt>
                <c:pt idx="89">
                  <c:v>4212603.4584951298</c:v>
                </c:pt>
                <c:pt idx="90">
                  <c:v>4169238.8296145713</c:v>
                </c:pt>
                <c:pt idx="91">
                  <c:v>3698980.5240170746</c:v>
                </c:pt>
                <c:pt idx="92">
                  <c:v>3767357.3379398002</c:v>
                </c:pt>
                <c:pt idx="93">
                  <c:v>3988402.7724274234</c:v>
                </c:pt>
                <c:pt idx="94">
                  <c:v>4476830.2304972373</c:v>
                </c:pt>
                <c:pt idx="95">
                  <c:v>4712008.8378813062</c:v>
                </c:pt>
                <c:pt idx="96">
                  <c:v>4418335.7469392885</c:v>
                </c:pt>
                <c:pt idx="97">
                  <c:v>4119766.7668583528</c:v>
                </c:pt>
                <c:pt idx="98">
                  <c:v>3427511.0234733876</c:v>
                </c:pt>
                <c:pt idx="99">
                  <c:v>3314316.4279632107</c:v>
                </c:pt>
                <c:pt idx="100">
                  <c:v>3575445.1847934676</c:v>
                </c:pt>
                <c:pt idx="101">
                  <c:v>3979993.2352092927</c:v>
                </c:pt>
                <c:pt idx="102">
                  <c:v>3936628.6063287342</c:v>
                </c:pt>
                <c:pt idx="103">
                  <c:v>3466370.3007312375</c:v>
                </c:pt>
                <c:pt idx="104">
                  <c:v>3534747.1146539631</c:v>
                </c:pt>
                <c:pt idx="105">
                  <c:v>3755792.5491415863</c:v>
                </c:pt>
                <c:pt idx="106">
                  <c:v>4244220.0072114002</c:v>
                </c:pt>
                <c:pt idx="107">
                  <c:v>4479398.6145954691</c:v>
                </c:pt>
                <c:pt idx="108">
                  <c:v>4088787.2453721613</c:v>
                </c:pt>
                <c:pt idx="109">
                  <c:v>4119766.7668583528</c:v>
                </c:pt>
                <c:pt idx="110">
                  <c:v>3660121.2467592247</c:v>
                </c:pt>
                <c:pt idx="111">
                  <c:v>3546926.6512490478</c:v>
                </c:pt>
                <c:pt idx="112">
                  <c:v>3575445.1847934676</c:v>
                </c:pt>
                <c:pt idx="113">
                  <c:v>3979993.2352092927</c:v>
                </c:pt>
                <c:pt idx="114">
                  <c:v>3936628.6063287342</c:v>
                </c:pt>
                <c:pt idx="115">
                  <c:v>3466370.3007312375</c:v>
                </c:pt>
                <c:pt idx="116">
                  <c:v>3534747.1146539631</c:v>
                </c:pt>
                <c:pt idx="117">
                  <c:v>3755792.5491415863</c:v>
                </c:pt>
                <c:pt idx="118">
                  <c:v>4244220.0072114002</c:v>
                </c:pt>
                <c:pt idx="119">
                  <c:v>4595703.7262383876</c:v>
                </c:pt>
                <c:pt idx="120">
                  <c:v>4205092.3570150798</c:v>
                </c:pt>
                <c:pt idx="121">
                  <c:v>4236071.8785012718</c:v>
                </c:pt>
                <c:pt idx="122">
                  <c:v>3776426.3584021432</c:v>
                </c:pt>
                <c:pt idx="123">
                  <c:v>3663231.7628919664</c:v>
                </c:pt>
                <c:pt idx="124">
                  <c:v>3691750.2964363862</c:v>
                </c:pt>
                <c:pt idx="125">
                  <c:v>4096298.3468522113</c:v>
                </c:pt>
                <c:pt idx="126">
                  <c:v>4052933.7179716527</c:v>
                </c:pt>
                <c:pt idx="127">
                  <c:v>3582675.4123741561</c:v>
                </c:pt>
                <c:pt idx="128">
                  <c:v>3651052.2262968817</c:v>
                </c:pt>
                <c:pt idx="129">
                  <c:v>3872097.6607845048</c:v>
                </c:pt>
                <c:pt idx="130">
                  <c:v>4360525.1188543187</c:v>
                </c:pt>
                <c:pt idx="131">
                  <c:v>4653856.2820598474</c:v>
                </c:pt>
                <c:pt idx="132">
                  <c:v>4263244.9128365396</c:v>
                </c:pt>
                <c:pt idx="133">
                  <c:v>4294224.4343227316</c:v>
                </c:pt>
                <c:pt idx="134">
                  <c:v>3834578.9142236025</c:v>
                </c:pt>
                <c:pt idx="135">
                  <c:v>3721384.3187134257</c:v>
                </c:pt>
                <c:pt idx="136">
                  <c:v>3749902.8522578455</c:v>
                </c:pt>
                <c:pt idx="137">
                  <c:v>4154450.9026736706</c:v>
                </c:pt>
                <c:pt idx="138">
                  <c:v>4111086.273793112</c:v>
                </c:pt>
                <c:pt idx="139">
                  <c:v>3640827.9681956153</c:v>
                </c:pt>
                <c:pt idx="140">
                  <c:v>3709204.782118341</c:v>
                </c:pt>
                <c:pt idx="141">
                  <c:v>3930250.2166059641</c:v>
                </c:pt>
                <c:pt idx="142">
                  <c:v>4418677.6746757785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General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  <c:pt idx="115">
                  <c:v>10318152.519291902</c:v>
                </c:pt>
                <c:pt idx="116">
                  <c:v>11053578.323806679</c:v>
                </c:pt>
                <c:pt idx="117">
                  <c:v>11019198.930448858</c:v>
                </c:pt>
                <c:pt idx="118">
                  <c:v>10848758.697127184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12194447.098914959</c:v>
                </c:pt>
                <c:pt idx="1">
                  <c:v>12540776.101171561</c:v>
                </c:pt>
                <c:pt idx="2">
                  <c:v>11983011.623412944</c:v>
                </c:pt>
                <c:pt idx="3">
                  <c:v>11986875.402914038</c:v>
                </c:pt>
                <c:pt idx="4">
                  <c:v>11676179.95719634</c:v>
                </c:pt>
                <c:pt idx="5">
                  <c:v>12140034.475262636</c:v>
                </c:pt>
                <c:pt idx="6">
                  <c:v>10034803.841379352</c:v>
                </c:pt>
                <c:pt idx="7">
                  <c:v>9604657.9036430847</c:v>
                </c:pt>
                <c:pt idx="8">
                  <c:v>9942578.3198699728</c:v>
                </c:pt>
                <c:pt idx="9">
                  <c:v>10016570.423440196</c:v>
                </c:pt>
                <c:pt idx="10">
                  <c:v>9951206.3684488274</c:v>
                </c:pt>
                <c:pt idx="11">
                  <c:v>10831080.790999889</c:v>
                </c:pt>
                <c:pt idx="12">
                  <c:v>9999323.2461953871</c:v>
                </c:pt>
                <c:pt idx="13">
                  <c:v>10592033.132317118</c:v>
                </c:pt>
                <c:pt idx="14">
                  <c:v>10034268.654558502</c:v>
                </c:pt>
                <c:pt idx="15">
                  <c:v>10038132.434059594</c:v>
                </c:pt>
                <c:pt idx="16">
                  <c:v>9727436.9883418977</c:v>
                </c:pt>
                <c:pt idx="17">
                  <c:v>10191291.506408192</c:v>
                </c:pt>
                <c:pt idx="18">
                  <c:v>10132660.39524927</c:v>
                </c:pt>
                <c:pt idx="19">
                  <c:v>9702514.4575130008</c:v>
                </c:pt>
                <c:pt idx="20">
                  <c:v>10040434.873739891</c:v>
                </c:pt>
                <c:pt idx="21">
                  <c:v>10114426.977310114</c:v>
                </c:pt>
                <c:pt idx="22">
                  <c:v>10049062.922318745</c:v>
                </c:pt>
                <c:pt idx="23">
                  <c:v>11004364.380481953</c:v>
                </c:pt>
                <c:pt idx="24">
                  <c:v>10172606.835677449</c:v>
                </c:pt>
                <c:pt idx="25">
                  <c:v>10765316.72179918</c:v>
                </c:pt>
                <c:pt idx="26">
                  <c:v>10207552.244040566</c:v>
                </c:pt>
                <c:pt idx="27">
                  <c:v>10211416.023541659</c:v>
                </c:pt>
                <c:pt idx="28">
                  <c:v>9900720.5778239612</c:v>
                </c:pt>
                <c:pt idx="29">
                  <c:v>10364575.095890258</c:v>
                </c:pt>
                <c:pt idx="30">
                  <c:v>10305943.984731333</c:v>
                </c:pt>
                <c:pt idx="31">
                  <c:v>9875798.0469950661</c:v>
                </c:pt>
                <c:pt idx="32">
                  <c:v>10213718.463221954</c:v>
                </c:pt>
                <c:pt idx="33">
                  <c:v>10287710.566792177</c:v>
                </c:pt>
                <c:pt idx="34">
                  <c:v>10222346.511800807</c:v>
                </c:pt>
                <c:pt idx="35">
                  <c:v>11195043.578292601</c:v>
                </c:pt>
                <c:pt idx="36">
                  <c:v>10363286.033488097</c:v>
                </c:pt>
                <c:pt idx="37">
                  <c:v>10955995.919609828</c:v>
                </c:pt>
                <c:pt idx="38">
                  <c:v>10398231.441851214</c:v>
                </c:pt>
                <c:pt idx="39">
                  <c:v>10402095.221352305</c:v>
                </c:pt>
                <c:pt idx="40">
                  <c:v>10091399.775634609</c:v>
                </c:pt>
                <c:pt idx="41">
                  <c:v>10555254.293700904</c:v>
                </c:pt>
                <c:pt idx="42">
                  <c:v>10496623.182541981</c:v>
                </c:pt>
                <c:pt idx="43">
                  <c:v>10066477.244805712</c:v>
                </c:pt>
                <c:pt idx="44">
                  <c:v>10404397.661032602</c:v>
                </c:pt>
                <c:pt idx="45">
                  <c:v>10478389.764602825</c:v>
                </c:pt>
                <c:pt idx="46">
                  <c:v>10413025.709611455</c:v>
                </c:pt>
                <c:pt idx="47">
                  <c:v>11360847.034429818</c:v>
                </c:pt>
                <c:pt idx="48">
                  <c:v>10775470.373490445</c:v>
                </c:pt>
                <c:pt idx="49">
                  <c:v>11121799.375747047</c:v>
                </c:pt>
                <c:pt idx="50">
                  <c:v>10564034.897988431</c:v>
                </c:pt>
                <c:pt idx="51">
                  <c:v>10567898.677489525</c:v>
                </c:pt>
                <c:pt idx="52">
                  <c:v>10257203.231771827</c:v>
                </c:pt>
                <c:pt idx="53">
                  <c:v>10721057.749838123</c:v>
                </c:pt>
                <c:pt idx="54">
                  <c:v>10662426.638679199</c:v>
                </c:pt>
                <c:pt idx="55">
                  <c:v>10232280.700942932</c:v>
                </c:pt>
                <c:pt idx="56">
                  <c:v>10570201.11716982</c:v>
                </c:pt>
                <c:pt idx="57">
                  <c:v>10644193.220740043</c:v>
                </c:pt>
                <c:pt idx="58">
                  <c:v>10578829.165748674</c:v>
                </c:pt>
                <c:pt idx="59">
                  <c:v>11568409.308883652</c:v>
                </c:pt>
                <c:pt idx="60">
                  <c:v>10736651.764079148</c:v>
                </c:pt>
                <c:pt idx="61">
                  <c:v>11329361.650200879</c:v>
                </c:pt>
                <c:pt idx="62">
                  <c:v>10771597.172442265</c:v>
                </c:pt>
                <c:pt idx="63">
                  <c:v>10775460.951943357</c:v>
                </c:pt>
                <c:pt idx="64">
                  <c:v>10464765.50622566</c:v>
                </c:pt>
                <c:pt idx="65">
                  <c:v>10928620.024291955</c:v>
                </c:pt>
                <c:pt idx="66">
                  <c:v>10869988.913133033</c:v>
                </c:pt>
                <c:pt idx="67">
                  <c:v>10439842.975396764</c:v>
                </c:pt>
                <c:pt idx="68">
                  <c:v>10777763.391623653</c:v>
                </c:pt>
                <c:pt idx="69">
                  <c:v>10851755.495193876</c:v>
                </c:pt>
                <c:pt idx="70">
                  <c:v>10786391.440202506</c:v>
                </c:pt>
                <c:pt idx="71">
                  <c:v>11794001.599251177</c:v>
                </c:pt>
                <c:pt idx="72">
                  <c:v>10962244.054446675</c:v>
                </c:pt>
                <c:pt idx="73">
                  <c:v>11554953.940568406</c:v>
                </c:pt>
                <c:pt idx="74">
                  <c:v>10997189.46280979</c:v>
                </c:pt>
                <c:pt idx="75">
                  <c:v>11001053.242310882</c:v>
                </c:pt>
                <c:pt idx="76">
                  <c:v>10690357.796593186</c:v>
                </c:pt>
                <c:pt idx="77">
                  <c:v>11154212.31465948</c:v>
                </c:pt>
                <c:pt idx="78">
                  <c:v>11095581.203500558</c:v>
                </c:pt>
                <c:pt idx="79">
                  <c:v>10665435.265764289</c:v>
                </c:pt>
                <c:pt idx="80">
                  <c:v>11003355.681991179</c:v>
                </c:pt>
                <c:pt idx="81">
                  <c:v>11077347.785561401</c:v>
                </c:pt>
                <c:pt idx="82">
                  <c:v>11011983.730570033</c:v>
                </c:pt>
                <c:pt idx="83">
                  <c:v>11959003.068441182</c:v>
                </c:pt>
                <c:pt idx="84">
                  <c:v>11127245.52363668</c:v>
                </c:pt>
                <c:pt idx="85">
                  <c:v>11719955.409758411</c:v>
                </c:pt>
                <c:pt idx="86">
                  <c:v>11162190.931999795</c:v>
                </c:pt>
                <c:pt idx="87">
                  <c:v>11166054.711500887</c:v>
                </c:pt>
                <c:pt idx="88">
                  <c:v>10855359.265783191</c:v>
                </c:pt>
                <c:pt idx="89">
                  <c:v>11319213.783849485</c:v>
                </c:pt>
                <c:pt idx="90">
                  <c:v>11260582.672690563</c:v>
                </c:pt>
                <c:pt idx="91">
                  <c:v>10830436.734954294</c:v>
                </c:pt>
                <c:pt idx="92">
                  <c:v>11168357.151181184</c:v>
                </c:pt>
                <c:pt idx="93">
                  <c:v>11242349.254751407</c:v>
                </c:pt>
                <c:pt idx="94">
                  <c:v>11176985.199760038</c:v>
                </c:pt>
                <c:pt idx="95">
                  <c:v>11550495.727981292</c:v>
                </c:pt>
                <c:pt idx="96">
                  <c:v>10965119.067041917</c:v>
                </c:pt>
                <c:pt idx="97">
                  <c:v>10038336.681621883</c:v>
                </c:pt>
                <c:pt idx="98">
                  <c:v>8207460.816186633</c:v>
                </c:pt>
                <c:pt idx="99">
                  <c:v>8211324.5956877265</c:v>
                </c:pt>
                <c:pt idx="100">
                  <c:v>9173740.5376466643</c:v>
                </c:pt>
                <c:pt idx="101">
                  <c:v>10910706.443389595</c:v>
                </c:pt>
                <c:pt idx="102">
                  <c:v>10852075.332230672</c:v>
                </c:pt>
                <c:pt idx="103">
                  <c:v>10421929.394494403</c:v>
                </c:pt>
                <c:pt idx="104">
                  <c:v>10759849.810721293</c:v>
                </c:pt>
                <c:pt idx="105">
                  <c:v>10833841.914291516</c:v>
                </c:pt>
                <c:pt idx="106">
                  <c:v>10768477.859300146</c:v>
                </c:pt>
                <c:pt idx="107">
                  <c:v>11878875.956767736</c:v>
                </c:pt>
                <c:pt idx="108">
                  <c:v>11047118.411963232</c:v>
                </c:pt>
                <c:pt idx="109">
                  <c:v>11639828.298084963</c:v>
                </c:pt>
                <c:pt idx="110">
                  <c:v>11082063.820326349</c:v>
                </c:pt>
                <c:pt idx="111">
                  <c:v>11085927.599827442</c:v>
                </c:pt>
                <c:pt idx="112">
                  <c:v>10775232.154109744</c:v>
                </c:pt>
                <c:pt idx="113">
                  <c:v>11239086.672176041</c:v>
                </c:pt>
                <c:pt idx="114">
                  <c:v>11180455.561017117</c:v>
                </c:pt>
                <c:pt idx="115">
                  <c:v>10750309.623280849</c:v>
                </c:pt>
                <c:pt idx="116">
                  <c:v>11088230.039507737</c:v>
                </c:pt>
                <c:pt idx="117">
                  <c:v>11162222.14307796</c:v>
                </c:pt>
                <c:pt idx="118">
                  <c:v>11096858.08808659</c:v>
                </c:pt>
                <c:pt idx="119">
                  <c:v>12199061.167197555</c:v>
                </c:pt>
                <c:pt idx="120">
                  <c:v>11367303.622393051</c:v>
                </c:pt>
                <c:pt idx="121">
                  <c:v>11960013.508514782</c:v>
                </c:pt>
                <c:pt idx="122">
                  <c:v>11402249.030756168</c:v>
                </c:pt>
                <c:pt idx="123">
                  <c:v>11406112.81025726</c:v>
                </c:pt>
                <c:pt idx="124">
                  <c:v>11095417.364539564</c:v>
                </c:pt>
                <c:pt idx="125">
                  <c:v>11559271.882605858</c:v>
                </c:pt>
                <c:pt idx="126">
                  <c:v>11500640.771446936</c:v>
                </c:pt>
                <c:pt idx="127">
                  <c:v>11070494.833710667</c:v>
                </c:pt>
                <c:pt idx="128">
                  <c:v>11408415.249937557</c:v>
                </c:pt>
                <c:pt idx="129">
                  <c:v>11482407.35350778</c:v>
                </c:pt>
                <c:pt idx="130">
                  <c:v>11417043.298516409</c:v>
                </c:pt>
                <c:pt idx="131">
                  <c:v>12450315.938929178</c:v>
                </c:pt>
                <c:pt idx="132">
                  <c:v>11618558.394124676</c:v>
                </c:pt>
                <c:pt idx="133">
                  <c:v>12211268.280246407</c:v>
                </c:pt>
                <c:pt idx="134">
                  <c:v>11653503.802487791</c:v>
                </c:pt>
                <c:pt idx="135">
                  <c:v>11657367.581988884</c:v>
                </c:pt>
                <c:pt idx="136">
                  <c:v>11346672.136271186</c:v>
                </c:pt>
                <c:pt idx="137">
                  <c:v>11810526.654337483</c:v>
                </c:pt>
                <c:pt idx="138">
                  <c:v>11751895.543178558</c:v>
                </c:pt>
                <c:pt idx="139">
                  <c:v>11321749.605442291</c:v>
                </c:pt>
                <c:pt idx="140">
                  <c:v>11659670.021669179</c:v>
                </c:pt>
                <c:pt idx="141">
                  <c:v>11733662.125239402</c:v>
                </c:pt>
                <c:pt idx="142">
                  <c:v>11668298.070248034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143098831.87412524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117736700.26841311</c:v>
                </c:pt>
                <c:pt idx="1">
                  <c:v>119675281.45823276</c:v>
                </c:pt>
                <c:pt idx="2">
                  <c:v>120840872.70824401</c:v>
                </c:pt>
                <c:pt idx="3">
                  <c:v>122067599.87076657</c:v>
                </c:pt>
                <c:pt idx="4">
                  <c:v>124063097.94725022</c:v>
                </c:pt>
                <c:pt idx="5">
                  <c:v>126135977.69898002</c:v>
                </c:pt>
                <c:pt idx="6">
                  <c:v>128491881.82482675</c:v>
                </c:pt>
                <c:pt idx="7">
                  <c:v>131176516.75893116</c:v>
                </c:pt>
                <c:pt idx="8">
                  <c:v>142562721.60443079</c:v>
                </c:pt>
                <c:pt idx="9">
                  <c:v>145956572.27695689</c:v>
                </c:pt>
                <c:pt idx="10">
                  <c:v>143635794.54088184</c:v>
                </c:pt>
                <c:pt idx="11">
                  <c:v>143771506.59321797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117645301.08434564</c:v>
                </c:pt>
                <c:pt idx="1">
                  <c:v>119399599.08668701</c:v>
                </c:pt>
                <c:pt idx="2">
                  <c:v>120156837.30946405</c:v>
                </c:pt>
                <c:pt idx="3">
                  <c:v>120835100.91390651</c:v>
                </c:pt>
                <c:pt idx="4">
                  <c:v>121682654.44871064</c:v>
                </c:pt>
                <c:pt idx="5">
                  <c:v>121045989.97521867</c:v>
                </c:pt>
                <c:pt idx="6">
                  <c:v>121588623.44323529</c:v>
                </c:pt>
                <c:pt idx="7">
                  <c:v>123906750.70376903</c:v>
                </c:pt>
                <c:pt idx="8">
                  <c:v>135304166.24892634</c:v>
                </c:pt>
                <c:pt idx="9">
                  <c:v>139849079.818479</c:v>
                </c:pt>
                <c:pt idx="10">
                  <c:v>137535825.59317738</c:v>
                </c:pt>
                <c:pt idx="11">
                  <c:v>137753320.800163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47700224.990089469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49276458.480615273</c:v>
                </c:pt>
                <c:pt idx="1">
                  <c:v>49179520.202333987</c:v>
                </c:pt>
                <c:pt idx="2">
                  <c:v>49179520.202333987</c:v>
                </c:pt>
                <c:pt idx="3">
                  <c:v>49179520.202333987</c:v>
                </c:pt>
                <c:pt idx="4">
                  <c:v>49276458.480615273</c:v>
                </c:pt>
                <c:pt idx="5">
                  <c:v>49179520.202333987</c:v>
                </c:pt>
                <c:pt idx="6">
                  <c:v>49179520.202333987</c:v>
                </c:pt>
                <c:pt idx="7">
                  <c:v>49179520.202333987</c:v>
                </c:pt>
                <c:pt idx="8">
                  <c:v>46485135.801185228</c:v>
                </c:pt>
                <c:pt idx="9">
                  <c:v>46388197.522903934</c:v>
                </c:pt>
                <c:pt idx="10">
                  <c:v>47783858.86261896</c:v>
                </c:pt>
                <c:pt idx="11">
                  <c:v>48481689.53247647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48957750.369941913</c:v>
                </c:pt>
                <c:pt idx="1">
                  <c:v>48145047.43123205</c:v>
                </c:pt>
                <c:pt idx="2">
                  <c:v>47140204.68656978</c:v>
                </c:pt>
                <c:pt idx="3">
                  <c:v>46318238.442758888</c:v>
                </c:pt>
                <c:pt idx="4">
                  <c:v>46314515.442737773</c:v>
                </c:pt>
                <c:pt idx="5">
                  <c:v>46183612.709704325</c:v>
                </c:pt>
                <c:pt idx="6">
                  <c:v>46020798.196906954</c:v>
                </c:pt>
                <c:pt idx="7">
                  <c:v>45931192.266224809</c:v>
                </c:pt>
                <c:pt idx="8">
                  <c:v>43244476.044068858</c:v>
                </c:pt>
                <c:pt idx="9">
                  <c:v>43231842.703329809</c:v>
                </c:pt>
                <c:pt idx="10">
                  <c:v>44618238.13095703</c:v>
                </c:pt>
                <c:pt idx="11">
                  <c:v>45416700.034494303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129936827.21414556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134850965.27550825</c:v>
                </c:pt>
                <c:pt idx="1">
                  <c:v>121452666.37901162</c:v>
                </c:pt>
                <c:pt idx="2">
                  <c:v>123532069.45279635</c:v>
                </c:pt>
                <c:pt idx="3">
                  <c:v>125820219.82652412</c:v>
                </c:pt>
                <c:pt idx="4">
                  <c:v>128056242.18403591</c:v>
                </c:pt>
                <c:pt idx="5">
                  <c:v>130300608.59361675</c:v>
                </c:pt>
                <c:pt idx="6">
                  <c:v>133007716.07802705</c:v>
                </c:pt>
                <c:pt idx="7">
                  <c:v>134987733.70830715</c:v>
                </c:pt>
                <c:pt idx="8">
                  <c:v>122693358.18059374</c:v>
                </c:pt>
                <c:pt idx="9">
                  <c:v>134026208.36822575</c:v>
                </c:pt>
                <c:pt idx="10">
                  <c:v>137868430.89338362</c:v>
                </c:pt>
                <c:pt idx="11">
                  <c:v>140883488.15416306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134400883.05583462</c:v>
                </c:pt>
                <c:pt idx="1">
                  <c:v>120248862.66232288</c:v>
                </c:pt>
                <c:pt idx="2">
                  <c:v>121757896.46391952</c:v>
                </c:pt>
                <c:pt idx="3">
                  <c:v>123404043.08393236</c:v>
                </c:pt>
                <c:pt idx="4">
                  <c:v>124986524.30845068</c:v>
                </c:pt>
                <c:pt idx="5">
                  <c:v>125957536.60529736</c:v>
                </c:pt>
                <c:pt idx="6">
                  <c:v>127233175.76432969</c:v>
                </c:pt>
                <c:pt idx="7">
                  <c:v>128043543.05192417</c:v>
                </c:pt>
                <c:pt idx="8">
                  <c:v>115067076.7234147</c:v>
                </c:pt>
                <c:pt idx="9">
                  <c:v>126434179.08695357</c:v>
                </c:pt>
                <c:pt idx="10">
                  <c:v>130186412.29502398</c:v>
                </c:pt>
                <c:pt idx="11">
                  <c:v>133307695.7800312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1232118.8628138509</c:v>
                </c:pt>
                <c:pt idx="11">
                  <c:v>1242766.2390727461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Summary'!$AF$5:$AF$13</c:f>
              <c:numCache>
                <c:formatCode>#,##0</c:formatCode>
                <c:ptCount val="9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Summary'!$AF$14:$AF$16)</c:f>
              <c:numCache>
                <c:formatCode>General</c:formatCode>
                <c:ptCount val="12"/>
                <c:pt idx="9" formatCode="#,##0">
                  <c:v>374.59757980673612</c:v>
                </c:pt>
                <c:pt idx="10" formatCode="#,##0">
                  <c:v>374.59757980673612</c:v>
                </c:pt>
                <c:pt idx="11" formatCode="#,##0">
                  <c:v>374.59757980673612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396233.27731092443</c:v>
                </c:pt>
                <c:pt idx="11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Summary'!$AN$5:$AN$13</c:f>
              <c:numCache>
                <c:formatCode>#,##0</c:formatCode>
                <c:ptCount val="9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Summary'!$AN$14:$AN$16)</c:f>
              <c:numCache>
                <c:formatCode>General</c:formatCode>
                <c:ptCount val="12"/>
                <c:pt idx="9" formatCode="#,##0">
                  <c:v>13207.775910364147</c:v>
                </c:pt>
                <c:pt idx="10" formatCode="#,##0">
                  <c:v>13207.775910364147</c:v>
                </c:pt>
                <c:pt idx="11" formatCode="#,##0">
                  <c:v>13207.775910364147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 formatCode="#,##0.0">
                  <c:v>16713.900722594739</c:v>
                </c:pt>
                <c:pt idx="11" formatCode="#,##0.0">
                  <c:v>17011.594251292951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 formatCode="#,##0.0">
                  <c:v>1819.0353851420145</c:v>
                </c:pt>
                <c:pt idx="11" formatCode="#,##0.0">
                  <c:v>1832.6722417052104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 formatCode="#,##0.0">
                  <c:v>125.52967517418369</c:v>
                </c:pt>
                <c:pt idx="11" formatCode="#,##0.0">
                  <c:v>126.65264045012246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 formatCode="#,##0.0">
                  <c:v>3289.1799873601176</c:v>
                </c:pt>
                <c:pt idx="11" formatCode="#,##0.0">
                  <c:v>3317.6034925637241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 formatCode="#,##0.0">
                  <c:v>30</c:v>
                </c:pt>
                <c:pt idx="11" formatCode="#,##0.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Forecast'!$E$5:$E$13</c:f>
              <c:numCache>
                <c:formatCode>0.000000</c:formatCode>
                <c:ptCount val="9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Forecast'!$F$19:$F$20)</c:f>
              <c:numCache>
                <c:formatCode>General</c:formatCode>
                <c:ptCount val="11"/>
                <c:pt idx="9" formatCode="_-* #,##0.000000_-;\-* #,##0.000000_-;_-* &quot;-&quot;??_-;_-@_-">
                  <c:v>2.4410160177618821E-3</c:v>
                </c:pt>
                <c:pt idx="10" formatCode="_-* #,##0.000000_-;\-* #,##0.000000_-;_-* &quot;-&quot;??_-;_-@_-">
                  <c:v>2.4382313072126224E-3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Forecast'!$E$19:$E$20)</c:f>
              <c:numCache>
                <c:formatCode>General</c:formatCode>
                <c:ptCount val="11"/>
                <c:pt idx="9" formatCode="_-* #,##0.000000_-;\-* #,##0.000000_-;_-* &quot;-&quot;??_-;_-@_-">
                  <c:v>2.4579216299910646E-3</c:v>
                </c:pt>
                <c:pt idx="10" formatCode="_-* #,##0.000000_-;\-* #,##0.000000_-;_-* &quot;-&quot;??_-;_-@_-">
                  <c:v>2.4579216299910646E-3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Forecast'!$F$6:$F$13</c:f>
              <c:numCache>
                <c:formatCode>0.000000</c:formatCode>
                <c:ptCount val="8"/>
                <c:pt idx="0">
                  <c:v>2.458404878518651E-3</c:v>
                </c:pt>
                <c:pt idx="1">
                  <c:v>2.4734737767134769E-3</c:v>
                </c:pt>
                <c:pt idx="2">
                  <c:v>2.4923025984464578E-3</c:v>
                </c:pt>
                <c:pt idx="3">
                  <c:v>2.4727611397406986E-3</c:v>
                </c:pt>
                <c:pt idx="4">
                  <c:v>2.4580488809666668E-3</c:v>
                </c:pt>
                <c:pt idx="5">
                  <c:v>2.4523216596077182E-3</c:v>
                </c:pt>
                <c:pt idx="6">
                  <c:v>2.4397086187366128E-3</c:v>
                </c:pt>
                <c:pt idx="7">
                  <c:v>2.4529708594261692E-3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  <a:r>
              <a:rPr lang="en-US" baseline="0"/>
              <a:t>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Forecast'!$K$5:$K$13</c:f>
              <c:numCache>
                <c:formatCode>0.000000</c:formatCode>
                <c:ptCount val="9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Forecast'!$L$19:$L$20)</c:f>
              <c:numCache>
                <c:formatCode>General</c:formatCode>
                <c:ptCount val="11"/>
                <c:pt idx="9" formatCode="_-* #,##0.000000_-;\-* #,##0.000000_-;_-* &quot;-&quot;??_-;_-@_-">
                  <c:v>2.8453490403683168E-3</c:v>
                </c:pt>
                <c:pt idx="10" formatCode="_-* #,##0.000000_-;\-* #,##0.000000_-;_-* &quot;-&quot;??_-;_-@_-">
                  <c:v>2.8354126913797198E-3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Forecast'!$K$19:$K$20)</c:f>
              <c:numCache>
                <c:formatCode>General</c:formatCode>
                <c:ptCount val="11"/>
                <c:pt idx="9" formatCode="_-* #,##0.000000_-;\-* #,##0.000000_-;_-* &quot;-&quot;??_-;_-@_-">
                  <c:v>2.8132675078520351E-3</c:v>
                </c:pt>
                <c:pt idx="10" formatCode="_-* #,##0.000000_-;\-* #,##0.000000_-;_-* &quot;-&quot;??_-;_-@_-">
                  <c:v>2.8132675078520351E-3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Forecast'!$L$6:$L$13</c:f>
              <c:numCache>
                <c:formatCode>0.000000</c:formatCode>
                <c:ptCount val="8"/>
                <c:pt idx="0">
                  <c:v>2.7961549036652636E-3</c:v>
                </c:pt>
                <c:pt idx="1">
                  <c:v>2.8006688666394873E-3</c:v>
                </c:pt>
                <c:pt idx="2">
                  <c:v>2.737875666712518E-3</c:v>
                </c:pt>
                <c:pt idx="3">
                  <c:v>2.7464125590035914E-3</c:v>
                </c:pt>
                <c:pt idx="4">
                  <c:v>2.8327921707597468E-3</c:v>
                </c:pt>
                <c:pt idx="5">
                  <c:v>2.9476467680849159E-3</c:v>
                </c:pt>
                <c:pt idx="6">
                  <c:v>2.9367692674643563E-3</c:v>
                </c:pt>
                <c:pt idx="7">
                  <c:v>2.8032968410046087E-3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3</xdr:row>
      <xdr:rowOff>0</xdr:rowOff>
    </xdr:from>
    <xdr:to>
      <xdr:col>149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59</xdr:row>
      <xdr:rowOff>95250</xdr:rowOff>
    </xdr:from>
    <xdr:to>
      <xdr:col>15</xdr:col>
      <xdr:colOff>457199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76</xdr:row>
      <xdr:rowOff>133350</xdr:rowOff>
    </xdr:from>
    <xdr:to>
      <xdr:col>21</xdr:col>
      <xdr:colOff>19050</xdr:colOff>
      <xdr:row>92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59</xdr:row>
      <xdr:rowOff>47625</xdr:rowOff>
    </xdr:from>
    <xdr:to>
      <xdr:col>24</xdr:col>
      <xdr:colOff>295275</xdr:colOff>
      <xdr:row>75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4"/>
  <sheetViews>
    <sheetView tabSelected="1" workbookViewId="0">
      <pane ySplit="1" topLeftCell="A110" activePane="bottomLeft" state="frozen"/>
      <selection activeCell="T171" sqref="T171"/>
      <selection pane="bottomLeft" activeCell="G138" sqref="G138"/>
    </sheetView>
  </sheetViews>
  <sheetFormatPr defaultRowHeight="12.75"/>
  <cols>
    <col min="1" max="2" width="9.140625" style="6"/>
    <col min="3" max="3" width="14.28515625" bestFit="1" customWidth="1"/>
    <col min="4" max="12" width="13.85546875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4" t="s">
        <v>0</v>
      </c>
      <c r="B1" s="4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4" t="s">
        <v>13</v>
      </c>
      <c r="P1" s="4" t="s">
        <v>11</v>
      </c>
      <c r="Q1" s="3" t="s">
        <v>6</v>
      </c>
      <c r="R1" s="3" t="s">
        <v>184</v>
      </c>
      <c r="S1" s="3" t="s">
        <v>12</v>
      </c>
      <c r="T1" s="3" t="s">
        <v>7</v>
      </c>
      <c r="U1" s="3" t="s">
        <v>8</v>
      </c>
    </row>
    <row r="2" spans="1:23">
      <c r="A2" s="7">
        <v>40909</v>
      </c>
      <c r="B2" s="6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5">
        <v>28201.79</v>
      </c>
      <c r="P2" s="5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7">
        <v>40940</v>
      </c>
      <c r="B3" s="6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5">
        <v>28498.41</v>
      </c>
      <c r="P3" s="5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7">
        <v>40969</v>
      </c>
      <c r="B4" s="6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5">
        <v>27880.02</v>
      </c>
      <c r="P4" s="5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7">
        <v>41000</v>
      </c>
      <c r="B5" s="6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5">
        <v>28650.760000000002</v>
      </c>
      <c r="P5" s="5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7">
        <v>41030</v>
      </c>
      <c r="B6" s="6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5">
        <v>27422.899999999998</v>
      </c>
      <c r="P6" s="5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7">
        <v>41061</v>
      </c>
      <c r="B7" s="6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5">
        <v>28656.22</v>
      </c>
      <c r="P7" s="5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7">
        <v>41091</v>
      </c>
      <c r="B8" s="6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5">
        <v>28813.030000000002</v>
      </c>
      <c r="P8" s="5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7">
        <v>41122</v>
      </c>
      <c r="B9" s="6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5">
        <v>28999.7</v>
      </c>
      <c r="P9" s="5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7">
        <v>41153</v>
      </c>
      <c r="B10" s="6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5">
        <v>24615.149999999998</v>
      </c>
      <c r="P10" s="5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7">
        <v>41183</v>
      </c>
      <c r="B11" s="6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5">
        <v>24974.510000000002</v>
      </c>
      <c r="P11" s="5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7">
        <v>41214</v>
      </c>
      <c r="B12" s="6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5">
        <v>24244.86</v>
      </c>
      <c r="P12" s="5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7">
        <v>41244</v>
      </c>
      <c r="B13" s="6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5">
        <v>24083.310000000005</v>
      </c>
      <c r="P13" s="5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7">
        <v>41275</v>
      </c>
      <c r="B14" s="6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5">
        <v>24385.01</v>
      </c>
      <c r="P14" s="5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7">
        <v>41306</v>
      </c>
      <c r="B15" s="6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5">
        <v>24989.890000000003</v>
      </c>
      <c r="P15" s="5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7">
        <v>41334</v>
      </c>
      <c r="B16" s="6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5">
        <v>24702.640000000003</v>
      </c>
      <c r="P16" s="5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7">
        <v>41365</v>
      </c>
      <c r="B17" s="6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5">
        <v>24308.53</v>
      </c>
      <c r="P17" s="5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7">
        <v>41395</v>
      </c>
      <c r="B18" s="6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5">
        <v>25640.87</v>
      </c>
      <c r="P18" s="5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7">
        <v>41426</v>
      </c>
      <c r="B19" s="6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5">
        <v>25358.500000000004</v>
      </c>
      <c r="P19" s="5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7">
        <v>41456</v>
      </c>
      <c r="B20" s="6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5">
        <v>24114.27</v>
      </c>
      <c r="P20" s="5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>
      <c r="A21" s="7">
        <v>41487</v>
      </c>
      <c r="B21" s="6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5">
        <v>24204.95</v>
      </c>
      <c r="P21" s="5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>
      <c r="A22" s="7">
        <v>41518</v>
      </c>
      <c r="B22" s="6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5">
        <v>23704.959999999995</v>
      </c>
      <c r="P22" s="5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>
      <c r="A23" s="7">
        <v>41548</v>
      </c>
      <c r="B23" s="6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5">
        <v>25974.63</v>
      </c>
      <c r="P23" s="5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>
      <c r="A24" s="7">
        <v>41579</v>
      </c>
      <c r="B24" s="6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5">
        <v>24182.959999999999</v>
      </c>
      <c r="P24" s="5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>
      <c r="A25" s="7">
        <v>41609</v>
      </c>
      <c r="B25" s="6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5">
        <v>24251.51</v>
      </c>
      <c r="P25" s="5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>
      <c r="A26" s="7">
        <v>41640</v>
      </c>
      <c r="B26" s="6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5">
        <v>24607.070000000003</v>
      </c>
      <c r="P26" s="5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>
      <c r="A27" s="7">
        <v>41671</v>
      </c>
      <c r="B27" s="6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5">
        <v>25233.64</v>
      </c>
      <c r="P27" s="5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>
      <c r="A28" s="7">
        <v>41699</v>
      </c>
      <c r="B28" s="6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5">
        <v>24646.670000000002</v>
      </c>
      <c r="P28" s="5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>
      <c r="A29" s="7">
        <v>41730</v>
      </c>
      <c r="B29" s="6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5">
        <v>23896.28</v>
      </c>
      <c r="P29" s="5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>
      <c r="A30" s="7">
        <v>41760</v>
      </c>
      <c r="B30" s="6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5">
        <v>23634.58</v>
      </c>
      <c r="P30" s="5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>
      <c r="A31" s="7">
        <v>41791</v>
      </c>
      <c r="B31" s="6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5">
        <v>24168.469999999998</v>
      </c>
      <c r="P31" s="5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>
      <c r="A32" s="7">
        <v>41821</v>
      </c>
      <c r="B32" s="6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5">
        <v>25096.480000000003</v>
      </c>
      <c r="P32" s="5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>
      <c r="A33" s="7">
        <v>41852</v>
      </c>
      <c r="B33" s="6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5">
        <v>25166.659999999996</v>
      </c>
      <c r="P33" s="5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>
      <c r="A34" s="7">
        <v>41883</v>
      </c>
      <c r="B34" s="6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5">
        <v>24344.299999999996</v>
      </c>
      <c r="P34" s="5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>
      <c r="A35" s="7">
        <v>41913</v>
      </c>
      <c r="B35" s="6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5">
        <v>26046.34</v>
      </c>
      <c r="P35" s="5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>
      <c r="A36" s="7">
        <v>41944</v>
      </c>
      <c r="B36" s="6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5">
        <v>24983.859999999997</v>
      </c>
      <c r="P36" s="5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>
      <c r="A37" s="7">
        <v>41974</v>
      </c>
      <c r="B37" s="6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5">
        <v>24835.77</v>
      </c>
      <c r="P37" s="5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7">
        <v>42005</v>
      </c>
      <c r="B38" s="6">
        <f t="shared" si="4"/>
        <v>2015</v>
      </c>
      <c r="C38" s="8"/>
      <c r="D38" s="8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8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8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8">
        <v>232228.24493238155</v>
      </c>
      <c r="N38" s="8">
        <v>34098.465052687738</v>
      </c>
      <c r="O38" s="9">
        <v>25753.439999999999</v>
      </c>
      <c r="P38" s="9">
        <v>511.54999999999995</v>
      </c>
      <c r="Q38" s="8">
        <v>14609</v>
      </c>
      <c r="R38" s="8">
        <v>1702</v>
      </c>
      <c r="S38" s="8">
        <v>123</v>
      </c>
      <c r="T38" s="8">
        <v>3018</v>
      </c>
      <c r="U38" s="8">
        <v>32</v>
      </c>
      <c r="W38" s="8"/>
    </row>
    <row r="39" spans="1:23">
      <c r="A39" s="7">
        <v>42036</v>
      </c>
      <c r="B39" s="6">
        <f t="shared" si="4"/>
        <v>2015</v>
      </c>
      <c r="C39" s="8"/>
      <c r="D39" s="8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8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8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8">
        <v>193203.10753333595</v>
      </c>
      <c r="N39" s="8">
        <v>32794.764563890072</v>
      </c>
      <c r="O39" s="9">
        <v>26516.780000000006</v>
      </c>
      <c r="P39" s="9">
        <v>59.01</v>
      </c>
      <c r="Q39" s="8">
        <v>14571</v>
      </c>
      <c r="R39" s="8">
        <v>1706</v>
      </c>
      <c r="S39" s="8">
        <v>123</v>
      </c>
      <c r="T39" s="8">
        <v>3018</v>
      </c>
      <c r="U39" s="8">
        <v>31</v>
      </c>
      <c r="W39" s="8"/>
    </row>
    <row r="40" spans="1:23">
      <c r="A40" s="7">
        <v>42064</v>
      </c>
      <c r="B40" s="6">
        <f t="shared" si="4"/>
        <v>2015</v>
      </c>
      <c r="C40" s="8"/>
      <c r="D40" s="8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8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8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8">
        <v>190499.82069171756</v>
      </c>
      <c r="N40" s="8">
        <v>32040.147667669222</v>
      </c>
      <c r="O40" s="9">
        <v>26647.700000000004</v>
      </c>
      <c r="P40" s="9">
        <v>511.54999999999995</v>
      </c>
      <c r="Q40" s="8">
        <v>14535</v>
      </c>
      <c r="R40" s="8">
        <v>1706</v>
      </c>
      <c r="S40" s="8">
        <v>121</v>
      </c>
      <c r="T40" s="8">
        <v>3018</v>
      </c>
      <c r="U40" s="8">
        <v>31</v>
      </c>
      <c r="W40" s="8"/>
    </row>
    <row r="41" spans="1:23">
      <c r="A41" s="7">
        <v>42095</v>
      </c>
      <c r="B41" s="6">
        <f t="shared" si="4"/>
        <v>2015</v>
      </c>
      <c r="C41" s="8"/>
      <c r="D41" s="8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8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8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8">
        <v>160609.75782857946</v>
      </c>
      <c r="N41" s="8">
        <v>33433.373563045287</v>
      </c>
      <c r="O41" s="9">
        <v>25822.030000000002</v>
      </c>
      <c r="P41" s="9">
        <v>511.54999999999995</v>
      </c>
      <c r="Q41" s="8">
        <v>14475</v>
      </c>
      <c r="R41" s="8">
        <v>1702</v>
      </c>
      <c r="S41" s="8">
        <v>123</v>
      </c>
      <c r="T41" s="8">
        <v>3018</v>
      </c>
      <c r="U41" s="8">
        <v>32</v>
      </c>
      <c r="W41" s="8"/>
    </row>
    <row r="42" spans="1:23">
      <c r="A42" s="7">
        <v>42125</v>
      </c>
      <c r="B42" s="6">
        <f t="shared" si="4"/>
        <v>2015</v>
      </c>
      <c r="C42" s="8"/>
      <c r="D42" s="8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8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8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8">
        <v>144889.20364848452</v>
      </c>
      <c r="N42" s="8">
        <v>34787.308376397152</v>
      </c>
      <c r="O42" s="9">
        <v>25188.670000000002</v>
      </c>
      <c r="P42" s="9">
        <v>511.54999999999995</v>
      </c>
      <c r="Q42" s="8">
        <v>14627</v>
      </c>
      <c r="R42" s="8">
        <v>1704</v>
      </c>
      <c r="S42" s="8">
        <v>124</v>
      </c>
      <c r="T42" s="8">
        <v>3018</v>
      </c>
      <c r="U42" s="8">
        <v>30</v>
      </c>
      <c r="W42" s="8"/>
    </row>
    <row r="43" spans="1:23">
      <c r="A43" s="7">
        <v>42156</v>
      </c>
      <c r="B43" s="6">
        <f t="shared" si="4"/>
        <v>2015</v>
      </c>
      <c r="C43" s="8"/>
      <c r="D43" s="8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8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8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8">
        <v>129471.03600293165</v>
      </c>
      <c r="N43" s="8">
        <v>31577.384434060365</v>
      </c>
      <c r="O43" s="9">
        <v>25787.739999999994</v>
      </c>
      <c r="P43" s="9">
        <v>511.54999999999995</v>
      </c>
      <c r="Q43" s="8">
        <v>14580</v>
      </c>
      <c r="R43" s="8">
        <v>1729</v>
      </c>
      <c r="S43" s="8">
        <v>121</v>
      </c>
      <c r="T43" s="8">
        <v>3018</v>
      </c>
      <c r="U43" s="8">
        <v>30</v>
      </c>
      <c r="W43" s="8"/>
    </row>
    <row r="44" spans="1:23">
      <c r="A44" s="7">
        <v>42186</v>
      </c>
      <c r="B44" s="6">
        <f t="shared" si="4"/>
        <v>2015</v>
      </c>
      <c r="C44" s="8"/>
      <c r="D44" s="8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8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8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8">
        <v>138915.55084686205</v>
      </c>
      <c r="N44" s="8">
        <v>34246.804308103172</v>
      </c>
      <c r="O44" s="9">
        <v>25380.719999999998</v>
      </c>
      <c r="P44" s="9">
        <v>511.54999999999995</v>
      </c>
      <c r="Q44" s="8">
        <v>14553</v>
      </c>
      <c r="R44" s="8">
        <v>1717</v>
      </c>
      <c r="S44" s="8">
        <v>121</v>
      </c>
      <c r="T44" s="8">
        <v>3018</v>
      </c>
      <c r="U44" s="8">
        <v>30</v>
      </c>
      <c r="W44" s="8"/>
    </row>
    <row r="45" spans="1:23">
      <c r="A45" s="7">
        <v>42217</v>
      </c>
      <c r="B45" s="6">
        <f t="shared" ref="B45:B108" si="5">YEAR(A45)</f>
        <v>2015</v>
      </c>
      <c r="C45" s="8"/>
      <c r="D45" s="8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8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8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8">
        <v>157044.01042137286</v>
      </c>
      <c r="N45" s="8">
        <v>34718.713752167539</v>
      </c>
      <c r="O45" s="9">
        <v>20514.960000000003</v>
      </c>
      <c r="P45" s="9">
        <v>511.54999999999995</v>
      </c>
      <c r="Q45" s="8">
        <v>14579</v>
      </c>
      <c r="R45" s="8">
        <v>1712</v>
      </c>
      <c r="S45" s="8">
        <v>125</v>
      </c>
      <c r="T45" s="8">
        <v>3018</v>
      </c>
      <c r="U45" s="8">
        <v>30</v>
      </c>
      <c r="W45" s="8"/>
    </row>
    <row r="46" spans="1:23">
      <c r="A46" s="7">
        <v>42248</v>
      </c>
      <c r="B46" s="6">
        <f t="shared" si="5"/>
        <v>2015</v>
      </c>
      <c r="C46" s="8"/>
      <c r="D46" s="8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8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8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8">
        <v>174615.38706665463</v>
      </c>
      <c r="N46" s="8">
        <v>31559.353955202154</v>
      </c>
      <c r="O46" s="9">
        <v>29922.079999999994</v>
      </c>
      <c r="P46" s="9">
        <v>511.54999999999995</v>
      </c>
      <c r="Q46" s="8">
        <v>14628</v>
      </c>
      <c r="R46" s="8">
        <v>1723</v>
      </c>
      <c r="S46" s="8">
        <v>125</v>
      </c>
      <c r="T46" s="8">
        <v>3018</v>
      </c>
      <c r="U46" s="8">
        <v>30</v>
      </c>
      <c r="W46" s="8"/>
    </row>
    <row r="47" spans="1:23">
      <c r="A47" s="7">
        <v>42278</v>
      </c>
      <c r="B47" s="6">
        <f t="shared" si="5"/>
        <v>2015</v>
      </c>
      <c r="C47" s="8"/>
      <c r="D47" s="8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8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8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8">
        <v>204813.64549260569</v>
      </c>
      <c r="N47" s="8">
        <v>34315.594757616309</v>
      </c>
      <c r="O47" s="9">
        <v>26569.500000000004</v>
      </c>
      <c r="P47" s="9">
        <v>511.54999999999995</v>
      </c>
      <c r="Q47" s="8">
        <v>14609</v>
      </c>
      <c r="R47" s="8">
        <v>1721</v>
      </c>
      <c r="S47" s="8">
        <v>125</v>
      </c>
      <c r="T47" s="8">
        <v>3018</v>
      </c>
      <c r="U47" s="8">
        <v>30</v>
      </c>
      <c r="W47" s="8"/>
    </row>
    <row r="48" spans="1:23">
      <c r="A48" s="7">
        <v>42309</v>
      </c>
      <c r="B48" s="6">
        <f t="shared" si="5"/>
        <v>2015</v>
      </c>
      <c r="C48" s="8"/>
      <c r="D48" s="8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8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8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8">
        <v>219018.85435177654</v>
      </c>
      <c r="N48" s="8">
        <v>34103.117660684351</v>
      </c>
      <c r="O48" s="9">
        <v>25145.720000000008</v>
      </c>
      <c r="P48" s="9">
        <v>511.54999999999995</v>
      </c>
      <c r="Q48" s="8">
        <v>14586</v>
      </c>
      <c r="R48" s="8">
        <v>1718</v>
      </c>
      <c r="S48" s="8">
        <v>126</v>
      </c>
      <c r="T48" s="8">
        <v>3018</v>
      </c>
      <c r="U48" s="8">
        <v>30</v>
      </c>
      <c r="W48" s="8"/>
    </row>
    <row r="49" spans="1:23">
      <c r="A49" s="7">
        <v>42339</v>
      </c>
      <c r="B49" s="6">
        <f t="shared" si="5"/>
        <v>2015</v>
      </c>
      <c r="C49" s="8"/>
      <c r="D49" s="8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8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8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8">
        <v>239047.41292932947</v>
      </c>
      <c r="N49" s="8">
        <v>32124.001186854672</v>
      </c>
      <c r="O49" s="9">
        <v>25555.899999999998</v>
      </c>
      <c r="P49" s="9">
        <v>511.54999999999995</v>
      </c>
      <c r="Q49" s="8">
        <v>14673</v>
      </c>
      <c r="R49" s="8">
        <v>1727</v>
      </c>
      <c r="S49" s="8">
        <v>126</v>
      </c>
      <c r="T49" s="8">
        <v>3018</v>
      </c>
      <c r="U49" s="8">
        <v>30</v>
      </c>
      <c r="W49" s="8"/>
    </row>
    <row r="50" spans="1:23">
      <c r="A50" s="7">
        <v>42370</v>
      </c>
      <c r="B50" s="6">
        <f t="shared" si="5"/>
        <v>2016</v>
      </c>
      <c r="C50" s="8"/>
      <c r="D50" s="8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8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8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8">
        <v>232228.24493238155</v>
      </c>
      <c r="N50" s="8">
        <v>34010.772242230225</v>
      </c>
      <c r="O50" s="9">
        <v>25271.989999999998</v>
      </c>
      <c r="P50" s="9">
        <v>511.54999999999995</v>
      </c>
      <c r="Q50" s="8">
        <v>14724</v>
      </c>
      <c r="R50" s="8">
        <v>1723</v>
      </c>
      <c r="S50" s="8">
        <v>126</v>
      </c>
      <c r="T50" s="8">
        <v>3018</v>
      </c>
      <c r="U50" s="8">
        <v>30</v>
      </c>
      <c r="W50" s="8"/>
    </row>
    <row r="51" spans="1:23">
      <c r="A51" s="7">
        <v>42401</v>
      </c>
      <c r="B51" s="6">
        <f t="shared" si="5"/>
        <v>2016</v>
      </c>
      <c r="C51" s="8"/>
      <c r="D51" s="8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8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8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8">
        <v>199737.63340115434</v>
      </c>
      <c r="N51" s="8">
        <v>31065.543450157224</v>
      </c>
      <c r="O51" s="9">
        <v>24882.779999999995</v>
      </c>
      <c r="P51" s="9">
        <v>511.54999999999995</v>
      </c>
      <c r="Q51" s="8">
        <v>14666</v>
      </c>
      <c r="R51" s="8">
        <v>1724</v>
      </c>
      <c r="S51" s="8">
        <v>144</v>
      </c>
      <c r="T51" s="8">
        <v>3069</v>
      </c>
      <c r="U51" s="8">
        <v>30</v>
      </c>
      <c r="W51" s="8"/>
    </row>
    <row r="52" spans="1:23">
      <c r="A52" s="7">
        <v>42430</v>
      </c>
      <c r="B52" s="6">
        <f t="shared" si="5"/>
        <v>2016</v>
      </c>
      <c r="C52" s="8"/>
      <c r="D52" s="8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8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8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8">
        <v>176768.39774248595</v>
      </c>
      <c r="N52" s="8">
        <v>34160.893191165975</v>
      </c>
      <c r="O52" s="9">
        <v>27735.630000000005</v>
      </c>
      <c r="P52" s="9">
        <v>511.54999999999995</v>
      </c>
      <c r="Q52" s="8">
        <v>14697.5</v>
      </c>
      <c r="R52" s="8">
        <v>1731</v>
      </c>
      <c r="S52" s="8">
        <v>136</v>
      </c>
      <c r="T52" s="8">
        <v>3069</v>
      </c>
      <c r="U52" s="8">
        <v>30</v>
      </c>
      <c r="W52" s="8"/>
    </row>
    <row r="53" spans="1:23">
      <c r="A53" s="7">
        <v>42461</v>
      </c>
      <c r="B53" s="6">
        <f t="shared" si="5"/>
        <v>2016</v>
      </c>
      <c r="C53" s="8"/>
      <c r="D53" s="8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8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8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8">
        <v>148609.893627702</v>
      </c>
      <c r="N53" s="8">
        <v>34364.849219974727</v>
      </c>
      <c r="O53" s="9">
        <v>26003.790000000005</v>
      </c>
      <c r="P53" s="9">
        <v>501.98999999999995</v>
      </c>
      <c r="Q53" s="8">
        <v>14697.5</v>
      </c>
      <c r="R53" s="8">
        <v>1731</v>
      </c>
      <c r="S53" s="8">
        <v>130</v>
      </c>
      <c r="T53" s="8">
        <v>3069</v>
      </c>
      <c r="U53" s="8">
        <v>30</v>
      </c>
      <c r="W53" s="8"/>
    </row>
    <row r="54" spans="1:23">
      <c r="A54" s="7">
        <v>42491</v>
      </c>
      <c r="B54" s="6">
        <f t="shared" si="5"/>
        <v>2016</v>
      </c>
      <c r="C54" s="8"/>
      <c r="D54" s="8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8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8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8">
        <v>134063.85987369859</v>
      </c>
      <c r="N54" s="8">
        <v>32305.711470968316</v>
      </c>
      <c r="O54" s="9">
        <v>25716.509999999991</v>
      </c>
      <c r="P54" s="9">
        <v>473.33000000000004</v>
      </c>
      <c r="Q54" s="8">
        <v>14833</v>
      </c>
      <c r="R54" s="8">
        <v>1735</v>
      </c>
      <c r="S54" s="8">
        <v>129</v>
      </c>
      <c r="T54" s="8">
        <v>3069</v>
      </c>
      <c r="U54" s="8">
        <v>30</v>
      </c>
      <c r="W54" s="8"/>
    </row>
    <row r="55" spans="1:23">
      <c r="A55" s="7">
        <v>42522</v>
      </c>
      <c r="B55" s="6">
        <f t="shared" si="5"/>
        <v>2016</v>
      </c>
      <c r="C55" s="8"/>
      <c r="D55" s="8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8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8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8">
        <v>119797.86904008915</v>
      </c>
      <c r="N55" s="8">
        <v>33307.505682559764</v>
      </c>
      <c r="O55" s="9">
        <v>26115.979999999996</v>
      </c>
      <c r="P55" s="9">
        <v>473.33</v>
      </c>
      <c r="Q55" s="8">
        <v>14776</v>
      </c>
      <c r="R55" s="8">
        <v>1738</v>
      </c>
      <c r="S55" s="8">
        <v>124</v>
      </c>
      <c r="T55" s="8">
        <v>3069</v>
      </c>
      <c r="U55" s="8">
        <v>30</v>
      </c>
      <c r="W55" s="8"/>
    </row>
    <row r="56" spans="1:23">
      <c r="A56" s="7">
        <v>42552</v>
      </c>
      <c r="B56" s="6">
        <f t="shared" si="5"/>
        <v>2016</v>
      </c>
      <c r="C56" s="8"/>
      <c r="D56" s="8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8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8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8">
        <v>128536.57389837656</v>
      </c>
      <c r="N56" s="8">
        <v>34508.64538431861</v>
      </c>
      <c r="O56" s="9">
        <v>26453.4</v>
      </c>
      <c r="P56" s="9">
        <v>473.33</v>
      </c>
      <c r="Q56" s="8">
        <v>14784</v>
      </c>
      <c r="R56" s="8">
        <v>1753</v>
      </c>
      <c r="S56" s="8">
        <v>126</v>
      </c>
      <c r="T56" s="8">
        <v>3069</v>
      </c>
      <c r="U56" s="8">
        <v>30</v>
      </c>
      <c r="W56" s="8"/>
    </row>
    <row r="57" spans="1:23">
      <c r="A57" s="7">
        <v>42583</v>
      </c>
      <c r="B57" s="6">
        <f t="shared" si="5"/>
        <v>2016</v>
      </c>
      <c r="C57" s="8"/>
      <c r="D57" s="8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8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8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8">
        <v>145310.59787355806</v>
      </c>
      <c r="N57" s="8">
        <v>31788.626350540224</v>
      </c>
      <c r="O57" s="9">
        <v>27287.139999999992</v>
      </c>
      <c r="P57" s="9">
        <v>473.33000000000004</v>
      </c>
      <c r="Q57" s="8">
        <v>14829</v>
      </c>
      <c r="R57" s="8">
        <v>1757</v>
      </c>
      <c r="S57" s="8">
        <v>128</v>
      </c>
      <c r="T57" s="8">
        <v>3069</v>
      </c>
      <c r="U57" s="8">
        <v>29</v>
      </c>
      <c r="W57" s="8"/>
    </row>
    <row r="58" spans="1:23">
      <c r="A58" s="7">
        <v>42614</v>
      </c>
      <c r="B58" s="6">
        <f t="shared" si="5"/>
        <v>2016</v>
      </c>
      <c r="C58" s="8"/>
      <c r="D58" s="8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8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8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8">
        <v>161569.06414465426</v>
      </c>
      <c r="N58" s="8">
        <v>33369.217371894993</v>
      </c>
      <c r="O58" s="9">
        <v>27545.469999999994</v>
      </c>
      <c r="P58" s="9">
        <v>473.33</v>
      </c>
      <c r="Q58" s="8">
        <v>14797</v>
      </c>
      <c r="R58" s="8">
        <v>1734</v>
      </c>
      <c r="S58" s="8">
        <v>127</v>
      </c>
      <c r="T58" s="8">
        <v>3069</v>
      </c>
      <c r="U58" s="8">
        <v>31</v>
      </c>
      <c r="W58" s="8"/>
    </row>
    <row r="59" spans="1:23">
      <c r="A59" s="7">
        <v>42644</v>
      </c>
      <c r="B59" s="6">
        <f t="shared" si="5"/>
        <v>2016</v>
      </c>
      <c r="C59" s="8"/>
      <c r="D59" s="8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8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8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8">
        <v>189685.44867122476</v>
      </c>
      <c r="N59" s="8">
        <v>34830.204014939314</v>
      </c>
      <c r="O59" s="9">
        <v>27124.48</v>
      </c>
      <c r="P59" s="9">
        <v>473.33</v>
      </c>
      <c r="Q59" s="8">
        <v>14916</v>
      </c>
      <c r="R59" s="8">
        <v>1744</v>
      </c>
      <c r="S59" s="8">
        <v>128</v>
      </c>
      <c r="T59" s="8">
        <v>3069</v>
      </c>
      <c r="U59" s="8">
        <v>30</v>
      </c>
      <c r="W59" s="8"/>
    </row>
    <row r="60" spans="1:23">
      <c r="A60" s="7">
        <v>42675</v>
      </c>
      <c r="B60" s="6">
        <f t="shared" si="5"/>
        <v>2016</v>
      </c>
      <c r="C60" s="8"/>
      <c r="D60" s="8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8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8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8">
        <v>202943.46791763301</v>
      </c>
      <c r="N60" s="8">
        <v>33679.860544217692</v>
      </c>
      <c r="O60" s="9">
        <v>27066.76</v>
      </c>
      <c r="P60" s="9">
        <v>474.01</v>
      </c>
      <c r="Q60" s="8">
        <v>14928</v>
      </c>
      <c r="R60" s="8">
        <v>1744.5</v>
      </c>
      <c r="S60" s="8">
        <v>128</v>
      </c>
      <c r="T60" s="8">
        <v>3069</v>
      </c>
      <c r="U60" s="8">
        <v>30</v>
      </c>
      <c r="W60" s="8"/>
    </row>
    <row r="61" spans="1:23">
      <c r="A61" s="7">
        <v>42705</v>
      </c>
      <c r="B61" s="6">
        <f t="shared" si="5"/>
        <v>2016</v>
      </c>
      <c r="C61" s="8"/>
      <c r="D61" s="8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8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8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8">
        <v>221504.91586598798</v>
      </c>
      <c r="N61" s="8">
        <v>31784.619114312391</v>
      </c>
      <c r="O61" s="9">
        <v>26087.759999999998</v>
      </c>
      <c r="P61" s="9">
        <v>474.01000000000005</v>
      </c>
      <c r="Q61" s="8">
        <v>14928</v>
      </c>
      <c r="R61" s="8">
        <v>1744.5</v>
      </c>
      <c r="S61" s="8">
        <v>130</v>
      </c>
      <c r="T61" s="8">
        <v>3069</v>
      </c>
      <c r="U61" s="8">
        <v>30</v>
      </c>
      <c r="W61" s="8"/>
    </row>
    <row r="62" spans="1:23">
      <c r="A62" s="7">
        <v>42736</v>
      </c>
      <c r="B62" s="6">
        <f t="shared" si="5"/>
        <v>2017</v>
      </c>
      <c r="C62" s="8"/>
      <c r="D62" s="8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8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8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8">
        <v>133380.70118369928</v>
      </c>
      <c r="N62" s="8">
        <v>33734.31912765107</v>
      </c>
      <c r="O62" s="9">
        <v>26034.580000000005</v>
      </c>
      <c r="P62" s="9">
        <v>474.01000000000005</v>
      </c>
      <c r="Q62" s="8">
        <v>15020</v>
      </c>
      <c r="R62" s="8">
        <v>1739</v>
      </c>
      <c r="S62" s="8">
        <v>126</v>
      </c>
      <c r="T62" s="8">
        <v>3069</v>
      </c>
      <c r="U62" s="8">
        <v>30</v>
      </c>
      <c r="W62" s="8"/>
    </row>
    <row r="63" spans="1:23">
      <c r="A63" s="7">
        <v>42767</v>
      </c>
      <c r="B63" s="6">
        <f t="shared" si="5"/>
        <v>2017</v>
      </c>
      <c r="C63" s="8"/>
      <c r="D63" s="8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8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8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8">
        <v>108624.99508405513</v>
      </c>
      <c r="N63" s="8">
        <v>30132.438308656801</v>
      </c>
      <c r="O63" s="9">
        <v>25927.160000000003</v>
      </c>
      <c r="P63" s="9">
        <v>427.40999999999997</v>
      </c>
      <c r="Q63" s="8">
        <v>14981</v>
      </c>
      <c r="R63" s="8">
        <v>1744</v>
      </c>
      <c r="S63" s="8">
        <v>126</v>
      </c>
      <c r="T63" s="8">
        <v>3069</v>
      </c>
      <c r="U63" s="8">
        <v>30</v>
      </c>
      <c r="W63" s="8"/>
    </row>
    <row r="64" spans="1:23">
      <c r="A64" s="7">
        <v>42795</v>
      </c>
      <c r="B64" s="6">
        <f t="shared" si="5"/>
        <v>2017</v>
      </c>
      <c r="C64" s="8"/>
      <c r="D64" s="8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8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8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8">
        <v>107105.11364760959</v>
      </c>
      <c r="N64" s="8">
        <v>33972.705482192883</v>
      </c>
      <c r="O64" s="9">
        <v>25972.27</v>
      </c>
      <c r="P64" s="9">
        <v>287.61</v>
      </c>
      <c r="Q64" s="8">
        <v>14985</v>
      </c>
      <c r="R64" s="8">
        <v>1736</v>
      </c>
      <c r="S64" s="8">
        <v>124</v>
      </c>
      <c r="T64" s="8">
        <v>3069</v>
      </c>
      <c r="U64" s="8">
        <v>30</v>
      </c>
      <c r="W64" s="8"/>
    </row>
    <row r="65" spans="1:23">
      <c r="A65" s="7">
        <v>42826</v>
      </c>
      <c r="B65" s="6">
        <f t="shared" si="5"/>
        <v>2017</v>
      </c>
      <c r="C65" s="8"/>
      <c r="D65" s="8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8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8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8">
        <v>90299.89731232998</v>
      </c>
      <c r="N65" s="8">
        <v>33841.683340002674</v>
      </c>
      <c r="O65" s="9">
        <v>25778.839999999997</v>
      </c>
      <c r="P65" s="9">
        <v>287.61</v>
      </c>
      <c r="Q65" s="8">
        <v>14923</v>
      </c>
      <c r="R65" s="8">
        <v>1748</v>
      </c>
      <c r="S65" s="8">
        <v>125</v>
      </c>
      <c r="T65" s="8">
        <v>3069</v>
      </c>
      <c r="U65" s="8">
        <v>30</v>
      </c>
      <c r="W65" s="8"/>
    </row>
    <row r="66" spans="1:23">
      <c r="A66" s="7">
        <v>42856</v>
      </c>
      <c r="B66" s="6">
        <f t="shared" si="5"/>
        <v>2017</v>
      </c>
      <c r="C66" s="8"/>
      <c r="D66" s="8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8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8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8">
        <v>81461.249942270821</v>
      </c>
      <c r="N66" s="8">
        <v>31829.167667066831</v>
      </c>
      <c r="O66" s="9">
        <v>24976.589999999997</v>
      </c>
      <c r="P66" s="9">
        <v>287.61</v>
      </c>
      <c r="Q66" s="8">
        <v>15053</v>
      </c>
      <c r="R66" s="8">
        <v>1737</v>
      </c>
      <c r="S66" s="8">
        <v>125</v>
      </c>
      <c r="T66" s="8">
        <v>3069</v>
      </c>
      <c r="U66" s="8">
        <v>30</v>
      </c>
      <c r="W66" s="8"/>
    </row>
    <row r="67" spans="1:23">
      <c r="A67" s="7">
        <v>42887</v>
      </c>
      <c r="B67" s="6">
        <f t="shared" si="5"/>
        <v>2017</v>
      </c>
      <c r="C67" s="8"/>
      <c r="D67" s="8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8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8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8">
        <v>72792.820708211599</v>
      </c>
      <c r="N67" s="8">
        <v>33369.960384153666</v>
      </c>
      <c r="O67" s="9">
        <v>26002.260000000002</v>
      </c>
      <c r="P67" s="9">
        <v>287.61</v>
      </c>
      <c r="Q67" s="8">
        <v>14924</v>
      </c>
      <c r="R67" s="8">
        <v>1739</v>
      </c>
      <c r="S67" s="8">
        <v>125</v>
      </c>
      <c r="T67" s="8">
        <v>3069</v>
      </c>
      <c r="U67" s="8">
        <v>30</v>
      </c>
      <c r="W67" s="8"/>
    </row>
    <row r="68" spans="1:23">
      <c r="A68" s="7">
        <v>42917</v>
      </c>
      <c r="B68" s="6">
        <f t="shared" si="5"/>
        <v>2017</v>
      </c>
      <c r="C68" s="8"/>
      <c r="D68" s="8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8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8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8">
        <v>78102.747196369586</v>
      </c>
      <c r="N68" s="8">
        <v>34423.691343203951</v>
      </c>
      <c r="O68" s="9">
        <v>25979.749999999993</v>
      </c>
      <c r="P68" s="9">
        <v>287.61</v>
      </c>
      <c r="Q68" s="8">
        <v>15264</v>
      </c>
      <c r="R68" s="8">
        <v>1748</v>
      </c>
      <c r="S68" s="8">
        <v>127</v>
      </c>
      <c r="T68" s="8">
        <v>3069</v>
      </c>
      <c r="U68" s="8">
        <v>30</v>
      </c>
      <c r="W68" s="8"/>
    </row>
    <row r="69" spans="1:23">
      <c r="A69" s="7">
        <v>42948</v>
      </c>
      <c r="B69" s="6">
        <f t="shared" si="5"/>
        <v>2017</v>
      </c>
      <c r="C69" s="8"/>
      <c r="D69" s="8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8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8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8">
        <v>88295.15677238637</v>
      </c>
      <c r="N69" s="8">
        <v>31793.62925170068</v>
      </c>
      <c r="O69" s="9">
        <v>25670.32</v>
      </c>
      <c r="P69" s="9">
        <v>287.61</v>
      </c>
      <c r="Q69" s="8">
        <v>15122</v>
      </c>
      <c r="R69" s="8">
        <v>1746</v>
      </c>
      <c r="S69" s="8">
        <v>129</v>
      </c>
      <c r="T69" s="8">
        <v>3069</v>
      </c>
      <c r="U69" s="8">
        <v>30</v>
      </c>
      <c r="W69" s="8"/>
    </row>
    <row r="70" spans="1:23">
      <c r="A70" s="7">
        <v>42979</v>
      </c>
      <c r="B70" s="6">
        <f t="shared" si="5"/>
        <v>2017</v>
      </c>
      <c r="C70" s="8"/>
      <c r="D70" s="8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8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8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8">
        <v>98174.326656827616</v>
      </c>
      <c r="N70" s="8">
        <v>33438.750833666818</v>
      </c>
      <c r="O70" s="9">
        <v>24722.83</v>
      </c>
      <c r="P70" s="9">
        <v>287.61</v>
      </c>
      <c r="Q70" s="8">
        <v>15188</v>
      </c>
      <c r="R70" s="8">
        <v>1740</v>
      </c>
      <c r="S70" s="8">
        <v>127</v>
      </c>
      <c r="T70" s="8">
        <v>3069</v>
      </c>
      <c r="U70" s="8">
        <v>30</v>
      </c>
      <c r="W70" s="8"/>
    </row>
    <row r="71" spans="1:23">
      <c r="A71" s="7">
        <v>43009</v>
      </c>
      <c r="B71" s="6">
        <f t="shared" si="5"/>
        <v>2017</v>
      </c>
      <c r="C71" s="8"/>
      <c r="D71" s="8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8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8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8">
        <v>115152.76680421273</v>
      </c>
      <c r="N71" s="8">
        <v>34830.204014939307</v>
      </c>
      <c r="O71" s="9">
        <v>26566.619999999995</v>
      </c>
      <c r="P71" s="9">
        <v>287.61</v>
      </c>
      <c r="Q71" s="8">
        <v>15208</v>
      </c>
      <c r="R71" s="8">
        <v>1743</v>
      </c>
      <c r="S71" s="8">
        <v>128</v>
      </c>
      <c r="T71" s="8">
        <v>3069</v>
      </c>
      <c r="U71" s="8">
        <v>30</v>
      </c>
      <c r="W71" s="8"/>
    </row>
    <row r="72" spans="1:23">
      <c r="A72" s="7">
        <v>43040</v>
      </c>
      <c r="B72" s="6">
        <f t="shared" si="5"/>
        <v>2017</v>
      </c>
      <c r="C72" s="8"/>
      <c r="D72" s="8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8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8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8">
        <v>123139.42304950654</v>
      </c>
      <c r="N72" s="8">
        <v>34180.595657870996</v>
      </c>
      <c r="O72" s="9">
        <v>26094.429999999997</v>
      </c>
      <c r="P72" s="9">
        <v>287.61</v>
      </c>
      <c r="Q72" s="8">
        <v>15218</v>
      </c>
      <c r="R72" s="8">
        <v>1738</v>
      </c>
      <c r="S72" s="8">
        <v>130</v>
      </c>
      <c r="T72" s="8">
        <v>3069</v>
      </c>
      <c r="U72" s="8">
        <v>30</v>
      </c>
      <c r="W72" s="8"/>
    </row>
    <row r="73" spans="1:23">
      <c r="A73" s="7">
        <v>43070</v>
      </c>
      <c r="B73" s="6">
        <f t="shared" si="5"/>
        <v>2017</v>
      </c>
      <c r="C73" s="8"/>
      <c r="D73" s="8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8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8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8">
        <v>134400.20226298404</v>
      </c>
      <c r="N73" s="8">
        <v>34569.169405016903</v>
      </c>
      <c r="O73" s="9">
        <v>24596.639999999996</v>
      </c>
      <c r="P73" s="9">
        <v>287.61</v>
      </c>
      <c r="Q73" s="8">
        <v>15228</v>
      </c>
      <c r="R73" s="8">
        <v>1732</v>
      </c>
      <c r="S73" s="8">
        <v>131</v>
      </c>
      <c r="T73" s="8">
        <v>3069</v>
      </c>
      <c r="U73" s="8">
        <v>30</v>
      </c>
      <c r="W73" s="8"/>
    </row>
    <row r="74" spans="1:23">
      <c r="A74" s="7">
        <v>43101</v>
      </c>
      <c r="B74" s="6">
        <f t="shared" si="5"/>
        <v>2018</v>
      </c>
      <c r="C74" s="8"/>
      <c r="D74" s="8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8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8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8">
        <v>130566.16517574774</v>
      </c>
      <c r="N74" s="8">
        <v>32175.028988065817</v>
      </c>
      <c r="O74" s="9">
        <v>27106.87</v>
      </c>
      <c r="P74" s="9">
        <v>287.61</v>
      </c>
      <c r="Q74" s="8">
        <v>15358</v>
      </c>
      <c r="R74" s="8">
        <v>1745</v>
      </c>
      <c r="S74" s="8">
        <v>131</v>
      </c>
      <c r="T74" s="8">
        <v>3069</v>
      </c>
      <c r="U74" s="8">
        <v>30</v>
      </c>
      <c r="W74" s="8"/>
    </row>
    <row r="75" spans="1:23">
      <c r="A75" s="7">
        <v>43132</v>
      </c>
      <c r="B75" s="6">
        <f t="shared" si="5"/>
        <v>2018</v>
      </c>
      <c r="C75" s="8"/>
      <c r="D75" s="8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8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8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8">
        <v>108624.99508405512</v>
      </c>
      <c r="N75" s="8">
        <v>31694.43230625584</v>
      </c>
      <c r="O75" s="9">
        <v>26969.469999999998</v>
      </c>
      <c r="P75" s="9">
        <v>287.61</v>
      </c>
      <c r="Q75" s="8">
        <v>15245</v>
      </c>
      <c r="R75" s="8">
        <v>1738</v>
      </c>
      <c r="S75" s="8">
        <v>132</v>
      </c>
      <c r="T75" s="8">
        <v>3136</v>
      </c>
      <c r="U75" s="8">
        <v>30</v>
      </c>
      <c r="W75" s="8"/>
    </row>
    <row r="76" spans="1:23">
      <c r="A76" s="7">
        <v>43160</v>
      </c>
      <c r="B76" s="6">
        <f t="shared" si="5"/>
        <v>2018</v>
      </c>
      <c r="C76" s="8"/>
      <c r="D76" s="8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8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8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8">
        <v>105479.33430361391</v>
      </c>
      <c r="N76" s="8">
        <v>34868.971588635453</v>
      </c>
      <c r="O76" s="9">
        <v>26484.61</v>
      </c>
      <c r="P76" s="9">
        <v>287.61</v>
      </c>
      <c r="Q76" s="8">
        <v>15374</v>
      </c>
      <c r="R76" s="8">
        <v>1754</v>
      </c>
      <c r="S76" s="8">
        <v>129</v>
      </c>
      <c r="T76" s="8">
        <v>3136</v>
      </c>
      <c r="U76" s="8">
        <v>30</v>
      </c>
      <c r="W76" s="8"/>
    </row>
    <row r="77" spans="1:23">
      <c r="A77" s="7">
        <v>43191</v>
      </c>
      <c r="B77" s="6">
        <f t="shared" si="5"/>
        <v>2018</v>
      </c>
      <c r="C77" s="8"/>
      <c r="D77" s="8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8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8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8">
        <v>88074.342078049871</v>
      </c>
      <c r="N77" s="8">
        <v>31778.661998132593</v>
      </c>
      <c r="O77" s="9">
        <v>28368.31</v>
      </c>
      <c r="P77" s="9">
        <v>287.61</v>
      </c>
      <c r="Q77" s="8">
        <v>15309</v>
      </c>
      <c r="R77" s="8">
        <v>1747</v>
      </c>
      <c r="S77" s="8">
        <v>137</v>
      </c>
      <c r="T77" s="8">
        <v>3136</v>
      </c>
      <c r="U77" s="8">
        <v>30</v>
      </c>
      <c r="W77" s="8"/>
    </row>
    <row r="78" spans="1:23">
      <c r="A78" s="7">
        <v>43221</v>
      </c>
      <c r="B78" s="6">
        <f t="shared" si="5"/>
        <v>2018</v>
      </c>
      <c r="C78" s="8"/>
      <c r="D78" s="8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8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8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8">
        <v>79424.877222573617</v>
      </c>
      <c r="N78" s="8">
        <v>33064.713352007471</v>
      </c>
      <c r="O78" s="9">
        <v>24841.78</v>
      </c>
      <c r="P78" s="9">
        <v>280.41999999999996</v>
      </c>
      <c r="Q78" s="8">
        <v>15374</v>
      </c>
      <c r="R78" s="8">
        <v>1745</v>
      </c>
      <c r="S78" s="8">
        <v>127</v>
      </c>
      <c r="T78" s="8">
        <v>3136</v>
      </c>
      <c r="U78" s="8">
        <v>30</v>
      </c>
      <c r="W78" s="8"/>
    </row>
    <row r="79" spans="1:23">
      <c r="A79" s="7">
        <v>43252</v>
      </c>
      <c r="B79" s="6">
        <f t="shared" si="5"/>
        <v>2018</v>
      </c>
      <c r="C79" s="8"/>
      <c r="D79" s="8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8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8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8">
        <v>70972.987078702441</v>
      </c>
      <c r="N79" s="8">
        <v>33761.116446578635</v>
      </c>
      <c r="O79" s="9">
        <v>26233.82</v>
      </c>
      <c r="P79" s="9">
        <v>280.41999999999996</v>
      </c>
      <c r="Q79" s="8">
        <v>15358</v>
      </c>
      <c r="R79" s="8">
        <v>1749</v>
      </c>
      <c r="S79" s="8">
        <v>127</v>
      </c>
      <c r="T79" s="8">
        <v>3136</v>
      </c>
      <c r="U79" s="8">
        <v>30</v>
      </c>
      <c r="W79" s="8"/>
    </row>
    <row r="80" spans="1:23">
      <c r="A80" s="7">
        <v>43282</v>
      </c>
      <c r="B80" s="6">
        <f t="shared" si="5"/>
        <v>2018</v>
      </c>
      <c r="C80" s="8"/>
      <c r="D80" s="8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8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8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8">
        <v>76150.200475889287</v>
      </c>
      <c r="N80" s="8">
        <v>31700.8975590236</v>
      </c>
      <c r="O80" s="9">
        <v>26759.030000000006</v>
      </c>
      <c r="P80" s="9">
        <v>280.41999999999996</v>
      </c>
      <c r="Q80" s="8">
        <v>15420</v>
      </c>
      <c r="R80" s="8">
        <v>1753</v>
      </c>
      <c r="S80" s="8">
        <v>128</v>
      </c>
      <c r="T80" s="8">
        <v>3136</v>
      </c>
      <c r="U80" s="8">
        <v>30</v>
      </c>
      <c r="W80" s="8"/>
    </row>
    <row r="81" spans="1:23">
      <c r="A81" s="7">
        <v>43313</v>
      </c>
      <c r="B81" s="6">
        <f t="shared" si="5"/>
        <v>2018</v>
      </c>
      <c r="C81" s="8"/>
      <c r="D81" s="8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8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8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8">
        <v>86087.930182825832</v>
      </c>
      <c r="N81" s="8">
        <v>34194.057422969192</v>
      </c>
      <c r="O81" s="9">
        <v>27108.510000000006</v>
      </c>
      <c r="P81" s="9">
        <v>280.41999999999996</v>
      </c>
      <c r="Q81" s="8">
        <v>15379</v>
      </c>
      <c r="R81" s="8">
        <v>1749</v>
      </c>
      <c r="S81" s="8">
        <v>126</v>
      </c>
      <c r="T81" s="8">
        <v>3136</v>
      </c>
      <c r="U81" s="8">
        <v>30</v>
      </c>
      <c r="W81" s="8"/>
    </row>
    <row r="82" spans="1:23">
      <c r="A82" s="7">
        <v>43344</v>
      </c>
      <c r="B82" s="6">
        <f t="shared" si="5"/>
        <v>2018</v>
      </c>
      <c r="C82" s="8"/>
      <c r="D82" s="8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8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8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8">
        <v>95720.143228617599</v>
      </c>
      <c r="N82" s="8">
        <v>33715.364279044959</v>
      </c>
      <c r="O82" s="9">
        <v>26728.809999999994</v>
      </c>
      <c r="P82" s="9">
        <v>280.41999999999996</v>
      </c>
      <c r="Q82" s="8">
        <v>15441</v>
      </c>
      <c r="R82" s="8">
        <v>1762</v>
      </c>
      <c r="S82" s="8">
        <v>125</v>
      </c>
      <c r="T82" s="8">
        <v>3136</v>
      </c>
      <c r="U82" s="8">
        <v>30</v>
      </c>
      <c r="W82" s="8"/>
    </row>
    <row r="83" spans="1:23">
      <c r="A83" s="7">
        <v>43374</v>
      </c>
      <c r="B83" s="6">
        <f t="shared" si="5"/>
        <v>2018</v>
      </c>
      <c r="C83" s="8"/>
      <c r="D83" s="8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8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8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8">
        <v>112274.10122185075</v>
      </c>
      <c r="N83" s="8">
        <v>31672.809457116178</v>
      </c>
      <c r="O83" s="9">
        <v>28215.660000000011</v>
      </c>
      <c r="P83" s="9">
        <v>280.41999999999996</v>
      </c>
      <c r="Q83" s="8">
        <v>15434</v>
      </c>
      <c r="R83" s="8">
        <v>1757</v>
      </c>
      <c r="S83" s="8">
        <v>127</v>
      </c>
      <c r="T83" s="8">
        <v>3136</v>
      </c>
      <c r="U83" s="8">
        <v>30</v>
      </c>
      <c r="W83" s="8"/>
    </row>
    <row r="84" spans="1:23">
      <c r="A84" s="7">
        <v>43405</v>
      </c>
      <c r="B84" s="6">
        <f t="shared" si="5"/>
        <v>2018</v>
      </c>
      <c r="C84" s="8"/>
      <c r="D84" s="8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8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8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8">
        <v>120061.07462626629</v>
      </c>
      <c r="N84" s="8">
        <v>33652.609643857548</v>
      </c>
      <c r="O84" s="9">
        <v>26456.249999999996</v>
      </c>
      <c r="P84" s="9">
        <v>280.41999999999996</v>
      </c>
      <c r="Q84" s="8">
        <v>15487</v>
      </c>
      <c r="R84" s="8">
        <v>1764</v>
      </c>
      <c r="S84" s="8">
        <v>124</v>
      </c>
      <c r="T84" s="8">
        <v>3136</v>
      </c>
      <c r="U84" s="8">
        <v>30</v>
      </c>
      <c r="W84" s="8"/>
    </row>
    <row r="85" spans="1:23">
      <c r="A85" s="7">
        <v>43435</v>
      </c>
      <c r="B85" s="6">
        <f t="shared" si="5"/>
        <v>2018</v>
      </c>
      <c r="C85" s="8"/>
      <c r="D85" s="8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8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8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8">
        <v>131040.28647731495</v>
      </c>
      <c r="N85" s="8">
        <v>34772.945111377885</v>
      </c>
      <c r="O85" s="9">
        <v>25146.899999999994</v>
      </c>
      <c r="P85" s="9">
        <v>280.41999999999996</v>
      </c>
      <c r="Q85" s="8">
        <v>15461</v>
      </c>
      <c r="R85" s="8">
        <v>1753</v>
      </c>
      <c r="S85" s="8">
        <v>125</v>
      </c>
      <c r="T85" s="8">
        <v>3136</v>
      </c>
      <c r="U85" s="8">
        <v>30</v>
      </c>
      <c r="W85" s="8"/>
    </row>
    <row r="86" spans="1:23">
      <c r="A86" s="7">
        <v>43466</v>
      </c>
      <c r="B86" s="6">
        <f t="shared" si="5"/>
        <v>2019</v>
      </c>
      <c r="C86" s="8"/>
      <c r="D86" s="8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8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8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8">
        <v>127626.94948947323</v>
      </c>
      <c r="N86" s="8">
        <v>31844.405362144858</v>
      </c>
      <c r="O86" s="9">
        <v>25522.159999999996</v>
      </c>
      <c r="P86" s="9">
        <v>280.41999999999996</v>
      </c>
      <c r="Q86" s="8">
        <v>15584.5</v>
      </c>
      <c r="R86" s="8">
        <v>1756.5</v>
      </c>
      <c r="S86" s="8">
        <v>125</v>
      </c>
      <c r="T86" s="8">
        <v>3136</v>
      </c>
      <c r="U86" s="8">
        <v>30</v>
      </c>
      <c r="W86" s="8"/>
    </row>
    <row r="87" spans="1:23">
      <c r="A87" s="7">
        <v>43497</v>
      </c>
      <c r="B87" s="6">
        <f t="shared" si="5"/>
        <v>2019</v>
      </c>
      <c r="C87" s="8"/>
      <c r="D87" s="8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8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8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8">
        <v>106189.02845008971</v>
      </c>
      <c r="N87" s="8">
        <v>31804.439842603708</v>
      </c>
      <c r="O87" s="9">
        <v>25897.030000000006</v>
      </c>
      <c r="P87" s="9">
        <v>281.15999999999997</v>
      </c>
      <c r="Q87" s="8">
        <v>15584.5</v>
      </c>
      <c r="R87" s="8">
        <v>1756.5</v>
      </c>
      <c r="S87" s="8">
        <v>124</v>
      </c>
      <c r="T87" s="8">
        <v>3261</v>
      </c>
      <c r="U87" s="8">
        <v>30</v>
      </c>
      <c r="W87" s="8"/>
    </row>
    <row r="88" spans="1:23">
      <c r="A88" s="7">
        <v>43525</v>
      </c>
      <c r="B88" s="6">
        <f t="shared" si="5"/>
        <v>2019</v>
      </c>
      <c r="C88" s="8"/>
      <c r="D88" s="8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8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8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8">
        <v>104703.19798887297</v>
      </c>
      <c r="N88" s="8">
        <v>34386.913832199549</v>
      </c>
      <c r="O88" s="9">
        <v>26683.679999999997</v>
      </c>
      <c r="P88" s="9">
        <v>281.15999999999997</v>
      </c>
      <c r="Q88" s="8">
        <v>15572</v>
      </c>
      <c r="R88" s="8">
        <v>1761</v>
      </c>
      <c r="S88" s="8">
        <v>124</v>
      </c>
      <c r="T88" s="8">
        <v>3261</v>
      </c>
      <c r="U88" s="8">
        <v>30</v>
      </c>
      <c r="W88" s="8"/>
    </row>
    <row r="89" spans="1:23">
      <c r="A89" s="7">
        <v>43556</v>
      </c>
      <c r="B89" s="6">
        <f t="shared" si="5"/>
        <v>2019</v>
      </c>
      <c r="C89" s="8"/>
      <c r="D89" s="8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8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8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8">
        <v>88274.922592692994</v>
      </c>
      <c r="N89" s="8">
        <v>31113.867747098833</v>
      </c>
      <c r="O89" s="9">
        <v>25221.120000000003</v>
      </c>
      <c r="P89" s="9">
        <v>281.15999999999997</v>
      </c>
      <c r="Q89" s="8">
        <v>15622</v>
      </c>
      <c r="R89" s="8">
        <v>1761</v>
      </c>
      <c r="S89" s="8">
        <v>124</v>
      </c>
      <c r="T89" s="8">
        <v>3261</v>
      </c>
      <c r="U89" s="8">
        <v>30</v>
      </c>
      <c r="W89" s="8"/>
    </row>
    <row r="90" spans="1:23">
      <c r="A90" s="7">
        <v>43586</v>
      </c>
      <c r="B90" s="6">
        <f t="shared" si="5"/>
        <v>2019</v>
      </c>
      <c r="C90" s="8"/>
      <c r="D90" s="8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8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8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8">
        <v>79634.420499382555</v>
      </c>
      <c r="N90" s="8">
        <v>34211.565359477128</v>
      </c>
      <c r="O90" s="9">
        <v>24107.83</v>
      </c>
      <c r="P90" s="9">
        <v>281.15999999999997</v>
      </c>
      <c r="Q90" s="8">
        <v>15687</v>
      </c>
      <c r="R90" s="8">
        <v>1754</v>
      </c>
      <c r="S90" s="8">
        <v>124</v>
      </c>
      <c r="T90" s="8">
        <v>3261</v>
      </c>
      <c r="U90" s="8">
        <v>30</v>
      </c>
      <c r="W90" s="8"/>
    </row>
    <row r="91" spans="1:23">
      <c r="A91" s="7">
        <v>43617</v>
      </c>
      <c r="B91" s="6">
        <f t="shared" si="5"/>
        <v>2019</v>
      </c>
      <c r="C91" s="8"/>
      <c r="D91" s="8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8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8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8">
        <v>71160.610624177993</v>
      </c>
      <c r="N91" s="8">
        <v>33715.378284647188</v>
      </c>
      <c r="O91" s="9">
        <v>24029.240000000005</v>
      </c>
      <c r="P91" s="9">
        <v>281.15999999999997</v>
      </c>
      <c r="Q91" s="8">
        <v>15728</v>
      </c>
      <c r="R91" s="8">
        <v>1766</v>
      </c>
      <c r="S91" s="8">
        <v>124</v>
      </c>
      <c r="T91" s="8">
        <v>3261</v>
      </c>
      <c r="U91" s="8">
        <v>30</v>
      </c>
      <c r="W91" s="8"/>
    </row>
    <row r="92" spans="1:23">
      <c r="A92" s="7">
        <v>43647</v>
      </c>
      <c r="B92" s="6">
        <f t="shared" si="5"/>
        <v>2019</v>
      </c>
      <c r="C92" s="8"/>
      <c r="D92" s="8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8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8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8">
        <v>76351.305884360918</v>
      </c>
      <c r="N92" s="8">
        <v>31669.642501445029</v>
      </c>
      <c r="O92" s="9">
        <v>24951.919999999998</v>
      </c>
      <c r="P92" s="9">
        <v>281.15999999999997</v>
      </c>
      <c r="Q92" s="8">
        <v>15749</v>
      </c>
      <c r="R92" s="8">
        <v>1757</v>
      </c>
      <c r="S92" s="8">
        <v>124</v>
      </c>
      <c r="T92" s="8">
        <v>3261</v>
      </c>
      <c r="U92" s="8">
        <v>30</v>
      </c>
      <c r="W92" s="8"/>
    </row>
    <row r="93" spans="1:23">
      <c r="A93" s="7">
        <v>43678</v>
      </c>
      <c r="B93" s="6">
        <f t="shared" si="5"/>
        <v>2019</v>
      </c>
      <c r="C93" s="8"/>
      <c r="D93" s="8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8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8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8">
        <v>86315.117918134973</v>
      </c>
      <c r="N93" s="8">
        <v>34025.156570154941</v>
      </c>
      <c r="O93" s="9">
        <v>26294.26</v>
      </c>
      <c r="P93" s="9">
        <v>281.15999999999997</v>
      </c>
      <c r="Q93" s="8">
        <v>15732</v>
      </c>
      <c r="R93" s="8">
        <v>1746</v>
      </c>
      <c r="S93" s="8">
        <v>124</v>
      </c>
      <c r="T93" s="8">
        <v>3261</v>
      </c>
      <c r="U93" s="8">
        <v>30</v>
      </c>
      <c r="W93" s="8"/>
    </row>
    <row r="94" spans="1:23">
      <c r="A94" s="7">
        <v>43709</v>
      </c>
      <c r="B94" s="6">
        <f t="shared" si="5"/>
        <v>2019</v>
      </c>
      <c r="C94" s="8"/>
      <c r="D94" s="8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8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8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8">
        <v>95972.641245745617</v>
      </c>
      <c r="N94" s="8">
        <v>33656.943757960209</v>
      </c>
      <c r="O94" s="9">
        <v>25467.440000000006</v>
      </c>
      <c r="P94" s="9">
        <v>281.15999999999997</v>
      </c>
      <c r="Q94" s="8">
        <v>15807</v>
      </c>
      <c r="R94" s="8">
        <v>1753</v>
      </c>
      <c r="S94" s="8">
        <v>127</v>
      </c>
      <c r="T94" s="8">
        <v>3261</v>
      </c>
      <c r="U94" s="8">
        <v>30</v>
      </c>
      <c r="W94" s="8"/>
    </row>
    <row r="95" spans="1:23">
      <c r="A95" s="7">
        <v>43739</v>
      </c>
      <c r="B95" s="6">
        <f t="shared" si="5"/>
        <v>2019</v>
      </c>
      <c r="C95" s="8"/>
      <c r="D95" s="8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8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8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8">
        <v>112570.42824011325</v>
      </c>
      <c r="N95" s="8">
        <v>32913.391456526915</v>
      </c>
      <c r="O95" s="9">
        <v>26140.640000000003</v>
      </c>
      <c r="P95" s="9">
        <v>281.15999999999997</v>
      </c>
      <c r="Q95" s="8">
        <v>15811</v>
      </c>
      <c r="R95" s="8">
        <v>1788</v>
      </c>
      <c r="S95" s="8">
        <v>129</v>
      </c>
      <c r="T95" s="8">
        <v>3261</v>
      </c>
      <c r="U95" s="8">
        <v>30</v>
      </c>
      <c r="W95" s="8"/>
    </row>
    <row r="96" spans="1:23">
      <c r="A96" s="7">
        <v>43770</v>
      </c>
      <c r="B96" s="6">
        <f t="shared" si="5"/>
        <v>2019</v>
      </c>
      <c r="C96" s="8"/>
      <c r="D96" s="8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8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8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8">
        <v>120377.98196841464</v>
      </c>
      <c r="N96" s="8">
        <v>32060.80848710061</v>
      </c>
      <c r="O96" s="9">
        <v>26288.269999999997</v>
      </c>
      <c r="P96" s="9">
        <v>281.15999999999997</v>
      </c>
      <c r="Q96" s="8">
        <v>15859</v>
      </c>
      <c r="R96" s="8">
        <v>1771</v>
      </c>
      <c r="S96" s="8">
        <v>126</v>
      </c>
      <c r="T96" s="8">
        <v>3261</v>
      </c>
      <c r="U96" s="8">
        <v>30</v>
      </c>
      <c r="W96" s="8"/>
    </row>
    <row r="97" spans="1:23">
      <c r="A97" s="7">
        <v>43800</v>
      </c>
      <c r="B97" s="6">
        <f t="shared" si="5"/>
        <v>2019</v>
      </c>
      <c r="C97" s="8"/>
      <c r="D97" s="8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8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8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8">
        <v>133510.49307751775</v>
      </c>
      <c r="N97" s="8">
        <v>32602.377656945137</v>
      </c>
      <c r="O97" s="9">
        <v>25377.779999999992</v>
      </c>
      <c r="P97" s="9">
        <v>281.15999999999997</v>
      </c>
      <c r="Q97" s="8">
        <v>15922</v>
      </c>
      <c r="R97" s="8">
        <v>1763</v>
      </c>
      <c r="S97" s="8">
        <v>126</v>
      </c>
      <c r="T97" s="8">
        <v>3261</v>
      </c>
      <c r="U97" s="8">
        <v>30</v>
      </c>
      <c r="W97" s="8"/>
    </row>
    <row r="98" spans="1:23">
      <c r="A98" s="7">
        <v>43831</v>
      </c>
      <c r="B98" s="6">
        <f t="shared" si="5"/>
        <v>2020</v>
      </c>
      <c r="C98" s="8"/>
      <c r="D98" s="8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8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8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8">
        <v>129767.21785488386</v>
      </c>
      <c r="N98" s="8">
        <v>33005.016610059582</v>
      </c>
      <c r="O98" s="9">
        <v>25510.520000000004</v>
      </c>
      <c r="P98" s="9">
        <v>285.85000000000002</v>
      </c>
      <c r="Q98" s="8">
        <v>16009</v>
      </c>
      <c r="R98" s="8">
        <v>1779</v>
      </c>
      <c r="S98" s="8">
        <v>126</v>
      </c>
      <c r="T98" s="8">
        <v>3261</v>
      </c>
      <c r="U98" s="8">
        <v>30</v>
      </c>
      <c r="W98" s="8"/>
    </row>
    <row r="99" spans="1:23">
      <c r="A99" s="7">
        <v>43862</v>
      </c>
      <c r="B99" s="6">
        <f t="shared" si="5"/>
        <v>2020</v>
      </c>
      <c r="C99" s="8"/>
      <c r="D99" s="8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8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8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8">
        <v>111611.75779915231</v>
      </c>
      <c r="N99" s="8">
        <v>32945.981622905012</v>
      </c>
      <c r="O99" s="9">
        <v>24748.480000000003</v>
      </c>
      <c r="P99" s="9">
        <v>285.85000000000002</v>
      </c>
      <c r="Q99" s="8">
        <v>16023</v>
      </c>
      <c r="R99" s="8">
        <v>1778</v>
      </c>
      <c r="S99" s="8">
        <v>127</v>
      </c>
      <c r="T99" s="8">
        <v>3261</v>
      </c>
      <c r="U99" s="8">
        <v>30</v>
      </c>
      <c r="W99" s="8"/>
    </row>
    <row r="100" spans="1:23">
      <c r="A100" s="7">
        <v>43891</v>
      </c>
      <c r="B100" s="6">
        <f t="shared" si="5"/>
        <v>2020</v>
      </c>
      <c r="C100" s="8"/>
      <c r="D100" s="8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8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8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8">
        <v>106442.85983284675</v>
      </c>
      <c r="N100" s="8">
        <v>33092.897928915736</v>
      </c>
      <c r="O100" s="9">
        <v>25540.920000000006</v>
      </c>
      <c r="P100" s="9">
        <v>285.85000000000002</v>
      </c>
      <c r="Q100" s="8">
        <v>16030</v>
      </c>
      <c r="R100" s="8">
        <v>1777</v>
      </c>
      <c r="S100" s="8">
        <v>127</v>
      </c>
      <c r="T100" s="8">
        <v>3261</v>
      </c>
      <c r="U100" s="8">
        <v>30</v>
      </c>
      <c r="W100" s="8"/>
    </row>
    <row r="101" spans="1:23">
      <c r="A101" s="7">
        <v>43922</v>
      </c>
      <c r="B101" s="6">
        <f t="shared" si="5"/>
        <v>2020</v>
      </c>
      <c r="C101" s="8"/>
      <c r="D101" s="8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8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8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8">
        <v>89747.398793209053</v>
      </c>
      <c r="N101" s="8">
        <v>32983.935001957776</v>
      </c>
      <c r="O101" s="9">
        <v>24483.24</v>
      </c>
      <c r="P101" s="9">
        <v>285.85000000000002</v>
      </c>
      <c r="Q101" s="8">
        <v>16137</v>
      </c>
      <c r="R101" s="8">
        <v>1778</v>
      </c>
      <c r="S101" s="8">
        <v>129</v>
      </c>
      <c r="T101" s="8">
        <v>3261</v>
      </c>
      <c r="U101" s="8">
        <v>30</v>
      </c>
      <c r="W101" s="8"/>
    </row>
    <row r="102" spans="1:23">
      <c r="A102" s="7">
        <v>43952</v>
      </c>
      <c r="B102" s="6">
        <f t="shared" si="5"/>
        <v>2020</v>
      </c>
      <c r="C102" s="8"/>
      <c r="D102" s="8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8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8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8">
        <v>80962.821380882102</v>
      </c>
      <c r="N102" s="8">
        <v>33054.944549862958</v>
      </c>
      <c r="O102" s="9">
        <v>19142.870000000003</v>
      </c>
      <c r="P102" s="9">
        <v>285.85000000000002</v>
      </c>
      <c r="Q102" s="8">
        <v>16100</v>
      </c>
      <c r="R102" s="8">
        <v>1771</v>
      </c>
      <c r="S102" s="8">
        <v>129</v>
      </c>
      <c r="T102" s="8">
        <v>3261</v>
      </c>
      <c r="U102" s="8">
        <v>30</v>
      </c>
      <c r="W102" s="8"/>
    </row>
    <row r="103" spans="1:23">
      <c r="A103" s="7">
        <v>43983</v>
      </c>
      <c r="B103" s="6">
        <f t="shared" si="5"/>
        <v>2020</v>
      </c>
      <c r="C103" s="8"/>
      <c r="D103" s="8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8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8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8">
        <v>72347.566729917788</v>
      </c>
      <c r="N103" s="8">
        <v>32983.935001957776</v>
      </c>
      <c r="O103" s="9">
        <v>23132.000000000004</v>
      </c>
      <c r="P103" s="9">
        <v>285.85000000000002</v>
      </c>
      <c r="Q103" s="8">
        <v>16160</v>
      </c>
      <c r="R103" s="8">
        <v>1775</v>
      </c>
      <c r="S103" s="8">
        <v>130</v>
      </c>
      <c r="T103" s="8">
        <v>3261</v>
      </c>
      <c r="U103" s="8">
        <v>30</v>
      </c>
      <c r="W103" s="8"/>
    </row>
    <row r="104" spans="1:23">
      <c r="A104" s="7">
        <v>44013</v>
      </c>
      <c r="B104" s="6">
        <f t="shared" si="5"/>
        <v>2020</v>
      </c>
      <c r="C104" s="8"/>
      <c r="D104" s="8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8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8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8">
        <v>77624.838920514434</v>
      </c>
      <c r="N104" s="8">
        <v>33054.944549862958</v>
      </c>
      <c r="O104" s="9">
        <v>23856.960000000006</v>
      </c>
      <c r="P104" s="9">
        <v>285.85000000000002</v>
      </c>
      <c r="Q104" s="8">
        <v>16214</v>
      </c>
      <c r="R104" s="8">
        <v>1773</v>
      </c>
      <c r="S104" s="8">
        <v>130</v>
      </c>
      <c r="T104" s="8">
        <v>3261</v>
      </c>
      <c r="U104" s="8">
        <v>30</v>
      </c>
      <c r="W104" s="8"/>
    </row>
    <row r="105" spans="1:23">
      <c r="A105" s="7">
        <v>44044</v>
      </c>
      <c r="B105" s="6">
        <f t="shared" si="5"/>
        <v>2020</v>
      </c>
      <c r="C105" s="8"/>
      <c r="D105" s="8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8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8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8">
        <v>87754.916418180175</v>
      </c>
      <c r="N105" s="8">
        <v>33019.439775910374</v>
      </c>
      <c r="O105" s="9">
        <v>20204.010000000009</v>
      </c>
      <c r="P105" s="9">
        <v>285.85000000000002</v>
      </c>
      <c r="Q105" s="8">
        <v>16218</v>
      </c>
      <c r="R105" s="8">
        <v>1782</v>
      </c>
      <c r="S105" s="8">
        <v>128</v>
      </c>
      <c r="T105" s="8">
        <v>3261</v>
      </c>
      <c r="U105" s="8">
        <v>30</v>
      </c>
      <c r="W105" s="8"/>
    </row>
    <row r="106" spans="1:23">
      <c r="A106" s="7">
        <v>44075</v>
      </c>
      <c r="B106" s="6">
        <f t="shared" si="5"/>
        <v>2020</v>
      </c>
      <c r="C106" s="8"/>
      <c r="D106" s="8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8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8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8">
        <v>97573.565856450121</v>
      </c>
      <c r="N106" s="8">
        <v>32983.935001957776</v>
      </c>
      <c r="O106" s="9">
        <v>19468.420000000002</v>
      </c>
      <c r="P106" s="9">
        <v>285.85000000000002</v>
      </c>
      <c r="Q106" s="8">
        <v>16220</v>
      </c>
      <c r="R106" s="8">
        <v>1789</v>
      </c>
      <c r="S106" s="8">
        <v>124</v>
      </c>
      <c r="T106" s="8">
        <v>3261</v>
      </c>
      <c r="U106" s="8">
        <v>30</v>
      </c>
      <c r="W106" s="8"/>
    </row>
    <row r="107" spans="1:23">
      <c r="A107" s="7">
        <v>44105</v>
      </c>
      <c r="B107" s="6">
        <f t="shared" si="5"/>
        <v>2020</v>
      </c>
      <c r="C107" s="8"/>
      <c r="D107" s="8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8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8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8">
        <v>114448.17776572995</v>
      </c>
      <c r="N107" s="8">
        <v>33054.944549862958</v>
      </c>
      <c r="O107" s="9">
        <v>35104.030000000006</v>
      </c>
      <c r="P107" s="9">
        <v>285.85000000000002</v>
      </c>
      <c r="Q107" s="8">
        <v>16288</v>
      </c>
      <c r="R107" s="8">
        <v>1783</v>
      </c>
      <c r="S107" s="8">
        <v>125</v>
      </c>
      <c r="T107" s="8">
        <v>3261</v>
      </c>
      <c r="U107" s="8">
        <v>30</v>
      </c>
      <c r="W107" s="8"/>
    </row>
    <row r="108" spans="1:23">
      <c r="A108" s="7">
        <v>44136</v>
      </c>
      <c r="B108" s="6">
        <f t="shared" si="5"/>
        <v>2020</v>
      </c>
      <c r="C108" s="8"/>
      <c r="D108" s="8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8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8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8">
        <v>122385.96602511972</v>
      </c>
      <c r="N108" s="8">
        <v>32983.935001957776</v>
      </c>
      <c r="O108" s="9">
        <v>23704.02</v>
      </c>
      <c r="P108" s="9">
        <v>285.85000000000002</v>
      </c>
      <c r="Q108" s="8">
        <v>16191</v>
      </c>
      <c r="R108" s="8">
        <v>1772</v>
      </c>
      <c r="S108" s="8">
        <v>123</v>
      </c>
      <c r="T108" s="8">
        <v>3261</v>
      </c>
      <c r="U108" s="8">
        <v>30</v>
      </c>
      <c r="W108" s="8"/>
    </row>
    <row r="109" spans="1:23">
      <c r="A109" s="7">
        <v>44166</v>
      </c>
      <c r="B109" s="6">
        <f t="shared" ref="B109:B115" si="9">YEAR(A109)</f>
        <v>2020</v>
      </c>
      <c r="C109" s="8"/>
      <c r="D109" s="8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8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8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8">
        <v>133577.63717960304</v>
      </c>
      <c r="N109" s="8">
        <v>33054.944549862958</v>
      </c>
      <c r="O109" s="9">
        <v>24848.53000000001</v>
      </c>
      <c r="P109" s="9">
        <v>285.85000000000002</v>
      </c>
      <c r="Q109" s="8">
        <v>16380</v>
      </c>
      <c r="R109" s="8">
        <v>1793</v>
      </c>
      <c r="S109" s="8">
        <v>124</v>
      </c>
      <c r="T109" s="8">
        <v>3261</v>
      </c>
      <c r="U109" s="8">
        <v>30</v>
      </c>
      <c r="W109" s="8"/>
    </row>
    <row r="110" spans="1:23">
      <c r="A110" s="7">
        <v>44197</v>
      </c>
      <c r="B110" s="6">
        <f t="shared" si="9"/>
        <v>2021</v>
      </c>
      <c r="C110" s="8"/>
      <c r="D110" s="8">
        <v>14015137.930928187</v>
      </c>
      <c r="E110" s="1">
        <f>VLOOKUP(B110,CDM!$M$5:$N$16,2,FALSE)/12</f>
        <v>508957.70487315691</v>
      </c>
      <c r="F110" s="1">
        <f t="shared" si="6"/>
        <v>14524095.635801345</v>
      </c>
      <c r="G110" s="8">
        <v>4010206.7576686703</v>
      </c>
      <c r="H110" s="1">
        <f>VLOOKUP(B110,CDM!$M$5:$S$16,3,FALSE)/12</f>
        <v>263029.56829784374</v>
      </c>
      <c r="I110" s="1">
        <f t="shared" si="7"/>
        <v>4273236.3259665137</v>
      </c>
      <c r="J110" s="8">
        <v>10805859.095122466</v>
      </c>
      <c r="K110" s="1">
        <f>VLOOKUP(B110,CDM!$M$5:$S$16,4,FALSE)/12</f>
        <v>632669.1067726824</v>
      </c>
      <c r="L110" s="1">
        <f t="shared" si="8"/>
        <v>11438528.201895148</v>
      </c>
      <c r="M110" s="8">
        <v>129767.21785488386</v>
      </c>
      <c r="N110" s="8">
        <v>33019.439775910374</v>
      </c>
      <c r="O110" s="9">
        <v>24275.310000000005</v>
      </c>
      <c r="P110" s="9">
        <v>285.85000000000002</v>
      </c>
      <c r="Q110" s="8">
        <v>16338</v>
      </c>
      <c r="R110" s="8">
        <v>1783</v>
      </c>
      <c r="S110" s="8">
        <v>124</v>
      </c>
      <c r="T110" s="8">
        <v>3261</v>
      </c>
      <c r="U110" s="8">
        <v>30</v>
      </c>
      <c r="W110" s="8"/>
    </row>
    <row r="111" spans="1:23">
      <c r="A111" s="7">
        <v>44228</v>
      </c>
      <c r="B111" s="6">
        <f t="shared" si="9"/>
        <v>2021</v>
      </c>
      <c r="C111" s="8"/>
      <c r="D111" s="8">
        <v>13340787.779683679</v>
      </c>
      <c r="E111" s="1">
        <f>VLOOKUP(B111,CDM!$M$5:$N$16,2,FALSE)/12</f>
        <v>508957.70487315691</v>
      </c>
      <c r="F111" s="1">
        <f t="shared" si="6"/>
        <v>13849745.484556837</v>
      </c>
      <c r="G111" s="8">
        <v>3893947.1031557391</v>
      </c>
      <c r="H111" s="1">
        <f>VLOOKUP(B111,CDM!$M$5:$S$16,3,FALSE)/12</f>
        <v>263029.56829784374</v>
      </c>
      <c r="I111" s="1">
        <f t="shared" si="7"/>
        <v>4156976.6714535831</v>
      </c>
      <c r="J111" s="8">
        <v>10132845.567464894</v>
      </c>
      <c r="K111" s="1">
        <f>VLOOKUP(B111,CDM!$M$5:$S$16,4,FALSE)/12</f>
        <v>632669.1067726824</v>
      </c>
      <c r="L111" s="1">
        <f t="shared" si="8"/>
        <v>10765514.674237575</v>
      </c>
      <c r="M111" s="8">
        <v>107960.31790135409</v>
      </c>
      <c r="N111" s="8">
        <v>32905.317288205617</v>
      </c>
      <c r="O111" s="9">
        <v>23412.6</v>
      </c>
      <c r="P111" s="9">
        <v>285.85000000000002</v>
      </c>
      <c r="Q111" s="8">
        <v>16339</v>
      </c>
      <c r="R111" s="8">
        <v>1789</v>
      </c>
      <c r="S111" s="8">
        <v>125</v>
      </c>
      <c r="T111" s="8">
        <v>3261</v>
      </c>
      <c r="U111" s="8">
        <v>30</v>
      </c>
      <c r="W111" s="8"/>
    </row>
    <row r="112" spans="1:23">
      <c r="A112" s="7">
        <v>44256</v>
      </c>
      <c r="B112" s="6">
        <f t="shared" si="9"/>
        <v>2021</v>
      </c>
      <c r="C112" s="8"/>
      <c r="D112" s="8">
        <v>12296411.319618419</v>
      </c>
      <c r="E112" s="1">
        <f>VLOOKUP(B112,CDM!$M$5:$N$16,2,FALSE)/12</f>
        <v>508957.70487315691</v>
      </c>
      <c r="F112" s="1">
        <f t="shared" si="6"/>
        <v>12805369.024491576</v>
      </c>
      <c r="G112" s="8">
        <v>4041550.7949551763</v>
      </c>
      <c r="H112" s="1">
        <f>VLOOKUP(B112,CDM!$M$5:$S$16,3,FALSE)/12</f>
        <v>263029.56829784374</v>
      </c>
      <c r="I112" s="1">
        <f t="shared" si="7"/>
        <v>4304580.3632530198</v>
      </c>
      <c r="J112" s="8">
        <v>10662203.03156714</v>
      </c>
      <c r="K112" s="1">
        <f>VLOOKUP(B112,CDM!$M$5:$S$16,4,FALSE)/12</f>
        <v>632669.1067726824</v>
      </c>
      <c r="L112" s="1">
        <f t="shared" si="8"/>
        <v>11294872.138339821</v>
      </c>
      <c r="M112" s="8">
        <v>106864.65182847332</v>
      </c>
      <c r="N112" s="8">
        <v>33133.562263615131</v>
      </c>
      <c r="O112" s="9">
        <v>23983.440000000002</v>
      </c>
      <c r="P112" s="9">
        <v>285.85000000000002</v>
      </c>
      <c r="Q112" s="8">
        <v>16380</v>
      </c>
      <c r="R112" s="8">
        <v>1804</v>
      </c>
      <c r="S112" s="8">
        <v>125</v>
      </c>
      <c r="T112" s="8">
        <v>3261</v>
      </c>
      <c r="U112" s="8">
        <v>30</v>
      </c>
      <c r="W112" s="8"/>
    </row>
    <row r="113" spans="1:23">
      <c r="A113" s="7">
        <v>44287</v>
      </c>
      <c r="B113" s="6">
        <f t="shared" si="9"/>
        <v>2021</v>
      </c>
      <c r="C113" s="8"/>
      <c r="D113" s="8">
        <v>10170203.826944141</v>
      </c>
      <c r="E113" s="1">
        <f>VLOOKUP(B113,CDM!$M$5:$N$16,2,FALSE)/12</f>
        <v>508957.70487315691</v>
      </c>
      <c r="F113" s="1">
        <f t="shared" si="6"/>
        <v>10679161.531817298</v>
      </c>
      <c r="G113" s="8">
        <v>3230840.8949029865</v>
      </c>
      <c r="H113" s="1">
        <f>VLOOKUP(B113,CDM!$M$5:$S$16,3,FALSE)/12</f>
        <v>263029.56829784374</v>
      </c>
      <c r="I113" s="1">
        <f t="shared" si="7"/>
        <v>3493870.4632008304</v>
      </c>
      <c r="J113" s="8">
        <v>9596030.5637827348</v>
      </c>
      <c r="K113" s="1">
        <f>VLOOKUP(B113,CDM!$M$5:$S$16,4,FALSE)/12</f>
        <v>632669.1067726824</v>
      </c>
      <c r="L113" s="1">
        <f t="shared" si="8"/>
        <v>10228699.670555416</v>
      </c>
      <c r="M113" s="8">
        <v>89761.229701916629</v>
      </c>
      <c r="N113" s="8">
        <v>32983.935001957769</v>
      </c>
      <c r="O113" s="9">
        <v>23731.940000000002</v>
      </c>
      <c r="P113" s="9">
        <v>285.85000000000002</v>
      </c>
      <c r="Q113" s="8">
        <v>16373</v>
      </c>
      <c r="R113" s="8">
        <v>1810</v>
      </c>
      <c r="S113" s="8">
        <v>117</v>
      </c>
      <c r="T113" s="8">
        <v>3261</v>
      </c>
      <c r="U113" s="8">
        <v>30</v>
      </c>
      <c r="W113" s="8"/>
    </row>
    <row r="114" spans="1:23">
      <c r="A114" s="7">
        <v>44317</v>
      </c>
      <c r="B114" s="6">
        <f t="shared" si="9"/>
        <v>2021</v>
      </c>
      <c r="C114" s="8"/>
      <c r="D114" s="8">
        <v>9703321.1027398072</v>
      </c>
      <c r="E114" s="1">
        <f>VLOOKUP(B114,CDM!$M$5:$N$16,2,FALSE)/12</f>
        <v>508957.70487315691</v>
      </c>
      <c r="F114" s="1">
        <f t="shared" si="6"/>
        <v>10212278.807612965</v>
      </c>
      <c r="G114" s="8">
        <v>3180341.9648168492</v>
      </c>
      <c r="H114" s="1">
        <f>VLOOKUP(B114,CDM!$M$5:$S$16,3,FALSE)/12</f>
        <v>263029.56829784374</v>
      </c>
      <c r="I114" s="1">
        <f t="shared" si="7"/>
        <v>3443371.5331146931</v>
      </c>
      <c r="J114" s="8">
        <v>9497213.5604260471</v>
      </c>
      <c r="K114" s="1">
        <f>VLOOKUP(B114,CDM!$M$5:$S$16,4,FALSE)/12</f>
        <v>632669.1067726824</v>
      </c>
      <c r="L114" s="1">
        <f t="shared" si="8"/>
        <v>10129882.667198729</v>
      </c>
      <c r="M114" s="8">
        <v>80962.821380882102</v>
      </c>
      <c r="N114" s="8">
        <v>33054.944549862965</v>
      </c>
      <c r="O114" s="9">
        <v>23387.250000000004</v>
      </c>
      <c r="P114" s="9">
        <v>285.85000000000002</v>
      </c>
      <c r="Q114" s="8">
        <v>16291</v>
      </c>
      <c r="R114" s="8">
        <v>1798</v>
      </c>
      <c r="S114" s="8">
        <v>125</v>
      </c>
      <c r="T114" s="8">
        <v>3261</v>
      </c>
      <c r="U114" s="8">
        <v>30</v>
      </c>
      <c r="W114" s="8"/>
    </row>
    <row r="115" spans="1:23">
      <c r="A115" s="7">
        <v>44348</v>
      </c>
      <c r="B115" s="6">
        <f t="shared" si="9"/>
        <v>2021</v>
      </c>
      <c r="C115" s="8"/>
      <c r="D115" s="8">
        <v>10757791.641526507</v>
      </c>
      <c r="E115" s="1">
        <f>VLOOKUP(B115,CDM!$M$5:$N$16,2,FALSE)/12</f>
        <v>508957.70487315691</v>
      </c>
      <c r="F115" s="1">
        <f t="shared" si="6"/>
        <v>11266749.346399665</v>
      </c>
      <c r="G115" s="8">
        <v>3536902.6744333198</v>
      </c>
      <c r="H115" s="1">
        <f>VLOOKUP(B115,CDM!$M$5:$S$16,3,FALSE)/12</f>
        <v>263029.56829784374</v>
      </c>
      <c r="I115" s="1">
        <f t="shared" si="7"/>
        <v>3799932.2427311637</v>
      </c>
      <c r="J115" s="8">
        <v>10041214.17232381</v>
      </c>
      <c r="K115" s="1">
        <f>VLOOKUP(B115,CDM!$M$5:$S$16,4,FALSE)/12</f>
        <v>632669.1067726824</v>
      </c>
      <c r="L115" s="1">
        <f t="shared" si="8"/>
        <v>10673883.279096492</v>
      </c>
      <c r="M115" s="8">
        <v>72347.566729917788</v>
      </c>
      <c r="N115" s="8">
        <v>32983.935001957783</v>
      </c>
      <c r="O115" s="9">
        <v>24116.44</v>
      </c>
      <c r="P115" s="9">
        <v>285.85000000000002</v>
      </c>
      <c r="Q115" s="8">
        <v>16505</v>
      </c>
      <c r="R115" s="8">
        <v>1818</v>
      </c>
      <c r="S115" s="8">
        <v>127</v>
      </c>
      <c r="T115" s="8">
        <v>3261</v>
      </c>
      <c r="U115" s="8">
        <v>30</v>
      </c>
      <c r="W115" s="8"/>
    </row>
    <row r="116" spans="1:23">
      <c r="A116" s="7">
        <v>44378</v>
      </c>
      <c r="B116" s="6">
        <f t="shared" ref="B116:B119" si="10">YEAR(A116)</f>
        <v>2021</v>
      </c>
      <c r="C116" s="8"/>
      <c r="D116" s="8">
        <v>11134010.184669029</v>
      </c>
      <c r="E116" s="1">
        <f>VLOOKUP(B116,CDM!$M$5:$N$16,2,FALSE)/12</f>
        <v>508957.70487315691</v>
      </c>
      <c r="F116" s="1">
        <f t="shared" si="6"/>
        <v>11642967.889542187</v>
      </c>
      <c r="G116" s="8">
        <v>3740276.8111922354</v>
      </c>
      <c r="H116" s="1">
        <f>VLOOKUP(B116,CDM!$M$5:$S$16,3,FALSE)/12</f>
        <v>263029.56829784374</v>
      </c>
      <c r="I116" s="1">
        <f t="shared" si="7"/>
        <v>4003306.3794900794</v>
      </c>
      <c r="J116" s="8">
        <v>9874828.2031405903</v>
      </c>
      <c r="K116" s="1">
        <f>VLOOKUP(B116,CDM!$M$5:$S$16,4,FALSE)/12</f>
        <v>632669.1067726824</v>
      </c>
      <c r="L116" s="1">
        <f t="shared" si="8"/>
        <v>10507497.309913272</v>
      </c>
      <c r="M116" s="8">
        <v>77624.838920514434</v>
      </c>
      <c r="N116" s="8">
        <v>33054.944549862958</v>
      </c>
      <c r="O116" s="9">
        <v>25743.349999999995</v>
      </c>
      <c r="P116" s="9">
        <v>285.85000000000002</v>
      </c>
      <c r="Q116" s="8">
        <v>16448</v>
      </c>
      <c r="R116" s="8">
        <v>1805</v>
      </c>
      <c r="S116" s="8">
        <v>127</v>
      </c>
      <c r="T116" s="8">
        <v>3261</v>
      </c>
      <c r="U116" s="8">
        <v>30</v>
      </c>
      <c r="W116" s="8"/>
    </row>
    <row r="117" spans="1:23">
      <c r="A117" s="7">
        <v>44409</v>
      </c>
      <c r="B117" s="6">
        <f t="shared" si="10"/>
        <v>2021</v>
      </c>
      <c r="C117" s="8"/>
      <c r="D117" s="8">
        <v>12880559.88235075</v>
      </c>
      <c r="E117" s="1">
        <f>VLOOKUP(B117,CDM!$M$5:$N$16,2,FALSE)/12</f>
        <v>508957.70487315691</v>
      </c>
      <c r="F117" s="1">
        <f t="shared" si="6"/>
        <v>13389517.587223908</v>
      </c>
      <c r="G117" s="8">
        <v>4156720.2886211914</v>
      </c>
      <c r="H117" s="1">
        <f>VLOOKUP(B117,CDM!$M$5:$S$16,3,FALSE)/12</f>
        <v>263029.56829784374</v>
      </c>
      <c r="I117" s="1">
        <f t="shared" si="7"/>
        <v>4419749.8569190353</v>
      </c>
      <c r="J117" s="8">
        <v>11025591.695461798</v>
      </c>
      <c r="K117" s="1">
        <f>VLOOKUP(B117,CDM!$M$5:$S$16,4,FALSE)/12</f>
        <v>632669.1067726824</v>
      </c>
      <c r="L117" s="1">
        <f t="shared" si="8"/>
        <v>11658260.80223448</v>
      </c>
      <c r="M117" s="8">
        <v>88013.206831119533</v>
      </c>
      <c r="N117" s="8">
        <v>33019.439775910367</v>
      </c>
      <c r="O117" s="9">
        <v>26672.799999999996</v>
      </c>
      <c r="P117" s="9">
        <v>285.85000000000002</v>
      </c>
      <c r="Q117" s="8">
        <v>16442</v>
      </c>
      <c r="R117" s="8">
        <v>1811</v>
      </c>
      <c r="S117" s="8">
        <v>135</v>
      </c>
      <c r="T117" s="8">
        <v>3261</v>
      </c>
      <c r="U117" s="8">
        <v>30</v>
      </c>
      <c r="W117" s="8"/>
    </row>
    <row r="118" spans="1:23">
      <c r="A118" s="7">
        <v>44440</v>
      </c>
      <c r="B118" s="6">
        <f t="shared" si="10"/>
        <v>2021</v>
      </c>
      <c r="C118" s="8"/>
      <c r="D118" s="8">
        <v>9119363.7730794698</v>
      </c>
      <c r="E118" s="1">
        <f>VLOOKUP(B118,CDM!$M$5:$N$16,2,FALSE)/12</f>
        <v>508957.70487315691</v>
      </c>
      <c r="F118" s="8">
        <f t="shared" ref="F118:F121" si="11">D118+E118</f>
        <v>9628321.4779526275</v>
      </c>
      <c r="G118" s="8">
        <v>3445349.1255803164</v>
      </c>
      <c r="H118" s="1">
        <f>VLOOKUP(B118,CDM!$M$5:$S$16,3,FALSE)/12</f>
        <v>263029.56829784374</v>
      </c>
      <c r="I118" s="1">
        <f t="shared" si="7"/>
        <v>3708378.6938781603</v>
      </c>
      <c r="J118" s="8">
        <v>9685483.4125192203</v>
      </c>
      <c r="K118" s="1">
        <f>VLOOKUP(B118,CDM!$M$5:$S$16,4,FALSE)/12</f>
        <v>632669.1067726824</v>
      </c>
      <c r="L118" s="8">
        <f t="shared" ref="L118:L121" si="12">J118+K118</f>
        <v>10318152.519291902</v>
      </c>
      <c r="M118" s="8">
        <v>97840.178960473087</v>
      </c>
      <c r="N118" s="8">
        <v>32983.935001957783</v>
      </c>
      <c r="O118" s="9">
        <v>26563.649999999998</v>
      </c>
      <c r="P118" s="9">
        <v>285.85000000000002</v>
      </c>
      <c r="Q118" s="8">
        <v>16499</v>
      </c>
      <c r="R118" s="8">
        <v>1810</v>
      </c>
      <c r="S118" s="8">
        <v>122</v>
      </c>
      <c r="T118" s="8">
        <v>3261</v>
      </c>
      <c r="U118" s="8">
        <v>30</v>
      </c>
      <c r="W118" s="8"/>
    </row>
    <row r="119" spans="1:23">
      <c r="A119" s="7">
        <v>44470</v>
      </c>
      <c r="B119" s="6">
        <f t="shared" si="10"/>
        <v>2021</v>
      </c>
      <c r="C119" s="8"/>
      <c r="D119" s="8">
        <v>9406750.7694920097</v>
      </c>
      <c r="E119" s="1">
        <f>VLOOKUP(B119,CDM!$M$5:$N$16,2,FALSE)/12</f>
        <v>508957.70487315691</v>
      </c>
      <c r="F119" s="8">
        <f t="shared" si="11"/>
        <v>9915708.4743651673</v>
      </c>
      <c r="G119" s="8">
        <v>3428168.1397582926</v>
      </c>
      <c r="H119" s="1">
        <f>VLOOKUP(B119,CDM!$M$5:$S$16,3,FALSE)/12</f>
        <v>263029.56829784374</v>
      </c>
      <c r="I119" s="1">
        <f t="shared" si="7"/>
        <v>3691197.7080561365</v>
      </c>
      <c r="J119" s="8">
        <v>10420909.217033997</v>
      </c>
      <c r="K119" s="1">
        <f>VLOOKUP(B119,CDM!$M$5:$S$16,4,FALSE)/12</f>
        <v>632669.1067726824</v>
      </c>
      <c r="L119" s="8">
        <f t="shared" si="12"/>
        <v>11053578.323806679</v>
      </c>
      <c r="M119" s="8">
        <v>114457.07443550897</v>
      </c>
      <c r="N119" s="8">
        <v>33054.944549862943</v>
      </c>
      <c r="O119" s="9">
        <v>25179.219999999998</v>
      </c>
      <c r="P119" s="9">
        <v>285.85000000000002</v>
      </c>
      <c r="Q119" s="8">
        <v>16380</v>
      </c>
      <c r="R119" s="8">
        <v>1802</v>
      </c>
      <c r="S119" s="8">
        <v>122</v>
      </c>
      <c r="T119" s="8">
        <v>3261</v>
      </c>
      <c r="U119" s="8">
        <v>30</v>
      </c>
      <c r="W119" s="8"/>
    </row>
    <row r="120" spans="1:23">
      <c r="A120" s="7">
        <v>44501</v>
      </c>
      <c r="B120" s="6">
        <f t="shared" ref="B120:B124" si="13">YEAR(A120)</f>
        <v>2021</v>
      </c>
      <c r="C120" s="8"/>
      <c r="D120" s="8">
        <v>10917126.859799722</v>
      </c>
      <c r="E120" s="1">
        <f>VLOOKUP(B120,CDM!$M$5:$N$16,2,FALSE)/12</f>
        <v>508957.70487315691</v>
      </c>
      <c r="F120" s="8">
        <f t="shared" si="11"/>
        <v>11426084.56467288</v>
      </c>
      <c r="G120" s="8">
        <v>3722801.5077559878</v>
      </c>
      <c r="H120" s="1">
        <f>VLOOKUP(B120,CDM!$M$5:$S$16,3,FALSE)/12</f>
        <v>263029.56829784374</v>
      </c>
      <c r="I120" s="1">
        <f t="shared" si="7"/>
        <v>3985831.0760538317</v>
      </c>
      <c r="J120" s="8">
        <v>10386529.823676176</v>
      </c>
      <c r="K120" s="1">
        <f>VLOOKUP(B120,CDM!$M$5:$S$16,4,FALSE)/12</f>
        <v>632669.1067726824</v>
      </c>
      <c r="L120" s="8">
        <f t="shared" si="12"/>
        <v>11019198.930448858</v>
      </c>
      <c r="M120" s="8">
        <v>122385.96602511972</v>
      </c>
      <c r="N120" s="8">
        <v>32983.935001957776</v>
      </c>
      <c r="O120" s="9">
        <v>25109.870000000006</v>
      </c>
      <c r="P120" s="9">
        <v>285.85000000000002</v>
      </c>
      <c r="Q120" s="8">
        <v>16634</v>
      </c>
      <c r="R120" s="8">
        <v>1818</v>
      </c>
      <c r="S120" s="8">
        <v>122</v>
      </c>
      <c r="T120" s="8">
        <v>3261</v>
      </c>
      <c r="U120" s="8">
        <v>30</v>
      </c>
    </row>
    <row r="121" spans="1:23">
      <c r="A121" s="7">
        <v>44531</v>
      </c>
      <c r="B121" s="6">
        <f t="shared" si="13"/>
        <v>2021</v>
      </c>
      <c r="C121" s="8"/>
      <c r="D121" s="8">
        <v>13249874.344815632</v>
      </c>
      <c r="E121" s="1">
        <f>VLOOKUP(B121,CDM!$M$5:$N$16,2,FALSE)/12</f>
        <v>508957.70487315691</v>
      </c>
      <c r="F121" s="8">
        <f t="shared" si="11"/>
        <v>13758832.04968879</v>
      </c>
      <c r="G121" s="8">
        <v>4156764.1076745745</v>
      </c>
      <c r="H121" s="1">
        <f>VLOOKUP(B121,CDM!$M$5:$S$16,3,FALSE)/12</f>
        <v>263029.56829784374</v>
      </c>
      <c r="I121" s="1">
        <f t="shared" si="7"/>
        <v>4419793.6759724179</v>
      </c>
      <c r="J121" s="8">
        <v>10216089.590354502</v>
      </c>
      <c r="K121" s="1">
        <f>VLOOKUP(B121,CDM!$M$5:$S$16,4,FALSE)/12</f>
        <v>632669.1067726824</v>
      </c>
      <c r="L121" s="8">
        <f t="shared" si="12"/>
        <v>10848758.697127184</v>
      </c>
      <c r="M121" s="8">
        <v>133577.63717960304</v>
      </c>
      <c r="N121" s="8">
        <v>33054.94454986295</v>
      </c>
      <c r="O121" s="9">
        <v>24600.28</v>
      </c>
      <c r="P121" s="9">
        <v>285.85000000000002</v>
      </c>
      <c r="Q121" s="8">
        <v>16428</v>
      </c>
      <c r="R121" s="8">
        <v>1818</v>
      </c>
      <c r="S121" s="8">
        <v>122</v>
      </c>
      <c r="T121" s="8">
        <v>3261</v>
      </c>
      <c r="U121" s="8">
        <v>30</v>
      </c>
    </row>
    <row r="122" spans="1:23">
      <c r="A122" s="386">
        <v>44562</v>
      </c>
      <c r="B122" s="355">
        <f t="shared" si="13"/>
        <v>2022</v>
      </c>
      <c r="C122" s="8"/>
      <c r="D122" s="354"/>
      <c r="E122" s="8"/>
      <c r="F122" s="8"/>
      <c r="G122" s="354"/>
      <c r="H122" s="8"/>
      <c r="I122" s="8"/>
      <c r="J122" s="354"/>
      <c r="K122" s="8"/>
      <c r="L122" s="8"/>
      <c r="M122" s="354"/>
      <c r="N122" s="8"/>
      <c r="O122" s="354"/>
      <c r="P122" s="354"/>
      <c r="Q122" s="354"/>
      <c r="R122" s="354"/>
      <c r="S122" s="354"/>
      <c r="T122" s="354"/>
      <c r="U122" s="354"/>
    </row>
    <row r="123" spans="1:23">
      <c r="A123" s="386">
        <v>44593</v>
      </c>
      <c r="B123" s="355">
        <f t="shared" si="13"/>
        <v>2022</v>
      </c>
      <c r="C123" s="8"/>
      <c r="D123" s="354"/>
      <c r="E123" s="8"/>
      <c r="F123" s="8"/>
      <c r="G123" s="354"/>
      <c r="H123" s="8"/>
      <c r="I123" s="8"/>
      <c r="J123" s="354"/>
      <c r="K123" s="8"/>
      <c r="L123" s="8"/>
      <c r="M123" s="354"/>
      <c r="N123" s="8"/>
      <c r="O123" s="354"/>
      <c r="P123" s="354"/>
      <c r="Q123" s="354"/>
      <c r="R123" s="354"/>
      <c r="S123" s="354"/>
      <c r="T123" s="354"/>
      <c r="U123" s="354"/>
    </row>
    <row r="124" spans="1:23">
      <c r="A124" s="386">
        <v>44621</v>
      </c>
      <c r="B124" s="355">
        <f t="shared" si="13"/>
        <v>2022</v>
      </c>
      <c r="C124" s="8"/>
      <c r="D124" s="354"/>
      <c r="E124" s="8"/>
      <c r="F124" s="8"/>
      <c r="G124" s="354"/>
      <c r="H124" s="8"/>
      <c r="I124" s="8"/>
      <c r="J124" s="354"/>
      <c r="K124" s="8"/>
      <c r="L124" s="8"/>
      <c r="M124" s="354"/>
      <c r="N124" s="8"/>
      <c r="O124" s="354"/>
      <c r="P124" s="354"/>
      <c r="Q124" s="354"/>
      <c r="R124" s="354"/>
      <c r="S124" s="354"/>
      <c r="T124" s="354"/>
      <c r="U124" s="354"/>
    </row>
    <row r="125" spans="1:23">
      <c r="A125" s="386">
        <v>44652</v>
      </c>
      <c r="B125" s="355">
        <f t="shared" ref="B125:B134" si="14">YEAR(A125)</f>
        <v>2022</v>
      </c>
      <c r="C125" s="8"/>
      <c r="D125" s="354"/>
      <c r="E125" s="8"/>
      <c r="F125" s="8"/>
      <c r="G125" s="354"/>
      <c r="H125" s="8"/>
      <c r="I125" s="8"/>
      <c r="J125" s="354"/>
      <c r="K125" s="8"/>
      <c r="L125" s="8"/>
      <c r="M125" s="354"/>
      <c r="N125" s="8"/>
      <c r="O125" s="354"/>
      <c r="P125" s="354"/>
      <c r="Q125" s="354"/>
      <c r="R125" s="354"/>
      <c r="S125" s="354"/>
      <c r="T125" s="354"/>
      <c r="U125" s="354"/>
    </row>
    <row r="126" spans="1:23">
      <c r="A126" s="386">
        <v>44682</v>
      </c>
      <c r="B126" s="355">
        <f t="shared" si="14"/>
        <v>2022</v>
      </c>
      <c r="C126" s="8"/>
      <c r="D126" s="354"/>
      <c r="E126" s="8"/>
      <c r="F126" s="8"/>
      <c r="G126" s="354"/>
      <c r="H126" s="8"/>
      <c r="I126" s="8"/>
      <c r="J126" s="354"/>
      <c r="K126" s="8"/>
      <c r="L126" s="8"/>
      <c r="M126" s="354"/>
      <c r="N126" s="8"/>
      <c r="O126" s="354"/>
      <c r="P126" s="354"/>
      <c r="Q126" s="354"/>
      <c r="R126" s="354"/>
      <c r="S126" s="354"/>
      <c r="T126" s="354"/>
      <c r="U126" s="354"/>
    </row>
    <row r="127" spans="1:23">
      <c r="A127" s="386">
        <v>44713</v>
      </c>
      <c r="B127" s="355">
        <f t="shared" si="14"/>
        <v>2022</v>
      </c>
      <c r="D127" s="355"/>
      <c r="G127" s="355"/>
      <c r="J127" s="355"/>
      <c r="M127" s="356"/>
      <c r="O127" s="355"/>
      <c r="P127" s="355"/>
      <c r="Q127" s="355"/>
      <c r="R127" s="355"/>
      <c r="S127" s="355"/>
      <c r="T127" s="355"/>
      <c r="U127" s="355"/>
    </row>
    <row r="128" spans="1:23">
      <c r="A128" s="386">
        <v>44743</v>
      </c>
      <c r="B128" s="355">
        <f t="shared" si="14"/>
        <v>2022</v>
      </c>
      <c r="D128" s="355"/>
      <c r="G128" s="355"/>
      <c r="J128" s="355"/>
      <c r="M128" s="356"/>
      <c r="O128" s="355"/>
      <c r="P128" s="355"/>
      <c r="Q128" s="355"/>
      <c r="R128" s="355"/>
      <c r="S128" s="355"/>
      <c r="T128" s="355"/>
      <c r="U128" s="355"/>
    </row>
    <row r="129" spans="1:21">
      <c r="A129" s="386">
        <v>44774</v>
      </c>
      <c r="B129" s="355">
        <f t="shared" si="14"/>
        <v>2022</v>
      </c>
      <c r="D129" s="355"/>
      <c r="G129" s="355"/>
      <c r="J129" s="355"/>
      <c r="M129" s="356"/>
      <c r="O129" s="355"/>
      <c r="P129" s="355"/>
      <c r="Q129" s="355"/>
      <c r="R129" s="355"/>
      <c r="S129" s="355"/>
      <c r="T129" s="355"/>
      <c r="U129" s="355"/>
    </row>
    <row r="130" spans="1:21">
      <c r="A130" s="386">
        <v>44805</v>
      </c>
      <c r="B130" s="355">
        <f t="shared" si="14"/>
        <v>2022</v>
      </c>
      <c r="D130" s="355"/>
      <c r="G130" s="355"/>
      <c r="J130" s="355"/>
      <c r="M130" s="356"/>
      <c r="O130" s="355"/>
      <c r="P130" s="355"/>
      <c r="Q130" s="355"/>
      <c r="R130" s="355"/>
      <c r="S130" s="355"/>
      <c r="T130" s="355"/>
      <c r="U130" s="355"/>
    </row>
    <row r="131" spans="1:21">
      <c r="A131" s="7"/>
      <c r="M131" s="1"/>
    </row>
    <row r="132" spans="1:21">
      <c r="A132" s="7"/>
      <c r="M132" s="1"/>
    </row>
    <row r="133" spans="1:21">
      <c r="A133" s="7"/>
      <c r="M133" s="1"/>
    </row>
    <row r="134" spans="1:21">
      <c r="A134" s="7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D38" sqref="D38"/>
    </sheetView>
  </sheetViews>
  <sheetFormatPr defaultRowHeight="12.75"/>
  <cols>
    <col min="1" max="3" width="9.140625" style="6"/>
    <col min="4" max="7" width="13.85546875" customWidth="1"/>
    <col min="8" max="8" width="11.5703125" customWidth="1"/>
    <col min="9" max="10" width="13.85546875" customWidth="1"/>
    <col min="11" max="11" width="13" customWidth="1"/>
    <col min="12" max="12" width="12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  <col min="22" max="38" width="9.140625" style="44"/>
    <col min="39" max="39" width="11.28515625" style="42" bestFit="1" customWidth="1"/>
    <col min="40" max="43" width="9.28515625" style="42" bestFit="1" customWidth="1"/>
    <col min="44" max="44" width="7.28515625" customWidth="1"/>
    <col min="45" max="46" width="9.85546875" customWidth="1"/>
    <col min="63" max="65" width="10.7109375" customWidth="1"/>
    <col min="66" max="81" width="7.28515625" style="54" customWidth="1"/>
    <col min="84" max="84" width="10.28515625" bestFit="1" customWidth="1"/>
  </cols>
  <sheetData>
    <row r="1" spans="1:84" s="60" customFormat="1" ht="25.5">
      <c r="A1" s="55" t="str">
        <f>'Monthly Data'!A1</f>
        <v>Date</v>
      </c>
      <c r="B1" s="55" t="str">
        <f>'Monthly Data'!B1</f>
        <v>Year</v>
      </c>
      <c r="C1" s="55" t="s">
        <v>20</v>
      </c>
      <c r="D1" s="56" t="str">
        <f>'Monthly Data'!D1</f>
        <v>ReskWh</v>
      </c>
      <c r="E1" s="56" t="str">
        <f>'Monthly Data'!E1</f>
        <v>ResCDM</v>
      </c>
      <c r="F1" s="56" t="str">
        <f>'Monthly Data'!F1</f>
        <v>Res_NoCDM</v>
      </c>
      <c r="G1" s="56" t="str">
        <f>'Monthly Data'!G1</f>
        <v>GSlt50kWh</v>
      </c>
      <c r="H1" s="56" t="str">
        <f>'Monthly Data'!H1</f>
        <v>GSlt50kW_CDM</v>
      </c>
      <c r="I1" s="56" t="str">
        <f>'Monthly Data'!I1</f>
        <v>GSlt50kW_NoCDM</v>
      </c>
      <c r="J1" s="56" t="str">
        <f>'Monthly Data'!J1</f>
        <v>GSgt50kWh</v>
      </c>
      <c r="K1" s="56" t="str">
        <f>'Monthly Data'!K1</f>
        <v>GSgt50kWh_CDM</v>
      </c>
      <c r="L1" s="56" t="str">
        <f>'Monthly Data'!L1</f>
        <v>GSgt50kWh_NoCDM</v>
      </c>
      <c r="M1" s="56" t="str">
        <f>'Monthly Data'!M1</f>
        <v>StreetkWh</v>
      </c>
      <c r="N1" s="56" t="str">
        <f>'Monthly Data'!N1</f>
        <v>USLkWh</v>
      </c>
      <c r="O1" s="55" t="str">
        <f>'Monthly Data'!O1</f>
        <v>GSgt50kW</v>
      </c>
      <c r="P1" s="55" t="str">
        <f>'Monthly Data'!P1</f>
        <v>Street_kW</v>
      </c>
      <c r="Q1" s="56" t="str">
        <f>'Monthly Data'!Q1</f>
        <v>Res Cust</v>
      </c>
      <c r="R1" s="56" t="str">
        <f>'Monthly Data'!R1</f>
        <v>GSlt50 Cust</v>
      </c>
      <c r="S1" s="56" t="str">
        <f>'Monthly Data'!S1</f>
        <v>GSgt50Cust</v>
      </c>
      <c r="T1" s="56" t="str">
        <f>'Monthly Data'!T1</f>
        <v>Street Cust</v>
      </c>
      <c r="U1" s="56" t="str">
        <f>'Monthly Data'!U1</f>
        <v>USL Cust</v>
      </c>
      <c r="V1" s="57" t="str">
        <f>Weather!C1</f>
        <v>Avg. Temp</v>
      </c>
      <c r="W1" s="57" t="str">
        <f>Weather!D1</f>
        <v>HDD22</v>
      </c>
      <c r="X1" s="57" t="str">
        <f>Weather!E1</f>
        <v>CDD22</v>
      </c>
      <c r="Y1" s="57" t="str">
        <f>Weather!F1</f>
        <v>HDD20</v>
      </c>
      <c r="Z1" s="57" t="str">
        <f>Weather!G1</f>
        <v>CDD20</v>
      </c>
      <c r="AA1" s="57" t="str">
        <f>Weather!H1</f>
        <v>HDD18</v>
      </c>
      <c r="AB1" s="57" t="str">
        <f>Weather!I1</f>
        <v>CDD18</v>
      </c>
      <c r="AC1" s="57" t="str">
        <f>Weather!J1</f>
        <v>HDD16</v>
      </c>
      <c r="AD1" s="57" t="str">
        <f>Weather!K1</f>
        <v>CDD16</v>
      </c>
      <c r="AE1" s="57" t="str">
        <f>Weather!L1</f>
        <v>HDD14</v>
      </c>
      <c r="AF1" s="57" t="str">
        <f>Weather!M1</f>
        <v>CDD14</v>
      </c>
      <c r="AG1" s="57" t="str">
        <f>Weather!N1</f>
        <v>HDD12</v>
      </c>
      <c r="AH1" s="57" t="str">
        <f>Weather!O1</f>
        <v>CDD12</v>
      </c>
      <c r="AI1" s="57" t="str">
        <f>Weather!P1</f>
        <v>HDD10</v>
      </c>
      <c r="AJ1" s="57" t="str">
        <f>Weather!Q1</f>
        <v>CDD10</v>
      </c>
      <c r="AK1" s="57" t="str">
        <f>Weather!R1</f>
        <v>HDD8</v>
      </c>
      <c r="AL1" s="57" t="str">
        <f>Weather!S1</f>
        <v>CDD8</v>
      </c>
      <c r="AM1" s="58" t="str">
        <f>Economic!C1</f>
        <v>OntarioGDP</v>
      </c>
      <c r="AN1" s="58" t="str">
        <f>Economic!D1</f>
        <v>OntarioFTEAdj</v>
      </c>
      <c r="AO1" s="58" t="str">
        <f>Economic!E1</f>
        <v>OntarioFTE</v>
      </c>
      <c r="AP1" s="58" t="str">
        <f>Economic!F1</f>
        <v>BarrieFTEAdj</v>
      </c>
      <c r="AQ1" s="58" t="str">
        <f>Economic!G1</f>
        <v>BarrieFTE</v>
      </c>
      <c r="AR1" s="49" t="s">
        <v>74</v>
      </c>
      <c r="AS1" s="49" t="s">
        <v>75</v>
      </c>
      <c r="AT1" s="49" t="s">
        <v>76</v>
      </c>
      <c r="AU1" s="49" t="s">
        <v>38</v>
      </c>
      <c r="AV1" s="49" t="s">
        <v>39</v>
      </c>
      <c r="AW1" s="49" t="s">
        <v>40</v>
      </c>
      <c r="AX1" s="49" t="s">
        <v>41</v>
      </c>
      <c r="AY1" s="49" t="s">
        <v>42</v>
      </c>
      <c r="AZ1" s="49" t="s">
        <v>77</v>
      </c>
      <c r="BA1" s="49" t="s">
        <v>78</v>
      </c>
      <c r="BB1" s="49" t="s">
        <v>79</v>
      </c>
      <c r="BC1" s="49" t="s">
        <v>80</v>
      </c>
      <c r="BD1" s="49" t="s">
        <v>47</v>
      </c>
      <c r="BE1" s="49" t="s">
        <v>48</v>
      </c>
      <c r="BF1" s="49" t="s">
        <v>49</v>
      </c>
      <c r="BG1" s="49" t="s">
        <v>81</v>
      </c>
      <c r="BH1" s="49" t="s">
        <v>82</v>
      </c>
      <c r="BI1" s="49" t="s">
        <v>83</v>
      </c>
      <c r="BJ1" s="50" t="s">
        <v>84</v>
      </c>
      <c r="BK1" s="49" t="s">
        <v>85</v>
      </c>
      <c r="BL1" s="49" t="s">
        <v>194</v>
      </c>
      <c r="BM1" s="49" t="s">
        <v>349</v>
      </c>
      <c r="BN1" s="52" t="str">
        <f t="shared" ref="BN1:CC1" si="0">$BJ$1&amp;W1</f>
        <v>COVIDHDD22</v>
      </c>
      <c r="BO1" s="52" t="str">
        <f t="shared" si="0"/>
        <v>COVIDCDD22</v>
      </c>
      <c r="BP1" s="52" t="str">
        <f t="shared" si="0"/>
        <v>COVIDHDD20</v>
      </c>
      <c r="BQ1" s="52" t="str">
        <f t="shared" si="0"/>
        <v>COVIDCDD20</v>
      </c>
      <c r="BR1" s="52" t="str">
        <f t="shared" si="0"/>
        <v>COVIDHDD18</v>
      </c>
      <c r="BS1" s="52" t="str">
        <f t="shared" si="0"/>
        <v>COVIDCDD18</v>
      </c>
      <c r="BT1" s="52" t="str">
        <f t="shared" si="0"/>
        <v>COVIDHDD16</v>
      </c>
      <c r="BU1" s="52" t="str">
        <f t="shared" si="0"/>
        <v>COVIDCDD16</v>
      </c>
      <c r="BV1" s="52" t="str">
        <f t="shared" si="0"/>
        <v>COVIDHDD14</v>
      </c>
      <c r="BW1" s="52" t="str">
        <f t="shared" si="0"/>
        <v>COVIDCDD14</v>
      </c>
      <c r="BX1" s="52" t="str">
        <f t="shared" si="0"/>
        <v>COVIDHDD12</v>
      </c>
      <c r="BY1" s="52" t="str">
        <f t="shared" si="0"/>
        <v>COVIDCDD12</v>
      </c>
      <c r="BZ1" s="52" t="str">
        <f t="shared" si="0"/>
        <v>COVIDHDD10</v>
      </c>
      <c r="CA1" s="52" t="str">
        <f t="shared" si="0"/>
        <v>COVIDCDD10</v>
      </c>
      <c r="CB1" s="52" t="str">
        <f t="shared" si="0"/>
        <v>COVIDHDD8</v>
      </c>
      <c r="CC1" s="52" t="str">
        <f t="shared" si="0"/>
        <v>COVIDCDD8</v>
      </c>
      <c r="CD1" s="59" t="s">
        <v>86</v>
      </c>
      <c r="CE1" s="59" t="s">
        <v>87</v>
      </c>
      <c r="CF1" s="59" t="s">
        <v>88</v>
      </c>
    </row>
    <row r="2" spans="1:84">
      <c r="A2" s="7">
        <f>'Monthly Data'!A2</f>
        <v>40909</v>
      </c>
      <c r="B2" s="6">
        <f>'Monthly Data'!B2</f>
        <v>2012</v>
      </c>
      <c r="C2" s="6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5">
        <f>'Monthly Data'!O2</f>
        <v>28201.79</v>
      </c>
      <c r="P2" s="5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5">
        <f>Weather!C122</f>
        <v>-2.4419354838709673</v>
      </c>
      <c r="W2" s="46">
        <f>Weather!D122</f>
        <v>757.7</v>
      </c>
      <c r="X2" s="46">
        <f>Weather!E122</f>
        <v>0</v>
      </c>
      <c r="Y2" s="46">
        <f>Weather!F122</f>
        <v>695.7</v>
      </c>
      <c r="Z2" s="46">
        <f>Weather!G122</f>
        <v>0</v>
      </c>
      <c r="AA2" s="46">
        <f>Weather!H122</f>
        <v>633.70000000000005</v>
      </c>
      <c r="AB2" s="46">
        <f>Weather!I122</f>
        <v>0</v>
      </c>
      <c r="AC2" s="46">
        <f>Weather!J122</f>
        <v>571.70000000000005</v>
      </c>
      <c r="AD2" s="46">
        <f>Weather!K122</f>
        <v>0</v>
      </c>
      <c r="AE2" s="46">
        <f>Weather!L122</f>
        <v>509.7</v>
      </c>
      <c r="AF2" s="46">
        <f>Weather!M122</f>
        <v>0</v>
      </c>
      <c r="AG2" s="46">
        <f>Weather!N122</f>
        <v>447.7</v>
      </c>
      <c r="AH2" s="46">
        <f>Weather!O122</f>
        <v>0</v>
      </c>
      <c r="AI2" s="46">
        <f>Weather!P122</f>
        <v>385.7</v>
      </c>
      <c r="AJ2" s="46">
        <f>Weather!Q122</f>
        <v>0</v>
      </c>
      <c r="AK2" s="46">
        <f>Weather!R122</f>
        <v>323.7</v>
      </c>
      <c r="AL2" s="46">
        <f>Weather!S122</f>
        <v>0</v>
      </c>
      <c r="AM2" s="43">
        <f>Economic!C2</f>
        <v>634944.30000000005</v>
      </c>
      <c r="AN2" s="43">
        <f>Economic!D2</f>
        <v>6646.5</v>
      </c>
      <c r="AO2" s="43">
        <f>Economic!E2</f>
        <v>6611.1</v>
      </c>
      <c r="AP2" s="43">
        <f>Economic!F2</f>
        <v>98.8</v>
      </c>
      <c r="AQ2" s="43">
        <f>Economic!G2</f>
        <v>99.3</v>
      </c>
      <c r="AR2" s="47">
        <v>31</v>
      </c>
      <c r="AS2" s="47">
        <v>20</v>
      </c>
      <c r="AT2" s="47">
        <v>1</v>
      </c>
      <c r="AU2" s="47">
        <v>1</v>
      </c>
      <c r="AV2" s="47">
        <v>0</v>
      </c>
      <c r="AW2" s="47">
        <v>0</v>
      </c>
      <c r="AX2" s="47">
        <v>0</v>
      </c>
      <c r="AY2" s="47">
        <v>0</v>
      </c>
      <c r="AZ2" s="47">
        <v>0</v>
      </c>
      <c r="BA2" s="47">
        <v>0</v>
      </c>
      <c r="BB2" s="47">
        <v>0</v>
      </c>
      <c r="BC2" s="47">
        <v>0</v>
      </c>
      <c r="BD2" s="47">
        <v>0</v>
      </c>
      <c r="BE2" s="47">
        <v>0</v>
      </c>
      <c r="BF2" s="47">
        <v>0</v>
      </c>
      <c r="BG2" s="47">
        <v>0</v>
      </c>
      <c r="BH2" s="47">
        <v>0</v>
      </c>
      <c r="BI2" s="47">
        <f t="shared" ref="BI2:BI54" si="2">BG2+BH2</f>
        <v>0</v>
      </c>
      <c r="BJ2" s="48">
        <v>0</v>
      </c>
      <c r="BK2" s="48">
        <v>0</v>
      </c>
      <c r="BL2" s="48">
        <f>BK2</f>
        <v>0</v>
      </c>
      <c r="BM2" s="48">
        <v>1</v>
      </c>
      <c r="BN2" s="53">
        <f t="shared" ref="BN2:BN33" si="3">$BJ2*W2</f>
        <v>0</v>
      </c>
      <c r="BO2" s="53">
        <f t="shared" ref="BO2:BO33" si="4">$BJ2*X2</f>
        <v>0</v>
      </c>
      <c r="BP2" s="53">
        <f t="shared" ref="BP2:BP33" si="5">$BJ2*Y2</f>
        <v>0</v>
      </c>
      <c r="BQ2" s="53">
        <f t="shared" ref="BQ2:BQ33" si="6">$BJ2*Z2</f>
        <v>0</v>
      </c>
      <c r="BR2" s="53">
        <f t="shared" ref="BR2:BR33" si="7">$BJ2*AA2</f>
        <v>0</v>
      </c>
      <c r="BS2" s="53">
        <f t="shared" ref="BS2:BS33" si="8">$BJ2*AB2</f>
        <v>0</v>
      </c>
      <c r="BT2" s="53">
        <f t="shared" ref="BT2:BT33" si="9">$BJ2*AC2</f>
        <v>0</v>
      </c>
      <c r="BU2" s="53">
        <f t="shared" ref="BU2:BU33" si="10">$BJ2*AD2</f>
        <v>0</v>
      </c>
      <c r="BV2" s="53">
        <f t="shared" ref="BV2:BV33" si="11">$BJ2*AE2</f>
        <v>0</v>
      </c>
      <c r="BW2" s="53">
        <f t="shared" ref="BW2:BW33" si="12">$BJ2*AF2</f>
        <v>0</v>
      </c>
      <c r="BX2" s="53">
        <f t="shared" ref="BX2:BX33" si="13">$BJ2*AG2</f>
        <v>0</v>
      </c>
      <c r="BY2" s="53">
        <f t="shared" ref="BY2:BY33" si="14">$BJ2*AH2</f>
        <v>0</v>
      </c>
      <c r="BZ2" s="53">
        <f t="shared" ref="BZ2:BZ33" si="15">$BJ2*AI2</f>
        <v>0</v>
      </c>
      <c r="CA2" s="53">
        <f t="shared" ref="CA2:CA33" si="16">$BJ2*AJ2</f>
        <v>0</v>
      </c>
      <c r="CB2" s="53">
        <f t="shared" ref="CB2:CB33" si="17">$BJ2*AK2</f>
        <v>0</v>
      </c>
      <c r="CC2" s="53">
        <f t="shared" ref="CC2:CC33" si="18">$BJ2*AL2</f>
        <v>0</v>
      </c>
      <c r="CD2" s="8">
        <f t="shared" ref="CD2:CD33" si="19">F2/Q2</f>
        <v>923.78270456999473</v>
      </c>
      <c r="CE2" s="8">
        <f t="shared" ref="CE2:CE33" si="20">I2/R2</f>
        <v>2642.1759979336989</v>
      </c>
      <c r="CF2" s="8">
        <f t="shared" ref="CF2:CF33" si="21">L2/S2</f>
        <v>112314.39387587471</v>
      </c>
    </row>
    <row r="3" spans="1:84">
      <c r="A3" s="7">
        <f>'Monthly Data'!A3</f>
        <v>40940</v>
      </c>
      <c r="B3" s="6">
        <f>'Monthly Data'!B3</f>
        <v>2012</v>
      </c>
      <c r="C3" s="6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5">
        <f>'Monthly Data'!O3</f>
        <v>28498.41</v>
      </c>
      <c r="P3" s="5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5">
        <f>Weather!C123</f>
        <v>-1.0206896551724136</v>
      </c>
      <c r="W3" s="46">
        <f>Weather!D123</f>
        <v>667.6</v>
      </c>
      <c r="X3" s="46">
        <f>Weather!E123</f>
        <v>0</v>
      </c>
      <c r="Y3" s="46">
        <f>Weather!F123</f>
        <v>609.6</v>
      </c>
      <c r="Z3" s="46">
        <f>Weather!G123</f>
        <v>0</v>
      </c>
      <c r="AA3" s="46">
        <f>Weather!H123</f>
        <v>551.6</v>
      </c>
      <c r="AB3" s="46">
        <f>Weather!I123</f>
        <v>0</v>
      </c>
      <c r="AC3" s="46">
        <f>Weather!J123</f>
        <v>493.6</v>
      </c>
      <c r="AD3" s="46">
        <f>Weather!K123</f>
        <v>0</v>
      </c>
      <c r="AE3" s="46">
        <f>Weather!L123</f>
        <v>435.6</v>
      </c>
      <c r="AF3" s="46">
        <f>Weather!M123</f>
        <v>0</v>
      </c>
      <c r="AG3" s="46">
        <f>Weather!N123</f>
        <v>377.6</v>
      </c>
      <c r="AH3" s="46">
        <f>Weather!O123</f>
        <v>0</v>
      </c>
      <c r="AI3" s="46">
        <f>Weather!P123</f>
        <v>319.60000000000002</v>
      </c>
      <c r="AJ3" s="46">
        <f>Weather!Q123</f>
        <v>0</v>
      </c>
      <c r="AK3" s="46">
        <f>Weather!R123</f>
        <v>261.60000000000002</v>
      </c>
      <c r="AL3" s="46">
        <f>Weather!S123</f>
        <v>0</v>
      </c>
      <c r="AM3" s="43">
        <f>Economic!C3</f>
        <v>634944.30000000005</v>
      </c>
      <c r="AN3" s="43">
        <f>Economic!D3</f>
        <v>6641.1</v>
      </c>
      <c r="AO3" s="43">
        <f>Economic!E3</f>
        <v>6571.2</v>
      </c>
      <c r="AP3" s="43">
        <f>Economic!F3</f>
        <v>97.7</v>
      </c>
      <c r="AQ3" s="43">
        <f>Economic!G3</f>
        <v>97.2</v>
      </c>
      <c r="AR3" s="47">
        <v>29</v>
      </c>
      <c r="AS3" s="47">
        <v>19</v>
      </c>
      <c r="AT3" s="47">
        <f t="shared" ref="AT3:AT54" si="22">1+AT2</f>
        <v>2</v>
      </c>
      <c r="AU3" s="47">
        <v>0</v>
      </c>
      <c r="AV3" s="47">
        <v>1</v>
      </c>
      <c r="AW3" s="47">
        <v>0</v>
      </c>
      <c r="AX3" s="47">
        <v>0</v>
      </c>
      <c r="AY3" s="47">
        <v>0</v>
      </c>
      <c r="AZ3" s="47">
        <v>0</v>
      </c>
      <c r="BA3" s="47">
        <v>0</v>
      </c>
      <c r="BB3" s="47">
        <v>0</v>
      </c>
      <c r="BC3" s="47">
        <v>0</v>
      </c>
      <c r="BD3" s="47">
        <v>0</v>
      </c>
      <c r="BE3" s="47">
        <v>0</v>
      </c>
      <c r="BF3" s="47">
        <v>0</v>
      </c>
      <c r="BG3" s="47">
        <v>0</v>
      </c>
      <c r="BH3" s="47">
        <v>0</v>
      </c>
      <c r="BI3" s="47">
        <f t="shared" si="2"/>
        <v>0</v>
      </c>
      <c r="BJ3" s="48">
        <v>0</v>
      </c>
      <c r="BK3" s="48">
        <v>0</v>
      </c>
      <c r="BL3" s="48">
        <f t="shared" ref="BL3:BL66" si="23">BK3</f>
        <v>0</v>
      </c>
      <c r="BM3" s="48">
        <v>1</v>
      </c>
      <c r="BN3" s="53">
        <f t="shared" si="3"/>
        <v>0</v>
      </c>
      <c r="BO3" s="53">
        <f t="shared" si="4"/>
        <v>0</v>
      </c>
      <c r="BP3" s="53">
        <f t="shared" si="5"/>
        <v>0</v>
      </c>
      <c r="BQ3" s="53">
        <f t="shared" si="6"/>
        <v>0</v>
      </c>
      <c r="BR3" s="53">
        <f t="shared" si="7"/>
        <v>0</v>
      </c>
      <c r="BS3" s="53">
        <f t="shared" si="8"/>
        <v>0</v>
      </c>
      <c r="BT3" s="53">
        <f t="shared" si="9"/>
        <v>0</v>
      </c>
      <c r="BU3" s="53">
        <f t="shared" si="10"/>
        <v>0</v>
      </c>
      <c r="BV3" s="53">
        <f t="shared" si="11"/>
        <v>0</v>
      </c>
      <c r="BW3" s="53">
        <f t="shared" si="12"/>
        <v>0</v>
      </c>
      <c r="BX3" s="53">
        <f t="shared" si="13"/>
        <v>0</v>
      </c>
      <c r="BY3" s="53">
        <f t="shared" si="14"/>
        <v>0</v>
      </c>
      <c r="BZ3" s="53">
        <f t="shared" si="15"/>
        <v>0</v>
      </c>
      <c r="CA3" s="53">
        <f t="shared" si="16"/>
        <v>0</v>
      </c>
      <c r="CB3" s="53">
        <f t="shared" si="17"/>
        <v>0</v>
      </c>
      <c r="CC3" s="53">
        <f t="shared" si="18"/>
        <v>0</v>
      </c>
      <c r="CD3" s="8">
        <f t="shared" si="19"/>
        <v>809.67242144254124</v>
      </c>
      <c r="CE3" s="8">
        <f t="shared" si="20"/>
        <v>2427.2043697071276</v>
      </c>
      <c r="CF3" s="8">
        <f t="shared" si="21"/>
        <v>110083.28976362535</v>
      </c>
    </row>
    <row r="4" spans="1:84">
      <c r="A4" s="7">
        <f>'Monthly Data'!A4</f>
        <v>40969</v>
      </c>
      <c r="B4" s="6">
        <f>'Monthly Data'!B4</f>
        <v>2012</v>
      </c>
      <c r="C4" s="6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5">
        <f>'Monthly Data'!O4</f>
        <v>27880.02</v>
      </c>
      <c r="P4" s="5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5">
        <f>Weather!C124</f>
        <v>6.4</v>
      </c>
      <c r="W4" s="46">
        <f>Weather!D124</f>
        <v>483.6</v>
      </c>
      <c r="X4" s="46">
        <f>Weather!E124</f>
        <v>0</v>
      </c>
      <c r="Y4" s="46">
        <f>Weather!F124</f>
        <v>421.6</v>
      </c>
      <c r="Z4" s="46">
        <f>Weather!G124</f>
        <v>0</v>
      </c>
      <c r="AA4" s="46">
        <f>Weather!H124</f>
        <v>362.4</v>
      </c>
      <c r="AB4" s="46">
        <f>Weather!I124</f>
        <v>2.8</v>
      </c>
      <c r="AC4" s="46">
        <f>Weather!J124</f>
        <v>304.39999999999998</v>
      </c>
      <c r="AD4" s="46">
        <f>Weather!K124</f>
        <v>6.8</v>
      </c>
      <c r="AE4" s="46">
        <f>Weather!L124</f>
        <v>247.9</v>
      </c>
      <c r="AF4" s="46">
        <f>Weather!M124</f>
        <v>12.3</v>
      </c>
      <c r="AG4" s="46">
        <f>Weather!N124</f>
        <v>198.9</v>
      </c>
      <c r="AH4" s="46">
        <f>Weather!O124</f>
        <v>25.3</v>
      </c>
      <c r="AI4" s="46">
        <f>Weather!P124</f>
        <v>158.69999999999999</v>
      </c>
      <c r="AJ4" s="46">
        <f>Weather!Q124</f>
        <v>47.1</v>
      </c>
      <c r="AK4" s="46">
        <f>Weather!R124</f>
        <v>123.7</v>
      </c>
      <c r="AL4" s="46">
        <f>Weather!S124</f>
        <v>74.099999999999994</v>
      </c>
      <c r="AM4" s="43">
        <f>Economic!C4</f>
        <v>634944.30000000005</v>
      </c>
      <c r="AN4" s="43">
        <f>Economic!D4</f>
        <v>6644.1</v>
      </c>
      <c r="AO4" s="43">
        <f>Economic!E4</f>
        <v>6541.5</v>
      </c>
      <c r="AP4" s="43">
        <f>Economic!F4</f>
        <v>97.7</v>
      </c>
      <c r="AQ4" s="43">
        <f>Economic!G4</f>
        <v>96.8</v>
      </c>
      <c r="AR4" s="47">
        <v>31</v>
      </c>
      <c r="AS4" s="47">
        <v>23</v>
      </c>
      <c r="AT4" s="47">
        <f t="shared" si="22"/>
        <v>3</v>
      </c>
      <c r="AU4" s="47">
        <v>0</v>
      </c>
      <c r="AV4" s="47">
        <v>0</v>
      </c>
      <c r="AW4" s="47">
        <v>1</v>
      </c>
      <c r="AX4" s="47">
        <v>0</v>
      </c>
      <c r="AY4" s="47">
        <v>0</v>
      </c>
      <c r="AZ4" s="47">
        <v>0</v>
      </c>
      <c r="BA4" s="47">
        <v>0</v>
      </c>
      <c r="BB4" s="47">
        <v>0</v>
      </c>
      <c r="BC4" s="47">
        <v>0</v>
      </c>
      <c r="BD4" s="47">
        <v>0</v>
      </c>
      <c r="BE4" s="47">
        <v>0</v>
      </c>
      <c r="BF4" s="47">
        <v>0</v>
      </c>
      <c r="BG4" s="47">
        <v>1</v>
      </c>
      <c r="BH4" s="47">
        <v>0</v>
      </c>
      <c r="BI4" s="47">
        <f t="shared" si="2"/>
        <v>1</v>
      </c>
      <c r="BJ4" s="48">
        <v>0</v>
      </c>
      <c r="BK4" s="48">
        <v>0</v>
      </c>
      <c r="BL4" s="48">
        <f t="shared" si="23"/>
        <v>0</v>
      </c>
      <c r="BM4" s="48">
        <v>1</v>
      </c>
      <c r="BN4" s="53">
        <f t="shared" si="3"/>
        <v>0</v>
      </c>
      <c r="BO4" s="53">
        <f t="shared" si="4"/>
        <v>0</v>
      </c>
      <c r="BP4" s="53">
        <f t="shared" si="5"/>
        <v>0</v>
      </c>
      <c r="BQ4" s="53">
        <f t="shared" si="6"/>
        <v>0</v>
      </c>
      <c r="BR4" s="53">
        <f t="shared" si="7"/>
        <v>0</v>
      </c>
      <c r="BS4" s="53">
        <f t="shared" si="8"/>
        <v>0</v>
      </c>
      <c r="BT4" s="53">
        <f t="shared" si="9"/>
        <v>0</v>
      </c>
      <c r="BU4" s="53">
        <f t="shared" si="10"/>
        <v>0</v>
      </c>
      <c r="BV4" s="53">
        <f t="shared" si="11"/>
        <v>0</v>
      </c>
      <c r="BW4" s="53">
        <f t="shared" si="12"/>
        <v>0</v>
      </c>
      <c r="BX4" s="53">
        <f t="shared" si="13"/>
        <v>0</v>
      </c>
      <c r="BY4" s="53">
        <f t="shared" si="14"/>
        <v>0</v>
      </c>
      <c r="BZ4" s="53">
        <f t="shared" si="15"/>
        <v>0</v>
      </c>
      <c r="CA4" s="53">
        <f t="shared" si="16"/>
        <v>0</v>
      </c>
      <c r="CB4" s="53">
        <f t="shared" si="17"/>
        <v>0</v>
      </c>
      <c r="CC4" s="53">
        <f t="shared" si="18"/>
        <v>0</v>
      </c>
      <c r="CD4" s="8">
        <f t="shared" si="19"/>
        <v>727.32467529579799</v>
      </c>
      <c r="CE4" s="8">
        <f t="shared" si="20"/>
        <v>2364.0555079952028</v>
      </c>
      <c r="CF4" s="8">
        <f t="shared" si="21"/>
        <v>108216.68658219387</v>
      </c>
    </row>
    <row r="5" spans="1:84">
      <c r="A5" s="7">
        <f>'Monthly Data'!A5</f>
        <v>41000</v>
      </c>
      <c r="B5" s="6">
        <f>'Monthly Data'!B5</f>
        <v>2012</v>
      </c>
      <c r="C5" s="6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5">
        <f>'Monthly Data'!O5</f>
        <v>28650.760000000002</v>
      </c>
      <c r="P5" s="5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5">
        <f>Weather!C125</f>
        <v>5.4033333333333333</v>
      </c>
      <c r="W5" s="46">
        <f>Weather!D125</f>
        <v>497.9</v>
      </c>
      <c r="X5" s="46">
        <f>Weather!E125</f>
        <v>0</v>
      </c>
      <c r="Y5" s="46">
        <f>Weather!F125</f>
        <v>437.9</v>
      </c>
      <c r="Z5" s="46">
        <f>Weather!G125</f>
        <v>0</v>
      </c>
      <c r="AA5" s="46">
        <f>Weather!H125</f>
        <v>377.9</v>
      </c>
      <c r="AB5" s="46">
        <f>Weather!I125</f>
        <v>0</v>
      </c>
      <c r="AC5" s="46">
        <f>Weather!J125</f>
        <v>318.7</v>
      </c>
      <c r="AD5" s="46">
        <f>Weather!K125</f>
        <v>0.8</v>
      </c>
      <c r="AE5" s="46">
        <f>Weather!L125</f>
        <v>262</v>
      </c>
      <c r="AF5" s="46">
        <f>Weather!M125</f>
        <v>4.0999999999999996</v>
      </c>
      <c r="AG5" s="46">
        <f>Weather!N125</f>
        <v>206.9</v>
      </c>
      <c r="AH5" s="46">
        <f>Weather!O125</f>
        <v>9</v>
      </c>
      <c r="AI5" s="46">
        <f>Weather!P125</f>
        <v>153.5</v>
      </c>
      <c r="AJ5" s="46">
        <f>Weather!Q125</f>
        <v>15.6</v>
      </c>
      <c r="AK5" s="46">
        <f>Weather!R125</f>
        <v>102.4</v>
      </c>
      <c r="AL5" s="46">
        <f>Weather!S125</f>
        <v>24.5</v>
      </c>
      <c r="AM5" s="43">
        <f>Economic!C5</f>
        <v>634944.30000000005</v>
      </c>
      <c r="AN5" s="43">
        <f>Economic!D5</f>
        <v>6654.6</v>
      </c>
      <c r="AO5" s="43">
        <f>Economic!E5</f>
        <v>6574.2</v>
      </c>
      <c r="AP5" s="43">
        <f>Economic!F5</f>
        <v>98.5</v>
      </c>
      <c r="AQ5" s="43">
        <f>Economic!G5</f>
        <v>96.2</v>
      </c>
      <c r="AR5" s="47">
        <v>30</v>
      </c>
      <c r="AS5" s="47">
        <v>20</v>
      </c>
      <c r="AT5" s="47">
        <f t="shared" si="22"/>
        <v>4</v>
      </c>
      <c r="AU5" s="47">
        <v>0</v>
      </c>
      <c r="AV5" s="47">
        <v>0</v>
      </c>
      <c r="AW5" s="47">
        <v>0</v>
      </c>
      <c r="AX5" s="47">
        <v>1</v>
      </c>
      <c r="AY5" s="47">
        <v>0</v>
      </c>
      <c r="AZ5" s="47">
        <v>0</v>
      </c>
      <c r="BA5" s="47">
        <v>0</v>
      </c>
      <c r="BB5" s="47">
        <v>0</v>
      </c>
      <c r="BC5" s="47">
        <v>0</v>
      </c>
      <c r="BD5" s="47">
        <v>0</v>
      </c>
      <c r="BE5" s="47">
        <v>0</v>
      </c>
      <c r="BF5" s="47">
        <v>0</v>
      </c>
      <c r="BG5" s="47">
        <v>1</v>
      </c>
      <c r="BH5" s="47">
        <v>0</v>
      </c>
      <c r="BI5" s="47">
        <f t="shared" si="2"/>
        <v>1</v>
      </c>
      <c r="BJ5" s="48">
        <v>0</v>
      </c>
      <c r="BK5" s="48">
        <v>0</v>
      </c>
      <c r="BL5" s="48">
        <f t="shared" si="23"/>
        <v>0</v>
      </c>
      <c r="BM5" s="48">
        <v>1</v>
      </c>
      <c r="BN5" s="53">
        <f t="shared" si="3"/>
        <v>0</v>
      </c>
      <c r="BO5" s="53">
        <f t="shared" si="4"/>
        <v>0</v>
      </c>
      <c r="BP5" s="53">
        <f t="shared" si="5"/>
        <v>0</v>
      </c>
      <c r="BQ5" s="53">
        <f t="shared" si="6"/>
        <v>0</v>
      </c>
      <c r="BR5" s="53">
        <f t="shared" si="7"/>
        <v>0</v>
      </c>
      <c r="BS5" s="53">
        <f t="shared" si="8"/>
        <v>0</v>
      </c>
      <c r="BT5" s="53">
        <f t="shared" si="9"/>
        <v>0</v>
      </c>
      <c r="BU5" s="53">
        <f t="shared" si="10"/>
        <v>0</v>
      </c>
      <c r="BV5" s="53">
        <f t="shared" si="11"/>
        <v>0</v>
      </c>
      <c r="BW5" s="53">
        <f t="shared" si="12"/>
        <v>0</v>
      </c>
      <c r="BX5" s="53">
        <f t="shared" si="13"/>
        <v>0</v>
      </c>
      <c r="BY5" s="53">
        <f t="shared" si="14"/>
        <v>0</v>
      </c>
      <c r="BZ5" s="53">
        <f t="shared" si="15"/>
        <v>0</v>
      </c>
      <c r="CA5" s="53">
        <f t="shared" si="16"/>
        <v>0</v>
      </c>
      <c r="CB5" s="53">
        <f t="shared" si="17"/>
        <v>0</v>
      </c>
      <c r="CC5" s="53">
        <f t="shared" si="18"/>
        <v>0</v>
      </c>
      <c r="CD5" s="8">
        <f t="shared" si="19"/>
        <v>609.21845972304084</v>
      </c>
      <c r="CE5" s="8">
        <f t="shared" si="20"/>
        <v>2096.6714262350429</v>
      </c>
      <c r="CF5" s="8">
        <f t="shared" si="21"/>
        <v>101035.37047296198</v>
      </c>
    </row>
    <row r="6" spans="1:84">
      <c r="A6" s="7">
        <f>'Monthly Data'!A6</f>
        <v>41030</v>
      </c>
      <c r="B6" s="6">
        <f>'Monthly Data'!B6</f>
        <v>2012</v>
      </c>
      <c r="C6" s="6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5">
        <f>'Monthly Data'!O6</f>
        <v>27422.899999999998</v>
      </c>
      <c r="P6" s="5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5">
        <f>Weather!C126</f>
        <v>14.480645161290326</v>
      </c>
      <c r="W6" s="46">
        <f>Weather!D126</f>
        <v>235.9</v>
      </c>
      <c r="X6" s="46">
        <f>Weather!E126</f>
        <v>2.8</v>
      </c>
      <c r="Y6" s="46">
        <f>Weather!F126</f>
        <v>183.3</v>
      </c>
      <c r="Z6" s="46">
        <f>Weather!G126</f>
        <v>12.2</v>
      </c>
      <c r="AA6" s="46">
        <f>Weather!H126</f>
        <v>133.5</v>
      </c>
      <c r="AB6" s="46">
        <f>Weather!I126</f>
        <v>24.4</v>
      </c>
      <c r="AC6" s="46">
        <f>Weather!J126</f>
        <v>89.2</v>
      </c>
      <c r="AD6" s="46">
        <f>Weather!K126</f>
        <v>42.1</v>
      </c>
      <c r="AE6" s="46">
        <f>Weather!L126</f>
        <v>52.1</v>
      </c>
      <c r="AF6" s="46">
        <f>Weather!M126</f>
        <v>67</v>
      </c>
      <c r="AG6" s="46">
        <f>Weather!N126</f>
        <v>22.5</v>
      </c>
      <c r="AH6" s="46">
        <f>Weather!O126</f>
        <v>99.4</v>
      </c>
      <c r="AI6" s="46">
        <f>Weather!P126</f>
        <v>7.3</v>
      </c>
      <c r="AJ6" s="46">
        <f>Weather!Q126</f>
        <v>146.19999999999999</v>
      </c>
      <c r="AK6" s="46">
        <f>Weather!R126</f>
        <v>1.3</v>
      </c>
      <c r="AL6" s="46">
        <f>Weather!S126</f>
        <v>202.2</v>
      </c>
      <c r="AM6" s="43">
        <f>Economic!C6</f>
        <v>634944.30000000005</v>
      </c>
      <c r="AN6" s="43">
        <f>Economic!D6</f>
        <v>6655.4</v>
      </c>
      <c r="AO6" s="43">
        <f>Economic!E6</f>
        <v>6626.1</v>
      </c>
      <c r="AP6" s="43">
        <f>Economic!F6</f>
        <v>99.9</v>
      </c>
      <c r="AQ6" s="43">
        <f>Economic!G6</f>
        <v>98.3</v>
      </c>
      <c r="AR6" s="47">
        <v>31</v>
      </c>
      <c r="AS6" s="47">
        <v>20</v>
      </c>
      <c r="AT6" s="47">
        <f t="shared" si="22"/>
        <v>5</v>
      </c>
      <c r="AU6" s="47">
        <v>0</v>
      </c>
      <c r="AV6" s="47">
        <v>0</v>
      </c>
      <c r="AW6" s="47">
        <v>0</v>
      </c>
      <c r="AX6" s="47">
        <v>0</v>
      </c>
      <c r="AY6" s="47">
        <v>1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1</v>
      </c>
      <c r="BH6" s="47">
        <v>0</v>
      </c>
      <c r="BI6" s="47">
        <f t="shared" si="2"/>
        <v>1</v>
      </c>
      <c r="BJ6" s="48">
        <v>0</v>
      </c>
      <c r="BK6" s="48">
        <v>0</v>
      </c>
      <c r="BL6" s="48">
        <f t="shared" si="23"/>
        <v>0</v>
      </c>
      <c r="BM6" s="48">
        <v>1</v>
      </c>
      <c r="BN6" s="53">
        <f t="shared" si="3"/>
        <v>0</v>
      </c>
      <c r="BO6" s="53">
        <f t="shared" si="4"/>
        <v>0</v>
      </c>
      <c r="BP6" s="53">
        <f t="shared" si="5"/>
        <v>0</v>
      </c>
      <c r="BQ6" s="53">
        <f t="shared" si="6"/>
        <v>0</v>
      </c>
      <c r="BR6" s="53">
        <f t="shared" si="7"/>
        <v>0</v>
      </c>
      <c r="BS6" s="53">
        <f t="shared" si="8"/>
        <v>0</v>
      </c>
      <c r="BT6" s="53">
        <f t="shared" si="9"/>
        <v>0</v>
      </c>
      <c r="BU6" s="53">
        <f t="shared" si="10"/>
        <v>0</v>
      </c>
      <c r="BV6" s="53">
        <f t="shared" si="11"/>
        <v>0</v>
      </c>
      <c r="BW6" s="53">
        <f t="shared" si="12"/>
        <v>0</v>
      </c>
      <c r="BX6" s="53">
        <f t="shared" si="13"/>
        <v>0</v>
      </c>
      <c r="BY6" s="53">
        <f t="shared" si="14"/>
        <v>0</v>
      </c>
      <c r="BZ6" s="53">
        <f t="shared" si="15"/>
        <v>0</v>
      </c>
      <c r="CA6" s="53">
        <f t="shared" si="16"/>
        <v>0</v>
      </c>
      <c r="CB6" s="53">
        <f t="shared" si="17"/>
        <v>0</v>
      </c>
      <c r="CC6" s="53">
        <f t="shared" si="18"/>
        <v>0</v>
      </c>
      <c r="CD6" s="8">
        <f t="shared" si="19"/>
        <v>568.74507341221738</v>
      </c>
      <c r="CE6" s="8">
        <f t="shared" si="20"/>
        <v>2153.0788815416909</v>
      </c>
      <c r="CF6" s="8">
        <f t="shared" si="21"/>
        <v>106856.73655027038</v>
      </c>
    </row>
    <row r="7" spans="1:84">
      <c r="A7" s="7">
        <f>'Monthly Data'!A7</f>
        <v>41061</v>
      </c>
      <c r="B7" s="6">
        <f>'Monthly Data'!B7</f>
        <v>2012</v>
      </c>
      <c r="C7" s="6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5">
        <f>'Monthly Data'!O7</f>
        <v>28656.22</v>
      </c>
      <c r="P7" s="5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5">
        <f>Weather!C127</f>
        <v>19.233333333333331</v>
      </c>
      <c r="W7" s="46">
        <f>Weather!D127</f>
        <v>108.7</v>
      </c>
      <c r="X7" s="46">
        <f>Weather!E127</f>
        <v>25.7</v>
      </c>
      <c r="Y7" s="46">
        <f>Weather!F127</f>
        <v>71.2</v>
      </c>
      <c r="Z7" s="46">
        <f>Weather!G127</f>
        <v>48.2</v>
      </c>
      <c r="AA7" s="46">
        <f>Weather!H127</f>
        <v>40.799999999999997</v>
      </c>
      <c r="AB7" s="46">
        <f>Weather!I127</f>
        <v>77.8</v>
      </c>
      <c r="AC7" s="46">
        <f>Weather!J127</f>
        <v>21.6</v>
      </c>
      <c r="AD7" s="46">
        <f>Weather!K127</f>
        <v>118.6</v>
      </c>
      <c r="AE7" s="46">
        <f>Weather!L127</f>
        <v>7.5</v>
      </c>
      <c r="AF7" s="46">
        <f>Weather!M127</f>
        <v>164.5</v>
      </c>
      <c r="AG7" s="46">
        <f>Weather!N127</f>
        <v>0.5</v>
      </c>
      <c r="AH7" s="46">
        <f>Weather!O127</f>
        <v>217.5</v>
      </c>
      <c r="AI7" s="46">
        <f>Weather!P127</f>
        <v>0</v>
      </c>
      <c r="AJ7" s="46">
        <f>Weather!Q127</f>
        <v>277</v>
      </c>
      <c r="AK7" s="46">
        <f>Weather!R127</f>
        <v>0</v>
      </c>
      <c r="AL7" s="46">
        <f>Weather!S127</f>
        <v>337</v>
      </c>
      <c r="AM7" s="43">
        <f>Economic!C7</f>
        <v>634944.30000000005</v>
      </c>
      <c r="AN7" s="43">
        <f>Economic!D7</f>
        <v>6655.3</v>
      </c>
      <c r="AO7" s="43">
        <f>Economic!E7</f>
        <v>6702</v>
      </c>
      <c r="AP7" s="43">
        <f>Economic!F7</f>
        <v>101.7</v>
      </c>
      <c r="AQ7" s="43">
        <f>Economic!G7</f>
        <v>101.9</v>
      </c>
      <c r="AR7" s="47">
        <v>30</v>
      </c>
      <c r="AS7" s="47">
        <v>22</v>
      </c>
      <c r="AT7" s="47">
        <f t="shared" si="22"/>
        <v>6</v>
      </c>
      <c r="AU7" s="47">
        <v>0</v>
      </c>
      <c r="AV7" s="47">
        <v>0</v>
      </c>
      <c r="AW7" s="47">
        <v>0</v>
      </c>
      <c r="AX7" s="47">
        <v>0</v>
      </c>
      <c r="AY7" s="47">
        <v>0</v>
      </c>
      <c r="AZ7" s="47">
        <v>1</v>
      </c>
      <c r="BA7" s="47">
        <v>0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0</v>
      </c>
      <c r="BH7" s="47">
        <v>0</v>
      </c>
      <c r="BI7" s="47">
        <f t="shared" si="2"/>
        <v>0</v>
      </c>
      <c r="BJ7" s="48">
        <v>0</v>
      </c>
      <c r="BK7" s="48">
        <v>0</v>
      </c>
      <c r="BL7" s="48">
        <f t="shared" si="23"/>
        <v>0</v>
      </c>
      <c r="BM7" s="48">
        <v>1</v>
      </c>
      <c r="BN7" s="53">
        <f t="shared" si="3"/>
        <v>0</v>
      </c>
      <c r="BO7" s="53">
        <f t="shared" si="4"/>
        <v>0</v>
      </c>
      <c r="BP7" s="53">
        <f t="shared" si="5"/>
        <v>0</v>
      </c>
      <c r="BQ7" s="53">
        <f t="shared" si="6"/>
        <v>0</v>
      </c>
      <c r="BR7" s="53">
        <f t="shared" si="7"/>
        <v>0</v>
      </c>
      <c r="BS7" s="53">
        <f t="shared" si="8"/>
        <v>0</v>
      </c>
      <c r="BT7" s="53">
        <f t="shared" si="9"/>
        <v>0</v>
      </c>
      <c r="BU7" s="53">
        <f t="shared" si="10"/>
        <v>0</v>
      </c>
      <c r="BV7" s="53">
        <f t="shared" si="11"/>
        <v>0</v>
      </c>
      <c r="BW7" s="53">
        <f t="shared" si="12"/>
        <v>0</v>
      </c>
      <c r="BX7" s="53">
        <f t="shared" si="13"/>
        <v>0</v>
      </c>
      <c r="BY7" s="53">
        <f t="shared" si="14"/>
        <v>0</v>
      </c>
      <c r="BZ7" s="53">
        <f t="shared" si="15"/>
        <v>0</v>
      </c>
      <c r="CA7" s="53">
        <f t="shared" si="16"/>
        <v>0</v>
      </c>
      <c r="CB7" s="53">
        <f t="shared" si="17"/>
        <v>0</v>
      </c>
      <c r="CC7" s="53">
        <f t="shared" si="18"/>
        <v>0</v>
      </c>
      <c r="CD7" s="8">
        <f t="shared" si="19"/>
        <v>606.57100810775114</v>
      </c>
      <c r="CE7" s="8">
        <f t="shared" si="20"/>
        <v>2263.9958341049451</v>
      </c>
      <c r="CF7" s="8">
        <f t="shared" si="21"/>
        <v>108311.71265411767</v>
      </c>
    </row>
    <row r="8" spans="1:84">
      <c r="A8" s="7">
        <f>'Monthly Data'!A8</f>
        <v>41091</v>
      </c>
      <c r="B8" s="6">
        <f>'Monthly Data'!B8</f>
        <v>2012</v>
      </c>
      <c r="C8" s="6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5">
        <f>'Monthly Data'!O8</f>
        <v>28813.030000000002</v>
      </c>
      <c r="P8" s="5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5">
        <f>Weather!C128</f>
        <v>22.048387096774196</v>
      </c>
      <c r="W8" s="46">
        <f>Weather!D128</f>
        <v>34.799999999999997</v>
      </c>
      <c r="X8" s="46">
        <f>Weather!E128</f>
        <v>36.299999999999997</v>
      </c>
      <c r="Y8" s="46">
        <f>Weather!F128</f>
        <v>8.5</v>
      </c>
      <c r="Z8" s="46">
        <f>Weather!G128</f>
        <v>72</v>
      </c>
      <c r="AA8" s="46">
        <f>Weather!H128</f>
        <v>0.2</v>
      </c>
      <c r="AB8" s="46">
        <f>Weather!I128</f>
        <v>125.7</v>
      </c>
      <c r="AC8" s="46">
        <f>Weather!J128</f>
        <v>0</v>
      </c>
      <c r="AD8" s="46">
        <f>Weather!K128</f>
        <v>187.5</v>
      </c>
      <c r="AE8" s="46">
        <f>Weather!L128</f>
        <v>0</v>
      </c>
      <c r="AF8" s="46">
        <f>Weather!M128</f>
        <v>249.5</v>
      </c>
      <c r="AG8" s="46">
        <f>Weather!N128</f>
        <v>0</v>
      </c>
      <c r="AH8" s="46">
        <f>Weather!O128</f>
        <v>311.5</v>
      </c>
      <c r="AI8" s="46">
        <f>Weather!P128</f>
        <v>0</v>
      </c>
      <c r="AJ8" s="46">
        <f>Weather!Q128</f>
        <v>373.5</v>
      </c>
      <c r="AK8" s="46">
        <f>Weather!R128</f>
        <v>0</v>
      </c>
      <c r="AL8" s="46">
        <f>Weather!S128</f>
        <v>435.5</v>
      </c>
      <c r="AM8" s="43">
        <f>Economic!C8</f>
        <v>634944.30000000005</v>
      </c>
      <c r="AN8" s="43">
        <f>Economic!D8</f>
        <v>6654</v>
      </c>
      <c r="AO8" s="43">
        <f>Economic!E8</f>
        <v>6741.1</v>
      </c>
      <c r="AP8" s="43">
        <f>Economic!F8</f>
        <v>101.3</v>
      </c>
      <c r="AQ8" s="43">
        <f>Economic!G8</f>
        <v>103.7</v>
      </c>
      <c r="AR8" s="47">
        <v>31</v>
      </c>
      <c r="AS8" s="47">
        <v>21</v>
      </c>
      <c r="AT8" s="47">
        <f t="shared" si="22"/>
        <v>7</v>
      </c>
      <c r="AU8" s="47">
        <v>0</v>
      </c>
      <c r="AV8" s="47">
        <v>0</v>
      </c>
      <c r="AW8" s="47">
        <v>0</v>
      </c>
      <c r="AX8" s="47">
        <v>0</v>
      </c>
      <c r="AY8" s="47">
        <v>0</v>
      </c>
      <c r="AZ8" s="47">
        <v>0</v>
      </c>
      <c r="BA8" s="47">
        <v>1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0</v>
      </c>
      <c r="BI8" s="47">
        <f t="shared" si="2"/>
        <v>0</v>
      </c>
      <c r="BJ8" s="48">
        <v>0</v>
      </c>
      <c r="BK8" s="48">
        <v>0</v>
      </c>
      <c r="BL8" s="48">
        <f t="shared" si="23"/>
        <v>0</v>
      </c>
      <c r="BM8" s="48">
        <v>1</v>
      </c>
      <c r="BN8" s="53">
        <f t="shared" si="3"/>
        <v>0</v>
      </c>
      <c r="BO8" s="53">
        <f t="shared" si="4"/>
        <v>0</v>
      </c>
      <c r="BP8" s="53">
        <f t="shared" si="5"/>
        <v>0</v>
      </c>
      <c r="BQ8" s="53">
        <f t="shared" si="6"/>
        <v>0</v>
      </c>
      <c r="BR8" s="53">
        <f t="shared" si="7"/>
        <v>0</v>
      </c>
      <c r="BS8" s="53">
        <f t="shared" si="8"/>
        <v>0</v>
      </c>
      <c r="BT8" s="53">
        <f t="shared" si="9"/>
        <v>0</v>
      </c>
      <c r="BU8" s="53">
        <f t="shared" si="10"/>
        <v>0</v>
      </c>
      <c r="BV8" s="53">
        <f t="shared" si="11"/>
        <v>0</v>
      </c>
      <c r="BW8" s="53">
        <f t="shared" si="12"/>
        <v>0</v>
      </c>
      <c r="BX8" s="53">
        <f t="shared" si="13"/>
        <v>0</v>
      </c>
      <c r="BY8" s="53">
        <f t="shared" si="14"/>
        <v>0</v>
      </c>
      <c r="BZ8" s="53">
        <f t="shared" si="15"/>
        <v>0</v>
      </c>
      <c r="CA8" s="53">
        <f t="shared" si="16"/>
        <v>0</v>
      </c>
      <c r="CB8" s="53">
        <f t="shared" si="17"/>
        <v>0</v>
      </c>
      <c r="CC8" s="53">
        <f t="shared" si="18"/>
        <v>0</v>
      </c>
      <c r="CD8" s="8">
        <f t="shared" si="19"/>
        <v>701.14214044669268</v>
      </c>
      <c r="CE8" s="8">
        <f t="shared" si="20"/>
        <v>2503.7636524519239</v>
      </c>
      <c r="CF8" s="8">
        <f t="shared" si="21"/>
        <v>100338.25670998343</v>
      </c>
    </row>
    <row r="9" spans="1:84">
      <c r="A9" s="7">
        <f>'Monthly Data'!A9</f>
        <v>41122</v>
      </c>
      <c r="B9" s="6">
        <f>'Monthly Data'!B9</f>
        <v>2012</v>
      </c>
      <c r="C9" s="6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5">
        <f>'Monthly Data'!O9</f>
        <v>28999.7</v>
      </c>
      <c r="P9" s="5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5">
        <f>Weather!C129</f>
        <v>20.743008736673687</v>
      </c>
      <c r="W9" s="46">
        <f>Weather!D129</f>
        <v>58.3</v>
      </c>
      <c r="X9" s="46">
        <f>Weather!E129</f>
        <v>19.3</v>
      </c>
      <c r="Y9" s="46">
        <f>Weather!F129</f>
        <v>24.4</v>
      </c>
      <c r="Z9" s="46">
        <f>Weather!G129</f>
        <v>47.4</v>
      </c>
      <c r="AA9" s="46">
        <f>Weather!H129</f>
        <v>4.7</v>
      </c>
      <c r="AB9" s="46">
        <f>Weather!I129</f>
        <v>89.7</v>
      </c>
      <c r="AC9" s="46">
        <f>Weather!J129</f>
        <v>0</v>
      </c>
      <c r="AD9" s="46">
        <f>Weather!K129</f>
        <v>147</v>
      </c>
      <c r="AE9" s="46">
        <f>Weather!L129</f>
        <v>0</v>
      </c>
      <c r="AF9" s="46">
        <f>Weather!M129</f>
        <v>209</v>
      </c>
      <c r="AG9" s="46">
        <f>Weather!N129</f>
        <v>0</v>
      </c>
      <c r="AH9" s="46">
        <f>Weather!O129</f>
        <v>271</v>
      </c>
      <c r="AI9" s="46">
        <f>Weather!P129</f>
        <v>0</v>
      </c>
      <c r="AJ9" s="46">
        <f>Weather!Q129</f>
        <v>333</v>
      </c>
      <c r="AK9" s="46">
        <f>Weather!R129</f>
        <v>0</v>
      </c>
      <c r="AL9" s="46">
        <f>Weather!S129</f>
        <v>395</v>
      </c>
      <c r="AM9" s="43">
        <f>Economic!C9</f>
        <v>634944.30000000005</v>
      </c>
      <c r="AN9" s="43">
        <f>Economic!D9</f>
        <v>6661.5</v>
      </c>
      <c r="AO9" s="43">
        <f>Economic!E9</f>
        <v>6758.8</v>
      </c>
      <c r="AP9" s="43">
        <f>Economic!F9</f>
        <v>99.8</v>
      </c>
      <c r="AQ9" s="43">
        <f>Economic!G9</f>
        <v>102</v>
      </c>
      <c r="AR9" s="47">
        <v>31</v>
      </c>
      <c r="AS9" s="47">
        <v>21</v>
      </c>
      <c r="AT9" s="47">
        <f t="shared" si="22"/>
        <v>8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1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f t="shared" si="2"/>
        <v>0</v>
      </c>
      <c r="BJ9" s="48">
        <v>0</v>
      </c>
      <c r="BK9" s="48">
        <v>0</v>
      </c>
      <c r="BL9" s="48">
        <f t="shared" si="23"/>
        <v>0</v>
      </c>
      <c r="BM9" s="48">
        <v>0</v>
      </c>
      <c r="BN9" s="53">
        <f t="shared" si="3"/>
        <v>0</v>
      </c>
      <c r="BO9" s="53">
        <f t="shared" si="4"/>
        <v>0</v>
      </c>
      <c r="BP9" s="53">
        <f t="shared" si="5"/>
        <v>0</v>
      </c>
      <c r="BQ9" s="53">
        <f t="shared" si="6"/>
        <v>0</v>
      </c>
      <c r="BR9" s="53">
        <f t="shared" si="7"/>
        <v>0</v>
      </c>
      <c r="BS9" s="53">
        <f t="shared" si="8"/>
        <v>0</v>
      </c>
      <c r="BT9" s="53">
        <f t="shared" si="9"/>
        <v>0</v>
      </c>
      <c r="BU9" s="53">
        <f t="shared" si="10"/>
        <v>0</v>
      </c>
      <c r="BV9" s="53">
        <f t="shared" si="11"/>
        <v>0</v>
      </c>
      <c r="BW9" s="53">
        <f t="shared" si="12"/>
        <v>0</v>
      </c>
      <c r="BX9" s="53">
        <f t="shared" si="13"/>
        <v>0</v>
      </c>
      <c r="BY9" s="53">
        <f t="shared" si="14"/>
        <v>0</v>
      </c>
      <c r="BZ9" s="53">
        <f t="shared" si="15"/>
        <v>0</v>
      </c>
      <c r="CA9" s="53">
        <f t="shared" si="16"/>
        <v>0</v>
      </c>
      <c r="CB9" s="53">
        <f t="shared" si="17"/>
        <v>0</v>
      </c>
      <c r="CC9" s="53">
        <f t="shared" si="18"/>
        <v>0</v>
      </c>
      <c r="CD9" s="8">
        <f t="shared" si="19"/>
        <v>653.58727925591791</v>
      </c>
      <c r="CE9" s="8">
        <f t="shared" si="20"/>
        <v>2410.6828880062599</v>
      </c>
      <c r="CF9" s="8">
        <f t="shared" si="21"/>
        <v>89208.544472720721</v>
      </c>
    </row>
    <row r="10" spans="1:84">
      <c r="A10" s="7">
        <f>'Monthly Data'!A10</f>
        <v>41153</v>
      </c>
      <c r="B10" s="6">
        <f>'Monthly Data'!B10</f>
        <v>2012</v>
      </c>
      <c r="C10" s="6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5">
        <f>'Monthly Data'!O10</f>
        <v>24615.149999999998</v>
      </c>
      <c r="P10" s="5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5">
        <f>Weather!C130</f>
        <v>15.806666666666667</v>
      </c>
      <c r="W10" s="46">
        <f>Weather!D130</f>
        <v>187.6</v>
      </c>
      <c r="X10" s="46">
        <f>Weather!E130</f>
        <v>1.8</v>
      </c>
      <c r="Y10" s="46">
        <f>Weather!F130</f>
        <v>133.9</v>
      </c>
      <c r="Z10" s="46">
        <f>Weather!G130</f>
        <v>8.1</v>
      </c>
      <c r="AA10" s="46">
        <f>Weather!H130</f>
        <v>90.2</v>
      </c>
      <c r="AB10" s="46">
        <f>Weather!I130</f>
        <v>24.4</v>
      </c>
      <c r="AC10" s="46">
        <f>Weather!J130</f>
        <v>53.8</v>
      </c>
      <c r="AD10" s="46">
        <f>Weather!K130</f>
        <v>48</v>
      </c>
      <c r="AE10" s="46">
        <f>Weather!L130</f>
        <v>24.4</v>
      </c>
      <c r="AF10" s="46">
        <f>Weather!M130</f>
        <v>78.599999999999994</v>
      </c>
      <c r="AG10" s="46">
        <f>Weather!N130</f>
        <v>5.5</v>
      </c>
      <c r="AH10" s="46">
        <f>Weather!O130</f>
        <v>119.7</v>
      </c>
      <c r="AI10" s="46">
        <f>Weather!P130</f>
        <v>0</v>
      </c>
      <c r="AJ10" s="46">
        <f>Weather!Q130</f>
        <v>174.2</v>
      </c>
      <c r="AK10" s="46">
        <f>Weather!R130</f>
        <v>0</v>
      </c>
      <c r="AL10" s="46">
        <f>Weather!S130</f>
        <v>234.2</v>
      </c>
      <c r="AM10" s="43">
        <f>Economic!C10</f>
        <v>634944.30000000005</v>
      </c>
      <c r="AN10" s="43">
        <f>Economic!D10</f>
        <v>6671.5</v>
      </c>
      <c r="AO10" s="43">
        <f>Economic!E10</f>
        <v>6722.8</v>
      </c>
      <c r="AP10" s="43">
        <f>Economic!F10</f>
        <v>98.9</v>
      </c>
      <c r="AQ10" s="43">
        <f>Economic!G10</f>
        <v>100.1</v>
      </c>
      <c r="AR10" s="47">
        <v>30</v>
      </c>
      <c r="AS10" s="47">
        <v>21</v>
      </c>
      <c r="AT10" s="47">
        <f t="shared" si="22"/>
        <v>9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7">
        <v>1</v>
      </c>
      <c r="BD10" s="47">
        <v>0</v>
      </c>
      <c r="BE10" s="47">
        <v>0</v>
      </c>
      <c r="BF10" s="47">
        <v>0</v>
      </c>
      <c r="BG10" s="47">
        <v>0</v>
      </c>
      <c r="BH10" s="47">
        <v>1</v>
      </c>
      <c r="BI10" s="47">
        <f t="shared" si="2"/>
        <v>1</v>
      </c>
      <c r="BJ10" s="48">
        <v>0</v>
      </c>
      <c r="BK10" s="48">
        <v>0</v>
      </c>
      <c r="BL10" s="48">
        <f t="shared" si="23"/>
        <v>0</v>
      </c>
      <c r="BM10" s="48">
        <v>0</v>
      </c>
      <c r="BN10" s="53">
        <f t="shared" si="3"/>
        <v>0</v>
      </c>
      <c r="BO10" s="53">
        <f t="shared" si="4"/>
        <v>0</v>
      </c>
      <c r="BP10" s="53">
        <f t="shared" si="5"/>
        <v>0</v>
      </c>
      <c r="BQ10" s="53">
        <f t="shared" si="6"/>
        <v>0</v>
      </c>
      <c r="BR10" s="53">
        <f t="shared" si="7"/>
        <v>0</v>
      </c>
      <c r="BS10" s="53">
        <f t="shared" si="8"/>
        <v>0</v>
      </c>
      <c r="BT10" s="53">
        <f t="shared" si="9"/>
        <v>0</v>
      </c>
      <c r="BU10" s="53">
        <f t="shared" si="10"/>
        <v>0</v>
      </c>
      <c r="BV10" s="53">
        <f t="shared" si="11"/>
        <v>0</v>
      </c>
      <c r="BW10" s="53">
        <f t="shared" si="12"/>
        <v>0</v>
      </c>
      <c r="BX10" s="53">
        <f t="shared" si="13"/>
        <v>0</v>
      </c>
      <c r="BY10" s="53">
        <f t="shared" si="14"/>
        <v>0</v>
      </c>
      <c r="BZ10" s="53">
        <f t="shared" si="15"/>
        <v>0</v>
      </c>
      <c r="CA10" s="53">
        <f t="shared" si="16"/>
        <v>0</v>
      </c>
      <c r="CB10" s="53">
        <f t="shared" si="17"/>
        <v>0</v>
      </c>
      <c r="CC10" s="53">
        <f t="shared" si="18"/>
        <v>0</v>
      </c>
      <c r="CD10" s="8">
        <f t="shared" si="19"/>
        <v>555.11986508454959</v>
      </c>
      <c r="CE10" s="8">
        <f t="shared" si="20"/>
        <v>2137.3940799500947</v>
      </c>
      <c r="CF10" s="8">
        <f t="shared" si="21"/>
        <v>82183.458054715637</v>
      </c>
    </row>
    <row r="11" spans="1:84">
      <c r="A11" s="7">
        <f>'Monthly Data'!A11</f>
        <v>41183</v>
      </c>
      <c r="B11" s="6">
        <f>'Monthly Data'!B11</f>
        <v>2012</v>
      </c>
      <c r="C11" s="6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5">
        <f>'Monthly Data'!O11</f>
        <v>24974.510000000002</v>
      </c>
      <c r="P11" s="5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5">
        <f>Weather!C131</f>
        <v>10.384944220544654</v>
      </c>
      <c r="W11" s="46">
        <f>Weather!D131</f>
        <v>360.1</v>
      </c>
      <c r="X11" s="46">
        <f>Weather!E131</f>
        <v>0</v>
      </c>
      <c r="Y11" s="46">
        <f>Weather!F131</f>
        <v>298.10000000000002</v>
      </c>
      <c r="Z11" s="46">
        <f>Weather!G131</f>
        <v>0</v>
      </c>
      <c r="AA11" s="46">
        <f>Weather!H131</f>
        <v>237.6</v>
      </c>
      <c r="AB11" s="46">
        <f>Weather!I131</f>
        <v>1.5</v>
      </c>
      <c r="AC11" s="46">
        <f>Weather!J131</f>
        <v>179.6</v>
      </c>
      <c r="AD11" s="46">
        <f>Weather!K131</f>
        <v>5.5</v>
      </c>
      <c r="AE11" s="46">
        <f>Weather!L131</f>
        <v>124.7</v>
      </c>
      <c r="AF11" s="46">
        <f>Weather!M131</f>
        <v>12.6</v>
      </c>
      <c r="AG11" s="46">
        <f>Weather!N131</f>
        <v>79.400000000000006</v>
      </c>
      <c r="AH11" s="46">
        <f>Weather!O131</f>
        <v>29.3</v>
      </c>
      <c r="AI11" s="46">
        <f>Weather!P131</f>
        <v>45.3</v>
      </c>
      <c r="AJ11" s="46">
        <f>Weather!Q131</f>
        <v>57.2</v>
      </c>
      <c r="AK11" s="46">
        <f>Weather!R131</f>
        <v>19.100000000000001</v>
      </c>
      <c r="AL11" s="46">
        <f>Weather!S131</f>
        <v>93</v>
      </c>
      <c r="AM11" s="43">
        <f>Economic!C11</f>
        <v>634944.30000000005</v>
      </c>
      <c r="AN11" s="43">
        <f>Economic!D11</f>
        <v>6675.2</v>
      </c>
      <c r="AO11" s="43">
        <f>Economic!E11</f>
        <v>6699.2</v>
      </c>
      <c r="AP11" s="43">
        <f>Economic!F11</f>
        <v>99.5</v>
      </c>
      <c r="AQ11" s="43">
        <f>Economic!G11</f>
        <v>101.2</v>
      </c>
      <c r="AR11" s="47">
        <v>31</v>
      </c>
      <c r="AS11" s="47">
        <v>20</v>
      </c>
      <c r="AT11" s="47">
        <f t="shared" si="22"/>
        <v>10</v>
      </c>
      <c r="AU11" s="47">
        <v>0</v>
      </c>
      <c r="AV11" s="47">
        <v>0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1</v>
      </c>
      <c r="BE11" s="47">
        <v>0</v>
      </c>
      <c r="BF11" s="47">
        <v>0</v>
      </c>
      <c r="BG11" s="47">
        <v>0</v>
      </c>
      <c r="BH11" s="47">
        <v>1</v>
      </c>
      <c r="BI11" s="47">
        <f t="shared" si="2"/>
        <v>1</v>
      </c>
      <c r="BJ11" s="48">
        <v>0</v>
      </c>
      <c r="BK11" s="48">
        <v>0</v>
      </c>
      <c r="BL11" s="48">
        <f t="shared" si="23"/>
        <v>0</v>
      </c>
      <c r="BM11" s="48">
        <v>0</v>
      </c>
      <c r="BN11" s="53">
        <f t="shared" si="3"/>
        <v>0</v>
      </c>
      <c r="BO11" s="53">
        <f t="shared" si="4"/>
        <v>0</v>
      </c>
      <c r="BP11" s="53">
        <f t="shared" si="5"/>
        <v>0</v>
      </c>
      <c r="BQ11" s="53">
        <f t="shared" si="6"/>
        <v>0</v>
      </c>
      <c r="BR11" s="53">
        <f t="shared" si="7"/>
        <v>0</v>
      </c>
      <c r="BS11" s="53">
        <f t="shared" si="8"/>
        <v>0</v>
      </c>
      <c r="BT11" s="53">
        <f t="shared" si="9"/>
        <v>0</v>
      </c>
      <c r="BU11" s="53">
        <f t="shared" si="10"/>
        <v>0</v>
      </c>
      <c r="BV11" s="53">
        <f t="shared" si="11"/>
        <v>0</v>
      </c>
      <c r="BW11" s="53">
        <f t="shared" si="12"/>
        <v>0</v>
      </c>
      <c r="BX11" s="53">
        <f t="shared" si="13"/>
        <v>0</v>
      </c>
      <c r="BY11" s="53">
        <f t="shared" si="14"/>
        <v>0</v>
      </c>
      <c r="BZ11" s="53">
        <f t="shared" si="15"/>
        <v>0</v>
      </c>
      <c r="CA11" s="53">
        <f t="shared" si="16"/>
        <v>0</v>
      </c>
      <c r="CB11" s="53">
        <f t="shared" si="17"/>
        <v>0</v>
      </c>
      <c r="CC11" s="53">
        <f t="shared" si="18"/>
        <v>0</v>
      </c>
      <c r="CD11" s="8">
        <f t="shared" si="19"/>
        <v>601.12611506181429</v>
      </c>
      <c r="CE11" s="8">
        <f t="shared" si="20"/>
        <v>2134.7281865585173</v>
      </c>
      <c r="CF11" s="8">
        <f t="shared" si="21"/>
        <v>88655.716653350159</v>
      </c>
    </row>
    <row r="12" spans="1:84">
      <c r="A12" s="7">
        <f>'Monthly Data'!A12</f>
        <v>41214</v>
      </c>
      <c r="B12" s="6">
        <f>'Monthly Data'!B12</f>
        <v>2012</v>
      </c>
      <c r="C12" s="6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5">
        <f>'Monthly Data'!O12</f>
        <v>24244.86</v>
      </c>
      <c r="P12" s="5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5">
        <f>Weather!C132</f>
        <v>3.1333333333333337</v>
      </c>
      <c r="W12" s="46">
        <f>Weather!D132</f>
        <v>566</v>
      </c>
      <c r="X12" s="46">
        <f>Weather!E132</f>
        <v>0</v>
      </c>
      <c r="Y12" s="46">
        <f>Weather!F132</f>
        <v>506</v>
      </c>
      <c r="Z12" s="46">
        <f>Weather!G132</f>
        <v>0</v>
      </c>
      <c r="AA12" s="46">
        <f>Weather!H132</f>
        <v>446</v>
      </c>
      <c r="AB12" s="46">
        <f>Weather!I132</f>
        <v>0</v>
      </c>
      <c r="AC12" s="46">
        <f>Weather!J132</f>
        <v>386</v>
      </c>
      <c r="AD12" s="46">
        <f>Weather!K132</f>
        <v>0</v>
      </c>
      <c r="AE12" s="46">
        <f>Weather!L132</f>
        <v>326</v>
      </c>
      <c r="AF12" s="46">
        <f>Weather!M132</f>
        <v>0</v>
      </c>
      <c r="AG12" s="46">
        <f>Weather!N132</f>
        <v>266.60000000000002</v>
      </c>
      <c r="AH12" s="46">
        <f>Weather!O132</f>
        <v>0.6</v>
      </c>
      <c r="AI12" s="46">
        <f>Weather!P132</f>
        <v>210.2</v>
      </c>
      <c r="AJ12" s="46">
        <f>Weather!Q132</f>
        <v>4.2</v>
      </c>
      <c r="AK12" s="46">
        <f>Weather!R132</f>
        <v>156</v>
      </c>
      <c r="AL12" s="46">
        <f>Weather!S132</f>
        <v>10</v>
      </c>
      <c r="AM12" s="43">
        <f>Economic!C12</f>
        <v>634944.30000000005</v>
      </c>
      <c r="AN12" s="43">
        <f>Economic!D12</f>
        <v>6686.6</v>
      </c>
      <c r="AO12" s="43">
        <f>Economic!E12</f>
        <v>6685.6</v>
      </c>
      <c r="AP12" s="43">
        <f>Economic!F12</f>
        <v>101.1</v>
      </c>
      <c r="AQ12" s="43">
        <f>Economic!G12</f>
        <v>103.2</v>
      </c>
      <c r="AR12" s="47">
        <v>30</v>
      </c>
      <c r="AS12" s="47">
        <v>21</v>
      </c>
      <c r="AT12" s="47">
        <f t="shared" si="22"/>
        <v>11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1</v>
      </c>
      <c r="BF12" s="47">
        <v>0</v>
      </c>
      <c r="BG12" s="47">
        <v>0</v>
      </c>
      <c r="BH12" s="47">
        <v>1</v>
      </c>
      <c r="BI12" s="47">
        <f t="shared" si="2"/>
        <v>1</v>
      </c>
      <c r="BJ12" s="48">
        <v>0</v>
      </c>
      <c r="BK12" s="48">
        <v>0</v>
      </c>
      <c r="BL12" s="48">
        <f t="shared" si="23"/>
        <v>0</v>
      </c>
      <c r="BM12" s="48">
        <v>0</v>
      </c>
      <c r="BN12" s="53">
        <f t="shared" si="3"/>
        <v>0</v>
      </c>
      <c r="BO12" s="53">
        <f t="shared" si="4"/>
        <v>0</v>
      </c>
      <c r="BP12" s="53">
        <f t="shared" si="5"/>
        <v>0</v>
      </c>
      <c r="BQ12" s="53">
        <f t="shared" si="6"/>
        <v>0</v>
      </c>
      <c r="BR12" s="53">
        <f t="shared" si="7"/>
        <v>0</v>
      </c>
      <c r="BS12" s="53">
        <f t="shared" si="8"/>
        <v>0</v>
      </c>
      <c r="BT12" s="53">
        <f t="shared" si="9"/>
        <v>0</v>
      </c>
      <c r="BU12" s="53">
        <f t="shared" si="10"/>
        <v>0</v>
      </c>
      <c r="BV12" s="53">
        <f t="shared" si="11"/>
        <v>0</v>
      </c>
      <c r="BW12" s="53">
        <f t="shared" si="12"/>
        <v>0</v>
      </c>
      <c r="BX12" s="53">
        <f t="shared" si="13"/>
        <v>0</v>
      </c>
      <c r="BY12" s="53">
        <f t="shared" si="14"/>
        <v>0</v>
      </c>
      <c r="BZ12" s="53">
        <f t="shared" si="15"/>
        <v>0</v>
      </c>
      <c r="CA12" s="53">
        <f t="shared" si="16"/>
        <v>0</v>
      </c>
      <c r="CB12" s="53">
        <f t="shared" si="17"/>
        <v>0</v>
      </c>
      <c r="CC12" s="53">
        <f t="shared" si="18"/>
        <v>0</v>
      </c>
      <c r="CD12" s="8">
        <f t="shared" si="19"/>
        <v>696.66419573018914</v>
      </c>
      <c r="CE12" s="8">
        <f t="shared" si="20"/>
        <v>2306.6863520923907</v>
      </c>
      <c r="CF12" s="8">
        <f t="shared" si="21"/>
        <v>86994.206920382087</v>
      </c>
    </row>
    <row r="13" spans="1:84">
      <c r="A13" s="7">
        <f>'Monthly Data'!A13</f>
        <v>41244</v>
      </c>
      <c r="B13" s="6">
        <f>'Monthly Data'!B13</f>
        <v>2012</v>
      </c>
      <c r="C13" s="6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5">
        <f>'Monthly Data'!O13</f>
        <v>24083.310000000005</v>
      </c>
      <c r="P13" s="5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5">
        <f>Weather!C133</f>
        <v>0.47096774193548407</v>
      </c>
      <c r="W13" s="46">
        <f>Weather!D133</f>
        <v>667.4</v>
      </c>
      <c r="X13" s="46">
        <f>Weather!E133</f>
        <v>0</v>
      </c>
      <c r="Y13" s="46">
        <f>Weather!F133</f>
        <v>605.4</v>
      </c>
      <c r="Z13" s="46">
        <f>Weather!G133</f>
        <v>0</v>
      </c>
      <c r="AA13" s="46">
        <f>Weather!H133</f>
        <v>543.4</v>
      </c>
      <c r="AB13" s="46">
        <f>Weather!I133</f>
        <v>0</v>
      </c>
      <c r="AC13" s="46">
        <f>Weather!J133</f>
        <v>481.4</v>
      </c>
      <c r="AD13" s="46">
        <f>Weather!K133</f>
        <v>0</v>
      </c>
      <c r="AE13" s="46">
        <f>Weather!L133</f>
        <v>419.4</v>
      </c>
      <c r="AF13" s="46">
        <f>Weather!M133</f>
        <v>0</v>
      </c>
      <c r="AG13" s="46">
        <f>Weather!N133</f>
        <v>357.4</v>
      </c>
      <c r="AH13" s="46">
        <f>Weather!O133</f>
        <v>0</v>
      </c>
      <c r="AI13" s="46">
        <f>Weather!P133</f>
        <v>295.39999999999998</v>
      </c>
      <c r="AJ13" s="46">
        <f>Weather!Q133</f>
        <v>0</v>
      </c>
      <c r="AK13" s="46">
        <f>Weather!R133</f>
        <v>235.5</v>
      </c>
      <c r="AL13" s="46">
        <f>Weather!S133</f>
        <v>2.1</v>
      </c>
      <c r="AM13" s="43">
        <f>Economic!C13</f>
        <v>634944.30000000005</v>
      </c>
      <c r="AN13" s="43">
        <f>Economic!D13</f>
        <v>6697</v>
      </c>
      <c r="AO13" s="43">
        <f>Economic!E13</f>
        <v>6700.5</v>
      </c>
      <c r="AP13" s="43">
        <f>Economic!F13</f>
        <v>104.6</v>
      </c>
      <c r="AQ13" s="43">
        <f>Economic!G13</f>
        <v>106.3</v>
      </c>
      <c r="AR13" s="47">
        <v>31</v>
      </c>
      <c r="AS13" s="47">
        <v>23</v>
      </c>
      <c r="AT13" s="47">
        <f t="shared" si="22"/>
        <v>12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1</v>
      </c>
      <c r="BG13" s="47">
        <v>0</v>
      </c>
      <c r="BH13" s="47">
        <v>0</v>
      </c>
      <c r="BI13" s="47">
        <f t="shared" si="2"/>
        <v>0</v>
      </c>
      <c r="BJ13" s="48">
        <v>0</v>
      </c>
      <c r="BK13" s="48">
        <v>0</v>
      </c>
      <c r="BL13" s="48">
        <f t="shared" si="23"/>
        <v>0</v>
      </c>
      <c r="BM13" s="47">
        <f>BM12</f>
        <v>0</v>
      </c>
      <c r="BN13" s="53">
        <f t="shared" si="3"/>
        <v>0</v>
      </c>
      <c r="BO13" s="53">
        <f t="shared" si="4"/>
        <v>0</v>
      </c>
      <c r="BP13" s="53">
        <f t="shared" si="5"/>
        <v>0</v>
      </c>
      <c r="BQ13" s="53">
        <f t="shared" si="6"/>
        <v>0</v>
      </c>
      <c r="BR13" s="53">
        <f t="shared" si="7"/>
        <v>0</v>
      </c>
      <c r="BS13" s="53">
        <f t="shared" si="8"/>
        <v>0</v>
      </c>
      <c r="BT13" s="53">
        <f t="shared" si="9"/>
        <v>0</v>
      </c>
      <c r="BU13" s="53">
        <f t="shared" si="10"/>
        <v>0</v>
      </c>
      <c r="BV13" s="53">
        <f t="shared" si="11"/>
        <v>0</v>
      </c>
      <c r="BW13" s="53">
        <f t="shared" si="12"/>
        <v>0</v>
      </c>
      <c r="BX13" s="53">
        <f t="shared" si="13"/>
        <v>0</v>
      </c>
      <c r="BY13" s="53">
        <f t="shared" si="14"/>
        <v>0</v>
      </c>
      <c r="BZ13" s="53">
        <f t="shared" si="15"/>
        <v>0</v>
      </c>
      <c r="CA13" s="53">
        <f t="shared" si="16"/>
        <v>0</v>
      </c>
      <c r="CB13" s="53">
        <f t="shared" si="17"/>
        <v>0</v>
      </c>
      <c r="CC13" s="53">
        <f t="shared" si="18"/>
        <v>0</v>
      </c>
      <c r="CD13" s="8">
        <f t="shared" si="19"/>
        <v>847.26087999314768</v>
      </c>
      <c r="CE13" s="8">
        <f t="shared" si="20"/>
        <v>2573.6473555306216</v>
      </c>
      <c r="CF13" s="8">
        <f t="shared" si="21"/>
        <v>85852.308099654969</v>
      </c>
    </row>
    <row r="14" spans="1:84">
      <c r="A14" s="7">
        <f>'Monthly Data'!A14</f>
        <v>41275</v>
      </c>
      <c r="B14" s="6">
        <f>'Monthly Data'!B14</f>
        <v>2013</v>
      </c>
      <c r="C14" s="6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5">
        <f>'Monthly Data'!O14</f>
        <v>24385.01</v>
      </c>
      <c r="P14" s="5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5">
        <f>Weather!C134</f>
        <v>-2.6096774193548389</v>
      </c>
      <c r="W14" s="46">
        <f>Weather!D134</f>
        <v>762.9</v>
      </c>
      <c r="X14" s="46">
        <f>Weather!E134</f>
        <v>0</v>
      </c>
      <c r="Y14" s="46">
        <f>Weather!F134</f>
        <v>700.9</v>
      </c>
      <c r="Z14" s="46">
        <f>Weather!G134</f>
        <v>0</v>
      </c>
      <c r="AA14" s="46">
        <f>Weather!H134</f>
        <v>638.9</v>
      </c>
      <c r="AB14" s="46">
        <f>Weather!I134</f>
        <v>0</v>
      </c>
      <c r="AC14" s="46">
        <f>Weather!J134</f>
        <v>576.9</v>
      </c>
      <c r="AD14" s="46">
        <f>Weather!K134</f>
        <v>0</v>
      </c>
      <c r="AE14" s="46">
        <f>Weather!L134</f>
        <v>514.9</v>
      </c>
      <c r="AF14" s="46">
        <f>Weather!M134</f>
        <v>0</v>
      </c>
      <c r="AG14" s="46">
        <f>Weather!N134</f>
        <v>452.9</v>
      </c>
      <c r="AH14" s="46">
        <f>Weather!O134</f>
        <v>0</v>
      </c>
      <c r="AI14" s="46">
        <f>Weather!P134</f>
        <v>390.9</v>
      </c>
      <c r="AJ14" s="46">
        <f>Weather!Q134</f>
        <v>0</v>
      </c>
      <c r="AK14" s="46">
        <f>Weather!R134</f>
        <v>331.1</v>
      </c>
      <c r="AL14" s="46">
        <f>Weather!S134</f>
        <v>2.2000000000000002</v>
      </c>
      <c r="AM14" s="43">
        <f>Economic!C14</f>
        <v>643937</v>
      </c>
      <c r="AN14" s="43">
        <f>Economic!D14</f>
        <v>6711.6</v>
      </c>
      <c r="AO14" s="43">
        <f>Economic!E14</f>
        <v>6680.9</v>
      </c>
      <c r="AP14" s="43">
        <f>Economic!F14</f>
        <v>107.5</v>
      </c>
      <c r="AQ14" s="43">
        <f>Economic!G14</f>
        <v>107.4</v>
      </c>
      <c r="AR14" s="47">
        <f t="shared" ref="AR14:BH15" si="24">AR2</f>
        <v>31</v>
      </c>
      <c r="AS14" s="47">
        <v>21</v>
      </c>
      <c r="AT14" s="47">
        <f t="shared" si="22"/>
        <v>13</v>
      </c>
      <c r="AU14" s="47">
        <f t="shared" si="24"/>
        <v>1</v>
      </c>
      <c r="AV14" s="47">
        <f t="shared" si="24"/>
        <v>0</v>
      </c>
      <c r="AW14" s="47">
        <f t="shared" si="24"/>
        <v>0</v>
      </c>
      <c r="AX14" s="47">
        <f t="shared" si="24"/>
        <v>0</v>
      </c>
      <c r="AY14" s="47">
        <f t="shared" si="24"/>
        <v>0</v>
      </c>
      <c r="AZ14" s="47">
        <f t="shared" si="24"/>
        <v>0</v>
      </c>
      <c r="BA14" s="47">
        <f t="shared" si="24"/>
        <v>0</v>
      </c>
      <c r="BB14" s="47">
        <f t="shared" si="24"/>
        <v>0</v>
      </c>
      <c r="BC14" s="47">
        <f t="shared" si="24"/>
        <v>0</v>
      </c>
      <c r="BD14" s="47">
        <f t="shared" si="24"/>
        <v>0</v>
      </c>
      <c r="BE14" s="47">
        <f t="shared" si="24"/>
        <v>0</v>
      </c>
      <c r="BF14" s="47">
        <f t="shared" si="24"/>
        <v>0</v>
      </c>
      <c r="BG14" s="47">
        <f t="shared" si="24"/>
        <v>0</v>
      </c>
      <c r="BH14" s="47">
        <f t="shared" si="24"/>
        <v>0</v>
      </c>
      <c r="BI14" s="47">
        <f t="shared" si="2"/>
        <v>0</v>
      </c>
      <c r="BJ14" s="48">
        <v>0</v>
      </c>
      <c r="BK14" s="48">
        <v>0</v>
      </c>
      <c r="BL14" s="48">
        <f t="shared" si="23"/>
        <v>0</v>
      </c>
      <c r="BM14" s="47">
        <f t="shared" ref="BM14:BM77" si="25">BM13</f>
        <v>0</v>
      </c>
      <c r="BN14" s="53">
        <f t="shared" si="3"/>
        <v>0</v>
      </c>
      <c r="BO14" s="53">
        <f t="shared" si="4"/>
        <v>0</v>
      </c>
      <c r="BP14" s="53">
        <f t="shared" si="5"/>
        <v>0</v>
      </c>
      <c r="BQ14" s="53">
        <f t="shared" si="6"/>
        <v>0</v>
      </c>
      <c r="BR14" s="53">
        <f t="shared" si="7"/>
        <v>0</v>
      </c>
      <c r="BS14" s="53">
        <f t="shared" si="8"/>
        <v>0</v>
      </c>
      <c r="BT14" s="53">
        <f t="shared" si="9"/>
        <v>0</v>
      </c>
      <c r="BU14" s="53">
        <f t="shared" si="10"/>
        <v>0</v>
      </c>
      <c r="BV14" s="53">
        <f t="shared" si="11"/>
        <v>0</v>
      </c>
      <c r="BW14" s="53">
        <f t="shared" si="12"/>
        <v>0</v>
      </c>
      <c r="BX14" s="53">
        <f t="shared" si="13"/>
        <v>0</v>
      </c>
      <c r="BY14" s="53">
        <f t="shared" si="14"/>
        <v>0</v>
      </c>
      <c r="BZ14" s="53">
        <f t="shared" si="15"/>
        <v>0</v>
      </c>
      <c r="CA14" s="53">
        <f t="shared" si="16"/>
        <v>0</v>
      </c>
      <c r="CB14" s="53">
        <f t="shared" si="17"/>
        <v>0</v>
      </c>
      <c r="CC14" s="53">
        <f t="shared" si="18"/>
        <v>0</v>
      </c>
      <c r="CD14" s="8">
        <f t="shared" si="19"/>
        <v>930.68292395496076</v>
      </c>
      <c r="CE14" s="8">
        <f t="shared" si="20"/>
        <v>2791.6177790987635</v>
      </c>
      <c r="CF14" s="8">
        <f t="shared" si="21"/>
        <v>93795.237141296486</v>
      </c>
    </row>
    <row r="15" spans="1:84">
      <c r="A15" s="7">
        <f>'Monthly Data'!A15</f>
        <v>41306</v>
      </c>
      <c r="B15" s="6">
        <f>'Monthly Data'!B15</f>
        <v>2013</v>
      </c>
      <c r="C15" s="6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5">
        <f>'Monthly Data'!O15</f>
        <v>24989.890000000003</v>
      </c>
      <c r="P15" s="5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5">
        <f>Weather!C135</f>
        <v>-5.135714285714287</v>
      </c>
      <c r="W15" s="46">
        <f>Weather!D135</f>
        <v>759.8</v>
      </c>
      <c r="X15" s="46">
        <f>Weather!E135</f>
        <v>0</v>
      </c>
      <c r="Y15" s="46">
        <f>Weather!F135</f>
        <v>703.8</v>
      </c>
      <c r="Z15" s="46">
        <f>Weather!G135</f>
        <v>0</v>
      </c>
      <c r="AA15" s="46">
        <f>Weather!H135</f>
        <v>647.79999999999995</v>
      </c>
      <c r="AB15" s="46">
        <f>Weather!I135</f>
        <v>0</v>
      </c>
      <c r="AC15" s="46">
        <f>Weather!J135</f>
        <v>591.79999999999995</v>
      </c>
      <c r="AD15" s="46">
        <f>Weather!K135</f>
        <v>0</v>
      </c>
      <c r="AE15" s="46">
        <f>Weather!L135</f>
        <v>535.79999999999995</v>
      </c>
      <c r="AF15" s="46">
        <f>Weather!M135</f>
        <v>0</v>
      </c>
      <c r="AG15" s="46">
        <f>Weather!N135</f>
        <v>479.8</v>
      </c>
      <c r="AH15" s="46">
        <f>Weather!O135</f>
        <v>0</v>
      </c>
      <c r="AI15" s="46">
        <f>Weather!P135</f>
        <v>423.8</v>
      </c>
      <c r="AJ15" s="46">
        <f>Weather!Q135</f>
        <v>0</v>
      </c>
      <c r="AK15" s="46">
        <f>Weather!R135</f>
        <v>367.8</v>
      </c>
      <c r="AL15" s="46">
        <f>Weather!S135</f>
        <v>0</v>
      </c>
      <c r="AM15" s="43">
        <f>Economic!C15</f>
        <v>643937</v>
      </c>
      <c r="AN15" s="43">
        <f>Economic!D15</f>
        <v>6728.5</v>
      </c>
      <c r="AO15" s="43">
        <f>Economic!E15</f>
        <v>6660.8</v>
      </c>
      <c r="AP15" s="43">
        <f>Economic!F15</f>
        <v>110.8</v>
      </c>
      <c r="AQ15" s="43">
        <f>Economic!G15</f>
        <v>109.7</v>
      </c>
      <c r="AR15" s="47">
        <v>28</v>
      </c>
      <c r="AS15" s="47">
        <v>19</v>
      </c>
      <c r="AT15" s="47">
        <f t="shared" si="22"/>
        <v>14</v>
      </c>
      <c r="AU15" s="47">
        <f t="shared" si="24"/>
        <v>0</v>
      </c>
      <c r="AV15" s="47">
        <f t="shared" si="24"/>
        <v>1</v>
      </c>
      <c r="AW15" s="47">
        <f t="shared" si="24"/>
        <v>0</v>
      </c>
      <c r="AX15" s="47">
        <f t="shared" si="24"/>
        <v>0</v>
      </c>
      <c r="AY15" s="47">
        <f t="shared" si="24"/>
        <v>0</v>
      </c>
      <c r="AZ15" s="47">
        <f t="shared" si="24"/>
        <v>0</v>
      </c>
      <c r="BA15" s="47">
        <f t="shared" si="24"/>
        <v>0</v>
      </c>
      <c r="BB15" s="47">
        <f t="shared" si="24"/>
        <v>0</v>
      </c>
      <c r="BC15" s="47">
        <f t="shared" si="24"/>
        <v>0</v>
      </c>
      <c r="BD15" s="47">
        <f t="shared" si="24"/>
        <v>0</v>
      </c>
      <c r="BE15" s="47">
        <f t="shared" si="24"/>
        <v>0</v>
      </c>
      <c r="BF15" s="47">
        <f t="shared" si="24"/>
        <v>0</v>
      </c>
      <c r="BG15" s="47">
        <f t="shared" si="24"/>
        <v>0</v>
      </c>
      <c r="BH15" s="47">
        <f t="shared" si="24"/>
        <v>0</v>
      </c>
      <c r="BI15" s="47">
        <f t="shared" si="2"/>
        <v>0</v>
      </c>
      <c r="BJ15" s="48">
        <v>0</v>
      </c>
      <c r="BK15" s="48">
        <v>0</v>
      </c>
      <c r="BL15" s="48">
        <f t="shared" si="23"/>
        <v>0</v>
      </c>
      <c r="BM15" s="47">
        <f t="shared" si="25"/>
        <v>0</v>
      </c>
      <c r="BN15" s="53">
        <f t="shared" si="3"/>
        <v>0</v>
      </c>
      <c r="BO15" s="53">
        <f t="shared" si="4"/>
        <v>0</v>
      </c>
      <c r="BP15" s="53">
        <f t="shared" si="5"/>
        <v>0</v>
      </c>
      <c r="BQ15" s="53">
        <f t="shared" si="6"/>
        <v>0</v>
      </c>
      <c r="BR15" s="53">
        <f t="shared" si="7"/>
        <v>0</v>
      </c>
      <c r="BS15" s="53">
        <f t="shared" si="8"/>
        <v>0</v>
      </c>
      <c r="BT15" s="53">
        <f t="shared" si="9"/>
        <v>0</v>
      </c>
      <c r="BU15" s="53">
        <f t="shared" si="10"/>
        <v>0</v>
      </c>
      <c r="BV15" s="53">
        <f t="shared" si="11"/>
        <v>0</v>
      </c>
      <c r="BW15" s="53">
        <f t="shared" si="12"/>
        <v>0</v>
      </c>
      <c r="BX15" s="53">
        <f t="shared" si="13"/>
        <v>0</v>
      </c>
      <c r="BY15" s="53">
        <f t="shared" si="14"/>
        <v>0</v>
      </c>
      <c r="BZ15" s="53">
        <f t="shared" si="15"/>
        <v>0</v>
      </c>
      <c r="CA15" s="53">
        <f t="shared" si="16"/>
        <v>0</v>
      </c>
      <c r="CB15" s="53">
        <f t="shared" si="17"/>
        <v>0</v>
      </c>
      <c r="CC15" s="53">
        <f t="shared" si="18"/>
        <v>0</v>
      </c>
      <c r="CD15" s="8">
        <f t="shared" si="19"/>
        <v>840.25427994777237</v>
      </c>
      <c r="CE15" s="8">
        <f t="shared" si="20"/>
        <v>2585.431804094138</v>
      </c>
      <c r="CF15" s="8">
        <f t="shared" si="21"/>
        <v>89971.265025767469</v>
      </c>
    </row>
    <row r="16" spans="1:84">
      <c r="A16" s="7">
        <f>'Monthly Data'!A16</f>
        <v>41334</v>
      </c>
      <c r="B16" s="6">
        <f>'Monthly Data'!B16</f>
        <v>2013</v>
      </c>
      <c r="C16" s="6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5">
        <f>'Monthly Data'!O16</f>
        <v>24702.640000000003</v>
      </c>
      <c r="P16" s="5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5">
        <f>Weather!C136</f>
        <v>-0.78064516129032269</v>
      </c>
      <c r="W16" s="46">
        <f>Weather!D136</f>
        <v>706.2</v>
      </c>
      <c r="X16" s="46">
        <f>Weather!E136</f>
        <v>0</v>
      </c>
      <c r="Y16" s="46">
        <f>Weather!F136</f>
        <v>644.20000000000005</v>
      </c>
      <c r="Z16" s="46">
        <f>Weather!G136</f>
        <v>0</v>
      </c>
      <c r="AA16" s="46">
        <f>Weather!H136</f>
        <v>582.20000000000005</v>
      </c>
      <c r="AB16" s="46">
        <f>Weather!I136</f>
        <v>0</v>
      </c>
      <c r="AC16" s="46">
        <f>Weather!J136</f>
        <v>520.20000000000005</v>
      </c>
      <c r="AD16" s="46">
        <f>Weather!K136</f>
        <v>0</v>
      </c>
      <c r="AE16" s="46">
        <f>Weather!L136</f>
        <v>458.2</v>
      </c>
      <c r="AF16" s="46">
        <f>Weather!M136</f>
        <v>0</v>
      </c>
      <c r="AG16" s="46">
        <f>Weather!N136</f>
        <v>396.2</v>
      </c>
      <c r="AH16" s="46">
        <f>Weather!O136</f>
        <v>0</v>
      </c>
      <c r="AI16" s="46">
        <f>Weather!P136</f>
        <v>334.2</v>
      </c>
      <c r="AJ16" s="46">
        <f>Weather!Q136</f>
        <v>0</v>
      </c>
      <c r="AK16" s="46">
        <f>Weather!R136</f>
        <v>272.7</v>
      </c>
      <c r="AL16" s="46">
        <f>Weather!S136</f>
        <v>0.5</v>
      </c>
      <c r="AM16" s="43">
        <f>Economic!C16</f>
        <v>643937</v>
      </c>
      <c r="AN16" s="43">
        <f>Economic!D16</f>
        <v>6735.1</v>
      </c>
      <c r="AO16" s="43">
        <f>Economic!E16</f>
        <v>6634.8</v>
      </c>
      <c r="AP16" s="43">
        <f>Economic!F16</f>
        <v>110.9</v>
      </c>
      <c r="AQ16" s="43">
        <f>Economic!G16</f>
        <v>109.2</v>
      </c>
      <c r="AR16" s="47">
        <f t="shared" ref="AR16:BH27" si="26">AR4</f>
        <v>31</v>
      </c>
      <c r="AS16" s="47">
        <v>23</v>
      </c>
      <c r="AT16" s="47">
        <f t="shared" si="22"/>
        <v>15</v>
      </c>
      <c r="AU16" s="47">
        <f t="shared" si="26"/>
        <v>0</v>
      </c>
      <c r="AV16" s="47">
        <f t="shared" si="26"/>
        <v>0</v>
      </c>
      <c r="AW16" s="47">
        <f t="shared" si="26"/>
        <v>1</v>
      </c>
      <c r="AX16" s="47">
        <f t="shared" si="26"/>
        <v>0</v>
      </c>
      <c r="AY16" s="47">
        <f t="shared" si="26"/>
        <v>0</v>
      </c>
      <c r="AZ16" s="47">
        <f t="shared" si="26"/>
        <v>0</v>
      </c>
      <c r="BA16" s="47">
        <f t="shared" si="26"/>
        <v>0</v>
      </c>
      <c r="BB16" s="47">
        <f t="shared" si="26"/>
        <v>0</v>
      </c>
      <c r="BC16" s="47">
        <f t="shared" si="26"/>
        <v>0</v>
      </c>
      <c r="BD16" s="47">
        <f t="shared" si="26"/>
        <v>0</v>
      </c>
      <c r="BE16" s="47">
        <f t="shared" si="26"/>
        <v>0</v>
      </c>
      <c r="BF16" s="47">
        <f t="shared" si="26"/>
        <v>0</v>
      </c>
      <c r="BG16" s="47">
        <f t="shared" si="26"/>
        <v>1</v>
      </c>
      <c r="BH16" s="47">
        <f t="shared" si="26"/>
        <v>0</v>
      </c>
      <c r="BI16" s="47">
        <f t="shared" si="2"/>
        <v>1</v>
      </c>
      <c r="BJ16" s="48">
        <v>0</v>
      </c>
      <c r="BK16" s="48">
        <v>0</v>
      </c>
      <c r="BL16" s="48">
        <f t="shared" si="23"/>
        <v>0</v>
      </c>
      <c r="BM16" s="47">
        <f t="shared" si="25"/>
        <v>0</v>
      </c>
      <c r="BN16" s="53">
        <f t="shared" si="3"/>
        <v>0</v>
      </c>
      <c r="BO16" s="53">
        <f t="shared" si="4"/>
        <v>0</v>
      </c>
      <c r="BP16" s="53">
        <f t="shared" si="5"/>
        <v>0</v>
      </c>
      <c r="BQ16" s="53">
        <f t="shared" si="6"/>
        <v>0</v>
      </c>
      <c r="BR16" s="53">
        <f t="shared" si="7"/>
        <v>0</v>
      </c>
      <c r="BS16" s="53">
        <f t="shared" si="8"/>
        <v>0</v>
      </c>
      <c r="BT16" s="53">
        <f t="shared" si="9"/>
        <v>0</v>
      </c>
      <c r="BU16" s="53">
        <f t="shared" si="10"/>
        <v>0</v>
      </c>
      <c r="BV16" s="53">
        <f t="shared" si="11"/>
        <v>0</v>
      </c>
      <c r="BW16" s="53">
        <f t="shared" si="12"/>
        <v>0</v>
      </c>
      <c r="BX16" s="53">
        <f t="shared" si="13"/>
        <v>0</v>
      </c>
      <c r="BY16" s="53">
        <f t="shared" si="14"/>
        <v>0</v>
      </c>
      <c r="BZ16" s="53">
        <f t="shared" si="15"/>
        <v>0</v>
      </c>
      <c r="CA16" s="53">
        <f t="shared" si="16"/>
        <v>0</v>
      </c>
      <c r="CB16" s="53">
        <f t="shared" si="17"/>
        <v>0</v>
      </c>
      <c r="CC16" s="53">
        <f t="shared" si="18"/>
        <v>0</v>
      </c>
      <c r="CD16" s="8">
        <f t="shared" si="19"/>
        <v>830.62114806506293</v>
      </c>
      <c r="CE16" s="8">
        <f t="shared" si="20"/>
        <v>2639.5440381596718</v>
      </c>
      <c r="CF16" s="8">
        <f t="shared" si="21"/>
        <v>91434.009268718379</v>
      </c>
    </row>
    <row r="17" spans="1:84">
      <c r="A17" s="7">
        <f>'Monthly Data'!A17</f>
        <v>41365</v>
      </c>
      <c r="B17" s="6">
        <f>'Monthly Data'!B17</f>
        <v>2013</v>
      </c>
      <c r="C17" s="6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5">
        <f>'Monthly Data'!O17</f>
        <v>24308.53</v>
      </c>
      <c r="P17" s="5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5">
        <f>Weather!C137</f>
        <v>5.7099999999999991</v>
      </c>
      <c r="W17" s="46">
        <f>Weather!D137</f>
        <v>488.7</v>
      </c>
      <c r="X17" s="46">
        <f>Weather!E137</f>
        <v>0</v>
      </c>
      <c r="Y17" s="46">
        <f>Weather!F137</f>
        <v>428.7</v>
      </c>
      <c r="Z17" s="46">
        <f>Weather!G137</f>
        <v>0</v>
      </c>
      <c r="AA17" s="46">
        <f>Weather!H137</f>
        <v>368.7</v>
      </c>
      <c r="AB17" s="46">
        <f>Weather!I137</f>
        <v>0</v>
      </c>
      <c r="AC17" s="46">
        <f>Weather!J137</f>
        <v>309.39999999999998</v>
      </c>
      <c r="AD17" s="46">
        <f>Weather!K137</f>
        <v>0.7</v>
      </c>
      <c r="AE17" s="46">
        <f>Weather!L137</f>
        <v>252.8</v>
      </c>
      <c r="AF17" s="46">
        <f>Weather!M137</f>
        <v>4.0999999999999996</v>
      </c>
      <c r="AG17" s="46">
        <f>Weather!N137</f>
        <v>200.1</v>
      </c>
      <c r="AH17" s="46">
        <f>Weather!O137</f>
        <v>11.4</v>
      </c>
      <c r="AI17" s="46">
        <f>Weather!P137</f>
        <v>151.4</v>
      </c>
      <c r="AJ17" s="46">
        <f>Weather!Q137</f>
        <v>22.7</v>
      </c>
      <c r="AK17" s="46">
        <f>Weather!R137</f>
        <v>108.1</v>
      </c>
      <c r="AL17" s="46">
        <f>Weather!S137</f>
        <v>39.4</v>
      </c>
      <c r="AM17" s="43">
        <f>Economic!C17</f>
        <v>643937</v>
      </c>
      <c r="AN17" s="43">
        <f>Economic!D17</f>
        <v>6742.7</v>
      </c>
      <c r="AO17" s="43">
        <f>Economic!E17</f>
        <v>6662.1</v>
      </c>
      <c r="AP17" s="43">
        <f>Economic!F17</f>
        <v>110.5</v>
      </c>
      <c r="AQ17" s="43">
        <f>Economic!G17</f>
        <v>108.3</v>
      </c>
      <c r="AR17" s="47">
        <f t="shared" si="26"/>
        <v>30</v>
      </c>
      <c r="AS17" s="47">
        <v>20</v>
      </c>
      <c r="AT17" s="47">
        <f t="shared" si="22"/>
        <v>16</v>
      </c>
      <c r="AU17" s="47">
        <f t="shared" si="26"/>
        <v>0</v>
      </c>
      <c r="AV17" s="47">
        <f t="shared" si="26"/>
        <v>0</v>
      </c>
      <c r="AW17" s="47">
        <f t="shared" si="26"/>
        <v>0</v>
      </c>
      <c r="AX17" s="47">
        <f t="shared" si="26"/>
        <v>1</v>
      </c>
      <c r="AY17" s="47">
        <f t="shared" si="26"/>
        <v>0</v>
      </c>
      <c r="AZ17" s="47">
        <f t="shared" si="26"/>
        <v>0</v>
      </c>
      <c r="BA17" s="47">
        <f t="shared" si="26"/>
        <v>0</v>
      </c>
      <c r="BB17" s="47">
        <f t="shared" si="26"/>
        <v>0</v>
      </c>
      <c r="BC17" s="47">
        <f t="shared" si="26"/>
        <v>0</v>
      </c>
      <c r="BD17" s="47">
        <f t="shared" si="26"/>
        <v>0</v>
      </c>
      <c r="BE17" s="47">
        <f t="shared" si="26"/>
        <v>0</v>
      </c>
      <c r="BF17" s="47">
        <f t="shared" si="26"/>
        <v>0</v>
      </c>
      <c r="BG17" s="47">
        <f t="shared" si="26"/>
        <v>1</v>
      </c>
      <c r="BH17" s="47">
        <f t="shared" si="26"/>
        <v>0</v>
      </c>
      <c r="BI17" s="47">
        <f t="shared" si="2"/>
        <v>1</v>
      </c>
      <c r="BJ17" s="48">
        <v>0</v>
      </c>
      <c r="BK17" s="48">
        <v>0</v>
      </c>
      <c r="BL17" s="48">
        <f t="shared" si="23"/>
        <v>0</v>
      </c>
      <c r="BM17" s="47">
        <f t="shared" si="25"/>
        <v>0</v>
      </c>
      <c r="BN17" s="53">
        <f t="shared" si="3"/>
        <v>0</v>
      </c>
      <c r="BO17" s="53">
        <f t="shared" si="4"/>
        <v>0</v>
      </c>
      <c r="BP17" s="53">
        <f t="shared" si="5"/>
        <v>0</v>
      </c>
      <c r="BQ17" s="53">
        <f t="shared" si="6"/>
        <v>0</v>
      </c>
      <c r="BR17" s="53">
        <f t="shared" si="7"/>
        <v>0</v>
      </c>
      <c r="BS17" s="53">
        <f t="shared" si="8"/>
        <v>0</v>
      </c>
      <c r="BT17" s="53">
        <f t="shared" si="9"/>
        <v>0</v>
      </c>
      <c r="BU17" s="53">
        <f t="shared" si="10"/>
        <v>0</v>
      </c>
      <c r="BV17" s="53">
        <f t="shared" si="11"/>
        <v>0</v>
      </c>
      <c r="BW17" s="53">
        <f t="shared" si="12"/>
        <v>0</v>
      </c>
      <c r="BX17" s="53">
        <f t="shared" si="13"/>
        <v>0</v>
      </c>
      <c r="BY17" s="53">
        <f t="shared" si="14"/>
        <v>0</v>
      </c>
      <c r="BZ17" s="53">
        <f t="shared" si="15"/>
        <v>0</v>
      </c>
      <c r="CA17" s="53">
        <f t="shared" si="16"/>
        <v>0</v>
      </c>
      <c r="CB17" s="53">
        <f t="shared" si="17"/>
        <v>0</v>
      </c>
      <c r="CC17" s="53">
        <f t="shared" si="18"/>
        <v>0</v>
      </c>
      <c r="CD17" s="8">
        <f t="shared" si="19"/>
        <v>648.65850724012375</v>
      </c>
      <c r="CE17" s="8">
        <f t="shared" si="20"/>
        <v>2273.0404920964611</v>
      </c>
      <c r="CF17" s="8">
        <f t="shared" si="21"/>
        <v>84644.76892952004</v>
      </c>
    </row>
    <row r="18" spans="1:84">
      <c r="A18" s="7">
        <f>'Monthly Data'!A18</f>
        <v>41395</v>
      </c>
      <c r="B18" s="6">
        <f>'Monthly Data'!B18</f>
        <v>2013</v>
      </c>
      <c r="C18" s="6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5">
        <f>'Monthly Data'!O18</f>
        <v>25640.87</v>
      </c>
      <c r="P18" s="5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5">
        <f>Weather!C138</f>
        <v>13.2258064516129</v>
      </c>
      <c r="W18" s="46">
        <f>Weather!D138</f>
        <v>275.2</v>
      </c>
      <c r="X18" s="46">
        <f>Weather!E138</f>
        <v>3.2</v>
      </c>
      <c r="Y18" s="46">
        <f>Weather!F138</f>
        <v>215.9</v>
      </c>
      <c r="Z18" s="46">
        <f>Weather!G138</f>
        <v>5.9</v>
      </c>
      <c r="AA18" s="46">
        <f>Weather!H138</f>
        <v>163.69999999999999</v>
      </c>
      <c r="AB18" s="46">
        <f>Weather!I138</f>
        <v>15.7</v>
      </c>
      <c r="AC18" s="46">
        <f>Weather!J138</f>
        <v>120.1</v>
      </c>
      <c r="AD18" s="46">
        <f>Weather!K138</f>
        <v>34.1</v>
      </c>
      <c r="AE18" s="46">
        <f>Weather!L138</f>
        <v>80.2</v>
      </c>
      <c r="AF18" s="46">
        <f>Weather!M138</f>
        <v>56.2</v>
      </c>
      <c r="AG18" s="46">
        <f>Weather!N138</f>
        <v>48.9</v>
      </c>
      <c r="AH18" s="46">
        <f>Weather!O138</f>
        <v>86.9</v>
      </c>
      <c r="AI18" s="46">
        <f>Weather!P138</f>
        <v>26.1</v>
      </c>
      <c r="AJ18" s="46">
        <f>Weather!Q138</f>
        <v>126.1</v>
      </c>
      <c r="AK18" s="46">
        <f>Weather!R138</f>
        <v>10.7</v>
      </c>
      <c r="AL18" s="46">
        <f>Weather!S138</f>
        <v>172.7</v>
      </c>
      <c r="AM18" s="43">
        <f>Economic!C18</f>
        <v>643937</v>
      </c>
      <c r="AN18" s="43">
        <f>Economic!D18</f>
        <v>6754.1</v>
      </c>
      <c r="AO18" s="43">
        <f>Economic!E18</f>
        <v>6726.6</v>
      </c>
      <c r="AP18" s="43">
        <f>Economic!F18</f>
        <v>109.4</v>
      </c>
      <c r="AQ18" s="43">
        <f>Economic!G18</f>
        <v>108.2</v>
      </c>
      <c r="AR18" s="47">
        <f t="shared" si="26"/>
        <v>31</v>
      </c>
      <c r="AS18" s="47">
        <v>21</v>
      </c>
      <c r="AT18" s="47">
        <f t="shared" si="22"/>
        <v>17</v>
      </c>
      <c r="AU18" s="47">
        <f t="shared" si="26"/>
        <v>0</v>
      </c>
      <c r="AV18" s="47">
        <f t="shared" si="26"/>
        <v>0</v>
      </c>
      <c r="AW18" s="47">
        <f t="shared" si="26"/>
        <v>0</v>
      </c>
      <c r="AX18" s="47">
        <f t="shared" si="26"/>
        <v>0</v>
      </c>
      <c r="AY18" s="47">
        <f t="shared" si="26"/>
        <v>1</v>
      </c>
      <c r="AZ18" s="47">
        <f t="shared" si="26"/>
        <v>0</v>
      </c>
      <c r="BA18" s="47">
        <f t="shared" si="26"/>
        <v>0</v>
      </c>
      <c r="BB18" s="47">
        <f t="shared" si="26"/>
        <v>0</v>
      </c>
      <c r="BC18" s="47">
        <f t="shared" si="26"/>
        <v>0</v>
      </c>
      <c r="BD18" s="47">
        <f t="shared" si="26"/>
        <v>0</v>
      </c>
      <c r="BE18" s="47">
        <f t="shared" si="26"/>
        <v>0</v>
      </c>
      <c r="BF18" s="47">
        <f t="shared" si="26"/>
        <v>0</v>
      </c>
      <c r="BG18" s="47">
        <f t="shared" si="26"/>
        <v>1</v>
      </c>
      <c r="BH18" s="47">
        <f t="shared" si="26"/>
        <v>0</v>
      </c>
      <c r="BI18" s="47">
        <f t="shared" si="2"/>
        <v>1</v>
      </c>
      <c r="BJ18" s="48">
        <v>0</v>
      </c>
      <c r="BK18" s="48">
        <v>0</v>
      </c>
      <c r="BL18" s="48">
        <f t="shared" si="23"/>
        <v>0</v>
      </c>
      <c r="BM18" s="47">
        <f t="shared" si="25"/>
        <v>0</v>
      </c>
      <c r="BN18" s="53">
        <f t="shared" si="3"/>
        <v>0</v>
      </c>
      <c r="BO18" s="53">
        <f t="shared" si="4"/>
        <v>0</v>
      </c>
      <c r="BP18" s="53">
        <f t="shared" si="5"/>
        <v>0</v>
      </c>
      <c r="BQ18" s="53">
        <f t="shared" si="6"/>
        <v>0</v>
      </c>
      <c r="BR18" s="53">
        <f t="shared" si="7"/>
        <v>0</v>
      </c>
      <c r="BS18" s="53">
        <f t="shared" si="8"/>
        <v>0</v>
      </c>
      <c r="BT18" s="53">
        <f t="shared" si="9"/>
        <v>0</v>
      </c>
      <c r="BU18" s="53">
        <f t="shared" si="10"/>
        <v>0</v>
      </c>
      <c r="BV18" s="53">
        <f t="shared" si="11"/>
        <v>0</v>
      </c>
      <c r="BW18" s="53">
        <f t="shared" si="12"/>
        <v>0</v>
      </c>
      <c r="BX18" s="53">
        <f t="shared" si="13"/>
        <v>0</v>
      </c>
      <c r="BY18" s="53">
        <f t="shared" si="14"/>
        <v>0</v>
      </c>
      <c r="BZ18" s="53">
        <f t="shared" si="15"/>
        <v>0</v>
      </c>
      <c r="CA18" s="53">
        <f t="shared" si="16"/>
        <v>0</v>
      </c>
      <c r="CB18" s="53">
        <f t="shared" si="17"/>
        <v>0</v>
      </c>
      <c r="CC18" s="53">
        <f t="shared" si="18"/>
        <v>0</v>
      </c>
      <c r="CD18" s="8">
        <f t="shared" si="19"/>
        <v>573.01616221979668</v>
      </c>
      <c r="CE18" s="8">
        <f t="shared" si="20"/>
        <v>2169.3523200384166</v>
      </c>
      <c r="CF18" s="8">
        <f t="shared" si="21"/>
        <v>82452.151641723714</v>
      </c>
    </row>
    <row r="19" spans="1:84">
      <c r="A19" s="7">
        <f>'Monthly Data'!A19</f>
        <v>41426</v>
      </c>
      <c r="B19" s="6">
        <f>'Monthly Data'!B19</f>
        <v>2013</v>
      </c>
      <c r="C19" s="6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5">
        <f>'Monthly Data'!O19</f>
        <v>25358.500000000004</v>
      </c>
      <c r="P19" s="5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5">
        <f>Weather!C139</f>
        <v>16.883887847281404</v>
      </c>
      <c r="W19" s="46">
        <f>Weather!D139</f>
        <v>162.1</v>
      </c>
      <c r="X19" s="46">
        <f>Weather!E139</f>
        <v>8.6</v>
      </c>
      <c r="Y19" s="46">
        <f>Weather!F139</f>
        <v>115.1</v>
      </c>
      <c r="Z19" s="46">
        <f>Weather!G139</f>
        <v>21.6</v>
      </c>
      <c r="AA19" s="46">
        <f>Weather!H139</f>
        <v>74.5</v>
      </c>
      <c r="AB19" s="46">
        <f>Weather!I139</f>
        <v>41</v>
      </c>
      <c r="AC19" s="46">
        <f>Weather!J139</f>
        <v>39.4</v>
      </c>
      <c r="AD19" s="46">
        <f>Weather!K139</f>
        <v>65.900000000000006</v>
      </c>
      <c r="AE19" s="46">
        <f>Weather!L139</f>
        <v>14.4</v>
      </c>
      <c r="AF19" s="46">
        <f>Weather!M139</f>
        <v>100.9</v>
      </c>
      <c r="AG19" s="46">
        <f>Weather!N139</f>
        <v>3.4</v>
      </c>
      <c r="AH19" s="46">
        <f>Weather!O139</f>
        <v>149.9</v>
      </c>
      <c r="AI19" s="46">
        <f>Weather!P139</f>
        <v>0</v>
      </c>
      <c r="AJ19" s="46">
        <f>Weather!Q139</f>
        <v>206.5</v>
      </c>
      <c r="AK19" s="46">
        <f>Weather!R139</f>
        <v>0</v>
      </c>
      <c r="AL19" s="46">
        <f>Weather!S139</f>
        <v>266.5</v>
      </c>
      <c r="AM19" s="43">
        <f>Economic!C19</f>
        <v>643937</v>
      </c>
      <c r="AN19" s="43">
        <f>Economic!D19</f>
        <v>6766.1</v>
      </c>
      <c r="AO19" s="43">
        <f>Economic!E19</f>
        <v>6812.7</v>
      </c>
      <c r="AP19" s="43">
        <f>Economic!F19</f>
        <v>108.3</v>
      </c>
      <c r="AQ19" s="43">
        <f>Economic!G19</f>
        <v>109</v>
      </c>
      <c r="AR19" s="47">
        <f t="shared" si="26"/>
        <v>30</v>
      </c>
      <c r="AS19" s="47">
        <v>22</v>
      </c>
      <c r="AT19" s="47">
        <f t="shared" si="22"/>
        <v>18</v>
      </c>
      <c r="AU19" s="47">
        <f t="shared" si="26"/>
        <v>0</v>
      </c>
      <c r="AV19" s="47">
        <f t="shared" si="26"/>
        <v>0</v>
      </c>
      <c r="AW19" s="47">
        <f t="shared" si="26"/>
        <v>0</v>
      </c>
      <c r="AX19" s="47">
        <f t="shared" si="26"/>
        <v>0</v>
      </c>
      <c r="AY19" s="47">
        <f t="shared" si="26"/>
        <v>0</v>
      </c>
      <c r="AZ19" s="47">
        <f t="shared" si="26"/>
        <v>1</v>
      </c>
      <c r="BA19" s="47">
        <f t="shared" si="26"/>
        <v>0</v>
      </c>
      <c r="BB19" s="47">
        <f t="shared" si="26"/>
        <v>0</v>
      </c>
      <c r="BC19" s="47">
        <f t="shared" si="26"/>
        <v>0</v>
      </c>
      <c r="BD19" s="47">
        <f t="shared" si="26"/>
        <v>0</v>
      </c>
      <c r="BE19" s="47">
        <f t="shared" si="26"/>
        <v>0</v>
      </c>
      <c r="BF19" s="47">
        <f t="shared" si="26"/>
        <v>0</v>
      </c>
      <c r="BG19" s="47">
        <f t="shared" si="26"/>
        <v>0</v>
      </c>
      <c r="BH19" s="47">
        <f t="shared" si="26"/>
        <v>0</v>
      </c>
      <c r="BI19" s="47">
        <f t="shared" si="2"/>
        <v>0</v>
      </c>
      <c r="BJ19" s="48">
        <v>0</v>
      </c>
      <c r="BK19" s="48">
        <v>0</v>
      </c>
      <c r="BL19" s="48">
        <f t="shared" si="23"/>
        <v>0</v>
      </c>
      <c r="BM19" s="47">
        <f t="shared" si="25"/>
        <v>0</v>
      </c>
      <c r="BN19" s="53">
        <f t="shared" si="3"/>
        <v>0</v>
      </c>
      <c r="BO19" s="53">
        <f t="shared" si="4"/>
        <v>0</v>
      </c>
      <c r="BP19" s="53">
        <f t="shared" si="5"/>
        <v>0</v>
      </c>
      <c r="BQ19" s="53">
        <f t="shared" si="6"/>
        <v>0</v>
      </c>
      <c r="BR19" s="53">
        <f t="shared" si="7"/>
        <v>0</v>
      </c>
      <c r="BS19" s="53">
        <f t="shared" si="8"/>
        <v>0</v>
      </c>
      <c r="BT19" s="53">
        <f t="shared" si="9"/>
        <v>0</v>
      </c>
      <c r="BU19" s="53">
        <f t="shared" si="10"/>
        <v>0</v>
      </c>
      <c r="BV19" s="53">
        <f t="shared" si="11"/>
        <v>0</v>
      </c>
      <c r="BW19" s="53">
        <f t="shared" si="12"/>
        <v>0</v>
      </c>
      <c r="BX19" s="53">
        <f t="shared" si="13"/>
        <v>0</v>
      </c>
      <c r="BY19" s="53">
        <f t="shared" si="14"/>
        <v>0</v>
      </c>
      <c r="BZ19" s="53">
        <f t="shared" si="15"/>
        <v>0</v>
      </c>
      <c r="CA19" s="53">
        <f t="shared" si="16"/>
        <v>0</v>
      </c>
      <c r="CB19" s="53">
        <f t="shared" si="17"/>
        <v>0</v>
      </c>
      <c r="CC19" s="53">
        <f t="shared" si="18"/>
        <v>0</v>
      </c>
      <c r="CD19" s="8">
        <f t="shared" si="19"/>
        <v>575.27660702492358</v>
      </c>
      <c r="CE19" s="8">
        <f t="shared" si="20"/>
        <v>2203.2191568902831</v>
      </c>
      <c r="CF19" s="8">
        <f t="shared" si="21"/>
        <v>82916.054074546351</v>
      </c>
    </row>
    <row r="20" spans="1:84">
      <c r="A20" s="7">
        <f>'Monthly Data'!A20</f>
        <v>41456</v>
      </c>
      <c r="B20" s="6">
        <f>'Monthly Data'!B20</f>
        <v>2013</v>
      </c>
      <c r="C20" s="6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5">
        <f>'Monthly Data'!O20</f>
        <v>24114.27</v>
      </c>
      <c r="P20" s="5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5">
        <f>Weather!C140</f>
        <v>20.958064516129028</v>
      </c>
      <c r="W20" s="46">
        <f>Weather!D140</f>
        <v>62.2</v>
      </c>
      <c r="X20" s="46">
        <f>Weather!E140</f>
        <v>29.9</v>
      </c>
      <c r="Y20" s="46">
        <f>Weather!F140</f>
        <v>28.6</v>
      </c>
      <c r="Z20" s="46">
        <f>Weather!G140</f>
        <v>58.3</v>
      </c>
      <c r="AA20" s="46">
        <f>Weather!H140</f>
        <v>6.3</v>
      </c>
      <c r="AB20" s="46">
        <f>Weather!I140</f>
        <v>98</v>
      </c>
      <c r="AC20" s="46">
        <f>Weather!J140</f>
        <v>0.2</v>
      </c>
      <c r="AD20" s="46">
        <f>Weather!K140</f>
        <v>153.9</v>
      </c>
      <c r="AE20" s="46">
        <f>Weather!L140</f>
        <v>0</v>
      </c>
      <c r="AF20" s="46">
        <f>Weather!M140</f>
        <v>215.7</v>
      </c>
      <c r="AG20" s="46">
        <f>Weather!N140</f>
        <v>0</v>
      </c>
      <c r="AH20" s="46">
        <f>Weather!O140</f>
        <v>277.7</v>
      </c>
      <c r="AI20" s="46">
        <f>Weather!P140</f>
        <v>0</v>
      </c>
      <c r="AJ20" s="46">
        <f>Weather!Q140</f>
        <v>339.7</v>
      </c>
      <c r="AK20" s="46">
        <f>Weather!R140</f>
        <v>0</v>
      </c>
      <c r="AL20" s="46">
        <f>Weather!S140</f>
        <v>401.7</v>
      </c>
      <c r="AM20" s="43">
        <f>Economic!C20</f>
        <v>643937</v>
      </c>
      <c r="AN20" s="43">
        <f>Economic!D20</f>
        <v>6774.7</v>
      </c>
      <c r="AO20" s="43">
        <f>Economic!E20</f>
        <v>6863.4</v>
      </c>
      <c r="AP20" s="43">
        <f>Economic!F20</f>
        <v>107.2</v>
      </c>
      <c r="AQ20" s="43">
        <f>Economic!G20</f>
        <v>109.5</v>
      </c>
      <c r="AR20" s="47">
        <f t="shared" si="26"/>
        <v>31</v>
      </c>
      <c r="AS20" s="47">
        <v>20</v>
      </c>
      <c r="AT20" s="47">
        <f t="shared" si="22"/>
        <v>19</v>
      </c>
      <c r="AU20" s="47">
        <f t="shared" si="26"/>
        <v>0</v>
      </c>
      <c r="AV20" s="47">
        <f t="shared" si="26"/>
        <v>0</v>
      </c>
      <c r="AW20" s="47">
        <f t="shared" si="26"/>
        <v>0</v>
      </c>
      <c r="AX20" s="47">
        <f t="shared" si="26"/>
        <v>0</v>
      </c>
      <c r="AY20" s="47">
        <f t="shared" si="26"/>
        <v>0</v>
      </c>
      <c r="AZ20" s="47">
        <f t="shared" si="26"/>
        <v>0</v>
      </c>
      <c r="BA20" s="47">
        <f t="shared" si="26"/>
        <v>1</v>
      </c>
      <c r="BB20" s="47">
        <f t="shared" si="26"/>
        <v>0</v>
      </c>
      <c r="BC20" s="47">
        <f t="shared" si="26"/>
        <v>0</v>
      </c>
      <c r="BD20" s="47">
        <f t="shared" si="26"/>
        <v>0</v>
      </c>
      <c r="BE20" s="47">
        <f t="shared" si="26"/>
        <v>0</v>
      </c>
      <c r="BF20" s="47">
        <f t="shared" si="26"/>
        <v>0</v>
      </c>
      <c r="BG20" s="47">
        <f t="shared" si="26"/>
        <v>0</v>
      </c>
      <c r="BH20" s="47">
        <f t="shared" si="26"/>
        <v>0</v>
      </c>
      <c r="BI20" s="47">
        <f t="shared" si="2"/>
        <v>0</v>
      </c>
      <c r="BJ20" s="48">
        <v>0</v>
      </c>
      <c r="BK20" s="48">
        <v>0</v>
      </c>
      <c r="BL20" s="48">
        <f t="shared" si="23"/>
        <v>0</v>
      </c>
      <c r="BM20" s="47">
        <f t="shared" si="25"/>
        <v>0</v>
      </c>
      <c r="BN20" s="53">
        <f t="shared" si="3"/>
        <v>0</v>
      </c>
      <c r="BO20" s="53">
        <f t="shared" si="4"/>
        <v>0</v>
      </c>
      <c r="BP20" s="53">
        <f t="shared" si="5"/>
        <v>0</v>
      </c>
      <c r="BQ20" s="53">
        <f t="shared" si="6"/>
        <v>0</v>
      </c>
      <c r="BR20" s="53">
        <f t="shared" si="7"/>
        <v>0</v>
      </c>
      <c r="BS20" s="53">
        <f t="shared" si="8"/>
        <v>0</v>
      </c>
      <c r="BT20" s="53">
        <f t="shared" si="9"/>
        <v>0</v>
      </c>
      <c r="BU20" s="53">
        <f t="shared" si="10"/>
        <v>0</v>
      </c>
      <c r="BV20" s="53">
        <f t="shared" si="11"/>
        <v>0</v>
      </c>
      <c r="BW20" s="53">
        <f t="shared" si="12"/>
        <v>0</v>
      </c>
      <c r="BX20" s="53">
        <f t="shared" si="13"/>
        <v>0</v>
      </c>
      <c r="BY20" s="53">
        <f t="shared" si="14"/>
        <v>0</v>
      </c>
      <c r="BZ20" s="53">
        <f t="shared" si="15"/>
        <v>0</v>
      </c>
      <c r="CA20" s="53">
        <f t="shared" si="16"/>
        <v>0</v>
      </c>
      <c r="CB20" s="53">
        <f t="shared" si="17"/>
        <v>0</v>
      </c>
      <c r="CC20" s="53">
        <f t="shared" si="18"/>
        <v>0</v>
      </c>
      <c r="CD20" s="8">
        <f t="shared" si="19"/>
        <v>656.32637426514759</v>
      </c>
      <c r="CE20" s="8">
        <f t="shared" si="20"/>
        <v>2446.8907345969783</v>
      </c>
      <c r="CF20" s="8">
        <f t="shared" si="21"/>
        <v>83056.014983506349</v>
      </c>
    </row>
    <row r="21" spans="1:84">
      <c r="A21" s="7">
        <f>'Monthly Data'!A21</f>
        <v>41487</v>
      </c>
      <c r="B21" s="6">
        <f>'Monthly Data'!B21</f>
        <v>2013</v>
      </c>
      <c r="C21" s="6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5">
        <f>'Monthly Data'!O21</f>
        <v>24204.95</v>
      </c>
      <c r="P21" s="5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5">
        <f>Weather!C141</f>
        <v>19.616129032258069</v>
      </c>
      <c r="W21" s="46">
        <f>Weather!D141</f>
        <v>84.9</v>
      </c>
      <c r="X21" s="46">
        <f>Weather!E141</f>
        <v>11</v>
      </c>
      <c r="Y21" s="46">
        <f>Weather!F141</f>
        <v>42.5</v>
      </c>
      <c r="Z21" s="46">
        <f>Weather!G141</f>
        <v>30.6</v>
      </c>
      <c r="AA21" s="46">
        <f>Weather!H141</f>
        <v>13.8</v>
      </c>
      <c r="AB21" s="46">
        <f>Weather!I141</f>
        <v>63.9</v>
      </c>
      <c r="AC21" s="46">
        <f>Weather!J141</f>
        <v>1.8</v>
      </c>
      <c r="AD21" s="46">
        <f>Weather!K141</f>
        <v>113.9</v>
      </c>
      <c r="AE21" s="46">
        <f>Weather!L141</f>
        <v>0</v>
      </c>
      <c r="AF21" s="46">
        <f>Weather!M141</f>
        <v>174.1</v>
      </c>
      <c r="AG21" s="46">
        <f>Weather!N141</f>
        <v>0</v>
      </c>
      <c r="AH21" s="46">
        <f>Weather!O141</f>
        <v>236.1</v>
      </c>
      <c r="AI21" s="46">
        <f>Weather!P141</f>
        <v>0</v>
      </c>
      <c r="AJ21" s="46">
        <f>Weather!Q141</f>
        <v>298.10000000000002</v>
      </c>
      <c r="AK21" s="46">
        <f>Weather!R141</f>
        <v>0</v>
      </c>
      <c r="AL21" s="46">
        <f>Weather!S141</f>
        <v>360.1</v>
      </c>
      <c r="AM21" s="43">
        <f>Economic!C21</f>
        <v>643937</v>
      </c>
      <c r="AN21" s="43">
        <f>Economic!D21</f>
        <v>6778.4</v>
      </c>
      <c r="AO21" s="43">
        <f>Economic!E21</f>
        <v>6876.4</v>
      </c>
      <c r="AP21" s="43">
        <f>Economic!F21</f>
        <v>106</v>
      </c>
      <c r="AQ21" s="43">
        <f>Economic!G21</f>
        <v>107.9</v>
      </c>
      <c r="AR21" s="47">
        <f t="shared" si="26"/>
        <v>31</v>
      </c>
      <c r="AS21" s="47">
        <v>22</v>
      </c>
      <c r="AT21" s="47">
        <f t="shared" si="22"/>
        <v>20</v>
      </c>
      <c r="AU21" s="47">
        <f t="shared" si="26"/>
        <v>0</v>
      </c>
      <c r="AV21" s="47">
        <f t="shared" si="26"/>
        <v>0</v>
      </c>
      <c r="AW21" s="47">
        <f t="shared" si="26"/>
        <v>0</v>
      </c>
      <c r="AX21" s="47">
        <f t="shared" si="26"/>
        <v>0</v>
      </c>
      <c r="AY21" s="47">
        <f t="shared" si="26"/>
        <v>0</v>
      </c>
      <c r="AZ21" s="47">
        <f t="shared" si="26"/>
        <v>0</v>
      </c>
      <c r="BA21" s="47">
        <f t="shared" si="26"/>
        <v>0</v>
      </c>
      <c r="BB21" s="47">
        <f t="shared" si="26"/>
        <v>1</v>
      </c>
      <c r="BC21" s="47">
        <f t="shared" si="26"/>
        <v>0</v>
      </c>
      <c r="BD21" s="47">
        <f t="shared" si="26"/>
        <v>0</v>
      </c>
      <c r="BE21" s="47">
        <f t="shared" si="26"/>
        <v>0</v>
      </c>
      <c r="BF21" s="47">
        <f t="shared" si="26"/>
        <v>0</v>
      </c>
      <c r="BG21" s="47">
        <f t="shared" si="26"/>
        <v>0</v>
      </c>
      <c r="BH21" s="47">
        <f t="shared" si="26"/>
        <v>0</v>
      </c>
      <c r="BI21" s="47">
        <f t="shared" si="2"/>
        <v>0</v>
      </c>
      <c r="BJ21" s="48">
        <v>0</v>
      </c>
      <c r="BK21" s="48">
        <v>0</v>
      </c>
      <c r="BL21" s="48">
        <f t="shared" si="23"/>
        <v>0</v>
      </c>
      <c r="BM21" s="47">
        <f t="shared" si="25"/>
        <v>0</v>
      </c>
      <c r="BN21" s="53">
        <f t="shared" si="3"/>
        <v>0</v>
      </c>
      <c r="BO21" s="53">
        <f t="shared" si="4"/>
        <v>0</v>
      </c>
      <c r="BP21" s="53">
        <f t="shared" si="5"/>
        <v>0</v>
      </c>
      <c r="BQ21" s="53">
        <f t="shared" si="6"/>
        <v>0</v>
      </c>
      <c r="BR21" s="53">
        <f t="shared" si="7"/>
        <v>0</v>
      </c>
      <c r="BS21" s="53">
        <f t="shared" si="8"/>
        <v>0</v>
      </c>
      <c r="BT21" s="53">
        <f t="shared" si="9"/>
        <v>0</v>
      </c>
      <c r="BU21" s="53">
        <f t="shared" si="10"/>
        <v>0</v>
      </c>
      <c r="BV21" s="53">
        <f t="shared" si="11"/>
        <v>0</v>
      </c>
      <c r="BW21" s="53">
        <f t="shared" si="12"/>
        <v>0</v>
      </c>
      <c r="BX21" s="53">
        <f t="shared" si="13"/>
        <v>0</v>
      </c>
      <c r="BY21" s="53">
        <f t="shared" si="14"/>
        <v>0</v>
      </c>
      <c r="BZ21" s="53">
        <f t="shared" si="15"/>
        <v>0</v>
      </c>
      <c r="CA21" s="53">
        <f t="shared" si="16"/>
        <v>0</v>
      </c>
      <c r="CB21" s="53">
        <f t="shared" si="17"/>
        <v>0</v>
      </c>
      <c r="CC21" s="53">
        <f t="shared" si="18"/>
        <v>0</v>
      </c>
      <c r="CD21" s="8">
        <f t="shared" si="19"/>
        <v>622.72736913063591</v>
      </c>
      <c r="CE21" s="8">
        <f t="shared" si="20"/>
        <v>2359.7756927500645</v>
      </c>
      <c r="CF21" s="8">
        <f t="shared" si="21"/>
        <v>91072.117991028863</v>
      </c>
    </row>
    <row r="22" spans="1:84">
      <c r="A22" s="7">
        <f>'Monthly Data'!A22</f>
        <v>41518</v>
      </c>
      <c r="B22" s="6">
        <f>'Monthly Data'!B22</f>
        <v>2013</v>
      </c>
      <c r="C22" s="6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5">
        <f>'Monthly Data'!O22</f>
        <v>23704.959999999995</v>
      </c>
      <c r="P22" s="5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5">
        <f>Weather!C142</f>
        <v>15.35333333333333</v>
      </c>
      <c r="W22" s="46">
        <f>Weather!D142</f>
        <v>205.2</v>
      </c>
      <c r="X22" s="46">
        <f>Weather!E142</f>
        <v>5.8</v>
      </c>
      <c r="Y22" s="46">
        <f>Weather!F142</f>
        <v>152.30000000000001</v>
      </c>
      <c r="Z22" s="46">
        <f>Weather!G142</f>
        <v>12.9</v>
      </c>
      <c r="AA22" s="46">
        <f>Weather!H142</f>
        <v>103.5</v>
      </c>
      <c r="AB22" s="46">
        <f>Weather!I142</f>
        <v>24.1</v>
      </c>
      <c r="AC22" s="46">
        <f>Weather!J142</f>
        <v>63.2</v>
      </c>
      <c r="AD22" s="46">
        <f>Weather!K142</f>
        <v>43.8</v>
      </c>
      <c r="AE22" s="46">
        <f>Weather!L142</f>
        <v>32.4</v>
      </c>
      <c r="AF22" s="46">
        <f>Weather!M142</f>
        <v>73</v>
      </c>
      <c r="AG22" s="46">
        <f>Weather!N142</f>
        <v>13.8</v>
      </c>
      <c r="AH22" s="46">
        <f>Weather!O142</f>
        <v>114.4</v>
      </c>
      <c r="AI22" s="46">
        <f>Weather!P142</f>
        <v>2.9</v>
      </c>
      <c r="AJ22" s="46">
        <f>Weather!Q142</f>
        <v>163.5</v>
      </c>
      <c r="AK22" s="46">
        <f>Weather!R142</f>
        <v>0</v>
      </c>
      <c r="AL22" s="46">
        <f>Weather!S142</f>
        <v>220.6</v>
      </c>
      <c r="AM22" s="43">
        <f>Economic!C22</f>
        <v>643937</v>
      </c>
      <c r="AN22" s="43">
        <f>Economic!D22</f>
        <v>6782.1</v>
      </c>
      <c r="AO22" s="43">
        <f>Economic!E22</f>
        <v>6841.7</v>
      </c>
      <c r="AP22" s="43">
        <f>Economic!F22</f>
        <v>106.1</v>
      </c>
      <c r="AQ22" s="43">
        <f>Economic!G22</f>
        <v>106.4</v>
      </c>
      <c r="AR22" s="47">
        <f t="shared" si="26"/>
        <v>30</v>
      </c>
      <c r="AS22" s="47">
        <v>21</v>
      </c>
      <c r="AT22" s="47">
        <f t="shared" si="22"/>
        <v>21</v>
      </c>
      <c r="AU22" s="47">
        <f t="shared" si="26"/>
        <v>0</v>
      </c>
      <c r="AV22" s="47">
        <f t="shared" si="26"/>
        <v>0</v>
      </c>
      <c r="AW22" s="47">
        <f t="shared" si="26"/>
        <v>0</v>
      </c>
      <c r="AX22" s="47">
        <f t="shared" si="26"/>
        <v>0</v>
      </c>
      <c r="AY22" s="47">
        <f t="shared" si="26"/>
        <v>0</v>
      </c>
      <c r="AZ22" s="47">
        <f t="shared" si="26"/>
        <v>0</v>
      </c>
      <c r="BA22" s="47">
        <f t="shared" si="26"/>
        <v>0</v>
      </c>
      <c r="BB22" s="47">
        <f t="shared" si="26"/>
        <v>0</v>
      </c>
      <c r="BC22" s="47">
        <f t="shared" si="26"/>
        <v>1</v>
      </c>
      <c r="BD22" s="47">
        <f t="shared" si="26"/>
        <v>0</v>
      </c>
      <c r="BE22" s="47">
        <f t="shared" si="26"/>
        <v>0</v>
      </c>
      <c r="BF22" s="47">
        <f t="shared" si="26"/>
        <v>0</v>
      </c>
      <c r="BG22" s="47">
        <f t="shared" si="26"/>
        <v>0</v>
      </c>
      <c r="BH22" s="47">
        <f t="shared" si="26"/>
        <v>1</v>
      </c>
      <c r="BI22" s="47">
        <f t="shared" si="2"/>
        <v>1</v>
      </c>
      <c r="BJ22" s="48">
        <v>0</v>
      </c>
      <c r="BK22" s="48">
        <v>0</v>
      </c>
      <c r="BL22" s="48">
        <f t="shared" si="23"/>
        <v>0</v>
      </c>
      <c r="BM22" s="47">
        <f t="shared" si="25"/>
        <v>0</v>
      </c>
      <c r="BN22" s="53">
        <f t="shared" si="3"/>
        <v>0</v>
      </c>
      <c r="BO22" s="53">
        <f t="shared" si="4"/>
        <v>0</v>
      </c>
      <c r="BP22" s="53">
        <f t="shared" si="5"/>
        <v>0</v>
      </c>
      <c r="BQ22" s="53">
        <f t="shared" si="6"/>
        <v>0</v>
      </c>
      <c r="BR22" s="53">
        <f t="shared" si="7"/>
        <v>0</v>
      </c>
      <c r="BS22" s="53">
        <f t="shared" si="8"/>
        <v>0</v>
      </c>
      <c r="BT22" s="53">
        <f t="shared" si="9"/>
        <v>0</v>
      </c>
      <c r="BU22" s="53">
        <f t="shared" si="10"/>
        <v>0</v>
      </c>
      <c r="BV22" s="53">
        <f t="shared" si="11"/>
        <v>0</v>
      </c>
      <c r="BW22" s="53">
        <f t="shared" si="12"/>
        <v>0</v>
      </c>
      <c r="BX22" s="53">
        <f t="shared" si="13"/>
        <v>0</v>
      </c>
      <c r="BY22" s="53">
        <f t="shared" si="14"/>
        <v>0</v>
      </c>
      <c r="BZ22" s="53">
        <f t="shared" si="15"/>
        <v>0</v>
      </c>
      <c r="CA22" s="53">
        <f t="shared" si="16"/>
        <v>0</v>
      </c>
      <c r="CB22" s="53">
        <f t="shared" si="17"/>
        <v>0</v>
      </c>
      <c r="CC22" s="53">
        <f t="shared" si="18"/>
        <v>0</v>
      </c>
      <c r="CD22" s="8">
        <f t="shared" si="19"/>
        <v>557.07386899943594</v>
      </c>
      <c r="CE22" s="8">
        <f t="shared" si="20"/>
        <v>2171.824021904345</v>
      </c>
      <c r="CF22" s="8">
        <f t="shared" si="21"/>
        <v>76270.469791363314</v>
      </c>
    </row>
    <row r="23" spans="1:84">
      <c r="A23" s="7">
        <f>'Monthly Data'!A23</f>
        <v>41548</v>
      </c>
      <c r="B23" s="6">
        <f>'Monthly Data'!B23</f>
        <v>2013</v>
      </c>
      <c r="C23" s="6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5">
        <f>'Monthly Data'!O23</f>
        <v>25974.63</v>
      </c>
      <c r="P23" s="5">
        <f>'Monthly Data'!P23</f>
        <v>509.42999999999995</v>
      </c>
      <c r="Q23" s="2">
        <f>AVERAGE(Q22,Q24)</f>
        <v>14329</v>
      </c>
      <c r="R23" s="2">
        <f t="shared" ref="R23:U23" si="27">AVERAGE(R22,R24)</f>
        <v>1704</v>
      </c>
      <c r="S23" s="2">
        <f t="shared" si="27"/>
        <v>131.5</v>
      </c>
      <c r="T23" s="2">
        <f t="shared" si="27"/>
        <v>3069</v>
      </c>
      <c r="U23" s="2">
        <f t="shared" si="27"/>
        <v>31</v>
      </c>
      <c r="V23" s="45">
        <f>Weather!C143</f>
        <v>10.427416330816985</v>
      </c>
      <c r="W23" s="46">
        <f>Weather!D143</f>
        <v>358.8</v>
      </c>
      <c r="X23" s="46">
        <f>Weather!E143</f>
        <v>0</v>
      </c>
      <c r="Y23" s="46">
        <f>Weather!F143</f>
        <v>296.8</v>
      </c>
      <c r="Z23" s="46">
        <f>Weather!G143</f>
        <v>0</v>
      </c>
      <c r="AA23" s="46">
        <f>Weather!H143</f>
        <v>234.9</v>
      </c>
      <c r="AB23" s="46">
        <f>Weather!I143</f>
        <v>0.1</v>
      </c>
      <c r="AC23" s="46">
        <f>Weather!J143</f>
        <v>175.4</v>
      </c>
      <c r="AD23" s="46">
        <f>Weather!K143</f>
        <v>2.6</v>
      </c>
      <c r="AE23" s="46">
        <f>Weather!L143</f>
        <v>126</v>
      </c>
      <c r="AF23" s="46">
        <f>Weather!M143</f>
        <v>15.2</v>
      </c>
      <c r="AG23" s="46">
        <f>Weather!N143</f>
        <v>86.9</v>
      </c>
      <c r="AH23" s="46">
        <f>Weather!O143</f>
        <v>38.1</v>
      </c>
      <c r="AI23" s="46">
        <f>Weather!P143</f>
        <v>55.6</v>
      </c>
      <c r="AJ23" s="46">
        <f>Weather!Q143</f>
        <v>68.8</v>
      </c>
      <c r="AK23" s="46">
        <f>Weather!R143</f>
        <v>33.9</v>
      </c>
      <c r="AL23" s="46">
        <f>Weather!S143</f>
        <v>109.1</v>
      </c>
      <c r="AM23" s="43">
        <f>Economic!C23</f>
        <v>643937</v>
      </c>
      <c r="AN23" s="43">
        <f>Economic!D23</f>
        <v>6784.2</v>
      </c>
      <c r="AO23" s="43">
        <f>Economic!E23</f>
        <v>6821.6</v>
      </c>
      <c r="AP23" s="43">
        <f>Economic!F23</f>
        <v>106.9</v>
      </c>
      <c r="AQ23" s="43">
        <f>Economic!G23</f>
        <v>106.6</v>
      </c>
      <c r="AR23" s="47">
        <f t="shared" si="26"/>
        <v>31</v>
      </c>
      <c r="AS23" s="47">
        <v>20</v>
      </c>
      <c r="AT23" s="47">
        <f t="shared" si="22"/>
        <v>22</v>
      </c>
      <c r="AU23" s="47">
        <f t="shared" si="26"/>
        <v>0</v>
      </c>
      <c r="AV23" s="47">
        <f t="shared" si="26"/>
        <v>0</v>
      </c>
      <c r="AW23" s="47">
        <f t="shared" si="26"/>
        <v>0</v>
      </c>
      <c r="AX23" s="47">
        <f t="shared" si="26"/>
        <v>0</v>
      </c>
      <c r="AY23" s="47">
        <f t="shared" si="26"/>
        <v>0</v>
      </c>
      <c r="AZ23" s="47">
        <f t="shared" si="26"/>
        <v>0</v>
      </c>
      <c r="BA23" s="47">
        <f t="shared" si="26"/>
        <v>0</v>
      </c>
      <c r="BB23" s="47">
        <f t="shared" si="26"/>
        <v>0</v>
      </c>
      <c r="BC23" s="47">
        <f t="shared" si="26"/>
        <v>0</v>
      </c>
      <c r="BD23" s="47">
        <f t="shared" si="26"/>
        <v>1</v>
      </c>
      <c r="BE23" s="47">
        <f t="shared" si="26"/>
        <v>0</v>
      </c>
      <c r="BF23" s="47">
        <f t="shared" si="26"/>
        <v>0</v>
      </c>
      <c r="BG23" s="47">
        <f t="shared" si="26"/>
        <v>0</v>
      </c>
      <c r="BH23" s="47">
        <f t="shared" si="26"/>
        <v>1</v>
      </c>
      <c r="BI23" s="47">
        <f t="shared" si="2"/>
        <v>1</v>
      </c>
      <c r="BJ23" s="48">
        <v>0</v>
      </c>
      <c r="BK23" s="48">
        <v>0</v>
      </c>
      <c r="BL23" s="48">
        <f t="shared" si="23"/>
        <v>0</v>
      </c>
      <c r="BM23" s="47">
        <f t="shared" si="25"/>
        <v>0</v>
      </c>
      <c r="BN23" s="53">
        <f t="shared" si="3"/>
        <v>0</v>
      </c>
      <c r="BO23" s="53">
        <f t="shared" si="4"/>
        <v>0</v>
      </c>
      <c r="BP23" s="53">
        <f t="shared" si="5"/>
        <v>0</v>
      </c>
      <c r="BQ23" s="53">
        <f t="shared" si="6"/>
        <v>0</v>
      </c>
      <c r="BR23" s="53">
        <f t="shared" si="7"/>
        <v>0</v>
      </c>
      <c r="BS23" s="53">
        <f t="shared" si="8"/>
        <v>0</v>
      </c>
      <c r="BT23" s="53">
        <f t="shared" si="9"/>
        <v>0</v>
      </c>
      <c r="BU23" s="53">
        <f t="shared" si="10"/>
        <v>0</v>
      </c>
      <c r="BV23" s="53">
        <f t="shared" si="11"/>
        <v>0</v>
      </c>
      <c r="BW23" s="53">
        <f t="shared" si="12"/>
        <v>0</v>
      </c>
      <c r="BX23" s="53">
        <f t="shared" si="13"/>
        <v>0</v>
      </c>
      <c r="BY23" s="53">
        <f t="shared" si="14"/>
        <v>0</v>
      </c>
      <c r="BZ23" s="53">
        <f t="shared" si="15"/>
        <v>0</v>
      </c>
      <c r="CA23" s="53">
        <f t="shared" si="16"/>
        <v>0</v>
      </c>
      <c r="CB23" s="53">
        <f t="shared" si="17"/>
        <v>0</v>
      </c>
      <c r="CC23" s="53">
        <f t="shared" si="18"/>
        <v>0</v>
      </c>
      <c r="CD23" s="8">
        <f t="shared" si="19"/>
        <v>590.1579994063535</v>
      </c>
      <c r="CE23" s="8">
        <f t="shared" si="20"/>
        <v>2185.5705769382107</v>
      </c>
      <c r="CF23" s="8">
        <f t="shared" si="21"/>
        <v>72226.842306586666</v>
      </c>
    </row>
    <row r="24" spans="1:84">
      <c r="A24" s="7">
        <f>'Monthly Data'!A24</f>
        <v>41579</v>
      </c>
      <c r="B24" s="6">
        <f>'Monthly Data'!B24</f>
        <v>2013</v>
      </c>
      <c r="C24" s="6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5">
        <f>'Monthly Data'!O24</f>
        <v>24182.959999999999</v>
      </c>
      <c r="P24" s="5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5">
        <f>Weather!C144</f>
        <v>2.1099999999999985</v>
      </c>
      <c r="W24" s="46">
        <f>Weather!D144</f>
        <v>596.70000000000005</v>
      </c>
      <c r="X24" s="46">
        <f>Weather!E144</f>
        <v>0</v>
      </c>
      <c r="Y24" s="46">
        <f>Weather!F144</f>
        <v>536.70000000000005</v>
      </c>
      <c r="Z24" s="46">
        <f>Weather!G144</f>
        <v>0</v>
      </c>
      <c r="AA24" s="46">
        <f>Weather!H144</f>
        <v>476.7</v>
      </c>
      <c r="AB24" s="46">
        <f>Weather!I144</f>
        <v>0</v>
      </c>
      <c r="AC24" s="46">
        <f>Weather!J144</f>
        <v>416.7</v>
      </c>
      <c r="AD24" s="46">
        <f>Weather!K144</f>
        <v>0</v>
      </c>
      <c r="AE24" s="46">
        <f>Weather!L144</f>
        <v>356.7</v>
      </c>
      <c r="AF24" s="46">
        <f>Weather!M144</f>
        <v>0</v>
      </c>
      <c r="AG24" s="46">
        <f>Weather!N144</f>
        <v>298.39999999999998</v>
      </c>
      <c r="AH24" s="46">
        <f>Weather!O144</f>
        <v>1.7</v>
      </c>
      <c r="AI24" s="46">
        <f>Weather!P144</f>
        <v>243.3</v>
      </c>
      <c r="AJ24" s="46">
        <f>Weather!Q144</f>
        <v>6.6</v>
      </c>
      <c r="AK24" s="46">
        <f>Weather!R144</f>
        <v>190.4</v>
      </c>
      <c r="AL24" s="46">
        <f>Weather!S144</f>
        <v>13.7</v>
      </c>
      <c r="AM24" s="43">
        <f>Economic!C24</f>
        <v>643937</v>
      </c>
      <c r="AN24" s="43">
        <f>Economic!D24</f>
        <v>6785.3</v>
      </c>
      <c r="AO24" s="43">
        <f>Economic!E24</f>
        <v>6794.8</v>
      </c>
      <c r="AP24" s="43">
        <f>Economic!F24</f>
        <v>107.9</v>
      </c>
      <c r="AQ24" s="43">
        <f>Economic!G24</f>
        <v>107.5</v>
      </c>
      <c r="AR24" s="47">
        <f t="shared" si="26"/>
        <v>30</v>
      </c>
      <c r="AS24" s="47">
        <v>22</v>
      </c>
      <c r="AT24" s="47">
        <f t="shared" si="22"/>
        <v>23</v>
      </c>
      <c r="AU24" s="47">
        <f t="shared" si="26"/>
        <v>0</v>
      </c>
      <c r="AV24" s="47">
        <f t="shared" si="26"/>
        <v>0</v>
      </c>
      <c r="AW24" s="47">
        <f t="shared" si="26"/>
        <v>0</v>
      </c>
      <c r="AX24" s="47">
        <f t="shared" si="26"/>
        <v>0</v>
      </c>
      <c r="AY24" s="47">
        <f t="shared" si="26"/>
        <v>0</v>
      </c>
      <c r="AZ24" s="47">
        <f t="shared" si="26"/>
        <v>0</v>
      </c>
      <c r="BA24" s="47">
        <f t="shared" si="26"/>
        <v>0</v>
      </c>
      <c r="BB24" s="47">
        <f t="shared" si="26"/>
        <v>0</v>
      </c>
      <c r="BC24" s="47">
        <f t="shared" si="26"/>
        <v>0</v>
      </c>
      <c r="BD24" s="47">
        <f t="shared" si="26"/>
        <v>0</v>
      </c>
      <c r="BE24" s="47">
        <f t="shared" si="26"/>
        <v>1</v>
      </c>
      <c r="BF24" s="47">
        <f t="shared" si="26"/>
        <v>0</v>
      </c>
      <c r="BG24" s="47">
        <f t="shared" si="26"/>
        <v>0</v>
      </c>
      <c r="BH24" s="47">
        <f t="shared" si="26"/>
        <v>1</v>
      </c>
      <c r="BI24" s="47">
        <f t="shared" si="2"/>
        <v>1</v>
      </c>
      <c r="BJ24" s="48">
        <v>0</v>
      </c>
      <c r="BK24" s="48">
        <v>0</v>
      </c>
      <c r="BL24" s="48">
        <f t="shared" si="23"/>
        <v>0</v>
      </c>
      <c r="BM24" s="47">
        <f t="shared" si="25"/>
        <v>0</v>
      </c>
      <c r="BN24" s="53">
        <f t="shared" si="3"/>
        <v>0</v>
      </c>
      <c r="BO24" s="53">
        <f t="shared" si="4"/>
        <v>0</v>
      </c>
      <c r="BP24" s="53">
        <f t="shared" si="5"/>
        <v>0</v>
      </c>
      <c r="BQ24" s="53">
        <f t="shared" si="6"/>
        <v>0</v>
      </c>
      <c r="BR24" s="53">
        <f t="shared" si="7"/>
        <v>0</v>
      </c>
      <c r="BS24" s="53">
        <f t="shared" si="8"/>
        <v>0</v>
      </c>
      <c r="BT24" s="53">
        <f t="shared" si="9"/>
        <v>0</v>
      </c>
      <c r="BU24" s="53">
        <f t="shared" si="10"/>
        <v>0</v>
      </c>
      <c r="BV24" s="53">
        <f t="shared" si="11"/>
        <v>0</v>
      </c>
      <c r="BW24" s="53">
        <f t="shared" si="12"/>
        <v>0</v>
      </c>
      <c r="BX24" s="53">
        <f t="shared" si="13"/>
        <v>0</v>
      </c>
      <c r="BY24" s="53">
        <f t="shared" si="14"/>
        <v>0</v>
      </c>
      <c r="BZ24" s="53">
        <f t="shared" si="15"/>
        <v>0</v>
      </c>
      <c r="CA24" s="53">
        <f t="shared" si="16"/>
        <v>0</v>
      </c>
      <c r="CB24" s="53">
        <f t="shared" si="17"/>
        <v>0</v>
      </c>
      <c r="CC24" s="53">
        <f t="shared" si="18"/>
        <v>0</v>
      </c>
      <c r="CD24" s="8">
        <f t="shared" si="19"/>
        <v>736.92818558153635</v>
      </c>
      <c r="CE24" s="8">
        <f t="shared" si="20"/>
        <v>2387.8085653975722</v>
      </c>
      <c r="CF24" s="8">
        <f t="shared" si="21"/>
        <v>71701.44599584039</v>
      </c>
    </row>
    <row r="25" spans="1:84">
      <c r="A25" s="7">
        <f>'Monthly Data'!A25</f>
        <v>41609</v>
      </c>
      <c r="B25" s="6">
        <f>'Monthly Data'!B25</f>
        <v>2013</v>
      </c>
      <c r="C25" s="6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5">
        <f>'Monthly Data'!O25</f>
        <v>24251.51</v>
      </c>
      <c r="P25" s="5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5">
        <f>Weather!C145</f>
        <v>-5.1451612903225827</v>
      </c>
      <c r="W25" s="46">
        <f>Weather!D145</f>
        <v>841.5</v>
      </c>
      <c r="X25" s="46">
        <f>Weather!E145</f>
        <v>0</v>
      </c>
      <c r="Y25" s="46">
        <f>Weather!F145</f>
        <v>779.5</v>
      </c>
      <c r="Z25" s="46">
        <f>Weather!G145</f>
        <v>0</v>
      </c>
      <c r="AA25" s="46">
        <f>Weather!H145</f>
        <v>717.5</v>
      </c>
      <c r="AB25" s="46">
        <f>Weather!I145</f>
        <v>0</v>
      </c>
      <c r="AC25" s="46">
        <f>Weather!J145</f>
        <v>655.5</v>
      </c>
      <c r="AD25" s="46">
        <f>Weather!K145</f>
        <v>0</v>
      </c>
      <c r="AE25" s="46">
        <f>Weather!L145</f>
        <v>593.5</v>
      </c>
      <c r="AF25" s="46">
        <f>Weather!M145</f>
        <v>0</v>
      </c>
      <c r="AG25" s="46">
        <f>Weather!N145</f>
        <v>531.5</v>
      </c>
      <c r="AH25" s="46">
        <f>Weather!O145</f>
        <v>0</v>
      </c>
      <c r="AI25" s="46">
        <f>Weather!P145</f>
        <v>469.5</v>
      </c>
      <c r="AJ25" s="46">
        <f>Weather!Q145</f>
        <v>0</v>
      </c>
      <c r="AK25" s="46">
        <f>Weather!R145</f>
        <v>407.5</v>
      </c>
      <c r="AL25" s="46">
        <f>Weather!S145</f>
        <v>0</v>
      </c>
      <c r="AM25" s="43">
        <f>Economic!C25</f>
        <v>643937</v>
      </c>
      <c r="AN25" s="43">
        <f>Economic!D25</f>
        <v>6781.3</v>
      </c>
      <c r="AO25" s="43">
        <f>Economic!E25</f>
        <v>6783.1</v>
      </c>
      <c r="AP25" s="43">
        <f>Economic!F25</f>
        <v>107</v>
      </c>
      <c r="AQ25" s="43">
        <f>Economic!G25</f>
        <v>106.5</v>
      </c>
      <c r="AR25" s="47">
        <f t="shared" si="26"/>
        <v>31</v>
      </c>
      <c r="AS25" s="47">
        <v>21</v>
      </c>
      <c r="AT25" s="47">
        <f t="shared" si="22"/>
        <v>24</v>
      </c>
      <c r="AU25" s="47">
        <f t="shared" si="26"/>
        <v>0</v>
      </c>
      <c r="AV25" s="47">
        <f t="shared" si="26"/>
        <v>0</v>
      </c>
      <c r="AW25" s="47">
        <f t="shared" si="26"/>
        <v>0</v>
      </c>
      <c r="AX25" s="47">
        <f t="shared" si="26"/>
        <v>0</v>
      </c>
      <c r="AY25" s="47">
        <f t="shared" si="26"/>
        <v>0</v>
      </c>
      <c r="AZ25" s="47">
        <f t="shared" si="26"/>
        <v>0</v>
      </c>
      <c r="BA25" s="47">
        <f t="shared" si="26"/>
        <v>0</v>
      </c>
      <c r="BB25" s="47">
        <f t="shared" si="26"/>
        <v>0</v>
      </c>
      <c r="BC25" s="47">
        <f t="shared" si="26"/>
        <v>0</v>
      </c>
      <c r="BD25" s="47">
        <f t="shared" si="26"/>
        <v>0</v>
      </c>
      <c r="BE25" s="47">
        <f t="shared" si="26"/>
        <v>0</v>
      </c>
      <c r="BF25" s="47">
        <f t="shared" si="26"/>
        <v>1</v>
      </c>
      <c r="BG25" s="47">
        <f t="shared" si="26"/>
        <v>0</v>
      </c>
      <c r="BH25" s="47">
        <f t="shared" si="26"/>
        <v>0</v>
      </c>
      <c r="BI25" s="47">
        <f t="shared" si="2"/>
        <v>0</v>
      </c>
      <c r="BJ25" s="48">
        <v>0</v>
      </c>
      <c r="BK25" s="48">
        <v>0</v>
      </c>
      <c r="BL25" s="48">
        <f t="shared" si="23"/>
        <v>0</v>
      </c>
      <c r="BM25" s="47">
        <f t="shared" si="25"/>
        <v>0</v>
      </c>
      <c r="BN25" s="53">
        <f t="shared" si="3"/>
        <v>0</v>
      </c>
      <c r="BO25" s="53">
        <f t="shared" si="4"/>
        <v>0</v>
      </c>
      <c r="BP25" s="53">
        <f t="shared" si="5"/>
        <v>0</v>
      </c>
      <c r="BQ25" s="53">
        <f t="shared" si="6"/>
        <v>0</v>
      </c>
      <c r="BR25" s="53">
        <f t="shared" si="7"/>
        <v>0</v>
      </c>
      <c r="BS25" s="53">
        <f t="shared" si="8"/>
        <v>0</v>
      </c>
      <c r="BT25" s="53">
        <f t="shared" si="9"/>
        <v>0</v>
      </c>
      <c r="BU25" s="53">
        <f t="shared" si="10"/>
        <v>0</v>
      </c>
      <c r="BV25" s="53">
        <f t="shared" si="11"/>
        <v>0</v>
      </c>
      <c r="BW25" s="53">
        <f t="shared" si="12"/>
        <v>0</v>
      </c>
      <c r="BX25" s="53">
        <f t="shared" si="13"/>
        <v>0</v>
      </c>
      <c r="BY25" s="53">
        <f t="shared" si="14"/>
        <v>0</v>
      </c>
      <c r="BZ25" s="53">
        <f t="shared" si="15"/>
        <v>0</v>
      </c>
      <c r="CA25" s="53">
        <f t="shared" si="16"/>
        <v>0</v>
      </c>
      <c r="CB25" s="53">
        <f t="shared" si="17"/>
        <v>0</v>
      </c>
      <c r="CC25" s="53">
        <f t="shared" si="18"/>
        <v>0</v>
      </c>
      <c r="CD25" s="8">
        <f t="shared" si="19"/>
        <v>954.3889367870911</v>
      </c>
      <c r="CE25" s="8">
        <f t="shared" si="20"/>
        <v>2770.1013106832061</v>
      </c>
      <c r="CF25" s="8">
        <f t="shared" si="21"/>
        <v>82145.943165390418</v>
      </c>
    </row>
    <row r="26" spans="1:84">
      <c r="A26" s="7">
        <f>'Monthly Data'!A26</f>
        <v>41640</v>
      </c>
      <c r="B26" s="6">
        <f>'Monthly Data'!B26</f>
        <v>2014</v>
      </c>
      <c r="C26" s="6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5">
        <f>'Monthly Data'!O26</f>
        <v>24607.070000000003</v>
      </c>
      <c r="P26" s="5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5">
        <f>Weather!C146</f>
        <v>-8.6483870967741936</v>
      </c>
      <c r="W26" s="46">
        <f>Weather!D146</f>
        <v>950.1</v>
      </c>
      <c r="X26" s="46">
        <f>Weather!E146</f>
        <v>0</v>
      </c>
      <c r="Y26" s="46">
        <f>Weather!F146</f>
        <v>888.1</v>
      </c>
      <c r="Z26" s="46">
        <f>Weather!G146</f>
        <v>0</v>
      </c>
      <c r="AA26" s="46">
        <f>Weather!H146</f>
        <v>826.1</v>
      </c>
      <c r="AB26" s="46">
        <f>Weather!I146</f>
        <v>0</v>
      </c>
      <c r="AC26" s="46">
        <f>Weather!J146</f>
        <v>764.1</v>
      </c>
      <c r="AD26" s="46">
        <f>Weather!K146</f>
        <v>0</v>
      </c>
      <c r="AE26" s="46">
        <f>Weather!L146</f>
        <v>702.1</v>
      </c>
      <c r="AF26" s="46">
        <f>Weather!M146</f>
        <v>0</v>
      </c>
      <c r="AG26" s="46">
        <f>Weather!N146</f>
        <v>640.1</v>
      </c>
      <c r="AH26" s="46">
        <f>Weather!O146</f>
        <v>0</v>
      </c>
      <c r="AI26" s="46">
        <f>Weather!P146</f>
        <v>578.1</v>
      </c>
      <c r="AJ26" s="46">
        <f>Weather!Q146</f>
        <v>0</v>
      </c>
      <c r="AK26" s="46">
        <f>Weather!R146</f>
        <v>516.1</v>
      </c>
      <c r="AL26" s="46">
        <f>Weather!S146</f>
        <v>0</v>
      </c>
      <c r="AM26" s="43">
        <f>Economic!C26</f>
        <v>659861.19999999995</v>
      </c>
      <c r="AN26" s="43">
        <f>Economic!D26</f>
        <v>6780.9</v>
      </c>
      <c r="AO26" s="43">
        <f>Economic!E26</f>
        <v>6741.6</v>
      </c>
      <c r="AP26" s="43">
        <f>Economic!F26</f>
        <v>105.8</v>
      </c>
      <c r="AQ26" s="43">
        <f>Economic!G26</f>
        <v>105.3</v>
      </c>
      <c r="AR26" s="47">
        <f t="shared" si="26"/>
        <v>31</v>
      </c>
      <c r="AS26" s="47">
        <v>21</v>
      </c>
      <c r="AT26" s="47">
        <f t="shared" si="22"/>
        <v>25</v>
      </c>
      <c r="AU26" s="47">
        <f t="shared" si="26"/>
        <v>1</v>
      </c>
      <c r="AV26" s="47">
        <f t="shared" si="26"/>
        <v>0</v>
      </c>
      <c r="AW26" s="47">
        <f t="shared" si="26"/>
        <v>0</v>
      </c>
      <c r="AX26" s="47">
        <f t="shared" si="26"/>
        <v>0</v>
      </c>
      <c r="AY26" s="47">
        <f t="shared" si="26"/>
        <v>0</v>
      </c>
      <c r="AZ26" s="47">
        <f t="shared" si="26"/>
        <v>0</v>
      </c>
      <c r="BA26" s="47">
        <f t="shared" si="26"/>
        <v>0</v>
      </c>
      <c r="BB26" s="47">
        <f t="shared" si="26"/>
        <v>0</v>
      </c>
      <c r="BC26" s="47">
        <f t="shared" si="26"/>
        <v>0</v>
      </c>
      <c r="BD26" s="47">
        <f t="shared" si="26"/>
        <v>0</v>
      </c>
      <c r="BE26" s="47">
        <f t="shared" si="26"/>
        <v>0</v>
      </c>
      <c r="BF26" s="47">
        <f t="shared" si="26"/>
        <v>0</v>
      </c>
      <c r="BG26" s="47">
        <f t="shared" si="26"/>
        <v>0</v>
      </c>
      <c r="BH26" s="47">
        <f t="shared" si="26"/>
        <v>0</v>
      </c>
      <c r="BI26" s="47">
        <f t="shared" si="2"/>
        <v>0</v>
      </c>
      <c r="BJ26" s="48">
        <v>0</v>
      </c>
      <c r="BK26" s="48">
        <v>0</v>
      </c>
      <c r="BL26" s="48">
        <f t="shared" si="23"/>
        <v>0</v>
      </c>
      <c r="BM26" s="47">
        <f t="shared" si="25"/>
        <v>0</v>
      </c>
      <c r="BN26" s="53">
        <f t="shared" si="3"/>
        <v>0</v>
      </c>
      <c r="BO26" s="53">
        <f t="shared" si="4"/>
        <v>0</v>
      </c>
      <c r="BP26" s="53">
        <f t="shared" si="5"/>
        <v>0</v>
      </c>
      <c r="BQ26" s="53">
        <f t="shared" si="6"/>
        <v>0</v>
      </c>
      <c r="BR26" s="53">
        <f t="shared" si="7"/>
        <v>0</v>
      </c>
      <c r="BS26" s="53">
        <f t="shared" si="8"/>
        <v>0</v>
      </c>
      <c r="BT26" s="53">
        <f t="shared" si="9"/>
        <v>0</v>
      </c>
      <c r="BU26" s="53">
        <f t="shared" si="10"/>
        <v>0</v>
      </c>
      <c r="BV26" s="53">
        <f t="shared" si="11"/>
        <v>0</v>
      </c>
      <c r="BW26" s="53">
        <f t="shared" si="12"/>
        <v>0</v>
      </c>
      <c r="BX26" s="53">
        <f t="shared" si="13"/>
        <v>0</v>
      </c>
      <c r="BY26" s="53">
        <f t="shared" si="14"/>
        <v>0</v>
      </c>
      <c r="BZ26" s="53">
        <f t="shared" si="15"/>
        <v>0</v>
      </c>
      <c r="CA26" s="53">
        <f t="shared" si="16"/>
        <v>0</v>
      </c>
      <c r="CB26" s="53">
        <f t="shared" si="17"/>
        <v>0</v>
      </c>
      <c r="CC26" s="53">
        <f t="shared" si="18"/>
        <v>0</v>
      </c>
      <c r="CD26" s="8">
        <f t="shared" si="19"/>
        <v>1027.5233787179257</v>
      </c>
      <c r="CE26" s="8">
        <f t="shared" si="20"/>
        <v>2997.2281542509991</v>
      </c>
      <c r="CF26" s="8">
        <f t="shared" si="21"/>
        <v>91776.990734465755</v>
      </c>
    </row>
    <row r="27" spans="1:84">
      <c r="A27" s="7">
        <f>'Monthly Data'!A27</f>
        <v>41671</v>
      </c>
      <c r="B27" s="6">
        <f>'Monthly Data'!B27</f>
        <v>2014</v>
      </c>
      <c r="C27" s="6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5">
        <f>'Monthly Data'!O27</f>
        <v>25233.64</v>
      </c>
      <c r="P27" s="5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5">
        <f>Weather!C147</f>
        <v>-8.4321428571428552</v>
      </c>
      <c r="W27" s="46">
        <f>Weather!D147</f>
        <v>852.1</v>
      </c>
      <c r="X27" s="46">
        <f>Weather!E147</f>
        <v>0</v>
      </c>
      <c r="Y27" s="46">
        <f>Weather!F147</f>
        <v>796.1</v>
      </c>
      <c r="Z27" s="46">
        <f>Weather!G147</f>
        <v>0</v>
      </c>
      <c r="AA27" s="46">
        <f>Weather!H147</f>
        <v>740.1</v>
      </c>
      <c r="AB27" s="46">
        <f>Weather!I147</f>
        <v>0</v>
      </c>
      <c r="AC27" s="46">
        <f>Weather!J147</f>
        <v>684.1</v>
      </c>
      <c r="AD27" s="46">
        <f>Weather!K147</f>
        <v>0</v>
      </c>
      <c r="AE27" s="46">
        <f>Weather!L147</f>
        <v>628.1</v>
      </c>
      <c r="AF27" s="46">
        <f>Weather!M147</f>
        <v>0</v>
      </c>
      <c r="AG27" s="46">
        <f>Weather!N147</f>
        <v>572.1</v>
      </c>
      <c r="AH27" s="46">
        <f>Weather!O147</f>
        <v>0</v>
      </c>
      <c r="AI27" s="46">
        <f>Weather!P147</f>
        <v>516.1</v>
      </c>
      <c r="AJ27" s="46">
        <f>Weather!Q147</f>
        <v>0</v>
      </c>
      <c r="AK27" s="46">
        <f>Weather!R147</f>
        <v>460.1</v>
      </c>
      <c r="AL27" s="46">
        <f>Weather!S147</f>
        <v>0</v>
      </c>
      <c r="AM27" s="43">
        <f>Economic!C27</f>
        <v>659861.19999999995</v>
      </c>
      <c r="AN27" s="43">
        <f>Economic!D27</f>
        <v>6781.1</v>
      </c>
      <c r="AO27" s="43">
        <f>Economic!E27</f>
        <v>6707.8</v>
      </c>
      <c r="AP27" s="43">
        <f>Economic!F27</f>
        <v>104.9</v>
      </c>
      <c r="AQ27" s="43">
        <f>Economic!G27</f>
        <v>103.9</v>
      </c>
      <c r="AR27" s="47">
        <f>AR15</f>
        <v>28</v>
      </c>
      <c r="AS27" s="47">
        <v>20</v>
      </c>
      <c r="AT27" s="47">
        <f t="shared" si="22"/>
        <v>26</v>
      </c>
      <c r="AU27" s="47">
        <f t="shared" si="26"/>
        <v>0</v>
      </c>
      <c r="AV27" s="47">
        <f t="shared" si="26"/>
        <v>1</v>
      </c>
      <c r="AW27" s="47">
        <f t="shared" si="26"/>
        <v>0</v>
      </c>
      <c r="AX27" s="47">
        <f t="shared" si="26"/>
        <v>0</v>
      </c>
      <c r="AY27" s="47">
        <f t="shared" si="26"/>
        <v>0</v>
      </c>
      <c r="AZ27" s="47">
        <f t="shared" si="26"/>
        <v>0</v>
      </c>
      <c r="BA27" s="47">
        <f t="shared" si="26"/>
        <v>0</v>
      </c>
      <c r="BB27" s="47">
        <f t="shared" si="26"/>
        <v>0</v>
      </c>
      <c r="BC27" s="47">
        <f t="shared" si="26"/>
        <v>0</v>
      </c>
      <c r="BD27" s="47">
        <f t="shared" si="26"/>
        <v>0</v>
      </c>
      <c r="BE27" s="47">
        <f t="shared" si="26"/>
        <v>0</v>
      </c>
      <c r="BF27" s="47">
        <f t="shared" si="26"/>
        <v>0</v>
      </c>
      <c r="BG27" s="47">
        <f t="shared" si="26"/>
        <v>0</v>
      </c>
      <c r="BH27" s="47">
        <f t="shared" si="26"/>
        <v>0</v>
      </c>
      <c r="BI27" s="47">
        <f t="shared" si="2"/>
        <v>0</v>
      </c>
      <c r="BJ27" s="48">
        <v>0</v>
      </c>
      <c r="BK27" s="48">
        <v>0</v>
      </c>
      <c r="BL27" s="48">
        <f t="shared" si="23"/>
        <v>0</v>
      </c>
      <c r="BM27" s="47">
        <f t="shared" si="25"/>
        <v>0</v>
      </c>
      <c r="BN27" s="53">
        <f t="shared" si="3"/>
        <v>0</v>
      </c>
      <c r="BO27" s="53">
        <f t="shared" si="4"/>
        <v>0</v>
      </c>
      <c r="BP27" s="53">
        <f t="shared" si="5"/>
        <v>0</v>
      </c>
      <c r="BQ27" s="53">
        <f t="shared" si="6"/>
        <v>0</v>
      </c>
      <c r="BR27" s="53">
        <f t="shared" si="7"/>
        <v>0</v>
      </c>
      <c r="BS27" s="53">
        <f t="shared" si="8"/>
        <v>0</v>
      </c>
      <c r="BT27" s="53">
        <f t="shared" si="9"/>
        <v>0</v>
      </c>
      <c r="BU27" s="53">
        <f t="shared" si="10"/>
        <v>0</v>
      </c>
      <c r="BV27" s="53">
        <f t="shared" si="11"/>
        <v>0</v>
      </c>
      <c r="BW27" s="53">
        <f t="shared" si="12"/>
        <v>0</v>
      </c>
      <c r="BX27" s="53">
        <f t="shared" si="13"/>
        <v>0</v>
      </c>
      <c r="BY27" s="53">
        <f t="shared" si="14"/>
        <v>0</v>
      </c>
      <c r="BZ27" s="53">
        <f t="shared" si="15"/>
        <v>0</v>
      </c>
      <c r="CA27" s="53">
        <f t="shared" si="16"/>
        <v>0</v>
      </c>
      <c r="CB27" s="53">
        <f t="shared" si="17"/>
        <v>0</v>
      </c>
      <c r="CC27" s="53">
        <f t="shared" si="18"/>
        <v>0</v>
      </c>
      <c r="CD27" s="8">
        <f t="shared" si="19"/>
        <v>903.95313937808908</v>
      </c>
      <c r="CE27" s="8">
        <f t="shared" si="20"/>
        <v>2748.274021145708</v>
      </c>
      <c r="CF27" s="8">
        <f t="shared" si="21"/>
        <v>84513.48130622397</v>
      </c>
    </row>
    <row r="28" spans="1:84">
      <c r="A28" s="7">
        <f>'Monthly Data'!A28</f>
        <v>41699</v>
      </c>
      <c r="B28" s="6">
        <f>'Monthly Data'!B28</f>
        <v>2014</v>
      </c>
      <c r="C28" s="6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5">
        <f>'Monthly Data'!O28</f>
        <v>24646.670000000002</v>
      </c>
      <c r="P28" s="5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5">
        <f>Weather!C148</f>
        <v>-5.5483870967741913</v>
      </c>
      <c r="W28" s="46">
        <f>Weather!D148</f>
        <v>854</v>
      </c>
      <c r="X28" s="46">
        <f>Weather!E148</f>
        <v>0</v>
      </c>
      <c r="Y28" s="46">
        <f>Weather!F148</f>
        <v>792</v>
      </c>
      <c r="Z28" s="46">
        <f>Weather!G148</f>
        <v>0</v>
      </c>
      <c r="AA28" s="46">
        <f>Weather!H148</f>
        <v>730</v>
      </c>
      <c r="AB28" s="46">
        <f>Weather!I148</f>
        <v>0</v>
      </c>
      <c r="AC28" s="46">
        <f>Weather!J148</f>
        <v>668</v>
      </c>
      <c r="AD28" s="46">
        <f>Weather!K148</f>
        <v>0</v>
      </c>
      <c r="AE28" s="46">
        <f>Weather!L148</f>
        <v>606</v>
      </c>
      <c r="AF28" s="46">
        <f>Weather!M148</f>
        <v>0</v>
      </c>
      <c r="AG28" s="46">
        <f>Weather!N148</f>
        <v>544</v>
      </c>
      <c r="AH28" s="46">
        <f>Weather!O148</f>
        <v>0</v>
      </c>
      <c r="AI28" s="46">
        <f>Weather!P148</f>
        <v>482</v>
      </c>
      <c r="AJ28" s="46">
        <f>Weather!Q148</f>
        <v>0</v>
      </c>
      <c r="AK28" s="46">
        <f>Weather!R148</f>
        <v>420</v>
      </c>
      <c r="AL28" s="46">
        <f>Weather!S148</f>
        <v>0</v>
      </c>
      <c r="AM28" s="43">
        <f>Economic!C28</f>
        <v>659861.19999999995</v>
      </c>
      <c r="AN28" s="43">
        <f>Economic!D28</f>
        <v>6786.1</v>
      </c>
      <c r="AO28" s="43">
        <f>Economic!E28</f>
        <v>6686.4</v>
      </c>
      <c r="AP28" s="43">
        <f>Economic!F28</f>
        <v>105.5</v>
      </c>
      <c r="AQ28" s="43">
        <f>Economic!G28</f>
        <v>104.4</v>
      </c>
      <c r="AR28" s="47">
        <f t="shared" ref="AR28:BH43" si="28">AR16</f>
        <v>31</v>
      </c>
      <c r="AS28" s="47">
        <v>22</v>
      </c>
      <c r="AT28" s="47">
        <f t="shared" si="22"/>
        <v>27</v>
      </c>
      <c r="AU28" s="47">
        <f t="shared" si="28"/>
        <v>0</v>
      </c>
      <c r="AV28" s="47">
        <f t="shared" si="28"/>
        <v>0</v>
      </c>
      <c r="AW28" s="47">
        <f t="shared" si="28"/>
        <v>1</v>
      </c>
      <c r="AX28" s="47">
        <f t="shared" si="28"/>
        <v>0</v>
      </c>
      <c r="AY28" s="47">
        <f t="shared" si="28"/>
        <v>0</v>
      </c>
      <c r="AZ28" s="47">
        <f t="shared" si="28"/>
        <v>0</v>
      </c>
      <c r="BA28" s="47">
        <f t="shared" si="28"/>
        <v>0</v>
      </c>
      <c r="BB28" s="47">
        <f t="shared" si="28"/>
        <v>0</v>
      </c>
      <c r="BC28" s="47">
        <f t="shared" si="28"/>
        <v>0</v>
      </c>
      <c r="BD28" s="47">
        <f t="shared" si="28"/>
        <v>0</v>
      </c>
      <c r="BE28" s="47">
        <f t="shared" si="28"/>
        <v>0</v>
      </c>
      <c r="BF28" s="47">
        <f t="shared" si="28"/>
        <v>0</v>
      </c>
      <c r="BG28" s="47">
        <f t="shared" si="28"/>
        <v>1</v>
      </c>
      <c r="BH28" s="47">
        <f t="shared" si="28"/>
        <v>0</v>
      </c>
      <c r="BI28" s="47">
        <f t="shared" si="2"/>
        <v>1</v>
      </c>
      <c r="BJ28" s="48">
        <v>0</v>
      </c>
      <c r="BK28" s="48">
        <v>0</v>
      </c>
      <c r="BL28" s="48">
        <f t="shared" si="23"/>
        <v>0</v>
      </c>
      <c r="BM28" s="47">
        <f t="shared" si="25"/>
        <v>0</v>
      </c>
      <c r="BN28" s="53">
        <f t="shared" si="3"/>
        <v>0</v>
      </c>
      <c r="BO28" s="53">
        <f t="shared" si="4"/>
        <v>0</v>
      </c>
      <c r="BP28" s="53">
        <f t="shared" si="5"/>
        <v>0</v>
      </c>
      <c r="BQ28" s="53">
        <f t="shared" si="6"/>
        <v>0</v>
      </c>
      <c r="BR28" s="53">
        <f t="shared" si="7"/>
        <v>0</v>
      </c>
      <c r="BS28" s="53">
        <f t="shared" si="8"/>
        <v>0</v>
      </c>
      <c r="BT28" s="53">
        <f t="shared" si="9"/>
        <v>0</v>
      </c>
      <c r="BU28" s="53">
        <f t="shared" si="10"/>
        <v>0</v>
      </c>
      <c r="BV28" s="53">
        <f t="shared" si="11"/>
        <v>0</v>
      </c>
      <c r="BW28" s="53">
        <f t="shared" si="12"/>
        <v>0</v>
      </c>
      <c r="BX28" s="53">
        <f t="shared" si="13"/>
        <v>0</v>
      </c>
      <c r="BY28" s="53">
        <f t="shared" si="14"/>
        <v>0</v>
      </c>
      <c r="BZ28" s="53">
        <f t="shared" si="15"/>
        <v>0</v>
      </c>
      <c r="CA28" s="53">
        <f t="shared" si="16"/>
        <v>0</v>
      </c>
      <c r="CB28" s="53">
        <f t="shared" si="17"/>
        <v>0</v>
      </c>
      <c r="CC28" s="53">
        <f t="shared" si="18"/>
        <v>0</v>
      </c>
      <c r="CD28" s="8">
        <f t="shared" si="19"/>
        <v>889.37836263079646</v>
      </c>
      <c r="CE28" s="8">
        <f t="shared" si="20"/>
        <v>2786.0064384401526</v>
      </c>
      <c r="CF28" s="8">
        <f t="shared" si="21"/>
        <v>91526.144809292833</v>
      </c>
    </row>
    <row r="29" spans="1:84">
      <c r="A29" s="7">
        <f>'Monthly Data'!A29</f>
        <v>41730</v>
      </c>
      <c r="B29" s="6">
        <f>'Monthly Data'!B29</f>
        <v>2014</v>
      </c>
      <c r="C29" s="6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5">
        <f>'Monthly Data'!O29</f>
        <v>23896.28</v>
      </c>
      <c r="P29" s="5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5">
        <f>Weather!C149</f>
        <v>5.0100000000000007</v>
      </c>
      <c r="W29" s="46">
        <f>Weather!D149</f>
        <v>509.7</v>
      </c>
      <c r="X29" s="46">
        <f>Weather!E149</f>
        <v>0</v>
      </c>
      <c r="Y29" s="46">
        <f>Weather!F149</f>
        <v>449.7</v>
      </c>
      <c r="Z29" s="46">
        <f>Weather!G149</f>
        <v>0</v>
      </c>
      <c r="AA29" s="46">
        <f>Weather!H149</f>
        <v>389.7</v>
      </c>
      <c r="AB29" s="46">
        <f>Weather!I149</f>
        <v>0</v>
      </c>
      <c r="AC29" s="46">
        <f>Weather!J149</f>
        <v>329.7</v>
      </c>
      <c r="AD29" s="46">
        <f>Weather!K149</f>
        <v>0</v>
      </c>
      <c r="AE29" s="46">
        <f>Weather!L149</f>
        <v>269.7</v>
      </c>
      <c r="AF29" s="46">
        <f>Weather!M149</f>
        <v>0</v>
      </c>
      <c r="AG29" s="46">
        <f>Weather!N149</f>
        <v>210.8</v>
      </c>
      <c r="AH29" s="46">
        <f>Weather!O149</f>
        <v>1.1000000000000001</v>
      </c>
      <c r="AI29" s="46">
        <f>Weather!P149</f>
        <v>155.30000000000001</v>
      </c>
      <c r="AJ29" s="46">
        <f>Weather!Q149</f>
        <v>5.6</v>
      </c>
      <c r="AK29" s="46">
        <f>Weather!R149</f>
        <v>105.1</v>
      </c>
      <c r="AL29" s="46">
        <f>Weather!S149</f>
        <v>15.4</v>
      </c>
      <c r="AM29" s="43">
        <f>Economic!C29</f>
        <v>659861.19999999995</v>
      </c>
      <c r="AN29" s="43">
        <f>Economic!D29</f>
        <v>6797.3</v>
      </c>
      <c r="AO29" s="43">
        <f>Economic!E29</f>
        <v>6715.8</v>
      </c>
      <c r="AP29" s="43">
        <f>Economic!F29</f>
        <v>106.4</v>
      </c>
      <c r="AQ29" s="43">
        <f>Economic!G29</f>
        <v>104.6</v>
      </c>
      <c r="AR29" s="47">
        <f t="shared" si="28"/>
        <v>30</v>
      </c>
      <c r="AS29" s="47">
        <v>20</v>
      </c>
      <c r="AT29" s="47">
        <f t="shared" si="22"/>
        <v>28</v>
      </c>
      <c r="AU29" s="47">
        <f t="shared" si="28"/>
        <v>0</v>
      </c>
      <c r="AV29" s="47">
        <f t="shared" si="28"/>
        <v>0</v>
      </c>
      <c r="AW29" s="47">
        <f t="shared" si="28"/>
        <v>0</v>
      </c>
      <c r="AX29" s="47">
        <f t="shared" si="28"/>
        <v>1</v>
      </c>
      <c r="AY29" s="47">
        <f t="shared" si="28"/>
        <v>0</v>
      </c>
      <c r="AZ29" s="47">
        <f t="shared" si="28"/>
        <v>0</v>
      </c>
      <c r="BA29" s="47">
        <f t="shared" si="28"/>
        <v>0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7">
        <f t="shared" si="28"/>
        <v>0</v>
      </c>
      <c r="BF29" s="47">
        <f t="shared" si="28"/>
        <v>0</v>
      </c>
      <c r="BG29" s="47">
        <f t="shared" si="28"/>
        <v>1</v>
      </c>
      <c r="BH29" s="47">
        <f t="shared" si="28"/>
        <v>0</v>
      </c>
      <c r="BI29" s="47">
        <f t="shared" si="2"/>
        <v>1</v>
      </c>
      <c r="BJ29" s="48">
        <v>0</v>
      </c>
      <c r="BK29" s="48">
        <v>0</v>
      </c>
      <c r="BL29" s="48">
        <f t="shared" si="23"/>
        <v>0</v>
      </c>
      <c r="BM29" s="47">
        <f t="shared" si="25"/>
        <v>0</v>
      </c>
      <c r="BN29" s="53">
        <f t="shared" si="3"/>
        <v>0</v>
      </c>
      <c r="BO29" s="53">
        <f t="shared" si="4"/>
        <v>0</v>
      </c>
      <c r="BP29" s="53">
        <f t="shared" si="5"/>
        <v>0</v>
      </c>
      <c r="BQ29" s="53">
        <f t="shared" si="6"/>
        <v>0</v>
      </c>
      <c r="BR29" s="53">
        <f t="shared" si="7"/>
        <v>0</v>
      </c>
      <c r="BS29" s="53">
        <f t="shared" si="8"/>
        <v>0</v>
      </c>
      <c r="BT29" s="53">
        <f t="shared" si="9"/>
        <v>0</v>
      </c>
      <c r="BU29" s="53">
        <f t="shared" si="10"/>
        <v>0</v>
      </c>
      <c r="BV29" s="53">
        <f t="shared" si="11"/>
        <v>0</v>
      </c>
      <c r="BW29" s="53">
        <f t="shared" si="12"/>
        <v>0</v>
      </c>
      <c r="BX29" s="53">
        <f t="shared" si="13"/>
        <v>0</v>
      </c>
      <c r="BY29" s="53">
        <f t="shared" si="14"/>
        <v>0</v>
      </c>
      <c r="BZ29" s="53">
        <f t="shared" si="15"/>
        <v>0</v>
      </c>
      <c r="CA29" s="53">
        <f t="shared" si="16"/>
        <v>0</v>
      </c>
      <c r="CB29" s="53">
        <f t="shared" si="17"/>
        <v>0</v>
      </c>
      <c r="CC29" s="53">
        <f t="shared" si="18"/>
        <v>0</v>
      </c>
      <c r="CD29" s="8">
        <f t="shared" si="19"/>
        <v>687.02432415175133</v>
      </c>
      <c r="CE29" s="8">
        <f t="shared" si="20"/>
        <v>2336.4981103692694</v>
      </c>
      <c r="CF29" s="8">
        <f t="shared" si="21"/>
        <v>85568.996058711084</v>
      </c>
    </row>
    <row r="30" spans="1:84">
      <c r="A30" s="7">
        <f>'Monthly Data'!A30</f>
        <v>41760</v>
      </c>
      <c r="B30" s="6">
        <f>'Monthly Data'!B30</f>
        <v>2014</v>
      </c>
      <c r="C30" s="6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5">
        <f>'Monthly Data'!O30</f>
        <v>23634.58</v>
      </c>
      <c r="P30" s="5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5">
        <f>Weather!C150</f>
        <v>12.404299059254333</v>
      </c>
      <c r="W30" s="46">
        <f>Weather!D150</f>
        <v>297.5</v>
      </c>
      <c r="X30" s="46">
        <f>Weather!E150</f>
        <v>0</v>
      </c>
      <c r="Y30" s="46">
        <f>Weather!F150</f>
        <v>236.8</v>
      </c>
      <c r="Z30" s="46">
        <f>Weather!G150</f>
        <v>1.3</v>
      </c>
      <c r="AA30" s="46">
        <f>Weather!H150</f>
        <v>180.7</v>
      </c>
      <c r="AB30" s="46">
        <f>Weather!I150</f>
        <v>7.2</v>
      </c>
      <c r="AC30" s="46">
        <f>Weather!J150</f>
        <v>125.5</v>
      </c>
      <c r="AD30" s="46">
        <f>Weather!K150</f>
        <v>14</v>
      </c>
      <c r="AE30" s="46">
        <f>Weather!L150</f>
        <v>78.3</v>
      </c>
      <c r="AF30" s="46">
        <f>Weather!M150</f>
        <v>28.8</v>
      </c>
      <c r="AG30" s="46">
        <f>Weather!N150</f>
        <v>46</v>
      </c>
      <c r="AH30" s="46">
        <f>Weather!O150</f>
        <v>58.5</v>
      </c>
      <c r="AI30" s="46">
        <f>Weather!P150</f>
        <v>25.4</v>
      </c>
      <c r="AJ30" s="46">
        <f>Weather!Q150</f>
        <v>99.9</v>
      </c>
      <c r="AK30" s="46">
        <f>Weather!R150</f>
        <v>9.8000000000000007</v>
      </c>
      <c r="AL30" s="46">
        <f>Weather!S150</f>
        <v>146.30000000000001</v>
      </c>
      <c r="AM30" s="43">
        <f>Economic!C30</f>
        <v>659861.19999999995</v>
      </c>
      <c r="AN30" s="43">
        <f>Economic!D30</f>
        <v>6798</v>
      </c>
      <c r="AO30" s="43">
        <f>Economic!E30</f>
        <v>6770.1</v>
      </c>
      <c r="AP30" s="43">
        <f>Economic!F30</f>
        <v>107.6</v>
      </c>
      <c r="AQ30" s="43">
        <f>Economic!G30</f>
        <v>106.8</v>
      </c>
      <c r="AR30" s="47">
        <f t="shared" si="28"/>
        <v>31</v>
      </c>
      <c r="AS30" s="47">
        <v>22</v>
      </c>
      <c r="AT30" s="47">
        <f t="shared" si="22"/>
        <v>29</v>
      </c>
      <c r="AU30" s="47">
        <f t="shared" si="28"/>
        <v>0</v>
      </c>
      <c r="AV30" s="47">
        <f t="shared" si="28"/>
        <v>0</v>
      </c>
      <c r="AW30" s="47">
        <f t="shared" si="28"/>
        <v>0</v>
      </c>
      <c r="AX30" s="47">
        <f t="shared" si="28"/>
        <v>0</v>
      </c>
      <c r="AY30" s="47">
        <f t="shared" si="28"/>
        <v>1</v>
      </c>
      <c r="AZ30" s="47">
        <f t="shared" si="28"/>
        <v>0</v>
      </c>
      <c r="BA30" s="47">
        <f t="shared" si="28"/>
        <v>0</v>
      </c>
      <c r="BB30" s="47">
        <f t="shared" si="28"/>
        <v>0</v>
      </c>
      <c r="BC30" s="47">
        <f t="shared" si="28"/>
        <v>0</v>
      </c>
      <c r="BD30" s="47">
        <f t="shared" si="28"/>
        <v>0</v>
      </c>
      <c r="BE30" s="47">
        <f t="shared" si="28"/>
        <v>0</v>
      </c>
      <c r="BF30" s="47">
        <f t="shared" si="28"/>
        <v>0</v>
      </c>
      <c r="BG30" s="47">
        <f t="shared" si="28"/>
        <v>1</v>
      </c>
      <c r="BH30" s="47">
        <f t="shared" si="28"/>
        <v>0</v>
      </c>
      <c r="BI30" s="47">
        <f t="shared" si="2"/>
        <v>1</v>
      </c>
      <c r="BJ30" s="48">
        <v>0</v>
      </c>
      <c r="BK30" s="48">
        <v>0</v>
      </c>
      <c r="BL30" s="48">
        <f t="shared" si="23"/>
        <v>0</v>
      </c>
      <c r="BM30" s="47">
        <f t="shared" si="25"/>
        <v>0</v>
      </c>
      <c r="BN30" s="53">
        <f t="shared" si="3"/>
        <v>0</v>
      </c>
      <c r="BO30" s="53">
        <f t="shared" si="4"/>
        <v>0</v>
      </c>
      <c r="BP30" s="53">
        <f t="shared" si="5"/>
        <v>0</v>
      </c>
      <c r="BQ30" s="53">
        <f t="shared" si="6"/>
        <v>0</v>
      </c>
      <c r="BR30" s="53">
        <f t="shared" si="7"/>
        <v>0</v>
      </c>
      <c r="BS30" s="53">
        <f t="shared" si="8"/>
        <v>0</v>
      </c>
      <c r="BT30" s="53">
        <f t="shared" si="9"/>
        <v>0</v>
      </c>
      <c r="BU30" s="53">
        <f t="shared" si="10"/>
        <v>0</v>
      </c>
      <c r="BV30" s="53">
        <f t="shared" si="11"/>
        <v>0</v>
      </c>
      <c r="BW30" s="53">
        <f t="shared" si="12"/>
        <v>0</v>
      </c>
      <c r="BX30" s="53">
        <f t="shared" si="13"/>
        <v>0</v>
      </c>
      <c r="BY30" s="53">
        <f t="shared" si="14"/>
        <v>0</v>
      </c>
      <c r="BZ30" s="53">
        <f t="shared" si="15"/>
        <v>0</v>
      </c>
      <c r="CA30" s="53">
        <f t="shared" si="16"/>
        <v>0</v>
      </c>
      <c r="CB30" s="53">
        <f t="shared" si="17"/>
        <v>0</v>
      </c>
      <c r="CC30" s="53">
        <f t="shared" si="18"/>
        <v>0</v>
      </c>
      <c r="CD30" s="8">
        <f t="shared" si="19"/>
        <v>569.24070629844709</v>
      </c>
      <c r="CE30" s="8">
        <f t="shared" si="20"/>
        <v>2186.7165724052811</v>
      </c>
      <c r="CF30" s="8">
        <f t="shared" si="21"/>
        <v>85743.73542514455</v>
      </c>
    </row>
    <row r="31" spans="1:84">
      <c r="A31" s="7">
        <f>'Monthly Data'!A31</f>
        <v>41791</v>
      </c>
      <c r="B31" s="6">
        <f>'Monthly Data'!B31</f>
        <v>2014</v>
      </c>
      <c r="C31" s="6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5">
        <f>'Monthly Data'!O31</f>
        <v>24168.469999999998</v>
      </c>
      <c r="P31" s="5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5">
        <f>Weather!C151</f>
        <v>17.47666666666667</v>
      </c>
      <c r="W31" s="46">
        <f>Weather!D151</f>
        <v>144.6</v>
      </c>
      <c r="X31" s="46">
        <f>Weather!E151</f>
        <v>8.9</v>
      </c>
      <c r="Y31" s="46">
        <f>Weather!F151</f>
        <v>95.4</v>
      </c>
      <c r="Z31" s="46">
        <f>Weather!G151</f>
        <v>19.7</v>
      </c>
      <c r="AA31" s="46">
        <f>Weather!H151</f>
        <v>57.2</v>
      </c>
      <c r="AB31" s="46">
        <f>Weather!I151</f>
        <v>41.5</v>
      </c>
      <c r="AC31" s="46">
        <f>Weather!J151</f>
        <v>24.3</v>
      </c>
      <c r="AD31" s="46">
        <f>Weather!K151</f>
        <v>68.599999999999994</v>
      </c>
      <c r="AE31" s="46">
        <f>Weather!L151</f>
        <v>8.3000000000000007</v>
      </c>
      <c r="AF31" s="46">
        <f>Weather!M151</f>
        <v>112.6</v>
      </c>
      <c r="AG31" s="46">
        <f>Weather!N151</f>
        <v>1.6</v>
      </c>
      <c r="AH31" s="46">
        <f>Weather!O151</f>
        <v>165.9</v>
      </c>
      <c r="AI31" s="46">
        <f>Weather!P151</f>
        <v>0</v>
      </c>
      <c r="AJ31" s="46">
        <f>Weather!Q151</f>
        <v>224.3</v>
      </c>
      <c r="AK31" s="46">
        <f>Weather!R151</f>
        <v>0</v>
      </c>
      <c r="AL31" s="46">
        <f>Weather!S151</f>
        <v>284.3</v>
      </c>
      <c r="AM31" s="43">
        <f>Economic!C31</f>
        <v>659861.19999999995</v>
      </c>
      <c r="AN31" s="43">
        <f>Economic!D31</f>
        <v>6790.7</v>
      </c>
      <c r="AO31" s="43">
        <f>Economic!E31</f>
        <v>6837.5</v>
      </c>
      <c r="AP31" s="43">
        <f>Economic!F31</f>
        <v>107</v>
      </c>
      <c r="AQ31" s="43">
        <f>Economic!G31</f>
        <v>107.4</v>
      </c>
      <c r="AR31" s="47">
        <f t="shared" si="28"/>
        <v>30</v>
      </c>
      <c r="AS31" s="47">
        <v>21</v>
      </c>
      <c r="AT31" s="47">
        <f t="shared" si="22"/>
        <v>30</v>
      </c>
      <c r="AU31" s="47">
        <f t="shared" si="28"/>
        <v>0</v>
      </c>
      <c r="AV31" s="47">
        <f t="shared" si="28"/>
        <v>0</v>
      </c>
      <c r="AW31" s="47">
        <f t="shared" si="28"/>
        <v>0</v>
      </c>
      <c r="AX31" s="47">
        <f t="shared" si="28"/>
        <v>0</v>
      </c>
      <c r="AY31" s="47">
        <f t="shared" si="28"/>
        <v>0</v>
      </c>
      <c r="AZ31" s="47">
        <f t="shared" si="28"/>
        <v>1</v>
      </c>
      <c r="BA31" s="47">
        <f t="shared" si="28"/>
        <v>0</v>
      </c>
      <c r="BB31" s="47">
        <f t="shared" si="28"/>
        <v>0</v>
      </c>
      <c r="BC31" s="47">
        <f t="shared" si="28"/>
        <v>0</v>
      </c>
      <c r="BD31" s="47">
        <f t="shared" si="28"/>
        <v>0</v>
      </c>
      <c r="BE31" s="47">
        <f t="shared" si="28"/>
        <v>0</v>
      </c>
      <c r="BF31" s="47">
        <f t="shared" si="28"/>
        <v>0</v>
      </c>
      <c r="BG31" s="47">
        <f t="shared" si="28"/>
        <v>0</v>
      </c>
      <c r="BH31" s="47">
        <f t="shared" si="28"/>
        <v>0</v>
      </c>
      <c r="BI31" s="47">
        <f t="shared" si="2"/>
        <v>0</v>
      </c>
      <c r="BJ31" s="48">
        <v>0</v>
      </c>
      <c r="BK31" s="48">
        <v>0</v>
      </c>
      <c r="BL31" s="48">
        <f t="shared" si="23"/>
        <v>0</v>
      </c>
      <c r="BM31" s="47">
        <f t="shared" si="25"/>
        <v>0</v>
      </c>
      <c r="BN31" s="53">
        <f t="shared" si="3"/>
        <v>0</v>
      </c>
      <c r="BO31" s="53">
        <f t="shared" si="4"/>
        <v>0</v>
      </c>
      <c r="BP31" s="53">
        <f t="shared" si="5"/>
        <v>0</v>
      </c>
      <c r="BQ31" s="53">
        <f t="shared" si="6"/>
        <v>0</v>
      </c>
      <c r="BR31" s="53">
        <f t="shared" si="7"/>
        <v>0</v>
      </c>
      <c r="BS31" s="53">
        <f t="shared" si="8"/>
        <v>0</v>
      </c>
      <c r="BT31" s="53">
        <f t="shared" si="9"/>
        <v>0</v>
      </c>
      <c r="BU31" s="53">
        <f t="shared" si="10"/>
        <v>0</v>
      </c>
      <c r="BV31" s="53">
        <f t="shared" si="11"/>
        <v>0</v>
      </c>
      <c r="BW31" s="53">
        <f t="shared" si="12"/>
        <v>0</v>
      </c>
      <c r="BX31" s="53">
        <f t="shared" si="13"/>
        <v>0</v>
      </c>
      <c r="BY31" s="53">
        <f t="shared" si="14"/>
        <v>0</v>
      </c>
      <c r="BZ31" s="53">
        <f t="shared" si="15"/>
        <v>0</v>
      </c>
      <c r="CA31" s="53">
        <f t="shared" si="16"/>
        <v>0</v>
      </c>
      <c r="CB31" s="53">
        <f t="shared" si="17"/>
        <v>0</v>
      </c>
      <c r="CC31" s="53">
        <f t="shared" si="18"/>
        <v>0</v>
      </c>
      <c r="CD31" s="8">
        <f t="shared" si="19"/>
        <v>551.01724471315617</v>
      </c>
      <c r="CE31" s="8">
        <f t="shared" si="20"/>
        <v>2149.1229793040907</v>
      </c>
      <c r="CF31" s="8">
        <f t="shared" si="21"/>
        <v>85882.598970988183</v>
      </c>
    </row>
    <row r="32" spans="1:84">
      <c r="A32" s="7">
        <f>'Monthly Data'!A32</f>
        <v>41821</v>
      </c>
      <c r="B32" s="6">
        <f>'Monthly Data'!B32</f>
        <v>2014</v>
      </c>
      <c r="C32" s="6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5">
        <f>'Monthly Data'!O32</f>
        <v>25096.480000000003</v>
      </c>
      <c r="P32" s="5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5">
        <f>Weather!C152</f>
        <v>18.664516129032254</v>
      </c>
      <c r="W32" s="46">
        <f>Weather!D152</f>
        <v>110</v>
      </c>
      <c r="X32" s="46">
        <f>Weather!E152</f>
        <v>6.6</v>
      </c>
      <c r="Y32" s="46">
        <f>Weather!F152</f>
        <v>63.7</v>
      </c>
      <c r="Z32" s="46">
        <f>Weather!G152</f>
        <v>22.3</v>
      </c>
      <c r="AA32" s="46">
        <f>Weather!H152</f>
        <v>29.7</v>
      </c>
      <c r="AB32" s="46">
        <f>Weather!I152</f>
        <v>50.3</v>
      </c>
      <c r="AC32" s="46">
        <f>Weather!J152</f>
        <v>6.3</v>
      </c>
      <c r="AD32" s="46">
        <f>Weather!K152</f>
        <v>88.9</v>
      </c>
      <c r="AE32" s="46">
        <f>Weather!L152</f>
        <v>0</v>
      </c>
      <c r="AF32" s="46">
        <f>Weather!M152</f>
        <v>144.6</v>
      </c>
      <c r="AG32" s="46">
        <f>Weather!N152</f>
        <v>0</v>
      </c>
      <c r="AH32" s="46">
        <f>Weather!O152</f>
        <v>206.6</v>
      </c>
      <c r="AI32" s="46">
        <f>Weather!P152</f>
        <v>0</v>
      </c>
      <c r="AJ32" s="46">
        <f>Weather!Q152</f>
        <v>268.60000000000002</v>
      </c>
      <c r="AK32" s="46">
        <f>Weather!R152</f>
        <v>0</v>
      </c>
      <c r="AL32" s="46">
        <f>Weather!S152</f>
        <v>330.6</v>
      </c>
      <c r="AM32" s="43">
        <f>Economic!C32</f>
        <v>659861.19999999995</v>
      </c>
      <c r="AN32" s="43">
        <f>Economic!D32</f>
        <v>6792</v>
      </c>
      <c r="AO32" s="43">
        <f>Economic!E32</f>
        <v>6884</v>
      </c>
      <c r="AP32" s="43">
        <f>Economic!F32</f>
        <v>107.7</v>
      </c>
      <c r="AQ32" s="43">
        <f>Economic!G32</f>
        <v>109</v>
      </c>
      <c r="AR32" s="47">
        <f t="shared" si="28"/>
        <v>31</v>
      </c>
      <c r="AS32" s="47">
        <v>21</v>
      </c>
      <c r="AT32" s="47">
        <f t="shared" si="22"/>
        <v>31</v>
      </c>
      <c r="AU32" s="47">
        <f t="shared" si="28"/>
        <v>0</v>
      </c>
      <c r="AV32" s="47">
        <f t="shared" si="28"/>
        <v>0</v>
      </c>
      <c r="AW32" s="47">
        <f t="shared" si="28"/>
        <v>0</v>
      </c>
      <c r="AX32" s="47">
        <f t="shared" si="28"/>
        <v>0</v>
      </c>
      <c r="AY32" s="47">
        <f t="shared" si="28"/>
        <v>0</v>
      </c>
      <c r="AZ32" s="47">
        <f t="shared" si="28"/>
        <v>0</v>
      </c>
      <c r="BA32" s="47">
        <f t="shared" si="28"/>
        <v>1</v>
      </c>
      <c r="BB32" s="47">
        <f t="shared" si="28"/>
        <v>0</v>
      </c>
      <c r="BC32" s="47">
        <f t="shared" si="28"/>
        <v>0</v>
      </c>
      <c r="BD32" s="47">
        <f t="shared" si="28"/>
        <v>0</v>
      </c>
      <c r="BE32" s="47">
        <f t="shared" si="28"/>
        <v>0</v>
      </c>
      <c r="BF32" s="47">
        <f t="shared" si="28"/>
        <v>0</v>
      </c>
      <c r="BG32" s="47">
        <f t="shared" si="28"/>
        <v>0</v>
      </c>
      <c r="BH32" s="47">
        <f t="shared" si="28"/>
        <v>0</v>
      </c>
      <c r="BI32" s="47">
        <f t="shared" si="2"/>
        <v>0</v>
      </c>
      <c r="BJ32" s="48">
        <v>0</v>
      </c>
      <c r="BK32" s="48">
        <v>0</v>
      </c>
      <c r="BL32" s="48">
        <f t="shared" si="23"/>
        <v>0</v>
      </c>
      <c r="BM32" s="47">
        <f t="shared" si="25"/>
        <v>0</v>
      </c>
      <c r="BN32" s="53">
        <f t="shared" si="3"/>
        <v>0</v>
      </c>
      <c r="BO32" s="53">
        <f t="shared" si="4"/>
        <v>0</v>
      </c>
      <c r="BP32" s="53">
        <f t="shared" si="5"/>
        <v>0</v>
      </c>
      <c r="BQ32" s="53">
        <f t="shared" si="6"/>
        <v>0</v>
      </c>
      <c r="BR32" s="53">
        <f t="shared" si="7"/>
        <v>0</v>
      </c>
      <c r="BS32" s="53">
        <f t="shared" si="8"/>
        <v>0</v>
      </c>
      <c r="BT32" s="53">
        <f t="shared" si="9"/>
        <v>0</v>
      </c>
      <c r="BU32" s="53">
        <f t="shared" si="10"/>
        <v>0</v>
      </c>
      <c r="BV32" s="53">
        <f t="shared" si="11"/>
        <v>0</v>
      </c>
      <c r="BW32" s="53">
        <f t="shared" si="12"/>
        <v>0</v>
      </c>
      <c r="BX32" s="53">
        <f t="shared" si="13"/>
        <v>0</v>
      </c>
      <c r="BY32" s="53">
        <f t="shared" si="14"/>
        <v>0</v>
      </c>
      <c r="BZ32" s="53">
        <f t="shared" si="15"/>
        <v>0</v>
      </c>
      <c r="CA32" s="53">
        <f t="shared" si="16"/>
        <v>0</v>
      </c>
      <c r="CB32" s="53">
        <f t="shared" si="17"/>
        <v>0</v>
      </c>
      <c r="CC32" s="53">
        <f t="shared" si="18"/>
        <v>0</v>
      </c>
      <c r="CD32" s="8">
        <f t="shared" si="19"/>
        <v>601.12304037608862</v>
      </c>
      <c r="CE32" s="8">
        <f t="shared" si="20"/>
        <v>2289.2409086393372</v>
      </c>
      <c r="CF32" s="8">
        <f t="shared" si="21"/>
        <v>80953.393374032763</v>
      </c>
    </row>
    <row r="33" spans="1:84">
      <c r="A33" s="7">
        <f>'Monthly Data'!A33</f>
        <v>41852</v>
      </c>
      <c r="B33" s="6">
        <f>'Monthly Data'!B33</f>
        <v>2014</v>
      </c>
      <c r="C33" s="6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5">
        <f>'Monthly Data'!O33</f>
        <v>25166.659999999996</v>
      </c>
      <c r="P33" s="5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5">
        <f>Weather!C153</f>
        <v>18.703225806451613</v>
      </c>
      <c r="W33" s="46">
        <f>Weather!D153</f>
        <v>106.7</v>
      </c>
      <c r="X33" s="46">
        <f>Weather!E153</f>
        <v>4.5</v>
      </c>
      <c r="Y33" s="46">
        <f>Weather!F153</f>
        <v>58.1</v>
      </c>
      <c r="Z33" s="46">
        <f>Weather!G153</f>
        <v>17.899999999999999</v>
      </c>
      <c r="AA33" s="46">
        <f>Weather!H153</f>
        <v>24.1</v>
      </c>
      <c r="AB33" s="46">
        <f>Weather!I153</f>
        <v>45.9</v>
      </c>
      <c r="AC33" s="46">
        <f>Weather!J153</f>
        <v>7.6</v>
      </c>
      <c r="AD33" s="46">
        <f>Weather!K153</f>
        <v>91.4</v>
      </c>
      <c r="AE33" s="46">
        <f>Weather!L153</f>
        <v>1.3</v>
      </c>
      <c r="AF33" s="46">
        <f>Weather!M153</f>
        <v>147.1</v>
      </c>
      <c r="AG33" s="46">
        <f>Weather!N153</f>
        <v>0</v>
      </c>
      <c r="AH33" s="46">
        <f>Weather!O153</f>
        <v>207.8</v>
      </c>
      <c r="AI33" s="46">
        <f>Weather!P153</f>
        <v>0</v>
      </c>
      <c r="AJ33" s="46">
        <f>Weather!Q153</f>
        <v>269.8</v>
      </c>
      <c r="AK33" s="46">
        <f>Weather!R153</f>
        <v>0</v>
      </c>
      <c r="AL33" s="46">
        <f>Weather!S153</f>
        <v>331.8</v>
      </c>
      <c r="AM33" s="43">
        <f>Economic!C33</f>
        <v>659861.19999999995</v>
      </c>
      <c r="AN33" s="43">
        <f>Economic!D33</f>
        <v>6796.3</v>
      </c>
      <c r="AO33" s="43">
        <f>Economic!E33</f>
        <v>6897.1</v>
      </c>
      <c r="AP33" s="43">
        <f>Economic!F33</f>
        <v>108.8</v>
      </c>
      <c r="AQ33" s="43">
        <f>Economic!G33</f>
        <v>109.8</v>
      </c>
      <c r="AR33" s="47">
        <f t="shared" si="28"/>
        <v>31</v>
      </c>
      <c r="AS33" s="47">
        <v>22</v>
      </c>
      <c r="AT33" s="47">
        <f t="shared" si="22"/>
        <v>32</v>
      </c>
      <c r="AU33" s="47">
        <f t="shared" si="28"/>
        <v>0</v>
      </c>
      <c r="AV33" s="47">
        <f t="shared" si="28"/>
        <v>0</v>
      </c>
      <c r="AW33" s="47">
        <f t="shared" si="28"/>
        <v>0</v>
      </c>
      <c r="AX33" s="47">
        <f t="shared" si="28"/>
        <v>0</v>
      </c>
      <c r="AY33" s="47">
        <f t="shared" si="28"/>
        <v>0</v>
      </c>
      <c r="AZ33" s="47">
        <f t="shared" si="28"/>
        <v>0</v>
      </c>
      <c r="BA33" s="47">
        <f t="shared" si="28"/>
        <v>0</v>
      </c>
      <c r="BB33" s="47">
        <f t="shared" si="28"/>
        <v>1</v>
      </c>
      <c r="BC33" s="47">
        <f t="shared" si="28"/>
        <v>0</v>
      </c>
      <c r="BD33" s="47">
        <f t="shared" si="28"/>
        <v>0</v>
      </c>
      <c r="BE33" s="47">
        <f t="shared" si="28"/>
        <v>0</v>
      </c>
      <c r="BF33" s="47">
        <f t="shared" si="28"/>
        <v>0</v>
      </c>
      <c r="BG33" s="47">
        <f t="shared" si="28"/>
        <v>0</v>
      </c>
      <c r="BH33" s="47">
        <f t="shared" si="28"/>
        <v>0</v>
      </c>
      <c r="BI33" s="47">
        <f t="shared" si="2"/>
        <v>0</v>
      </c>
      <c r="BJ33" s="48">
        <v>0</v>
      </c>
      <c r="BK33" s="48">
        <v>0</v>
      </c>
      <c r="BL33" s="48">
        <f t="shared" si="23"/>
        <v>0</v>
      </c>
      <c r="BM33" s="47">
        <f t="shared" si="25"/>
        <v>0</v>
      </c>
      <c r="BN33" s="53">
        <f t="shared" si="3"/>
        <v>0</v>
      </c>
      <c r="BO33" s="53">
        <f t="shared" si="4"/>
        <v>0</v>
      </c>
      <c r="BP33" s="53">
        <f t="shared" si="5"/>
        <v>0</v>
      </c>
      <c r="BQ33" s="53">
        <f t="shared" si="6"/>
        <v>0</v>
      </c>
      <c r="BR33" s="53">
        <f t="shared" si="7"/>
        <v>0</v>
      </c>
      <c r="BS33" s="53">
        <f t="shared" si="8"/>
        <v>0</v>
      </c>
      <c r="BT33" s="53">
        <f t="shared" si="9"/>
        <v>0</v>
      </c>
      <c r="BU33" s="53">
        <f t="shared" si="10"/>
        <v>0</v>
      </c>
      <c r="BV33" s="53">
        <f t="shared" si="11"/>
        <v>0</v>
      </c>
      <c r="BW33" s="53">
        <f t="shared" si="12"/>
        <v>0</v>
      </c>
      <c r="BX33" s="53">
        <f t="shared" si="13"/>
        <v>0</v>
      </c>
      <c r="BY33" s="53">
        <f t="shared" si="14"/>
        <v>0</v>
      </c>
      <c r="BZ33" s="53">
        <f t="shared" si="15"/>
        <v>0</v>
      </c>
      <c r="CA33" s="53">
        <f t="shared" si="16"/>
        <v>0</v>
      </c>
      <c r="CB33" s="53">
        <f t="shared" si="17"/>
        <v>0</v>
      </c>
      <c r="CC33" s="53">
        <f t="shared" si="18"/>
        <v>0</v>
      </c>
      <c r="CD33" s="8">
        <f t="shared" si="19"/>
        <v>591.36919918911485</v>
      </c>
      <c r="CE33" s="8">
        <f t="shared" si="20"/>
        <v>2260.9084400724996</v>
      </c>
      <c r="CF33" s="8">
        <f t="shared" si="21"/>
        <v>81281.581245848312</v>
      </c>
    </row>
    <row r="34" spans="1:84">
      <c r="A34" s="7">
        <f>'Monthly Data'!A34</f>
        <v>41883</v>
      </c>
      <c r="B34" s="6">
        <f>'Monthly Data'!B34</f>
        <v>2014</v>
      </c>
      <c r="C34" s="6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5">
        <f>'Monthly Data'!O34</f>
        <v>24344.299999999996</v>
      </c>
      <c r="P34" s="5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5">
        <f>Weather!C154</f>
        <v>15.836666666666668</v>
      </c>
      <c r="W34" s="46">
        <f>Weather!D154</f>
        <v>188.5</v>
      </c>
      <c r="X34" s="46">
        <f>Weather!E154</f>
        <v>3.6</v>
      </c>
      <c r="Y34" s="46">
        <f>Weather!F154</f>
        <v>134.9</v>
      </c>
      <c r="Z34" s="46">
        <f>Weather!G154</f>
        <v>10</v>
      </c>
      <c r="AA34" s="46">
        <f>Weather!H154</f>
        <v>86.3</v>
      </c>
      <c r="AB34" s="46">
        <f>Weather!I154</f>
        <v>21.4</v>
      </c>
      <c r="AC34" s="46">
        <f>Weather!J154</f>
        <v>46</v>
      </c>
      <c r="AD34" s="46">
        <f>Weather!K154</f>
        <v>41.1</v>
      </c>
      <c r="AE34" s="46">
        <f>Weather!L154</f>
        <v>25</v>
      </c>
      <c r="AF34" s="46">
        <f>Weather!M154</f>
        <v>80.099999999999994</v>
      </c>
      <c r="AG34" s="46">
        <f>Weather!N154</f>
        <v>10.9</v>
      </c>
      <c r="AH34" s="46">
        <f>Weather!O154</f>
        <v>126</v>
      </c>
      <c r="AI34" s="46">
        <f>Weather!P154</f>
        <v>2.9</v>
      </c>
      <c r="AJ34" s="46">
        <f>Weather!Q154</f>
        <v>178</v>
      </c>
      <c r="AK34" s="46">
        <f>Weather!R154</f>
        <v>0</v>
      </c>
      <c r="AL34" s="46">
        <f>Weather!S154</f>
        <v>235.1</v>
      </c>
      <c r="AM34" s="43">
        <f>Economic!C34</f>
        <v>659861.19999999995</v>
      </c>
      <c r="AN34" s="43">
        <f>Economic!D34</f>
        <v>6817.7</v>
      </c>
      <c r="AO34" s="43">
        <f>Economic!E34</f>
        <v>6875.4</v>
      </c>
      <c r="AP34" s="43">
        <f>Economic!F34</f>
        <v>112</v>
      </c>
      <c r="AQ34" s="43">
        <f>Economic!G34</f>
        <v>112.3</v>
      </c>
      <c r="AR34" s="47">
        <f t="shared" si="28"/>
        <v>30</v>
      </c>
      <c r="AS34" s="47">
        <v>19</v>
      </c>
      <c r="AT34" s="47">
        <f t="shared" si="22"/>
        <v>33</v>
      </c>
      <c r="AU34" s="47">
        <f t="shared" si="28"/>
        <v>0</v>
      </c>
      <c r="AV34" s="47">
        <f t="shared" si="28"/>
        <v>0</v>
      </c>
      <c r="AW34" s="47">
        <f t="shared" si="28"/>
        <v>0</v>
      </c>
      <c r="AX34" s="47">
        <f t="shared" si="28"/>
        <v>0</v>
      </c>
      <c r="AY34" s="47">
        <f t="shared" si="28"/>
        <v>0</v>
      </c>
      <c r="AZ34" s="47">
        <f t="shared" si="28"/>
        <v>0</v>
      </c>
      <c r="BA34" s="47">
        <f t="shared" si="28"/>
        <v>0</v>
      </c>
      <c r="BB34" s="47">
        <f t="shared" si="28"/>
        <v>0</v>
      </c>
      <c r="BC34" s="47">
        <f t="shared" si="28"/>
        <v>1</v>
      </c>
      <c r="BD34" s="47">
        <f t="shared" si="28"/>
        <v>0</v>
      </c>
      <c r="BE34" s="47">
        <f t="shared" si="28"/>
        <v>0</v>
      </c>
      <c r="BF34" s="47">
        <f t="shared" si="28"/>
        <v>0</v>
      </c>
      <c r="BG34" s="47">
        <f t="shared" si="28"/>
        <v>0</v>
      </c>
      <c r="BH34" s="47">
        <f t="shared" si="28"/>
        <v>1</v>
      </c>
      <c r="BI34" s="47">
        <f t="shared" si="2"/>
        <v>1</v>
      </c>
      <c r="BJ34" s="48">
        <v>0</v>
      </c>
      <c r="BK34" s="48">
        <v>0</v>
      </c>
      <c r="BL34" s="48">
        <f t="shared" si="23"/>
        <v>0</v>
      </c>
      <c r="BM34" s="47">
        <f t="shared" si="25"/>
        <v>0</v>
      </c>
      <c r="BN34" s="53">
        <f t="shared" ref="BN34:BN65" si="29">$BJ34*W34</f>
        <v>0</v>
      </c>
      <c r="BO34" s="53">
        <f t="shared" ref="BO34:BO65" si="30">$BJ34*X34</f>
        <v>0</v>
      </c>
      <c r="BP34" s="53">
        <f t="shared" ref="BP34:BP65" si="31">$BJ34*Y34</f>
        <v>0</v>
      </c>
      <c r="BQ34" s="53">
        <f t="shared" ref="BQ34:BQ65" si="32">$BJ34*Z34</f>
        <v>0</v>
      </c>
      <c r="BR34" s="53">
        <f t="shared" ref="BR34:BR65" si="33">$BJ34*AA34</f>
        <v>0</v>
      </c>
      <c r="BS34" s="53">
        <f t="shared" ref="BS34:BS65" si="34">$BJ34*AB34</f>
        <v>0</v>
      </c>
      <c r="BT34" s="53">
        <f t="shared" ref="BT34:BT65" si="35">$BJ34*AC34</f>
        <v>0</v>
      </c>
      <c r="BU34" s="53">
        <f t="shared" ref="BU34:BU65" si="36">$BJ34*AD34</f>
        <v>0</v>
      </c>
      <c r="BV34" s="53">
        <f t="shared" ref="BV34:BV65" si="37">$BJ34*AE34</f>
        <v>0</v>
      </c>
      <c r="BW34" s="53">
        <f t="shared" ref="BW34:BW65" si="38">$BJ34*AF34</f>
        <v>0</v>
      </c>
      <c r="BX34" s="53">
        <f t="shared" ref="BX34:BX65" si="39">$BJ34*AG34</f>
        <v>0</v>
      </c>
      <c r="BY34" s="53">
        <f t="shared" ref="BY34:BY65" si="40">$BJ34*AH34</f>
        <v>0</v>
      </c>
      <c r="BZ34" s="53">
        <f t="shared" ref="BZ34:BZ65" si="41">$BJ34*AI34</f>
        <v>0</v>
      </c>
      <c r="CA34" s="53">
        <f t="shared" ref="CA34:CA65" si="42">$BJ34*AJ34</f>
        <v>0</v>
      </c>
      <c r="CB34" s="53">
        <f t="shared" ref="CB34:CB65" si="43">$BJ34*AK34</f>
        <v>0</v>
      </c>
      <c r="CC34" s="53">
        <f t="shared" ref="CC34:CC65" si="44">$BJ34*AL34</f>
        <v>0</v>
      </c>
      <c r="CD34" s="8">
        <f t="shared" ref="CD34:CD65" si="45">F34/Q34</f>
        <v>549.37474677259013</v>
      </c>
      <c r="CE34" s="8">
        <f t="shared" ref="CE34:CE65" si="46">I34/R34</f>
        <v>2118.7262820253791</v>
      </c>
      <c r="CF34" s="8">
        <f t="shared" ref="CF34:CF65" si="47">L34/S34</f>
        <v>81927.405686810875</v>
      </c>
    </row>
    <row r="35" spans="1:84">
      <c r="A35" s="7">
        <f>'Monthly Data'!A35</f>
        <v>41913</v>
      </c>
      <c r="B35" s="6">
        <f>'Monthly Data'!B35</f>
        <v>2014</v>
      </c>
      <c r="C35" s="6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5">
        <f>'Monthly Data'!O35</f>
        <v>26046.34</v>
      </c>
      <c r="P35" s="5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5">
        <f>Weather!C155</f>
        <v>10.335483870967741</v>
      </c>
      <c r="W35" s="46">
        <f>Weather!D155</f>
        <v>361.6</v>
      </c>
      <c r="X35" s="46">
        <f>Weather!E155</f>
        <v>0</v>
      </c>
      <c r="Y35" s="46">
        <f>Weather!F155</f>
        <v>299.60000000000002</v>
      </c>
      <c r="Z35" s="46">
        <f>Weather!G155</f>
        <v>0</v>
      </c>
      <c r="AA35" s="46">
        <f>Weather!H155</f>
        <v>238.8</v>
      </c>
      <c r="AB35" s="46">
        <f>Weather!I155</f>
        <v>1.2</v>
      </c>
      <c r="AC35" s="46">
        <f>Weather!J155</f>
        <v>181.9</v>
      </c>
      <c r="AD35" s="46">
        <f>Weather!K155</f>
        <v>6.3</v>
      </c>
      <c r="AE35" s="46">
        <f>Weather!L155</f>
        <v>128.9</v>
      </c>
      <c r="AF35" s="46">
        <f>Weather!M155</f>
        <v>15.3</v>
      </c>
      <c r="AG35" s="46">
        <f>Weather!N155</f>
        <v>85.3</v>
      </c>
      <c r="AH35" s="46">
        <f>Weather!O155</f>
        <v>33.700000000000003</v>
      </c>
      <c r="AI35" s="46">
        <f>Weather!P155</f>
        <v>47.3</v>
      </c>
      <c r="AJ35" s="46">
        <f>Weather!Q155</f>
        <v>57.7</v>
      </c>
      <c r="AK35" s="46">
        <f>Weather!R155</f>
        <v>15.4</v>
      </c>
      <c r="AL35" s="46">
        <f>Weather!S155</f>
        <v>87.8</v>
      </c>
      <c r="AM35" s="43">
        <f>Economic!C35</f>
        <v>659861.19999999995</v>
      </c>
      <c r="AN35" s="43">
        <f>Economic!D35</f>
        <v>6834</v>
      </c>
      <c r="AO35" s="43">
        <f>Economic!E35</f>
        <v>6869.1</v>
      </c>
      <c r="AP35" s="43">
        <f>Economic!F35</f>
        <v>114</v>
      </c>
      <c r="AQ35" s="43">
        <f>Economic!G35</f>
        <v>114.1</v>
      </c>
      <c r="AR35" s="47">
        <f t="shared" si="28"/>
        <v>31</v>
      </c>
      <c r="AS35" s="47">
        <v>22</v>
      </c>
      <c r="AT35" s="47">
        <f t="shared" si="22"/>
        <v>34</v>
      </c>
      <c r="AU35" s="47">
        <f t="shared" si="28"/>
        <v>0</v>
      </c>
      <c r="AV35" s="47">
        <f t="shared" si="28"/>
        <v>0</v>
      </c>
      <c r="AW35" s="47">
        <f t="shared" si="28"/>
        <v>0</v>
      </c>
      <c r="AX35" s="47">
        <f t="shared" si="28"/>
        <v>0</v>
      </c>
      <c r="AY35" s="47">
        <f t="shared" si="28"/>
        <v>0</v>
      </c>
      <c r="AZ35" s="47">
        <f t="shared" si="28"/>
        <v>0</v>
      </c>
      <c r="BA35" s="47">
        <f t="shared" si="28"/>
        <v>0</v>
      </c>
      <c r="BB35" s="47">
        <f t="shared" si="28"/>
        <v>0</v>
      </c>
      <c r="BC35" s="47">
        <f t="shared" si="28"/>
        <v>0</v>
      </c>
      <c r="BD35" s="47">
        <f t="shared" si="28"/>
        <v>1</v>
      </c>
      <c r="BE35" s="47">
        <f t="shared" si="28"/>
        <v>0</v>
      </c>
      <c r="BF35" s="47">
        <f t="shared" si="28"/>
        <v>0</v>
      </c>
      <c r="BG35" s="47">
        <f t="shared" si="28"/>
        <v>0</v>
      </c>
      <c r="BH35" s="47">
        <f t="shared" si="28"/>
        <v>1</v>
      </c>
      <c r="BI35" s="47">
        <f t="shared" si="2"/>
        <v>1</v>
      </c>
      <c r="BJ35" s="48">
        <v>0</v>
      </c>
      <c r="BK35" s="48">
        <v>0</v>
      </c>
      <c r="BL35" s="48">
        <f t="shared" si="23"/>
        <v>0</v>
      </c>
      <c r="BM35" s="47">
        <f t="shared" si="25"/>
        <v>0</v>
      </c>
      <c r="BN35" s="53">
        <f t="shared" si="29"/>
        <v>0</v>
      </c>
      <c r="BO35" s="53">
        <f t="shared" si="30"/>
        <v>0</v>
      </c>
      <c r="BP35" s="53">
        <f t="shared" si="31"/>
        <v>0</v>
      </c>
      <c r="BQ35" s="53">
        <f t="shared" si="32"/>
        <v>0</v>
      </c>
      <c r="BR35" s="53">
        <f t="shared" si="33"/>
        <v>0</v>
      </c>
      <c r="BS35" s="53">
        <f t="shared" si="34"/>
        <v>0</v>
      </c>
      <c r="BT35" s="53">
        <f t="shared" si="35"/>
        <v>0</v>
      </c>
      <c r="BU35" s="53">
        <f t="shared" si="36"/>
        <v>0</v>
      </c>
      <c r="BV35" s="53">
        <f t="shared" si="37"/>
        <v>0</v>
      </c>
      <c r="BW35" s="53">
        <f t="shared" si="38"/>
        <v>0</v>
      </c>
      <c r="BX35" s="53">
        <f t="shared" si="39"/>
        <v>0</v>
      </c>
      <c r="BY35" s="53">
        <f t="shared" si="40"/>
        <v>0</v>
      </c>
      <c r="BZ35" s="53">
        <f t="shared" si="41"/>
        <v>0</v>
      </c>
      <c r="CA35" s="53">
        <f t="shared" si="42"/>
        <v>0</v>
      </c>
      <c r="CB35" s="53">
        <f t="shared" si="43"/>
        <v>0</v>
      </c>
      <c r="CC35" s="53">
        <f t="shared" si="44"/>
        <v>0</v>
      </c>
      <c r="CD35" s="8">
        <f t="shared" si="45"/>
        <v>594.99675086398986</v>
      </c>
      <c r="CE35" s="8">
        <f t="shared" si="46"/>
        <v>2176.6027449487751</v>
      </c>
      <c r="CF35" s="8">
        <f t="shared" si="47"/>
        <v>81090.524922444616</v>
      </c>
    </row>
    <row r="36" spans="1:84">
      <c r="A36" s="7">
        <f>'Monthly Data'!A36</f>
        <v>41944</v>
      </c>
      <c r="B36" s="6">
        <f>'Monthly Data'!B36</f>
        <v>2014</v>
      </c>
      <c r="C36" s="6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5">
        <f>'Monthly Data'!O36</f>
        <v>24983.859999999997</v>
      </c>
      <c r="P36" s="5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5">
        <f>Weather!C156</f>
        <v>2.057221180614738</v>
      </c>
      <c r="W36" s="46">
        <f>Weather!D156</f>
        <v>598.29999999999995</v>
      </c>
      <c r="X36" s="46">
        <f>Weather!E156</f>
        <v>0</v>
      </c>
      <c r="Y36" s="46">
        <f>Weather!F156</f>
        <v>538.29999999999995</v>
      </c>
      <c r="Z36" s="46">
        <f>Weather!G156</f>
        <v>0</v>
      </c>
      <c r="AA36" s="46">
        <f>Weather!H156</f>
        <v>478.3</v>
      </c>
      <c r="AB36" s="46">
        <f>Weather!I156</f>
        <v>0</v>
      </c>
      <c r="AC36" s="46">
        <f>Weather!J156</f>
        <v>418.3</v>
      </c>
      <c r="AD36" s="46">
        <f>Weather!K156</f>
        <v>0</v>
      </c>
      <c r="AE36" s="46">
        <f>Weather!L156</f>
        <v>358.3</v>
      </c>
      <c r="AF36" s="46">
        <f>Weather!M156</f>
        <v>0</v>
      </c>
      <c r="AG36" s="46">
        <f>Weather!N156</f>
        <v>298.3</v>
      </c>
      <c r="AH36" s="46">
        <f>Weather!O156</f>
        <v>0</v>
      </c>
      <c r="AI36" s="46">
        <f>Weather!P156</f>
        <v>240.6</v>
      </c>
      <c r="AJ36" s="46">
        <f>Weather!Q156</f>
        <v>2.2999999999999998</v>
      </c>
      <c r="AK36" s="46">
        <f>Weather!R156</f>
        <v>187.8</v>
      </c>
      <c r="AL36" s="46">
        <f>Weather!S156</f>
        <v>9.5</v>
      </c>
      <c r="AM36" s="43">
        <f>Economic!C36</f>
        <v>659861.19999999995</v>
      </c>
      <c r="AN36" s="43">
        <f>Economic!D36</f>
        <v>6842</v>
      </c>
      <c r="AO36" s="43">
        <f>Economic!E36</f>
        <v>6850</v>
      </c>
      <c r="AP36" s="43">
        <f>Economic!F36</f>
        <v>114.4</v>
      </c>
      <c r="AQ36" s="43">
        <f>Economic!G36</f>
        <v>114.3</v>
      </c>
      <c r="AR36" s="47">
        <f t="shared" si="28"/>
        <v>30</v>
      </c>
      <c r="AS36" s="47">
        <v>22</v>
      </c>
      <c r="AT36" s="47">
        <f t="shared" si="22"/>
        <v>35</v>
      </c>
      <c r="AU36" s="47">
        <f t="shared" si="28"/>
        <v>0</v>
      </c>
      <c r="AV36" s="47">
        <f t="shared" si="28"/>
        <v>0</v>
      </c>
      <c r="AW36" s="47">
        <f t="shared" si="28"/>
        <v>0</v>
      </c>
      <c r="AX36" s="47">
        <f t="shared" si="28"/>
        <v>0</v>
      </c>
      <c r="AY36" s="47">
        <f t="shared" si="28"/>
        <v>0</v>
      </c>
      <c r="AZ36" s="47">
        <f t="shared" si="28"/>
        <v>0</v>
      </c>
      <c r="BA36" s="47">
        <f t="shared" si="28"/>
        <v>0</v>
      </c>
      <c r="BB36" s="47">
        <f t="shared" si="28"/>
        <v>0</v>
      </c>
      <c r="BC36" s="47">
        <f t="shared" si="28"/>
        <v>0</v>
      </c>
      <c r="BD36" s="47">
        <f t="shared" si="28"/>
        <v>0</v>
      </c>
      <c r="BE36" s="47">
        <f t="shared" si="28"/>
        <v>1</v>
      </c>
      <c r="BF36" s="47">
        <f t="shared" si="28"/>
        <v>0</v>
      </c>
      <c r="BG36" s="47">
        <f t="shared" si="28"/>
        <v>0</v>
      </c>
      <c r="BH36" s="47">
        <f t="shared" si="28"/>
        <v>1</v>
      </c>
      <c r="BI36" s="47">
        <f t="shared" si="2"/>
        <v>1</v>
      </c>
      <c r="BJ36" s="48">
        <v>0</v>
      </c>
      <c r="BK36" s="48">
        <v>0</v>
      </c>
      <c r="BL36" s="48">
        <f t="shared" si="23"/>
        <v>0</v>
      </c>
      <c r="BM36" s="47">
        <f t="shared" si="25"/>
        <v>0</v>
      </c>
      <c r="BN36" s="53">
        <f t="shared" si="29"/>
        <v>0</v>
      </c>
      <c r="BO36" s="53">
        <f t="shared" si="30"/>
        <v>0</v>
      </c>
      <c r="BP36" s="53">
        <f t="shared" si="31"/>
        <v>0</v>
      </c>
      <c r="BQ36" s="53">
        <f t="shared" si="32"/>
        <v>0</v>
      </c>
      <c r="BR36" s="53">
        <f t="shared" si="33"/>
        <v>0</v>
      </c>
      <c r="BS36" s="53">
        <f t="shared" si="34"/>
        <v>0</v>
      </c>
      <c r="BT36" s="53">
        <f t="shared" si="35"/>
        <v>0</v>
      </c>
      <c r="BU36" s="53">
        <f t="shared" si="36"/>
        <v>0</v>
      </c>
      <c r="BV36" s="53">
        <f t="shared" si="37"/>
        <v>0</v>
      </c>
      <c r="BW36" s="53">
        <f t="shared" si="38"/>
        <v>0</v>
      </c>
      <c r="BX36" s="53">
        <f t="shared" si="39"/>
        <v>0</v>
      </c>
      <c r="BY36" s="53">
        <f t="shared" si="40"/>
        <v>0</v>
      </c>
      <c r="BZ36" s="53">
        <f t="shared" si="41"/>
        <v>0</v>
      </c>
      <c r="CA36" s="53">
        <f t="shared" si="42"/>
        <v>0</v>
      </c>
      <c r="CB36" s="53">
        <f t="shared" si="43"/>
        <v>0</v>
      </c>
      <c r="CC36" s="53">
        <f t="shared" si="44"/>
        <v>0</v>
      </c>
      <c r="CD36" s="8">
        <f t="shared" si="45"/>
        <v>712.31602528147414</v>
      </c>
      <c r="CE36" s="8">
        <f t="shared" si="46"/>
        <v>2356.3883744513209</v>
      </c>
      <c r="CF36" s="8">
        <f t="shared" si="47"/>
        <v>82375.823386374192</v>
      </c>
    </row>
    <row r="37" spans="1:84">
      <c r="A37" s="7">
        <f>'Monthly Data'!A37</f>
        <v>41974</v>
      </c>
      <c r="B37" s="6">
        <f>'Monthly Data'!B37</f>
        <v>2014</v>
      </c>
      <c r="C37" s="6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5">
        <f>'Monthly Data'!O37</f>
        <v>24835.77</v>
      </c>
      <c r="P37" s="5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5">
        <f>Weather!C157</f>
        <v>-0.7118299730037333</v>
      </c>
      <c r="W37" s="46">
        <f>Weather!D157</f>
        <v>704.1</v>
      </c>
      <c r="X37" s="46">
        <f>Weather!E157</f>
        <v>0</v>
      </c>
      <c r="Y37" s="46">
        <f>Weather!F157</f>
        <v>642.1</v>
      </c>
      <c r="Z37" s="46">
        <f>Weather!G157</f>
        <v>0</v>
      </c>
      <c r="AA37" s="46">
        <f>Weather!H157</f>
        <v>580.1</v>
      </c>
      <c r="AB37" s="46">
        <f>Weather!I157</f>
        <v>0</v>
      </c>
      <c r="AC37" s="46">
        <f>Weather!J157</f>
        <v>518.1</v>
      </c>
      <c r="AD37" s="46">
        <f>Weather!K157</f>
        <v>0</v>
      </c>
      <c r="AE37" s="46">
        <f>Weather!L157</f>
        <v>456.1</v>
      </c>
      <c r="AF37" s="46">
        <f>Weather!M157</f>
        <v>0</v>
      </c>
      <c r="AG37" s="46">
        <f>Weather!N157</f>
        <v>394.1</v>
      </c>
      <c r="AH37" s="46">
        <f>Weather!O157</f>
        <v>0</v>
      </c>
      <c r="AI37" s="46">
        <f>Weather!P157</f>
        <v>332.1</v>
      </c>
      <c r="AJ37" s="46">
        <f>Weather!Q157</f>
        <v>0</v>
      </c>
      <c r="AK37" s="46">
        <f>Weather!R157</f>
        <v>270.10000000000002</v>
      </c>
      <c r="AL37" s="46">
        <f>Weather!S157</f>
        <v>0</v>
      </c>
      <c r="AM37" s="43">
        <f>Economic!C37</f>
        <v>659861.19999999995</v>
      </c>
      <c r="AN37" s="43">
        <f>Economic!D37</f>
        <v>6833.4</v>
      </c>
      <c r="AO37" s="43">
        <f>Economic!E37</f>
        <v>6837.3</v>
      </c>
      <c r="AP37" s="43">
        <f>Economic!F37</f>
        <v>113.5</v>
      </c>
      <c r="AQ37" s="43">
        <f>Economic!G37</f>
        <v>113.2</v>
      </c>
      <c r="AR37" s="47">
        <f t="shared" si="28"/>
        <v>31</v>
      </c>
      <c r="AS37" s="47">
        <v>19</v>
      </c>
      <c r="AT37" s="47">
        <f t="shared" si="22"/>
        <v>36</v>
      </c>
      <c r="AU37" s="47">
        <f t="shared" si="28"/>
        <v>0</v>
      </c>
      <c r="AV37" s="47">
        <f t="shared" si="28"/>
        <v>0</v>
      </c>
      <c r="AW37" s="47">
        <f t="shared" si="28"/>
        <v>0</v>
      </c>
      <c r="AX37" s="47">
        <f t="shared" si="28"/>
        <v>0</v>
      </c>
      <c r="AY37" s="47">
        <f t="shared" si="28"/>
        <v>0</v>
      </c>
      <c r="AZ37" s="47">
        <f t="shared" si="28"/>
        <v>0</v>
      </c>
      <c r="BA37" s="47">
        <f t="shared" si="28"/>
        <v>0</v>
      </c>
      <c r="BB37" s="47">
        <f t="shared" si="28"/>
        <v>0</v>
      </c>
      <c r="BC37" s="47">
        <f t="shared" si="28"/>
        <v>0</v>
      </c>
      <c r="BD37" s="47">
        <f t="shared" si="28"/>
        <v>0</v>
      </c>
      <c r="BE37" s="47">
        <f t="shared" si="28"/>
        <v>0</v>
      </c>
      <c r="BF37" s="47">
        <f t="shared" si="28"/>
        <v>1</v>
      </c>
      <c r="BG37" s="47">
        <f t="shared" si="28"/>
        <v>0</v>
      </c>
      <c r="BH37" s="47">
        <f t="shared" si="28"/>
        <v>0</v>
      </c>
      <c r="BI37" s="47">
        <f t="shared" si="2"/>
        <v>0</v>
      </c>
      <c r="BJ37" s="48">
        <v>0</v>
      </c>
      <c r="BK37" s="48">
        <v>0</v>
      </c>
      <c r="BL37" s="48">
        <f t="shared" si="23"/>
        <v>0</v>
      </c>
      <c r="BM37" s="47">
        <f t="shared" si="25"/>
        <v>0</v>
      </c>
      <c r="BN37" s="53">
        <f t="shared" si="29"/>
        <v>0</v>
      </c>
      <c r="BO37" s="53">
        <f t="shared" si="30"/>
        <v>0</v>
      </c>
      <c r="BP37" s="53">
        <f t="shared" si="31"/>
        <v>0</v>
      </c>
      <c r="BQ37" s="53">
        <f t="shared" si="32"/>
        <v>0</v>
      </c>
      <c r="BR37" s="53">
        <f t="shared" si="33"/>
        <v>0</v>
      </c>
      <c r="BS37" s="53">
        <f t="shared" si="34"/>
        <v>0</v>
      </c>
      <c r="BT37" s="53">
        <f t="shared" si="35"/>
        <v>0</v>
      </c>
      <c r="BU37" s="53">
        <f t="shared" si="36"/>
        <v>0</v>
      </c>
      <c r="BV37" s="53">
        <f t="shared" si="37"/>
        <v>0</v>
      </c>
      <c r="BW37" s="53">
        <f t="shared" si="38"/>
        <v>0</v>
      </c>
      <c r="BX37" s="53">
        <f t="shared" si="39"/>
        <v>0</v>
      </c>
      <c r="BY37" s="53">
        <f t="shared" si="40"/>
        <v>0</v>
      </c>
      <c r="BZ37" s="53">
        <f t="shared" si="41"/>
        <v>0</v>
      </c>
      <c r="CA37" s="53">
        <f t="shared" si="42"/>
        <v>0</v>
      </c>
      <c r="CB37" s="53">
        <f t="shared" si="43"/>
        <v>0</v>
      </c>
      <c r="CC37" s="53">
        <f t="shared" si="44"/>
        <v>0</v>
      </c>
      <c r="CD37" s="8">
        <f t="shared" si="45"/>
        <v>875.70187069080544</v>
      </c>
      <c r="CE37" s="8">
        <f t="shared" si="46"/>
        <v>2649.412200297782</v>
      </c>
      <c r="CF37" s="8">
        <f t="shared" si="47"/>
        <v>88390.368924478782</v>
      </c>
    </row>
    <row r="38" spans="1:84">
      <c r="A38" s="7">
        <f>'Monthly Data'!A38</f>
        <v>42005</v>
      </c>
      <c r="B38" s="6">
        <f>'Monthly Data'!B38</f>
        <v>2015</v>
      </c>
      <c r="C38" s="6">
        <f t="shared" si="1"/>
        <v>1</v>
      </c>
      <c r="D38" s="8">
        <f>'Monthly Data'!D38</f>
        <v>14310997.558754904</v>
      </c>
      <c r="E38" s="1">
        <f>'Monthly Data'!E38</f>
        <v>102708.24640500457</v>
      </c>
      <c r="F38" s="8">
        <f>'Monthly Data'!F38</f>
        <v>14413705.80515991</v>
      </c>
      <c r="G38" s="8">
        <f>'Monthly Data'!G38</f>
        <v>4747575.1332602715</v>
      </c>
      <c r="H38" s="1">
        <f>'Monthly Data'!H38</f>
        <v>238440.14663125828</v>
      </c>
      <c r="I38" s="8">
        <f>'Monthly Data'!I38</f>
        <v>4986015.2798915301</v>
      </c>
      <c r="J38" s="8">
        <f>'Monthly Data'!J38</f>
        <v>11168744.574688978</v>
      </c>
      <c r="K38" s="1">
        <f>'Monthly Data'!K38</f>
        <v>201348.06188264678</v>
      </c>
      <c r="L38" s="8">
        <f>'Monthly Data'!L38</f>
        <v>11370092.636571625</v>
      </c>
      <c r="M38" s="8">
        <f>'Monthly Data'!M38</f>
        <v>232228.24493238155</v>
      </c>
      <c r="N38" s="8">
        <f>'Monthly Data'!N38</f>
        <v>34098.465052687738</v>
      </c>
      <c r="O38" s="5">
        <f>'Monthly Data'!O38</f>
        <v>25753.439999999999</v>
      </c>
      <c r="P38" s="5">
        <f>'Monthly Data'!P38</f>
        <v>511.54999999999995</v>
      </c>
      <c r="Q38" s="8">
        <f>'Monthly Data'!Q38</f>
        <v>14609</v>
      </c>
      <c r="R38" s="8">
        <f>'Monthly Data'!R38</f>
        <v>1702</v>
      </c>
      <c r="S38" s="8">
        <f>'Monthly Data'!S38</f>
        <v>123</v>
      </c>
      <c r="T38" s="8">
        <f>'Monthly Data'!T38</f>
        <v>3018</v>
      </c>
      <c r="U38" s="8">
        <f>'Monthly Data'!U38</f>
        <v>32</v>
      </c>
      <c r="V38" s="45">
        <f>Weather!C158</f>
        <v>-8.6026891800502554</v>
      </c>
      <c r="W38" s="46">
        <f>Weather!D158</f>
        <v>948.7</v>
      </c>
      <c r="X38" s="46">
        <f>Weather!E158</f>
        <v>0</v>
      </c>
      <c r="Y38" s="46">
        <f>Weather!F158</f>
        <v>886.7</v>
      </c>
      <c r="Z38" s="46">
        <f>Weather!G158</f>
        <v>0</v>
      </c>
      <c r="AA38" s="46">
        <f>Weather!H158</f>
        <v>824.7</v>
      </c>
      <c r="AB38" s="46">
        <f>Weather!I158</f>
        <v>0</v>
      </c>
      <c r="AC38" s="46">
        <f>Weather!J158</f>
        <v>762.7</v>
      </c>
      <c r="AD38" s="46">
        <f>Weather!K158</f>
        <v>0</v>
      </c>
      <c r="AE38" s="46">
        <f>Weather!L158</f>
        <v>700.7</v>
      </c>
      <c r="AF38" s="46">
        <f>Weather!M158</f>
        <v>0</v>
      </c>
      <c r="AG38" s="46">
        <f>Weather!N158</f>
        <v>638.70000000000005</v>
      </c>
      <c r="AH38" s="46">
        <f>Weather!O158</f>
        <v>0</v>
      </c>
      <c r="AI38" s="46">
        <f>Weather!P158</f>
        <v>576.70000000000005</v>
      </c>
      <c r="AJ38" s="46">
        <f>Weather!Q158</f>
        <v>0</v>
      </c>
      <c r="AK38" s="46">
        <f>Weather!R158</f>
        <v>514.70000000000005</v>
      </c>
      <c r="AL38" s="46">
        <f>Weather!S158</f>
        <v>0</v>
      </c>
      <c r="AM38" s="43">
        <f>Economic!C38</f>
        <v>677384</v>
      </c>
      <c r="AN38" s="43">
        <f>Economic!D38</f>
        <v>6815.7</v>
      </c>
      <c r="AO38" s="43">
        <f>Economic!E38</f>
        <v>6777.3</v>
      </c>
      <c r="AP38" s="43">
        <f>Economic!F38</f>
        <v>112.3</v>
      </c>
      <c r="AQ38" s="43">
        <f>Economic!G38</f>
        <v>112.3</v>
      </c>
      <c r="AR38" s="47">
        <f t="shared" si="28"/>
        <v>31</v>
      </c>
      <c r="AS38" s="47">
        <v>22</v>
      </c>
      <c r="AT38" s="47">
        <f t="shared" si="22"/>
        <v>37</v>
      </c>
      <c r="AU38" s="47">
        <f t="shared" si="28"/>
        <v>1</v>
      </c>
      <c r="AV38" s="47">
        <f t="shared" si="28"/>
        <v>0</v>
      </c>
      <c r="AW38" s="47">
        <f t="shared" si="28"/>
        <v>0</v>
      </c>
      <c r="AX38" s="47">
        <f t="shared" si="28"/>
        <v>0</v>
      </c>
      <c r="AY38" s="47">
        <f t="shared" si="28"/>
        <v>0</v>
      </c>
      <c r="AZ38" s="47">
        <f t="shared" si="28"/>
        <v>0</v>
      </c>
      <c r="BA38" s="47">
        <f t="shared" si="28"/>
        <v>0</v>
      </c>
      <c r="BB38" s="47">
        <f t="shared" si="28"/>
        <v>0</v>
      </c>
      <c r="BC38" s="47">
        <f t="shared" si="28"/>
        <v>0</v>
      </c>
      <c r="BD38" s="47">
        <f t="shared" si="28"/>
        <v>0</v>
      </c>
      <c r="BE38" s="47">
        <f t="shared" si="28"/>
        <v>0</v>
      </c>
      <c r="BF38" s="47">
        <f t="shared" si="28"/>
        <v>0</v>
      </c>
      <c r="BG38" s="47">
        <f t="shared" si="28"/>
        <v>0</v>
      </c>
      <c r="BH38" s="47">
        <f t="shared" si="28"/>
        <v>0</v>
      </c>
      <c r="BI38" s="47">
        <f t="shared" si="2"/>
        <v>0</v>
      </c>
      <c r="BJ38" s="48">
        <v>0</v>
      </c>
      <c r="BK38" s="48">
        <v>0</v>
      </c>
      <c r="BL38" s="48">
        <f t="shared" si="23"/>
        <v>0</v>
      </c>
      <c r="BM38" s="47">
        <f t="shared" si="25"/>
        <v>0</v>
      </c>
      <c r="BN38" s="53">
        <f t="shared" si="29"/>
        <v>0</v>
      </c>
      <c r="BO38" s="53">
        <f t="shared" si="30"/>
        <v>0</v>
      </c>
      <c r="BP38" s="53">
        <f t="shared" si="31"/>
        <v>0</v>
      </c>
      <c r="BQ38" s="53">
        <f t="shared" si="32"/>
        <v>0</v>
      </c>
      <c r="BR38" s="53">
        <f t="shared" si="33"/>
        <v>0</v>
      </c>
      <c r="BS38" s="53">
        <f t="shared" si="34"/>
        <v>0</v>
      </c>
      <c r="BT38" s="53">
        <f t="shared" si="35"/>
        <v>0</v>
      </c>
      <c r="BU38" s="53">
        <f t="shared" si="36"/>
        <v>0</v>
      </c>
      <c r="BV38" s="53">
        <f t="shared" si="37"/>
        <v>0</v>
      </c>
      <c r="BW38" s="53">
        <f t="shared" si="38"/>
        <v>0</v>
      </c>
      <c r="BX38" s="53">
        <f t="shared" si="39"/>
        <v>0</v>
      </c>
      <c r="BY38" s="53">
        <f t="shared" si="40"/>
        <v>0</v>
      </c>
      <c r="BZ38" s="53">
        <f t="shared" si="41"/>
        <v>0</v>
      </c>
      <c r="CA38" s="53">
        <f t="shared" si="42"/>
        <v>0</v>
      </c>
      <c r="CB38" s="53">
        <f t="shared" si="43"/>
        <v>0</v>
      </c>
      <c r="CC38" s="53">
        <f t="shared" si="44"/>
        <v>0</v>
      </c>
      <c r="CD38" s="8">
        <f t="shared" si="45"/>
        <v>986.63192587856179</v>
      </c>
      <c r="CE38" s="8">
        <f t="shared" si="46"/>
        <v>2929.5036897130026</v>
      </c>
      <c r="CF38" s="8">
        <f t="shared" si="47"/>
        <v>92439.77753310265</v>
      </c>
    </row>
    <row r="39" spans="1:84">
      <c r="A39" s="7">
        <f>'Monthly Data'!A39</f>
        <v>42036</v>
      </c>
      <c r="B39" s="6">
        <f>'Monthly Data'!B39</f>
        <v>2015</v>
      </c>
      <c r="C39" s="6">
        <f t="shared" si="1"/>
        <v>2</v>
      </c>
      <c r="D39" s="8">
        <f>'Monthly Data'!D39</f>
        <v>13534834.082463285</v>
      </c>
      <c r="E39" s="1">
        <f>'Monthly Data'!E39</f>
        <v>102708.24640500457</v>
      </c>
      <c r="F39" s="8">
        <f>'Monthly Data'!F39</f>
        <v>13637542.32886829</v>
      </c>
      <c r="G39" s="8">
        <f>'Monthly Data'!G39</f>
        <v>4458878.8390508816</v>
      </c>
      <c r="H39" s="1">
        <f>'Monthly Data'!H39</f>
        <v>238440.14663125828</v>
      </c>
      <c r="I39" s="8">
        <f>'Monthly Data'!I39</f>
        <v>4697318.9856821401</v>
      </c>
      <c r="J39" s="8">
        <f>'Monthly Data'!J39</f>
        <v>10648933.92287242</v>
      </c>
      <c r="K39" s="1">
        <f>'Monthly Data'!K39</f>
        <v>201348.06188264678</v>
      </c>
      <c r="L39" s="8">
        <f>'Monthly Data'!L39</f>
        <v>10850281.984755067</v>
      </c>
      <c r="M39" s="8">
        <f>'Monthly Data'!M39</f>
        <v>193203.10753333595</v>
      </c>
      <c r="N39" s="8">
        <f>'Monthly Data'!N39</f>
        <v>32794.764563890072</v>
      </c>
      <c r="O39" s="5">
        <f>'Monthly Data'!O39</f>
        <v>26516.780000000006</v>
      </c>
      <c r="P39" s="5">
        <f>'Monthly Data'!P39</f>
        <v>59.01</v>
      </c>
      <c r="Q39" s="8">
        <f>'Monthly Data'!Q39</f>
        <v>14571</v>
      </c>
      <c r="R39" s="8">
        <f>'Monthly Data'!R39</f>
        <v>1706</v>
      </c>
      <c r="S39" s="8">
        <f>'Monthly Data'!S39</f>
        <v>123</v>
      </c>
      <c r="T39" s="8">
        <f>'Monthly Data'!T39</f>
        <v>3018</v>
      </c>
      <c r="U39" s="8">
        <f>'Monthly Data'!U39</f>
        <v>31</v>
      </c>
      <c r="V39" s="45">
        <f>Weather!C159</f>
        <v>-12.739285714285716</v>
      </c>
      <c r="W39" s="46">
        <f>Weather!D159</f>
        <v>972.7</v>
      </c>
      <c r="X39" s="46">
        <f>Weather!E159</f>
        <v>0</v>
      </c>
      <c r="Y39" s="46">
        <f>Weather!F159</f>
        <v>916.7</v>
      </c>
      <c r="Z39" s="46">
        <f>Weather!G159</f>
        <v>0</v>
      </c>
      <c r="AA39" s="46">
        <f>Weather!H159</f>
        <v>860.7</v>
      </c>
      <c r="AB39" s="46">
        <f>Weather!I159</f>
        <v>0</v>
      </c>
      <c r="AC39" s="46">
        <f>Weather!J159</f>
        <v>804.7</v>
      </c>
      <c r="AD39" s="46">
        <f>Weather!K159</f>
        <v>0</v>
      </c>
      <c r="AE39" s="46">
        <f>Weather!L159</f>
        <v>748.7</v>
      </c>
      <c r="AF39" s="46">
        <f>Weather!M159</f>
        <v>0</v>
      </c>
      <c r="AG39" s="46">
        <f>Weather!N159</f>
        <v>692.7</v>
      </c>
      <c r="AH39" s="46">
        <f>Weather!O159</f>
        <v>0</v>
      </c>
      <c r="AI39" s="46">
        <f>Weather!P159</f>
        <v>636.70000000000005</v>
      </c>
      <c r="AJ39" s="46">
        <f>Weather!Q159</f>
        <v>0</v>
      </c>
      <c r="AK39" s="46">
        <f>Weather!R159</f>
        <v>580.70000000000005</v>
      </c>
      <c r="AL39" s="46">
        <f>Weather!S159</f>
        <v>0</v>
      </c>
      <c r="AM39" s="43">
        <f>Economic!C39</f>
        <v>677384</v>
      </c>
      <c r="AN39" s="43">
        <f>Economic!D39</f>
        <v>6814.3</v>
      </c>
      <c r="AO39" s="43">
        <f>Economic!E39</f>
        <v>6740.1</v>
      </c>
      <c r="AP39" s="43">
        <f>Economic!F39</f>
        <v>110</v>
      </c>
      <c r="AQ39" s="43">
        <f>Economic!G39</f>
        <v>109.1</v>
      </c>
      <c r="AR39" s="47">
        <f t="shared" si="28"/>
        <v>28</v>
      </c>
      <c r="AS39" s="47">
        <v>19</v>
      </c>
      <c r="AT39" s="47">
        <f t="shared" si="22"/>
        <v>38</v>
      </c>
      <c r="AU39" s="47">
        <f t="shared" si="28"/>
        <v>0</v>
      </c>
      <c r="AV39" s="47">
        <f t="shared" si="28"/>
        <v>1</v>
      </c>
      <c r="AW39" s="47">
        <f t="shared" si="28"/>
        <v>0</v>
      </c>
      <c r="AX39" s="47">
        <f t="shared" si="28"/>
        <v>0</v>
      </c>
      <c r="AY39" s="47">
        <f t="shared" si="28"/>
        <v>0</v>
      </c>
      <c r="AZ39" s="47">
        <f t="shared" si="28"/>
        <v>0</v>
      </c>
      <c r="BA39" s="47">
        <f t="shared" si="28"/>
        <v>0</v>
      </c>
      <c r="BB39" s="47">
        <f t="shared" si="28"/>
        <v>0</v>
      </c>
      <c r="BC39" s="47">
        <f t="shared" si="28"/>
        <v>0</v>
      </c>
      <c r="BD39" s="47">
        <f t="shared" si="28"/>
        <v>0</v>
      </c>
      <c r="BE39" s="47">
        <f t="shared" si="28"/>
        <v>0</v>
      </c>
      <c r="BF39" s="47">
        <f t="shared" si="28"/>
        <v>0</v>
      </c>
      <c r="BG39" s="47">
        <f t="shared" si="28"/>
        <v>0</v>
      </c>
      <c r="BH39" s="47">
        <f t="shared" si="28"/>
        <v>0</v>
      </c>
      <c r="BI39" s="47">
        <f t="shared" si="2"/>
        <v>0</v>
      </c>
      <c r="BJ39" s="48">
        <v>0</v>
      </c>
      <c r="BK39" s="48">
        <v>0</v>
      </c>
      <c r="BL39" s="48">
        <f t="shared" si="23"/>
        <v>0</v>
      </c>
      <c r="BM39" s="47">
        <f t="shared" si="25"/>
        <v>0</v>
      </c>
      <c r="BN39" s="53">
        <f t="shared" si="29"/>
        <v>0</v>
      </c>
      <c r="BO39" s="53">
        <f t="shared" si="30"/>
        <v>0</v>
      </c>
      <c r="BP39" s="53">
        <f t="shared" si="31"/>
        <v>0</v>
      </c>
      <c r="BQ39" s="53">
        <f t="shared" si="32"/>
        <v>0</v>
      </c>
      <c r="BR39" s="53">
        <f t="shared" si="33"/>
        <v>0</v>
      </c>
      <c r="BS39" s="53">
        <f t="shared" si="34"/>
        <v>0</v>
      </c>
      <c r="BT39" s="53">
        <f t="shared" si="35"/>
        <v>0</v>
      </c>
      <c r="BU39" s="53">
        <f t="shared" si="36"/>
        <v>0</v>
      </c>
      <c r="BV39" s="53">
        <f t="shared" si="37"/>
        <v>0</v>
      </c>
      <c r="BW39" s="53">
        <f t="shared" si="38"/>
        <v>0</v>
      </c>
      <c r="BX39" s="53">
        <f t="shared" si="39"/>
        <v>0</v>
      </c>
      <c r="BY39" s="53">
        <f t="shared" si="40"/>
        <v>0</v>
      </c>
      <c r="BZ39" s="53">
        <f t="shared" si="41"/>
        <v>0</v>
      </c>
      <c r="CA39" s="53">
        <f t="shared" si="42"/>
        <v>0</v>
      </c>
      <c r="CB39" s="53">
        <f t="shared" si="43"/>
        <v>0</v>
      </c>
      <c r="CC39" s="53">
        <f t="shared" si="44"/>
        <v>0</v>
      </c>
      <c r="CD39" s="8">
        <f t="shared" si="45"/>
        <v>935.93729523493857</v>
      </c>
      <c r="CE39" s="8">
        <f t="shared" si="46"/>
        <v>2753.4108943037163</v>
      </c>
      <c r="CF39" s="8">
        <f t="shared" si="47"/>
        <v>88213.674672805428</v>
      </c>
    </row>
    <row r="40" spans="1:84">
      <c r="A40" s="7">
        <f>'Monthly Data'!A40</f>
        <v>42064</v>
      </c>
      <c r="B40" s="6">
        <f>'Monthly Data'!B40</f>
        <v>2015</v>
      </c>
      <c r="C40" s="6">
        <f t="shared" si="1"/>
        <v>3</v>
      </c>
      <c r="D40" s="8">
        <f>'Monthly Data'!D40</f>
        <v>12423634.157129707</v>
      </c>
      <c r="E40" s="1">
        <f>'Monthly Data'!E40</f>
        <v>102708.24640500457</v>
      </c>
      <c r="F40" s="8">
        <f>'Monthly Data'!F40</f>
        <v>12526342.403534712</v>
      </c>
      <c r="G40" s="8">
        <f>'Monthly Data'!G40</f>
        <v>4415788.6061008582</v>
      </c>
      <c r="H40" s="1">
        <f>'Monthly Data'!H40</f>
        <v>238440.14663125828</v>
      </c>
      <c r="I40" s="8">
        <f>'Monthly Data'!I40</f>
        <v>4654228.7527321167</v>
      </c>
      <c r="J40" s="8">
        <f>'Monthly Data'!J40</f>
        <v>11290607.310703058</v>
      </c>
      <c r="K40" s="1">
        <f>'Monthly Data'!K40</f>
        <v>201348.06188264678</v>
      </c>
      <c r="L40" s="8">
        <f>'Monthly Data'!L40</f>
        <v>11491955.372585705</v>
      </c>
      <c r="M40" s="8">
        <f>'Monthly Data'!M40</f>
        <v>190499.82069171756</v>
      </c>
      <c r="N40" s="8">
        <f>'Monthly Data'!N40</f>
        <v>32040.147667669222</v>
      </c>
      <c r="O40" s="5">
        <f>'Monthly Data'!O40</f>
        <v>26647.700000000004</v>
      </c>
      <c r="P40" s="5">
        <f>'Monthly Data'!P40</f>
        <v>511.54999999999995</v>
      </c>
      <c r="Q40" s="8">
        <f>'Monthly Data'!Q40</f>
        <v>14535</v>
      </c>
      <c r="R40" s="8">
        <f>'Monthly Data'!R40</f>
        <v>1706</v>
      </c>
      <c r="S40" s="8">
        <f>'Monthly Data'!S40</f>
        <v>121</v>
      </c>
      <c r="T40" s="8">
        <f>'Monthly Data'!T40</f>
        <v>3018</v>
      </c>
      <c r="U40" s="8">
        <f>'Monthly Data'!U40</f>
        <v>31</v>
      </c>
      <c r="V40" s="45">
        <f>Weather!C160</f>
        <v>-2.8612903225806448</v>
      </c>
      <c r="W40" s="46">
        <f>Weather!D160</f>
        <v>770.7</v>
      </c>
      <c r="X40" s="46">
        <f>Weather!E160</f>
        <v>0</v>
      </c>
      <c r="Y40" s="46">
        <f>Weather!F160</f>
        <v>708.7</v>
      </c>
      <c r="Z40" s="46">
        <f>Weather!G160</f>
        <v>0</v>
      </c>
      <c r="AA40" s="46">
        <f>Weather!H160</f>
        <v>646.70000000000005</v>
      </c>
      <c r="AB40" s="46">
        <f>Weather!I160</f>
        <v>0</v>
      </c>
      <c r="AC40" s="46">
        <f>Weather!J160</f>
        <v>584.70000000000005</v>
      </c>
      <c r="AD40" s="46">
        <f>Weather!K160</f>
        <v>0</v>
      </c>
      <c r="AE40" s="46">
        <f>Weather!L160</f>
        <v>522.70000000000005</v>
      </c>
      <c r="AF40" s="46">
        <f>Weather!M160</f>
        <v>0</v>
      </c>
      <c r="AG40" s="46">
        <f>Weather!N160</f>
        <v>460.7</v>
      </c>
      <c r="AH40" s="46">
        <f>Weather!O160</f>
        <v>0</v>
      </c>
      <c r="AI40" s="46">
        <f>Weather!P160</f>
        <v>398.7</v>
      </c>
      <c r="AJ40" s="46">
        <f>Weather!Q160</f>
        <v>0</v>
      </c>
      <c r="AK40" s="46">
        <f>Weather!R160</f>
        <v>336.7</v>
      </c>
      <c r="AL40" s="46">
        <f>Weather!S160</f>
        <v>0</v>
      </c>
      <c r="AM40" s="43">
        <f>Economic!C40</f>
        <v>677384</v>
      </c>
      <c r="AN40" s="43">
        <f>Economic!D40</f>
        <v>6821.3</v>
      </c>
      <c r="AO40" s="43">
        <f>Economic!E40</f>
        <v>6712.3</v>
      </c>
      <c r="AP40" s="43">
        <f>Economic!F40</f>
        <v>107.8</v>
      </c>
      <c r="AQ40" s="43">
        <f>Economic!G40</f>
        <v>106.7</v>
      </c>
      <c r="AR40" s="47">
        <f t="shared" si="28"/>
        <v>31</v>
      </c>
      <c r="AS40" s="47">
        <v>20</v>
      </c>
      <c r="AT40" s="47">
        <f t="shared" si="22"/>
        <v>39</v>
      </c>
      <c r="AU40" s="47">
        <f t="shared" si="28"/>
        <v>0</v>
      </c>
      <c r="AV40" s="47">
        <f t="shared" si="28"/>
        <v>0</v>
      </c>
      <c r="AW40" s="47">
        <f t="shared" si="28"/>
        <v>1</v>
      </c>
      <c r="AX40" s="47">
        <f t="shared" si="28"/>
        <v>0</v>
      </c>
      <c r="AY40" s="47">
        <f t="shared" si="28"/>
        <v>0</v>
      </c>
      <c r="AZ40" s="47">
        <f t="shared" si="28"/>
        <v>0</v>
      </c>
      <c r="BA40" s="47">
        <f t="shared" si="28"/>
        <v>0</v>
      </c>
      <c r="BB40" s="47">
        <f t="shared" si="28"/>
        <v>0</v>
      </c>
      <c r="BC40" s="47">
        <f t="shared" si="28"/>
        <v>0</v>
      </c>
      <c r="BD40" s="47">
        <f t="shared" si="28"/>
        <v>0</v>
      </c>
      <c r="BE40" s="47">
        <f t="shared" si="28"/>
        <v>0</v>
      </c>
      <c r="BF40" s="47">
        <f t="shared" si="28"/>
        <v>0</v>
      </c>
      <c r="BG40" s="47">
        <f t="shared" si="28"/>
        <v>1</v>
      </c>
      <c r="BH40" s="47">
        <f t="shared" si="28"/>
        <v>0</v>
      </c>
      <c r="BI40" s="47">
        <f t="shared" si="2"/>
        <v>1</v>
      </c>
      <c r="BJ40" s="48">
        <v>0</v>
      </c>
      <c r="BK40" s="48">
        <v>0</v>
      </c>
      <c r="BL40" s="48">
        <f t="shared" si="23"/>
        <v>0</v>
      </c>
      <c r="BM40" s="47">
        <f t="shared" si="25"/>
        <v>0</v>
      </c>
      <c r="BN40" s="53">
        <f t="shared" si="29"/>
        <v>0</v>
      </c>
      <c r="BO40" s="53">
        <f t="shared" si="30"/>
        <v>0</v>
      </c>
      <c r="BP40" s="53">
        <f t="shared" si="31"/>
        <v>0</v>
      </c>
      <c r="BQ40" s="53">
        <f t="shared" si="32"/>
        <v>0</v>
      </c>
      <c r="BR40" s="53">
        <f t="shared" si="33"/>
        <v>0</v>
      </c>
      <c r="BS40" s="53">
        <f t="shared" si="34"/>
        <v>0</v>
      </c>
      <c r="BT40" s="53">
        <f t="shared" si="35"/>
        <v>0</v>
      </c>
      <c r="BU40" s="53">
        <f t="shared" si="36"/>
        <v>0</v>
      </c>
      <c r="BV40" s="53">
        <f t="shared" si="37"/>
        <v>0</v>
      </c>
      <c r="BW40" s="53">
        <f t="shared" si="38"/>
        <v>0</v>
      </c>
      <c r="BX40" s="53">
        <f t="shared" si="39"/>
        <v>0</v>
      </c>
      <c r="BY40" s="53">
        <f t="shared" si="40"/>
        <v>0</v>
      </c>
      <c r="BZ40" s="53">
        <f t="shared" si="41"/>
        <v>0</v>
      </c>
      <c r="CA40" s="53">
        <f t="shared" si="42"/>
        <v>0</v>
      </c>
      <c r="CB40" s="53">
        <f t="shared" si="43"/>
        <v>0</v>
      </c>
      <c r="CC40" s="53">
        <f t="shared" si="44"/>
        <v>0</v>
      </c>
      <c r="CD40" s="8">
        <f t="shared" si="45"/>
        <v>861.80546291948485</v>
      </c>
      <c r="CE40" s="8">
        <f t="shared" si="46"/>
        <v>2728.1528445088611</v>
      </c>
      <c r="CF40" s="8">
        <f t="shared" si="47"/>
        <v>94974.837789964498</v>
      </c>
    </row>
    <row r="41" spans="1:84">
      <c r="A41" s="7">
        <f>'Monthly Data'!A41</f>
        <v>42095</v>
      </c>
      <c r="B41" s="6">
        <f>'Monthly Data'!B41</f>
        <v>2015</v>
      </c>
      <c r="C41" s="6">
        <f t="shared" si="1"/>
        <v>4</v>
      </c>
      <c r="D41" s="8">
        <f>'Monthly Data'!D41</f>
        <v>9170383.7196450848</v>
      </c>
      <c r="E41" s="1">
        <f>'Monthly Data'!E41</f>
        <v>102708.24640500457</v>
      </c>
      <c r="F41" s="8">
        <f>'Monthly Data'!F41</f>
        <v>9273091.9660500903</v>
      </c>
      <c r="G41" s="8">
        <f>'Monthly Data'!G41</f>
        <v>3591413.2612323491</v>
      </c>
      <c r="H41" s="1">
        <f>'Monthly Data'!H41</f>
        <v>238440.14663125828</v>
      </c>
      <c r="I41" s="8">
        <f>'Monthly Data'!I41</f>
        <v>3829853.4078636072</v>
      </c>
      <c r="J41" s="8">
        <f>'Monthly Data'!J41</f>
        <v>10090976.863627547</v>
      </c>
      <c r="K41" s="1">
        <f>'Monthly Data'!K41</f>
        <v>201348.06188264678</v>
      </c>
      <c r="L41" s="8">
        <f>'Monthly Data'!L41</f>
        <v>10292324.925510194</v>
      </c>
      <c r="M41" s="8">
        <f>'Monthly Data'!M41</f>
        <v>160609.75782857946</v>
      </c>
      <c r="N41" s="8">
        <f>'Monthly Data'!N41</f>
        <v>33433.373563045287</v>
      </c>
      <c r="O41" s="5">
        <f>'Monthly Data'!O41</f>
        <v>25822.030000000002</v>
      </c>
      <c r="P41" s="5">
        <f>'Monthly Data'!P41</f>
        <v>511.54999999999995</v>
      </c>
      <c r="Q41" s="8">
        <f>'Monthly Data'!Q41</f>
        <v>14475</v>
      </c>
      <c r="R41" s="8">
        <f>'Monthly Data'!R41</f>
        <v>1702</v>
      </c>
      <c r="S41" s="8">
        <f>'Monthly Data'!S41</f>
        <v>123</v>
      </c>
      <c r="T41" s="8">
        <f>'Monthly Data'!T41</f>
        <v>3018</v>
      </c>
      <c r="U41" s="8">
        <f>'Monthly Data'!U41</f>
        <v>32</v>
      </c>
      <c r="V41" s="45">
        <f>Weather!C161</f>
        <v>5.7733333333333325</v>
      </c>
      <c r="W41" s="46">
        <f>Weather!D161</f>
        <v>486.8</v>
      </c>
      <c r="X41" s="46">
        <f>Weather!E161</f>
        <v>0</v>
      </c>
      <c r="Y41" s="46">
        <f>Weather!F161</f>
        <v>426.8</v>
      </c>
      <c r="Z41" s="46">
        <f>Weather!G161</f>
        <v>0</v>
      </c>
      <c r="AA41" s="46">
        <f>Weather!H161</f>
        <v>366.8</v>
      </c>
      <c r="AB41" s="46">
        <f>Weather!I161</f>
        <v>0</v>
      </c>
      <c r="AC41" s="46">
        <f>Weather!J161</f>
        <v>306.8</v>
      </c>
      <c r="AD41" s="46">
        <f>Weather!K161</f>
        <v>0</v>
      </c>
      <c r="AE41" s="46">
        <f>Weather!L161</f>
        <v>246.8</v>
      </c>
      <c r="AF41" s="46">
        <f>Weather!M161</f>
        <v>0</v>
      </c>
      <c r="AG41" s="46">
        <f>Weather!N161</f>
        <v>189</v>
      </c>
      <c r="AH41" s="46">
        <f>Weather!O161</f>
        <v>2.2000000000000002</v>
      </c>
      <c r="AI41" s="46">
        <f>Weather!P161</f>
        <v>134.6</v>
      </c>
      <c r="AJ41" s="46">
        <f>Weather!Q161</f>
        <v>7.8</v>
      </c>
      <c r="AK41" s="46">
        <f>Weather!R161</f>
        <v>86</v>
      </c>
      <c r="AL41" s="46">
        <f>Weather!S161</f>
        <v>19.2</v>
      </c>
      <c r="AM41" s="43">
        <f>Economic!C41</f>
        <v>677384</v>
      </c>
      <c r="AN41" s="43">
        <f>Economic!D41</f>
        <v>6825</v>
      </c>
      <c r="AO41" s="43">
        <f>Economic!E41</f>
        <v>6733.1</v>
      </c>
      <c r="AP41" s="43">
        <f>Economic!F41</f>
        <v>106</v>
      </c>
      <c r="AQ41" s="43">
        <f>Economic!G41</f>
        <v>104.2</v>
      </c>
      <c r="AR41" s="47">
        <f t="shared" si="28"/>
        <v>30</v>
      </c>
      <c r="AS41" s="47">
        <v>22</v>
      </c>
      <c r="AT41" s="47">
        <f t="shared" si="22"/>
        <v>40</v>
      </c>
      <c r="AU41" s="47">
        <f t="shared" si="28"/>
        <v>0</v>
      </c>
      <c r="AV41" s="47">
        <f t="shared" si="28"/>
        <v>0</v>
      </c>
      <c r="AW41" s="47">
        <f t="shared" si="28"/>
        <v>0</v>
      </c>
      <c r="AX41" s="47">
        <f t="shared" si="28"/>
        <v>1</v>
      </c>
      <c r="AY41" s="47">
        <f t="shared" si="28"/>
        <v>0</v>
      </c>
      <c r="AZ41" s="47">
        <f t="shared" si="28"/>
        <v>0</v>
      </c>
      <c r="BA41" s="47">
        <f t="shared" si="28"/>
        <v>0</v>
      </c>
      <c r="BB41" s="47">
        <f t="shared" si="28"/>
        <v>0</v>
      </c>
      <c r="BC41" s="47">
        <f t="shared" si="28"/>
        <v>0</v>
      </c>
      <c r="BD41" s="47">
        <f t="shared" si="28"/>
        <v>0</v>
      </c>
      <c r="BE41" s="47">
        <f t="shared" si="28"/>
        <v>0</v>
      </c>
      <c r="BF41" s="47">
        <f t="shared" si="28"/>
        <v>0</v>
      </c>
      <c r="BG41" s="47">
        <f t="shared" si="28"/>
        <v>1</v>
      </c>
      <c r="BH41" s="47">
        <f t="shared" si="28"/>
        <v>0</v>
      </c>
      <c r="BI41" s="47">
        <f t="shared" si="2"/>
        <v>1</v>
      </c>
      <c r="BJ41" s="48">
        <v>0</v>
      </c>
      <c r="BK41" s="48">
        <v>0</v>
      </c>
      <c r="BL41" s="48">
        <f t="shared" si="23"/>
        <v>0</v>
      </c>
      <c r="BM41" s="47">
        <f t="shared" si="25"/>
        <v>0</v>
      </c>
      <c r="BN41" s="53">
        <f t="shared" si="29"/>
        <v>0</v>
      </c>
      <c r="BO41" s="53">
        <f t="shared" si="30"/>
        <v>0</v>
      </c>
      <c r="BP41" s="53">
        <f t="shared" si="31"/>
        <v>0</v>
      </c>
      <c r="BQ41" s="53">
        <f t="shared" si="32"/>
        <v>0</v>
      </c>
      <c r="BR41" s="53">
        <f t="shared" si="33"/>
        <v>0</v>
      </c>
      <c r="BS41" s="53">
        <f t="shared" si="34"/>
        <v>0</v>
      </c>
      <c r="BT41" s="53">
        <f t="shared" si="35"/>
        <v>0</v>
      </c>
      <c r="BU41" s="53">
        <f t="shared" si="36"/>
        <v>0</v>
      </c>
      <c r="BV41" s="53">
        <f t="shared" si="37"/>
        <v>0</v>
      </c>
      <c r="BW41" s="53">
        <f t="shared" si="38"/>
        <v>0</v>
      </c>
      <c r="BX41" s="53">
        <f t="shared" si="39"/>
        <v>0</v>
      </c>
      <c r="BY41" s="53">
        <f t="shared" si="40"/>
        <v>0</v>
      </c>
      <c r="BZ41" s="53">
        <f t="shared" si="41"/>
        <v>0</v>
      </c>
      <c r="CA41" s="53">
        <f t="shared" si="42"/>
        <v>0</v>
      </c>
      <c r="CB41" s="53">
        <f t="shared" si="43"/>
        <v>0</v>
      </c>
      <c r="CC41" s="53">
        <f t="shared" si="44"/>
        <v>0</v>
      </c>
      <c r="CD41" s="8">
        <f t="shared" si="45"/>
        <v>640.62811509845187</v>
      </c>
      <c r="CE41" s="8">
        <f t="shared" si="46"/>
        <v>2250.2076426930712</v>
      </c>
      <c r="CF41" s="8">
        <f t="shared" si="47"/>
        <v>83677.438418782069</v>
      </c>
    </row>
    <row r="42" spans="1:84">
      <c r="A42" s="7">
        <f>'Monthly Data'!A42</f>
        <v>42125</v>
      </c>
      <c r="B42" s="6">
        <f>'Monthly Data'!B42</f>
        <v>2015</v>
      </c>
      <c r="C42" s="6">
        <f t="shared" si="1"/>
        <v>5</v>
      </c>
      <c r="D42" s="8">
        <f>'Monthly Data'!D42</f>
        <v>7979071.440675417</v>
      </c>
      <c r="E42" s="1">
        <f>'Monthly Data'!E42</f>
        <v>102708.24640500457</v>
      </c>
      <c r="F42" s="8">
        <f>'Monthly Data'!F42</f>
        <v>8081779.6870804215</v>
      </c>
      <c r="G42" s="8">
        <f>'Monthly Data'!G42</f>
        <v>3494942.4666425884</v>
      </c>
      <c r="H42" s="1">
        <f>'Monthly Data'!H42</f>
        <v>238440.14663125828</v>
      </c>
      <c r="I42" s="8">
        <f>'Monthly Data'!I42</f>
        <v>3733382.6132738465</v>
      </c>
      <c r="J42" s="8">
        <f>'Monthly Data'!J42</f>
        <v>10181971.20838315</v>
      </c>
      <c r="K42" s="1">
        <f>'Monthly Data'!K42</f>
        <v>201348.06188264678</v>
      </c>
      <c r="L42" s="8">
        <f>'Monthly Data'!L42</f>
        <v>10383319.270265797</v>
      </c>
      <c r="M42" s="8">
        <f>'Monthly Data'!M42</f>
        <v>144889.20364848452</v>
      </c>
      <c r="N42" s="8">
        <f>'Monthly Data'!N42</f>
        <v>34787.308376397152</v>
      </c>
      <c r="O42" s="5">
        <f>'Monthly Data'!O42</f>
        <v>25188.670000000002</v>
      </c>
      <c r="P42" s="5">
        <f>'Monthly Data'!P42</f>
        <v>511.54999999999995</v>
      </c>
      <c r="Q42" s="8">
        <f>'Monthly Data'!Q42</f>
        <v>14627</v>
      </c>
      <c r="R42" s="8">
        <f>'Monthly Data'!R42</f>
        <v>1704</v>
      </c>
      <c r="S42" s="8">
        <f>'Monthly Data'!S42</f>
        <v>124</v>
      </c>
      <c r="T42" s="8">
        <f>'Monthly Data'!T42</f>
        <v>3018</v>
      </c>
      <c r="U42" s="8">
        <f>'Monthly Data'!U42</f>
        <v>30</v>
      </c>
      <c r="V42" s="45">
        <f>Weather!C162</f>
        <v>13.774730174788454</v>
      </c>
      <c r="W42" s="46">
        <f>Weather!D162</f>
        <v>258.7</v>
      </c>
      <c r="X42" s="46">
        <f>Weather!E162</f>
        <v>3.7</v>
      </c>
      <c r="Y42" s="46">
        <f>Weather!F162</f>
        <v>204</v>
      </c>
      <c r="Z42" s="46">
        <f>Weather!G162</f>
        <v>11</v>
      </c>
      <c r="AA42" s="46">
        <f>Weather!H162</f>
        <v>156</v>
      </c>
      <c r="AB42" s="46">
        <f>Weather!I162</f>
        <v>25</v>
      </c>
      <c r="AC42" s="46">
        <f>Weather!J162</f>
        <v>111.5</v>
      </c>
      <c r="AD42" s="46">
        <f>Weather!K162</f>
        <v>42.5</v>
      </c>
      <c r="AE42" s="46">
        <f>Weather!L162</f>
        <v>75.8</v>
      </c>
      <c r="AF42" s="46">
        <f>Weather!M162</f>
        <v>68.8</v>
      </c>
      <c r="AG42" s="46">
        <f>Weather!N162</f>
        <v>43</v>
      </c>
      <c r="AH42" s="46">
        <f>Weather!O162</f>
        <v>98</v>
      </c>
      <c r="AI42" s="46">
        <f>Weather!P162</f>
        <v>19.8</v>
      </c>
      <c r="AJ42" s="46">
        <f>Weather!Q162</f>
        <v>136.80000000000001</v>
      </c>
      <c r="AK42" s="46">
        <f>Weather!R162</f>
        <v>7</v>
      </c>
      <c r="AL42" s="46">
        <f>Weather!S162</f>
        <v>186</v>
      </c>
      <c r="AM42" s="43">
        <f>Economic!C42</f>
        <v>677384</v>
      </c>
      <c r="AN42" s="43">
        <f>Economic!D42</f>
        <v>6830.5</v>
      </c>
      <c r="AO42" s="43">
        <f>Economic!E42</f>
        <v>6793.2</v>
      </c>
      <c r="AP42" s="43">
        <f>Economic!F42</f>
        <v>106.2</v>
      </c>
      <c r="AQ42" s="43">
        <f>Economic!G42</f>
        <v>105.9</v>
      </c>
      <c r="AR42" s="47">
        <f t="shared" si="28"/>
        <v>31</v>
      </c>
      <c r="AS42" s="47">
        <v>22</v>
      </c>
      <c r="AT42" s="47">
        <f t="shared" si="22"/>
        <v>41</v>
      </c>
      <c r="AU42" s="47">
        <f t="shared" si="28"/>
        <v>0</v>
      </c>
      <c r="AV42" s="47">
        <f t="shared" si="28"/>
        <v>0</v>
      </c>
      <c r="AW42" s="47">
        <f t="shared" si="28"/>
        <v>0</v>
      </c>
      <c r="AX42" s="47">
        <f t="shared" si="28"/>
        <v>0</v>
      </c>
      <c r="AY42" s="47">
        <f t="shared" si="28"/>
        <v>1</v>
      </c>
      <c r="AZ42" s="47">
        <f t="shared" si="28"/>
        <v>0</v>
      </c>
      <c r="BA42" s="47">
        <f t="shared" si="28"/>
        <v>0</v>
      </c>
      <c r="BB42" s="47">
        <f t="shared" si="28"/>
        <v>0</v>
      </c>
      <c r="BC42" s="47">
        <f t="shared" si="28"/>
        <v>0</v>
      </c>
      <c r="BD42" s="47">
        <f t="shared" si="28"/>
        <v>0</v>
      </c>
      <c r="BE42" s="47">
        <f t="shared" si="28"/>
        <v>0</v>
      </c>
      <c r="BF42" s="47">
        <f t="shared" si="28"/>
        <v>0</v>
      </c>
      <c r="BG42" s="47">
        <f t="shared" si="28"/>
        <v>1</v>
      </c>
      <c r="BH42" s="47">
        <f t="shared" si="28"/>
        <v>0</v>
      </c>
      <c r="BI42" s="47">
        <f t="shared" si="2"/>
        <v>1</v>
      </c>
      <c r="BJ42" s="48">
        <v>0</v>
      </c>
      <c r="BK42" s="48">
        <v>0</v>
      </c>
      <c r="BL42" s="48">
        <f t="shared" si="23"/>
        <v>0</v>
      </c>
      <c r="BM42" s="47">
        <f t="shared" si="25"/>
        <v>0</v>
      </c>
      <c r="BN42" s="53">
        <f t="shared" si="29"/>
        <v>0</v>
      </c>
      <c r="BO42" s="53">
        <f t="shared" si="30"/>
        <v>0</v>
      </c>
      <c r="BP42" s="53">
        <f t="shared" si="31"/>
        <v>0</v>
      </c>
      <c r="BQ42" s="53">
        <f t="shared" si="32"/>
        <v>0</v>
      </c>
      <c r="BR42" s="53">
        <f t="shared" si="33"/>
        <v>0</v>
      </c>
      <c r="BS42" s="53">
        <f t="shared" si="34"/>
        <v>0</v>
      </c>
      <c r="BT42" s="53">
        <f t="shared" si="35"/>
        <v>0</v>
      </c>
      <c r="BU42" s="53">
        <f t="shared" si="36"/>
        <v>0</v>
      </c>
      <c r="BV42" s="53">
        <f t="shared" si="37"/>
        <v>0</v>
      </c>
      <c r="BW42" s="53">
        <f t="shared" si="38"/>
        <v>0</v>
      </c>
      <c r="BX42" s="53">
        <f t="shared" si="39"/>
        <v>0</v>
      </c>
      <c r="BY42" s="53">
        <f t="shared" si="40"/>
        <v>0</v>
      </c>
      <c r="BZ42" s="53">
        <f t="shared" si="41"/>
        <v>0</v>
      </c>
      <c r="CA42" s="53">
        <f t="shared" si="42"/>
        <v>0</v>
      </c>
      <c r="CB42" s="53">
        <f t="shared" si="43"/>
        <v>0</v>
      </c>
      <c r="CC42" s="53">
        <f t="shared" si="44"/>
        <v>0</v>
      </c>
      <c r="CD42" s="8">
        <f t="shared" si="45"/>
        <v>552.52476154238195</v>
      </c>
      <c r="CE42" s="8">
        <f t="shared" si="46"/>
        <v>2190.9522378367642</v>
      </c>
      <c r="CF42" s="8">
        <f t="shared" si="47"/>
        <v>83736.445727949977</v>
      </c>
    </row>
    <row r="43" spans="1:84">
      <c r="A43" s="7">
        <f>'Monthly Data'!A43</f>
        <v>42156</v>
      </c>
      <c r="B43" s="6">
        <f>'Monthly Data'!B43</f>
        <v>2015</v>
      </c>
      <c r="C43" s="6">
        <f t="shared" si="1"/>
        <v>6</v>
      </c>
      <c r="D43" s="8">
        <f>'Monthly Data'!D43</f>
        <v>7688038.7902676361</v>
      </c>
      <c r="E43" s="1">
        <f>'Monthly Data'!E43</f>
        <v>102708.24640500457</v>
      </c>
      <c r="F43" s="8">
        <f>'Monthly Data'!F43</f>
        <v>7790747.0366726406</v>
      </c>
      <c r="G43" s="8">
        <f>'Monthly Data'!G43</f>
        <v>3453507.4561756663</v>
      </c>
      <c r="H43" s="1">
        <f>'Monthly Data'!H43</f>
        <v>238440.14663125828</v>
      </c>
      <c r="I43" s="8">
        <f>'Monthly Data'!I43</f>
        <v>3691947.6028069244</v>
      </c>
      <c r="J43" s="8">
        <f>'Monthly Data'!J43</f>
        <v>10080433.895753382</v>
      </c>
      <c r="K43" s="1">
        <f>'Monthly Data'!K43</f>
        <v>201348.06188264678</v>
      </c>
      <c r="L43" s="8">
        <f>'Monthly Data'!L43</f>
        <v>10281781.957636029</v>
      </c>
      <c r="M43" s="8">
        <f>'Monthly Data'!M43</f>
        <v>129471.03600293165</v>
      </c>
      <c r="N43" s="8">
        <f>'Monthly Data'!N43</f>
        <v>31577.384434060365</v>
      </c>
      <c r="O43" s="5">
        <f>'Monthly Data'!O43</f>
        <v>25787.739999999994</v>
      </c>
      <c r="P43" s="5">
        <f>'Monthly Data'!P43</f>
        <v>511.54999999999995</v>
      </c>
      <c r="Q43" s="8">
        <f>'Monthly Data'!Q43</f>
        <v>14580</v>
      </c>
      <c r="R43" s="8">
        <f>'Monthly Data'!R43</f>
        <v>1729</v>
      </c>
      <c r="S43" s="8">
        <f>'Monthly Data'!S43</f>
        <v>121</v>
      </c>
      <c r="T43" s="8">
        <f>'Monthly Data'!T43</f>
        <v>3018</v>
      </c>
      <c r="U43" s="8">
        <f>'Monthly Data'!U43</f>
        <v>30</v>
      </c>
      <c r="V43" s="45">
        <f>Weather!C163</f>
        <v>15.873333333333333</v>
      </c>
      <c r="W43" s="46">
        <f>Weather!D163</f>
        <v>183.8</v>
      </c>
      <c r="X43" s="46">
        <f>Weather!E163</f>
        <v>0</v>
      </c>
      <c r="Y43" s="46">
        <f>Weather!F163</f>
        <v>124.5</v>
      </c>
      <c r="Z43" s="46">
        <f>Weather!G163</f>
        <v>0.7</v>
      </c>
      <c r="AA43" s="46">
        <f>Weather!H163</f>
        <v>69.8</v>
      </c>
      <c r="AB43" s="46">
        <f>Weather!I163</f>
        <v>6</v>
      </c>
      <c r="AC43" s="46">
        <f>Weather!J163</f>
        <v>29.1</v>
      </c>
      <c r="AD43" s="46">
        <f>Weather!K163</f>
        <v>25.3</v>
      </c>
      <c r="AE43" s="46">
        <f>Weather!L163</f>
        <v>14.7</v>
      </c>
      <c r="AF43" s="46">
        <f>Weather!M163</f>
        <v>70.900000000000006</v>
      </c>
      <c r="AG43" s="46">
        <f>Weather!N163</f>
        <v>6.3</v>
      </c>
      <c r="AH43" s="46">
        <f>Weather!O163</f>
        <v>122.5</v>
      </c>
      <c r="AI43" s="46">
        <f>Weather!P163</f>
        <v>1.4</v>
      </c>
      <c r="AJ43" s="46">
        <f>Weather!Q163</f>
        <v>177.6</v>
      </c>
      <c r="AK43" s="46">
        <f>Weather!R163</f>
        <v>0</v>
      </c>
      <c r="AL43" s="46">
        <f>Weather!S163</f>
        <v>236.2</v>
      </c>
      <c r="AM43" s="43">
        <f>Economic!C43</f>
        <v>677384</v>
      </c>
      <c r="AN43" s="43">
        <f>Economic!D43</f>
        <v>6841.5</v>
      </c>
      <c r="AO43" s="43">
        <f>Economic!E43</f>
        <v>6885.3</v>
      </c>
      <c r="AP43" s="43">
        <f>Economic!F43</f>
        <v>106.9</v>
      </c>
      <c r="AQ43" s="43">
        <f>Economic!G43</f>
        <v>107.5</v>
      </c>
      <c r="AR43" s="47">
        <f t="shared" si="28"/>
        <v>30</v>
      </c>
      <c r="AS43" s="47">
        <v>20</v>
      </c>
      <c r="AT43" s="47">
        <f t="shared" si="22"/>
        <v>42</v>
      </c>
      <c r="AU43" s="47">
        <f t="shared" si="28"/>
        <v>0</v>
      </c>
      <c r="AV43" s="47">
        <f t="shared" si="28"/>
        <v>0</v>
      </c>
      <c r="AW43" s="47">
        <f t="shared" si="28"/>
        <v>0</v>
      </c>
      <c r="AX43" s="47">
        <f t="shared" si="28"/>
        <v>0</v>
      </c>
      <c r="AY43" s="47">
        <f t="shared" si="28"/>
        <v>0</v>
      </c>
      <c r="AZ43" s="47">
        <f t="shared" si="28"/>
        <v>1</v>
      </c>
      <c r="BA43" s="47">
        <f t="shared" si="28"/>
        <v>0</v>
      </c>
      <c r="BB43" s="47">
        <f t="shared" si="28"/>
        <v>0</v>
      </c>
      <c r="BC43" s="47">
        <f t="shared" si="28"/>
        <v>0</v>
      </c>
      <c r="BD43" s="47">
        <f t="shared" si="28"/>
        <v>0</v>
      </c>
      <c r="BE43" s="47">
        <f t="shared" si="28"/>
        <v>0</v>
      </c>
      <c r="BF43" s="47">
        <f t="shared" si="28"/>
        <v>0</v>
      </c>
      <c r="BG43" s="47">
        <f t="shared" si="28"/>
        <v>0</v>
      </c>
      <c r="BH43" s="47">
        <f t="shared" si="28"/>
        <v>0</v>
      </c>
      <c r="BI43" s="47">
        <f t="shared" si="2"/>
        <v>0</v>
      </c>
      <c r="BJ43" s="48">
        <v>0</v>
      </c>
      <c r="BK43" s="48">
        <v>0</v>
      </c>
      <c r="BL43" s="48">
        <f t="shared" si="23"/>
        <v>0</v>
      </c>
      <c r="BM43" s="47">
        <f t="shared" si="25"/>
        <v>0</v>
      </c>
      <c r="BN43" s="53">
        <f t="shared" si="29"/>
        <v>0</v>
      </c>
      <c r="BO43" s="53">
        <f t="shared" si="30"/>
        <v>0</v>
      </c>
      <c r="BP43" s="53">
        <f t="shared" si="31"/>
        <v>0</v>
      </c>
      <c r="BQ43" s="53">
        <f t="shared" si="32"/>
        <v>0</v>
      </c>
      <c r="BR43" s="53">
        <f t="shared" si="33"/>
        <v>0</v>
      </c>
      <c r="BS43" s="53">
        <f t="shared" si="34"/>
        <v>0</v>
      </c>
      <c r="BT43" s="53">
        <f t="shared" si="35"/>
        <v>0</v>
      </c>
      <c r="BU43" s="53">
        <f t="shared" si="36"/>
        <v>0</v>
      </c>
      <c r="BV43" s="53">
        <f t="shared" si="37"/>
        <v>0</v>
      </c>
      <c r="BW43" s="53">
        <f t="shared" si="38"/>
        <v>0</v>
      </c>
      <c r="BX43" s="53">
        <f t="shared" si="39"/>
        <v>0</v>
      </c>
      <c r="BY43" s="53">
        <f t="shared" si="40"/>
        <v>0</v>
      </c>
      <c r="BZ43" s="53">
        <f t="shared" si="41"/>
        <v>0</v>
      </c>
      <c r="CA43" s="53">
        <f t="shared" si="42"/>
        <v>0</v>
      </c>
      <c r="CB43" s="53">
        <f t="shared" si="43"/>
        <v>0</v>
      </c>
      <c r="CC43" s="53">
        <f t="shared" si="44"/>
        <v>0</v>
      </c>
      <c r="CD43" s="8">
        <f t="shared" si="45"/>
        <v>534.3447898952428</v>
      </c>
      <c r="CE43" s="8">
        <f t="shared" si="46"/>
        <v>2135.3080409525301</v>
      </c>
      <c r="CF43" s="8">
        <f t="shared" si="47"/>
        <v>84973.404608562225</v>
      </c>
    </row>
    <row r="44" spans="1:84">
      <c r="A44" s="7">
        <f>'Monthly Data'!A44</f>
        <v>42186</v>
      </c>
      <c r="B44" s="6">
        <f>'Monthly Data'!B44</f>
        <v>2015</v>
      </c>
      <c r="C44" s="6">
        <f t="shared" si="1"/>
        <v>7</v>
      </c>
      <c r="D44" s="8">
        <f>'Monthly Data'!D44</f>
        <v>9081583.0670188833</v>
      </c>
      <c r="E44" s="1">
        <f>'Monthly Data'!E44</f>
        <v>102708.24640500457</v>
      </c>
      <c r="F44" s="8">
        <f>'Monthly Data'!F44</f>
        <v>9184291.3134238888</v>
      </c>
      <c r="G44" s="8">
        <f>'Monthly Data'!G44</f>
        <v>3795705.2883885819</v>
      </c>
      <c r="H44" s="1">
        <f>'Monthly Data'!H44</f>
        <v>238440.14663125828</v>
      </c>
      <c r="I44" s="8">
        <f>'Monthly Data'!I44</f>
        <v>4034145.43501984</v>
      </c>
      <c r="J44" s="8">
        <f>'Monthly Data'!J44</f>
        <v>10316241.169859968</v>
      </c>
      <c r="K44" s="1">
        <f>'Monthly Data'!K44</f>
        <v>201348.06188264678</v>
      </c>
      <c r="L44" s="8">
        <f>'Monthly Data'!L44</f>
        <v>10517589.231742615</v>
      </c>
      <c r="M44" s="8">
        <f>'Monthly Data'!M44</f>
        <v>138915.55084686205</v>
      </c>
      <c r="N44" s="8">
        <f>'Monthly Data'!N44</f>
        <v>34246.804308103172</v>
      </c>
      <c r="O44" s="5">
        <f>'Monthly Data'!O44</f>
        <v>25380.719999999998</v>
      </c>
      <c r="P44" s="5">
        <f>'Monthly Data'!P44</f>
        <v>511.54999999999995</v>
      </c>
      <c r="Q44" s="8">
        <f>'Monthly Data'!Q44</f>
        <v>14553</v>
      </c>
      <c r="R44" s="8">
        <f>'Monthly Data'!R44</f>
        <v>1717</v>
      </c>
      <c r="S44" s="8">
        <f>'Monthly Data'!S44</f>
        <v>121</v>
      </c>
      <c r="T44" s="8">
        <f>'Monthly Data'!T44</f>
        <v>3018</v>
      </c>
      <c r="U44" s="8">
        <f>'Monthly Data'!U44</f>
        <v>30</v>
      </c>
      <c r="V44" s="45">
        <f>Weather!C164</f>
        <v>20.013439852207814</v>
      </c>
      <c r="W44" s="46">
        <f>Weather!D164</f>
        <v>77.8</v>
      </c>
      <c r="X44" s="46">
        <f>Weather!E164</f>
        <v>16.2</v>
      </c>
      <c r="Y44" s="46">
        <f>Weather!F164</f>
        <v>43.1</v>
      </c>
      <c r="Z44" s="46">
        <f>Weather!G164</f>
        <v>43.5</v>
      </c>
      <c r="AA44" s="46">
        <f>Weather!H164</f>
        <v>17.399999999999999</v>
      </c>
      <c r="AB44" s="46">
        <f>Weather!I164</f>
        <v>79.8</v>
      </c>
      <c r="AC44" s="46">
        <f>Weather!J164</f>
        <v>4.8</v>
      </c>
      <c r="AD44" s="46">
        <f>Weather!K164</f>
        <v>129.19999999999999</v>
      </c>
      <c r="AE44" s="46">
        <f>Weather!L164</f>
        <v>0</v>
      </c>
      <c r="AF44" s="46">
        <f>Weather!M164</f>
        <v>186.4</v>
      </c>
      <c r="AG44" s="46">
        <f>Weather!N164</f>
        <v>0</v>
      </c>
      <c r="AH44" s="46">
        <f>Weather!O164</f>
        <v>248.4</v>
      </c>
      <c r="AI44" s="46">
        <f>Weather!P164</f>
        <v>0</v>
      </c>
      <c r="AJ44" s="46">
        <f>Weather!Q164</f>
        <v>310.39999999999998</v>
      </c>
      <c r="AK44" s="46">
        <f>Weather!R164</f>
        <v>0</v>
      </c>
      <c r="AL44" s="46">
        <f>Weather!S164</f>
        <v>372.4</v>
      </c>
      <c r="AM44" s="43">
        <f>Economic!C44</f>
        <v>677384</v>
      </c>
      <c r="AN44" s="43">
        <f>Economic!D44</f>
        <v>6859.4</v>
      </c>
      <c r="AO44" s="43">
        <f>Economic!E44</f>
        <v>6951.4</v>
      </c>
      <c r="AP44" s="43">
        <f>Economic!F44</f>
        <v>106.5</v>
      </c>
      <c r="AQ44" s="43">
        <f>Economic!G44</f>
        <v>107.5</v>
      </c>
      <c r="AR44" s="47">
        <f t="shared" ref="AR44:BH59" si="48">AR32</f>
        <v>31</v>
      </c>
      <c r="AS44" s="47">
        <v>22</v>
      </c>
      <c r="AT44" s="47">
        <f t="shared" si="22"/>
        <v>43</v>
      </c>
      <c r="AU44" s="47">
        <f t="shared" si="48"/>
        <v>0</v>
      </c>
      <c r="AV44" s="47">
        <f t="shared" si="48"/>
        <v>0</v>
      </c>
      <c r="AW44" s="47">
        <f t="shared" si="48"/>
        <v>0</v>
      </c>
      <c r="AX44" s="47">
        <f t="shared" si="48"/>
        <v>0</v>
      </c>
      <c r="AY44" s="47">
        <f t="shared" si="48"/>
        <v>0</v>
      </c>
      <c r="AZ44" s="47">
        <f t="shared" si="48"/>
        <v>0</v>
      </c>
      <c r="BA44" s="47">
        <f t="shared" si="48"/>
        <v>1</v>
      </c>
      <c r="BB44" s="47">
        <f t="shared" si="48"/>
        <v>0</v>
      </c>
      <c r="BC44" s="47">
        <f t="shared" si="48"/>
        <v>0</v>
      </c>
      <c r="BD44" s="47">
        <f t="shared" si="48"/>
        <v>0</v>
      </c>
      <c r="BE44" s="47">
        <f t="shared" si="48"/>
        <v>0</v>
      </c>
      <c r="BF44" s="47">
        <f t="shared" si="48"/>
        <v>0</v>
      </c>
      <c r="BG44" s="47">
        <f t="shared" si="48"/>
        <v>0</v>
      </c>
      <c r="BH44" s="47">
        <f t="shared" si="48"/>
        <v>0</v>
      </c>
      <c r="BI44" s="47">
        <f t="shared" si="2"/>
        <v>0</v>
      </c>
      <c r="BJ44" s="48">
        <v>0</v>
      </c>
      <c r="BK44" s="48">
        <v>0</v>
      </c>
      <c r="BL44" s="48">
        <f t="shared" si="23"/>
        <v>0</v>
      </c>
      <c r="BM44" s="47">
        <f t="shared" si="25"/>
        <v>0</v>
      </c>
      <c r="BN44" s="53">
        <f t="shared" si="29"/>
        <v>0</v>
      </c>
      <c r="BO44" s="53">
        <f t="shared" si="30"/>
        <v>0</v>
      </c>
      <c r="BP44" s="53">
        <f t="shared" si="31"/>
        <v>0</v>
      </c>
      <c r="BQ44" s="53">
        <f t="shared" si="32"/>
        <v>0</v>
      </c>
      <c r="BR44" s="53">
        <f t="shared" si="33"/>
        <v>0</v>
      </c>
      <c r="BS44" s="53">
        <f t="shared" si="34"/>
        <v>0</v>
      </c>
      <c r="BT44" s="53">
        <f t="shared" si="35"/>
        <v>0</v>
      </c>
      <c r="BU44" s="53">
        <f t="shared" si="36"/>
        <v>0</v>
      </c>
      <c r="BV44" s="53">
        <f t="shared" si="37"/>
        <v>0</v>
      </c>
      <c r="BW44" s="53">
        <f t="shared" si="38"/>
        <v>0</v>
      </c>
      <c r="BX44" s="53">
        <f t="shared" si="39"/>
        <v>0</v>
      </c>
      <c r="BY44" s="53">
        <f t="shared" si="40"/>
        <v>0</v>
      </c>
      <c r="BZ44" s="53">
        <f t="shared" si="41"/>
        <v>0</v>
      </c>
      <c r="CA44" s="53">
        <f t="shared" si="42"/>
        <v>0</v>
      </c>
      <c r="CB44" s="53">
        <f t="shared" si="43"/>
        <v>0</v>
      </c>
      <c r="CC44" s="53">
        <f t="shared" si="44"/>
        <v>0</v>
      </c>
      <c r="CD44" s="8">
        <f t="shared" si="45"/>
        <v>631.09264848649002</v>
      </c>
      <c r="CE44" s="8">
        <f t="shared" si="46"/>
        <v>2349.5314123586722</v>
      </c>
      <c r="CF44" s="8">
        <f t="shared" si="47"/>
        <v>86922.225055724091</v>
      </c>
    </row>
    <row r="45" spans="1:84">
      <c r="A45" s="7">
        <f>'Monthly Data'!A45</f>
        <v>42217</v>
      </c>
      <c r="B45" s="6">
        <f>'Monthly Data'!B45</f>
        <v>2015</v>
      </c>
      <c r="C45" s="6">
        <f t="shared" si="1"/>
        <v>8</v>
      </c>
      <c r="D45" s="8">
        <f>'Monthly Data'!D45</f>
        <v>9402564.3072489761</v>
      </c>
      <c r="E45" s="1">
        <f>'Monthly Data'!E45</f>
        <v>102708.24640500457</v>
      </c>
      <c r="F45" s="8">
        <f>'Monthly Data'!F45</f>
        <v>9505272.5536539815</v>
      </c>
      <c r="G45" s="8">
        <f>'Monthly Data'!G45</f>
        <v>3871441.4692591028</v>
      </c>
      <c r="H45" s="1">
        <f>'Monthly Data'!H45</f>
        <v>238440.14663125828</v>
      </c>
      <c r="I45" s="8">
        <f>'Monthly Data'!I45</f>
        <v>4109881.6158903609</v>
      </c>
      <c r="J45" s="8">
        <f>'Monthly Data'!J45</f>
        <v>10245247.731799951</v>
      </c>
      <c r="K45" s="1">
        <f>'Monthly Data'!K45</f>
        <v>201348.06188264678</v>
      </c>
      <c r="L45" s="8">
        <f>'Monthly Data'!L45</f>
        <v>10446595.793682598</v>
      </c>
      <c r="M45" s="8">
        <f>'Monthly Data'!M45</f>
        <v>157044.01042137286</v>
      </c>
      <c r="N45" s="8">
        <f>'Monthly Data'!N45</f>
        <v>34718.713752167539</v>
      </c>
      <c r="O45" s="5">
        <f>'Monthly Data'!O45</f>
        <v>20514.960000000003</v>
      </c>
      <c r="P45" s="5">
        <f>'Monthly Data'!P45</f>
        <v>511.54999999999995</v>
      </c>
      <c r="Q45" s="8">
        <f>'Monthly Data'!Q45</f>
        <v>14579</v>
      </c>
      <c r="R45" s="8">
        <f>'Monthly Data'!R45</f>
        <v>1712</v>
      </c>
      <c r="S45" s="8">
        <f>'Monthly Data'!S45</f>
        <v>125</v>
      </c>
      <c r="T45" s="8">
        <f>'Monthly Data'!T45</f>
        <v>3018</v>
      </c>
      <c r="U45" s="8">
        <f>'Monthly Data'!U45</f>
        <v>30</v>
      </c>
      <c r="V45" s="45">
        <f>Weather!C165</f>
        <v>19.72258064516129</v>
      </c>
      <c r="W45" s="46">
        <f>Weather!D165</f>
        <v>84.2</v>
      </c>
      <c r="X45" s="46">
        <f>Weather!E165</f>
        <v>13.6</v>
      </c>
      <c r="Y45" s="46">
        <f>Weather!F165</f>
        <v>41.4</v>
      </c>
      <c r="Z45" s="46">
        <f>Weather!G165</f>
        <v>32.799999999999997</v>
      </c>
      <c r="AA45" s="46">
        <f>Weather!H165</f>
        <v>12.2</v>
      </c>
      <c r="AB45" s="46">
        <f>Weather!I165</f>
        <v>65.599999999999994</v>
      </c>
      <c r="AC45" s="46">
        <f>Weather!J165</f>
        <v>0.4</v>
      </c>
      <c r="AD45" s="46">
        <f>Weather!K165</f>
        <v>115.8</v>
      </c>
      <c r="AE45" s="46">
        <f>Weather!L165</f>
        <v>0</v>
      </c>
      <c r="AF45" s="46">
        <f>Weather!M165</f>
        <v>177.4</v>
      </c>
      <c r="AG45" s="46">
        <f>Weather!N165</f>
        <v>0</v>
      </c>
      <c r="AH45" s="46">
        <f>Weather!O165</f>
        <v>239.4</v>
      </c>
      <c r="AI45" s="46">
        <f>Weather!P165</f>
        <v>0</v>
      </c>
      <c r="AJ45" s="46">
        <f>Weather!Q165</f>
        <v>301.39999999999998</v>
      </c>
      <c r="AK45" s="46">
        <f>Weather!R165</f>
        <v>0</v>
      </c>
      <c r="AL45" s="46">
        <f>Weather!S165</f>
        <v>363.4</v>
      </c>
      <c r="AM45" s="43">
        <f>Economic!C45</f>
        <v>677384</v>
      </c>
      <c r="AN45" s="43">
        <f>Economic!D45</f>
        <v>6869.1</v>
      </c>
      <c r="AO45" s="43">
        <f>Economic!E45</f>
        <v>6969.1</v>
      </c>
      <c r="AP45" s="43">
        <f>Economic!F45</f>
        <v>106.4</v>
      </c>
      <c r="AQ45" s="43">
        <f>Economic!G45</f>
        <v>107.5</v>
      </c>
      <c r="AR45" s="47">
        <f t="shared" si="48"/>
        <v>31</v>
      </c>
      <c r="AS45" s="47">
        <v>21</v>
      </c>
      <c r="AT45" s="47">
        <f t="shared" si="22"/>
        <v>44</v>
      </c>
      <c r="AU45" s="47">
        <f t="shared" si="48"/>
        <v>0</v>
      </c>
      <c r="AV45" s="47">
        <f t="shared" si="48"/>
        <v>0</v>
      </c>
      <c r="AW45" s="47">
        <f t="shared" si="48"/>
        <v>0</v>
      </c>
      <c r="AX45" s="47">
        <f t="shared" si="48"/>
        <v>0</v>
      </c>
      <c r="AY45" s="47">
        <f t="shared" si="48"/>
        <v>0</v>
      </c>
      <c r="AZ45" s="47">
        <f t="shared" si="48"/>
        <v>0</v>
      </c>
      <c r="BA45" s="47">
        <f t="shared" si="48"/>
        <v>0</v>
      </c>
      <c r="BB45" s="47">
        <f t="shared" si="48"/>
        <v>1</v>
      </c>
      <c r="BC45" s="47">
        <f t="shared" si="48"/>
        <v>0</v>
      </c>
      <c r="BD45" s="47">
        <f t="shared" si="48"/>
        <v>0</v>
      </c>
      <c r="BE45" s="47">
        <f t="shared" si="48"/>
        <v>0</v>
      </c>
      <c r="BF45" s="47">
        <f t="shared" si="48"/>
        <v>0</v>
      </c>
      <c r="BG45" s="47">
        <f t="shared" si="48"/>
        <v>0</v>
      </c>
      <c r="BH45" s="47">
        <f t="shared" si="48"/>
        <v>0</v>
      </c>
      <c r="BI45" s="47">
        <f t="shared" si="2"/>
        <v>0</v>
      </c>
      <c r="BJ45" s="48">
        <v>0</v>
      </c>
      <c r="BK45" s="48">
        <v>0</v>
      </c>
      <c r="BL45" s="48">
        <f t="shared" si="23"/>
        <v>0</v>
      </c>
      <c r="BM45" s="47">
        <f t="shared" si="25"/>
        <v>0</v>
      </c>
      <c r="BN45" s="53">
        <f t="shared" si="29"/>
        <v>0</v>
      </c>
      <c r="BO45" s="53">
        <f t="shared" si="30"/>
        <v>0</v>
      </c>
      <c r="BP45" s="53">
        <f t="shared" si="31"/>
        <v>0</v>
      </c>
      <c r="BQ45" s="53">
        <f t="shared" si="32"/>
        <v>0</v>
      </c>
      <c r="BR45" s="53">
        <f t="shared" si="33"/>
        <v>0</v>
      </c>
      <c r="BS45" s="53">
        <f t="shared" si="34"/>
        <v>0</v>
      </c>
      <c r="BT45" s="53">
        <f t="shared" si="35"/>
        <v>0</v>
      </c>
      <c r="BU45" s="53">
        <f t="shared" si="36"/>
        <v>0</v>
      </c>
      <c r="BV45" s="53">
        <f t="shared" si="37"/>
        <v>0</v>
      </c>
      <c r="BW45" s="53">
        <f t="shared" si="38"/>
        <v>0</v>
      </c>
      <c r="BX45" s="53">
        <f t="shared" si="39"/>
        <v>0</v>
      </c>
      <c r="BY45" s="53">
        <f t="shared" si="40"/>
        <v>0</v>
      </c>
      <c r="BZ45" s="53">
        <f t="shared" si="41"/>
        <v>0</v>
      </c>
      <c r="CA45" s="53">
        <f t="shared" si="42"/>
        <v>0</v>
      </c>
      <c r="CB45" s="53">
        <f t="shared" si="43"/>
        <v>0</v>
      </c>
      <c r="CC45" s="53">
        <f t="shared" si="44"/>
        <v>0</v>
      </c>
      <c r="CD45" s="8">
        <f t="shared" si="45"/>
        <v>651.98385030893621</v>
      </c>
      <c r="CE45" s="8">
        <f t="shared" si="46"/>
        <v>2400.6317849826873</v>
      </c>
      <c r="CF45" s="8">
        <f t="shared" si="47"/>
        <v>83572.766349460784</v>
      </c>
    </row>
    <row r="46" spans="1:84">
      <c r="A46" s="7">
        <f>'Monthly Data'!A46</f>
        <v>42248</v>
      </c>
      <c r="B46" s="6">
        <f>'Monthly Data'!B46</f>
        <v>2015</v>
      </c>
      <c r="C46" s="6">
        <f t="shared" si="1"/>
        <v>9</v>
      </c>
      <c r="D46" s="8">
        <f>'Monthly Data'!D46</f>
        <v>8349296.8423407869</v>
      </c>
      <c r="E46" s="1">
        <f>'Monthly Data'!E46</f>
        <v>102708.24640500457</v>
      </c>
      <c r="F46" s="8">
        <f>'Monthly Data'!F46</f>
        <v>8452005.0887457915</v>
      </c>
      <c r="G46" s="8">
        <f>'Monthly Data'!G46</f>
        <v>3542652.7940073246</v>
      </c>
      <c r="H46" s="1">
        <f>'Monthly Data'!H46</f>
        <v>238440.14663125828</v>
      </c>
      <c r="I46" s="8">
        <f>'Monthly Data'!I46</f>
        <v>3781092.9406385827</v>
      </c>
      <c r="J46" s="8">
        <f>'Monthly Data'!J46</f>
        <v>10545472.108495729</v>
      </c>
      <c r="K46" s="1">
        <f>'Monthly Data'!K46</f>
        <v>201348.06188264678</v>
      </c>
      <c r="L46" s="8">
        <f>'Monthly Data'!L46</f>
        <v>10746820.170378376</v>
      </c>
      <c r="M46" s="8">
        <f>'Monthly Data'!M46</f>
        <v>174615.38706665463</v>
      </c>
      <c r="N46" s="8">
        <f>'Monthly Data'!N46</f>
        <v>31559.353955202154</v>
      </c>
      <c r="O46" s="5">
        <f>'Monthly Data'!O46</f>
        <v>29922.079999999994</v>
      </c>
      <c r="P46" s="5">
        <f>'Monthly Data'!P46</f>
        <v>511.54999999999995</v>
      </c>
      <c r="Q46" s="8">
        <f>'Monthly Data'!Q46</f>
        <v>14628</v>
      </c>
      <c r="R46" s="8">
        <f>'Monthly Data'!R46</f>
        <v>1723</v>
      </c>
      <c r="S46" s="8">
        <f>'Monthly Data'!S46</f>
        <v>125</v>
      </c>
      <c r="T46" s="8">
        <f>'Monthly Data'!T46</f>
        <v>3018</v>
      </c>
      <c r="U46" s="8">
        <f>'Monthly Data'!U46</f>
        <v>30</v>
      </c>
      <c r="V46" s="45">
        <f>Weather!C166</f>
        <v>19.413887847281398</v>
      </c>
      <c r="W46" s="46">
        <f>Weather!D166</f>
        <v>95.3</v>
      </c>
      <c r="X46" s="46">
        <f>Weather!E166</f>
        <v>17.7</v>
      </c>
      <c r="Y46" s="46">
        <f>Weather!F166</f>
        <v>58.5</v>
      </c>
      <c r="Z46" s="46">
        <f>Weather!G166</f>
        <v>40.9</v>
      </c>
      <c r="AA46" s="46">
        <f>Weather!H166</f>
        <v>27.6</v>
      </c>
      <c r="AB46" s="46">
        <f>Weather!I166</f>
        <v>70</v>
      </c>
      <c r="AC46" s="46">
        <f>Weather!J166</f>
        <v>11.3</v>
      </c>
      <c r="AD46" s="46">
        <f>Weather!K166</f>
        <v>113.7</v>
      </c>
      <c r="AE46" s="46">
        <f>Weather!L166</f>
        <v>2.5</v>
      </c>
      <c r="AF46" s="46">
        <f>Weather!M166</f>
        <v>164.9</v>
      </c>
      <c r="AG46" s="46">
        <f>Weather!N166</f>
        <v>0</v>
      </c>
      <c r="AH46" s="46">
        <f>Weather!O166</f>
        <v>222.4</v>
      </c>
      <c r="AI46" s="46">
        <f>Weather!P166</f>
        <v>0</v>
      </c>
      <c r="AJ46" s="46">
        <f>Weather!Q166</f>
        <v>282.39999999999998</v>
      </c>
      <c r="AK46" s="46">
        <f>Weather!R166</f>
        <v>0</v>
      </c>
      <c r="AL46" s="46">
        <f>Weather!S166</f>
        <v>342.4</v>
      </c>
      <c r="AM46" s="43">
        <f>Economic!C46</f>
        <v>677384</v>
      </c>
      <c r="AN46" s="43">
        <f>Economic!D46</f>
        <v>6860.5</v>
      </c>
      <c r="AO46" s="43">
        <f>Economic!E46</f>
        <v>6917.2</v>
      </c>
      <c r="AP46" s="43">
        <f>Economic!F46</f>
        <v>105</v>
      </c>
      <c r="AQ46" s="43">
        <f>Economic!G46</f>
        <v>105.6</v>
      </c>
      <c r="AR46" s="47">
        <f t="shared" si="48"/>
        <v>30</v>
      </c>
      <c r="AS46" s="47">
        <v>20</v>
      </c>
      <c r="AT46" s="47">
        <f t="shared" si="22"/>
        <v>45</v>
      </c>
      <c r="AU46" s="47">
        <f t="shared" si="48"/>
        <v>0</v>
      </c>
      <c r="AV46" s="47">
        <f t="shared" si="48"/>
        <v>0</v>
      </c>
      <c r="AW46" s="47">
        <f t="shared" si="48"/>
        <v>0</v>
      </c>
      <c r="AX46" s="47">
        <f t="shared" si="48"/>
        <v>0</v>
      </c>
      <c r="AY46" s="47">
        <f t="shared" si="48"/>
        <v>0</v>
      </c>
      <c r="AZ46" s="47">
        <f t="shared" si="48"/>
        <v>0</v>
      </c>
      <c r="BA46" s="47">
        <f t="shared" si="48"/>
        <v>0</v>
      </c>
      <c r="BB46" s="47">
        <f t="shared" si="48"/>
        <v>0</v>
      </c>
      <c r="BC46" s="47">
        <f t="shared" si="48"/>
        <v>1</v>
      </c>
      <c r="BD46" s="47">
        <f t="shared" si="48"/>
        <v>0</v>
      </c>
      <c r="BE46" s="47">
        <f t="shared" si="48"/>
        <v>0</v>
      </c>
      <c r="BF46" s="47">
        <f t="shared" si="48"/>
        <v>0</v>
      </c>
      <c r="BG46" s="47">
        <f t="shared" si="48"/>
        <v>0</v>
      </c>
      <c r="BH46" s="47">
        <f t="shared" si="48"/>
        <v>1</v>
      </c>
      <c r="BI46" s="47">
        <f t="shared" si="2"/>
        <v>1</v>
      </c>
      <c r="BJ46" s="48">
        <v>0</v>
      </c>
      <c r="BK46" s="48">
        <v>0</v>
      </c>
      <c r="BL46" s="48">
        <f t="shared" si="23"/>
        <v>0</v>
      </c>
      <c r="BM46" s="47">
        <f t="shared" si="25"/>
        <v>0</v>
      </c>
      <c r="BN46" s="53">
        <f t="shared" si="29"/>
        <v>0</v>
      </c>
      <c r="BO46" s="53">
        <f t="shared" si="30"/>
        <v>0</v>
      </c>
      <c r="BP46" s="53">
        <f t="shared" si="31"/>
        <v>0</v>
      </c>
      <c r="BQ46" s="53">
        <f t="shared" si="32"/>
        <v>0</v>
      </c>
      <c r="BR46" s="53">
        <f t="shared" si="33"/>
        <v>0</v>
      </c>
      <c r="BS46" s="53">
        <f t="shared" si="34"/>
        <v>0</v>
      </c>
      <c r="BT46" s="53">
        <f t="shared" si="35"/>
        <v>0</v>
      </c>
      <c r="BU46" s="53">
        <f t="shared" si="36"/>
        <v>0</v>
      </c>
      <c r="BV46" s="53">
        <f t="shared" si="37"/>
        <v>0</v>
      </c>
      <c r="BW46" s="53">
        <f t="shared" si="38"/>
        <v>0</v>
      </c>
      <c r="BX46" s="53">
        <f t="shared" si="39"/>
        <v>0</v>
      </c>
      <c r="BY46" s="53">
        <f t="shared" si="40"/>
        <v>0</v>
      </c>
      <c r="BZ46" s="53">
        <f t="shared" si="41"/>
        <v>0</v>
      </c>
      <c r="CA46" s="53">
        <f t="shared" si="42"/>
        <v>0</v>
      </c>
      <c r="CB46" s="53">
        <f t="shared" si="43"/>
        <v>0</v>
      </c>
      <c r="CC46" s="53">
        <f t="shared" si="44"/>
        <v>0</v>
      </c>
      <c r="CD46" s="8">
        <f t="shared" si="45"/>
        <v>577.79635553361982</v>
      </c>
      <c r="CE46" s="8">
        <f t="shared" si="46"/>
        <v>2194.4822638645287</v>
      </c>
      <c r="CF46" s="8">
        <f t="shared" si="47"/>
        <v>85974.561363027009</v>
      </c>
    </row>
    <row r="47" spans="1:84">
      <c r="A47" s="7">
        <f>'Monthly Data'!A47</f>
        <v>42278</v>
      </c>
      <c r="B47" s="6">
        <f>'Monthly Data'!B47</f>
        <v>2015</v>
      </c>
      <c r="C47" s="6">
        <f t="shared" si="1"/>
        <v>10</v>
      </c>
      <c r="D47" s="8">
        <f>'Monthly Data'!D47</f>
        <v>8336110.0678547379</v>
      </c>
      <c r="E47" s="1">
        <f>'Monthly Data'!E47</f>
        <v>102708.24640500457</v>
      </c>
      <c r="F47" s="8">
        <f>'Monthly Data'!F47</f>
        <v>8438818.3142597433</v>
      </c>
      <c r="G47" s="8">
        <f>'Monthly Data'!G47</f>
        <v>3362242.4135304871</v>
      </c>
      <c r="H47" s="1">
        <f>'Monthly Data'!H47</f>
        <v>238440.14663125828</v>
      </c>
      <c r="I47" s="8">
        <f>'Monthly Data'!I47</f>
        <v>3600682.5601617452</v>
      </c>
      <c r="J47" s="8">
        <f>'Monthly Data'!J47</f>
        <v>10479372.680286597</v>
      </c>
      <c r="K47" s="1">
        <f>'Monthly Data'!K47</f>
        <v>201348.06188264678</v>
      </c>
      <c r="L47" s="8">
        <f>'Monthly Data'!L47</f>
        <v>10680720.742169244</v>
      </c>
      <c r="M47" s="8">
        <f>'Monthly Data'!M47</f>
        <v>204813.64549260569</v>
      </c>
      <c r="N47" s="8">
        <f>'Monthly Data'!N47</f>
        <v>34315.594757616309</v>
      </c>
      <c r="O47" s="5">
        <f>'Monthly Data'!O47</f>
        <v>26569.500000000004</v>
      </c>
      <c r="P47" s="5">
        <f>'Monthly Data'!P47</f>
        <v>511.54999999999995</v>
      </c>
      <c r="Q47" s="8">
        <f>'Monthly Data'!Q47</f>
        <v>14609</v>
      </c>
      <c r="R47" s="8">
        <f>'Monthly Data'!R47</f>
        <v>1721</v>
      </c>
      <c r="S47" s="8">
        <f>'Monthly Data'!S47</f>
        <v>125</v>
      </c>
      <c r="T47" s="8">
        <f>'Monthly Data'!T47</f>
        <v>3018</v>
      </c>
      <c r="U47" s="8">
        <f>'Monthly Data'!U47</f>
        <v>30</v>
      </c>
      <c r="V47" s="45">
        <f>Weather!C167</f>
        <v>9.7967741935483872</v>
      </c>
      <c r="W47" s="46">
        <f>Weather!D167</f>
        <v>378.3</v>
      </c>
      <c r="X47" s="46">
        <f>Weather!E167</f>
        <v>0</v>
      </c>
      <c r="Y47" s="46">
        <f>Weather!F167</f>
        <v>316.8</v>
      </c>
      <c r="Z47" s="46">
        <f>Weather!G167</f>
        <v>0.5</v>
      </c>
      <c r="AA47" s="46">
        <f>Weather!H167</f>
        <v>257.10000000000002</v>
      </c>
      <c r="AB47" s="46">
        <f>Weather!I167</f>
        <v>2.8</v>
      </c>
      <c r="AC47" s="46">
        <f>Weather!J167</f>
        <v>199.1</v>
      </c>
      <c r="AD47" s="46">
        <f>Weather!K167</f>
        <v>6.8</v>
      </c>
      <c r="AE47" s="46">
        <f>Weather!L167</f>
        <v>141.1</v>
      </c>
      <c r="AF47" s="46">
        <f>Weather!M167</f>
        <v>10.8</v>
      </c>
      <c r="AG47" s="46">
        <f>Weather!N167</f>
        <v>90.9</v>
      </c>
      <c r="AH47" s="46">
        <f>Weather!O167</f>
        <v>22.6</v>
      </c>
      <c r="AI47" s="46">
        <f>Weather!P167</f>
        <v>51.4</v>
      </c>
      <c r="AJ47" s="46">
        <f>Weather!Q167</f>
        <v>45.1</v>
      </c>
      <c r="AK47" s="46">
        <f>Weather!R167</f>
        <v>26.6</v>
      </c>
      <c r="AL47" s="46">
        <f>Weather!S167</f>
        <v>82.3</v>
      </c>
      <c r="AM47" s="43">
        <f>Economic!C47</f>
        <v>677384</v>
      </c>
      <c r="AN47" s="43">
        <f>Economic!D47</f>
        <v>6852.7</v>
      </c>
      <c r="AO47" s="43">
        <f>Economic!E47</f>
        <v>6887.9</v>
      </c>
      <c r="AP47" s="43">
        <f>Economic!F47</f>
        <v>103.9</v>
      </c>
      <c r="AQ47" s="43">
        <f>Economic!G47</f>
        <v>104.7</v>
      </c>
      <c r="AR47" s="47">
        <f t="shared" si="48"/>
        <v>31</v>
      </c>
      <c r="AS47" s="47">
        <v>22</v>
      </c>
      <c r="AT47" s="47">
        <f t="shared" si="22"/>
        <v>46</v>
      </c>
      <c r="AU47" s="47">
        <f t="shared" si="48"/>
        <v>0</v>
      </c>
      <c r="AV47" s="47">
        <f t="shared" si="48"/>
        <v>0</v>
      </c>
      <c r="AW47" s="47">
        <f t="shared" si="48"/>
        <v>0</v>
      </c>
      <c r="AX47" s="47">
        <f t="shared" si="48"/>
        <v>0</v>
      </c>
      <c r="AY47" s="47">
        <f t="shared" si="48"/>
        <v>0</v>
      </c>
      <c r="AZ47" s="47">
        <f t="shared" si="48"/>
        <v>0</v>
      </c>
      <c r="BA47" s="47">
        <f t="shared" si="48"/>
        <v>0</v>
      </c>
      <c r="BB47" s="47">
        <f t="shared" si="48"/>
        <v>0</v>
      </c>
      <c r="BC47" s="47">
        <f t="shared" si="48"/>
        <v>0</v>
      </c>
      <c r="BD47" s="47">
        <f t="shared" si="48"/>
        <v>1</v>
      </c>
      <c r="BE47" s="47">
        <f t="shared" si="48"/>
        <v>0</v>
      </c>
      <c r="BF47" s="47">
        <f t="shared" si="48"/>
        <v>0</v>
      </c>
      <c r="BG47" s="47">
        <f t="shared" si="48"/>
        <v>0</v>
      </c>
      <c r="BH47" s="47">
        <f t="shared" si="48"/>
        <v>1</v>
      </c>
      <c r="BI47" s="47">
        <f t="shared" si="2"/>
        <v>1</v>
      </c>
      <c r="BJ47" s="48">
        <v>0</v>
      </c>
      <c r="BK47" s="48">
        <v>0</v>
      </c>
      <c r="BL47" s="48">
        <f t="shared" si="23"/>
        <v>0</v>
      </c>
      <c r="BM47" s="47">
        <f t="shared" si="25"/>
        <v>0</v>
      </c>
      <c r="BN47" s="53">
        <f t="shared" si="29"/>
        <v>0</v>
      </c>
      <c r="BO47" s="53">
        <f t="shared" si="30"/>
        <v>0</v>
      </c>
      <c r="BP47" s="53">
        <f t="shared" si="31"/>
        <v>0</v>
      </c>
      <c r="BQ47" s="53">
        <f t="shared" si="32"/>
        <v>0</v>
      </c>
      <c r="BR47" s="53">
        <f t="shared" si="33"/>
        <v>0</v>
      </c>
      <c r="BS47" s="53">
        <f t="shared" si="34"/>
        <v>0</v>
      </c>
      <c r="BT47" s="53">
        <f t="shared" si="35"/>
        <v>0</v>
      </c>
      <c r="BU47" s="53">
        <f t="shared" si="36"/>
        <v>0</v>
      </c>
      <c r="BV47" s="53">
        <f t="shared" si="37"/>
        <v>0</v>
      </c>
      <c r="BW47" s="53">
        <f t="shared" si="38"/>
        <v>0</v>
      </c>
      <c r="BX47" s="53">
        <f t="shared" si="39"/>
        <v>0</v>
      </c>
      <c r="BY47" s="53">
        <f t="shared" si="40"/>
        <v>0</v>
      </c>
      <c r="BZ47" s="53">
        <f t="shared" si="41"/>
        <v>0</v>
      </c>
      <c r="CA47" s="53">
        <f t="shared" si="42"/>
        <v>0</v>
      </c>
      <c r="CB47" s="53">
        <f t="shared" si="43"/>
        <v>0</v>
      </c>
      <c r="CC47" s="53">
        <f t="shared" si="44"/>
        <v>0</v>
      </c>
      <c r="CD47" s="8">
        <f t="shared" si="45"/>
        <v>577.64517176122547</v>
      </c>
      <c r="CE47" s="8">
        <f t="shared" si="46"/>
        <v>2092.2036956198403</v>
      </c>
      <c r="CF47" s="8">
        <f t="shared" si="47"/>
        <v>85445.76593735395</v>
      </c>
    </row>
    <row r="48" spans="1:84">
      <c r="A48" s="7">
        <f>'Monthly Data'!A48</f>
        <v>42309</v>
      </c>
      <c r="B48" s="6">
        <f>'Monthly Data'!B48</f>
        <v>2015</v>
      </c>
      <c r="C48" s="6">
        <f t="shared" si="1"/>
        <v>11</v>
      </c>
      <c r="D48" s="8">
        <f>'Monthly Data'!D48</f>
        <v>8980827.0355639309</v>
      </c>
      <c r="E48" s="1">
        <f>'Monthly Data'!E48</f>
        <v>102708.24640500457</v>
      </c>
      <c r="F48" s="8">
        <f>'Monthly Data'!F48</f>
        <v>9083535.2819689363</v>
      </c>
      <c r="G48" s="8">
        <f>'Monthly Data'!G48</f>
        <v>3419201.7465737243</v>
      </c>
      <c r="H48" s="1">
        <f>'Monthly Data'!H48</f>
        <v>238440.14663125828</v>
      </c>
      <c r="I48" s="8">
        <f>'Monthly Data'!I48</f>
        <v>3657641.8932049824</v>
      </c>
      <c r="J48" s="8">
        <f>'Monthly Data'!J48</f>
        <v>10130386.734693833</v>
      </c>
      <c r="K48" s="1">
        <f>'Monthly Data'!K48</f>
        <v>201348.06188264678</v>
      </c>
      <c r="L48" s="8">
        <f>'Monthly Data'!L48</f>
        <v>10331734.796576479</v>
      </c>
      <c r="M48" s="8">
        <f>'Monthly Data'!M48</f>
        <v>219018.85435177654</v>
      </c>
      <c r="N48" s="8">
        <f>'Monthly Data'!N48</f>
        <v>34103.117660684351</v>
      </c>
      <c r="O48" s="5">
        <f>'Monthly Data'!O48</f>
        <v>25145.720000000008</v>
      </c>
      <c r="P48" s="5">
        <f>'Monthly Data'!P48</f>
        <v>511.54999999999995</v>
      </c>
      <c r="Q48" s="8">
        <f>'Monthly Data'!Q48</f>
        <v>14586</v>
      </c>
      <c r="R48" s="8">
        <f>'Monthly Data'!R48</f>
        <v>1718</v>
      </c>
      <c r="S48" s="8">
        <f>'Monthly Data'!S48</f>
        <v>126</v>
      </c>
      <c r="T48" s="8">
        <f>'Monthly Data'!T48</f>
        <v>3018</v>
      </c>
      <c r="U48" s="8">
        <f>'Monthly Data'!U48</f>
        <v>30</v>
      </c>
      <c r="V48" s="45">
        <f>Weather!C168</f>
        <v>6.7472211806147362</v>
      </c>
      <c r="W48" s="46">
        <f>Weather!D168</f>
        <v>457.6</v>
      </c>
      <c r="X48" s="46">
        <f>Weather!E168</f>
        <v>0</v>
      </c>
      <c r="Y48" s="46">
        <f>Weather!F168</f>
        <v>397.6</v>
      </c>
      <c r="Z48" s="46">
        <f>Weather!G168</f>
        <v>0</v>
      </c>
      <c r="AA48" s="46">
        <f>Weather!H168</f>
        <v>339.1</v>
      </c>
      <c r="AB48" s="46">
        <f>Weather!I168</f>
        <v>1.5</v>
      </c>
      <c r="AC48" s="46">
        <f>Weather!J168</f>
        <v>281.10000000000002</v>
      </c>
      <c r="AD48" s="46">
        <f>Weather!K168</f>
        <v>3.5</v>
      </c>
      <c r="AE48" s="46">
        <f>Weather!L168</f>
        <v>225</v>
      </c>
      <c r="AF48" s="46">
        <f>Weather!M168</f>
        <v>7.4</v>
      </c>
      <c r="AG48" s="46">
        <f>Weather!N168</f>
        <v>171.9</v>
      </c>
      <c r="AH48" s="46">
        <f>Weather!O168</f>
        <v>14.3</v>
      </c>
      <c r="AI48" s="46">
        <f>Weather!P168</f>
        <v>124.6</v>
      </c>
      <c r="AJ48" s="46">
        <f>Weather!Q168</f>
        <v>27</v>
      </c>
      <c r="AK48" s="46">
        <f>Weather!R168</f>
        <v>82.9</v>
      </c>
      <c r="AL48" s="46">
        <f>Weather!S168</f>
        <v>45.3</v>
      </c>
      <c r="AM48" s="43">
        <f>Economic!C48</f>
        <v>677384</v>
      </c>
      <c r="AN48" s="43">
        <f>Economic!D48</f>
        <v>6843.8</v>
      </c>
      <c r="AO48" s="43">
        <f>Economic!E48</f>
        <v>6853.9</v>
      </c>
      <c r="AP48" s="43">
        <f>Economic!F48</f>
        <v>102.4</v>
      </c>
      <c r="AQ48" s="43">
        <f>Economic!G48</f>
        <v>102.6</v>
      </c>
      <c r="AR48" s="47">
        <f t="shared" si="48"/>
        <v>30</v>
      </c>
      <c r="AS48" s="47">
        <v>21</v>
      </c>
      <c r="AT48" s="47">
        <f t="shared" si="22"/>
        <v>47</v>
      </c>
      <c r="AU48" s="47">
        <f t="shared" si="48"/>
        <v>0</v>
      </c>
      <c r="AV48" s="47">
        <f t="shared" si="48"/>
        <v>0</v>
      </c>
      <c r="AW48" s="47">
        <f t="shared" si="48"/>
        <v>0</v>
      </c>
      <c r="AX48" s="47">
        <f t="shared" si="48"/>
        <v>0</v>
      </c>
      <c r="AY48" s="47">
        <f t="shared" si="48"/>
        <v>0</v>
      </c>
      <c r="AZ48" s="47">
        <f t="shared" si="48"/>
        <v>0</v>
      </c>
      <c r="BA48" s="47">
        <f t="shared" si="48"/>
        <v>0</v>
      </c>
      <c r="BB48" s="47">
        <f t="shared" si="48"/>
        <v>0</v>
      </c>
      <c r="BC48" s="47">
        <f t="shared" si="48"/>
        <v>0</v>
      </c>
      <c r="BD48" s="47">
        <f t="shared" si="48"/>
        <v>0</v>
      </c>
      <c r="BE48" s="47">
        <f t="shared" si="48"/>
        <v>1</v>
      </c>
      <c r="BF48" s="47">
        <f t="shared" si="48"/>
        <v>0</v>
      </c>
      <c r="BG48" s="47">
        <f t="shared" si="48"/>
        <v>0</v>
      </c>
      <c r="BH48" s="47">
        <f t="shared" si="48"/>
        <v>1</v>
      </c>
      <c r="BI48" s="47">
        <f t="shared" si="2"/>
        <v>1</v>
      </c>
      <c r="BJ48" s="48">
        <v>0</v>
      </c>
      <c r="BK48" s="48">
        <v>0</v>
      </c>
      <c r="BL48" s="48">
        <f t="shared" si="23"/>
        <v>0</v>
      </c>
      <c r="BM48" s="47">
        <f t="shared" si="25"/>
        <v>0</v>
      </c>
      <c r="BN48" s="53">
        <f t="shared" si="29"/>
        <v>0</v>
      </c>
      <c r="BO48" s="53">
        <f t="shared" si="30"/>
        <v>0</v>
      </c>
      <c r="BP48" s="53">
        <f t="shared" si="31"/>
        <v>0</v>
      </c>
      <c r="BQ48" s="53">
        <f t="shared" si="32"/>
        <v>0</v>
      </c>
      <c r="BR48" s="53">
        <f t="shared" si="33"/>
        <v>0</v>
      </c>
      <c r="BS48" s="53">
        <f t="shared" si="34"/>
        <v>0</v>
      </c>
      <c r="BT48" s="53">
        <f t="shared" si="35"/>
        <v>0</v>
      </c>
      <c r="BU48" s="53">
        <f t="shared" si="36"/>
        <v>0</v>
      </c>
      <c r="BV48" s="53">
        <f t="shared" si="37"/>
        <v>0</v>
      </c>
      <c r="BW48" s="53">
        <f t="shared" si="38"/>
        <v>0</v>
      </c>
      <c r="BX48" s="53">
        <f t="shared" si="39"/>
        <v>0</v>
      </c>
      <c r="BY48" s="53">
        <f t="shared" si="40"/>
        <v>0</v>
      </c>
      <c r="BZ48" s="53">
        <f t="shared" si="41"/>
        <v>0</v>
      </c>
      <c r="CA48" s="53">
        <f t="shared" si="42"/>
        <v>0</v>
      </c>
      <c r="CB48" s="53">
        <f t="shared" si="43"/>
        <v>0</v>
      </c>
      <c r="CC48" s="53">
        <f t="shared" si="44"/>
        <v>0</v>
      </c>
      <c r="CD48" s="8">
        <f t="shared" si="45"/>
        <v>622.75711517680907</v>
      </c>
      <c r="CE48" s="8">
        <f t="shared" si="46"/>
        <v>2129.0115792811307</v>
      </c>
      <c r="CF48" s="8">
        <f t="shared" si="47"/>
        <v>81997.895210924442</v>
      </c>
    </row>
    <row r="49" spans="1:84">
      <c r="A49" s="7">
        <f>'Monthly Data'!A49</f>
        <v>42339</v>
      </c>
      <c r="B49" s="6">
        <f>'Monthly Data'!B49</f>
        <v>2015</v>
      </c>
      <c r="C49" s="6">
        <f t="shared" si="1"/>
        <v>12</v>
      </c>
      <c r="D49" s="8">
        <f>'Monthly Data'!D49</f>
        <v>11013126.286381325</v>
      </c>
      <c r="E49" s="1">
        <f>'Monthly Data'!E49</f>
        <v>102708.24640500457</v>
      </c>
      <c r="F49" s="8">
        <f>'Monthly Data'!F49</f>
        <v>11115834.53278633</v>
      </c>
      <c r="G49" s="8">
        <f>'Monthly Data'!G49</f>
        <v>3821023.3920277664</v>
      </c>
      <c r="H49" s="1">
        <f>'Monthly Data'!H49</f>
        <v>238440.14663125828</v>
      </c>
      <c r="I49" s="8">
        <f>'Monthly Data'!I49</f>
        <v>4059463.5386590245</v>
      </c>
      <c r="J49" s="8">
        <f>'Monthly Data'!J49</f>
        <v>10183472.099666435</v>
      </c>
      <c r="K49" s="1">
        <f>'Monthly Data'!K49</f>
        <v>201348.06188264678</v>
      </c>
      <c r="L49" s="8">
        <f>'Monthly Data'!L49</f>
        <v>10384820.161549082</v>
      </c>
      <c r="M49" s="8">
        <f>'Monthly Data'!M49</f>
        <v>239047.41292932947</v>
      </c>
      <c r="N49" s="8">
        <f>'Monthly Data'!N49</f>
        <v>32124.001186854672</v>
      </c>
      <c r="O49" s="5">
        <f>'Monthly Data'!O49</f>
        <v>25555.899999999998</v>
      </c>
      <c r="P49" s="5">
        <f>'Monthly Data'!P49</f>
        <v>511.54999999999995</v>
      </c>
      <c r="Q49" s="8">
        <f>'Monthly Data'!Q49</f>
        <v>14673</v>
      </c>
      <c r="R49" s="8">
        <f>'Monthly Data'!R49</f>
        <v>1727</v>
      </c>
      <c r="S49" s="8">
        <f>'Monthly Data'!S49</f>
        <v>126</v>
      </c>
      <c r="T49" s="8">
        <f>'Monthly Data'!T49</f>
        <v>3018</v>
      </c>
      <c r="U49" s="8">
        <f>'Monthly Data'!U49</f>
        <v>30</v>
      </c>
      <c r="V49" s="45">
        <f>Weather!C169</f>
        <v>3.9166656586594231</v>
      </c>
      <c r="W49" s="46">
        <f>Weather!D169</f>
        <v>560.6</v>
      </c>
      <c r="X49" s="46">
        <f>Weather!E169</f>
        <v>0</v>
      </c>
      <c r="Y49" s="46">
        <f>Weather!F169</f>
        <v>498.6</v>
      </c>
      <c r="Z49" s="46">
        <f>Weather!G169</f>
        <v>0</v>
      </c>
      <c r="AA49" s="46">
        <f>Weather!H169</f>
        <v>436.6</v>
      </c>
      <c r="AB49" s="46">
        <f>Weather!I169</f>
        <v>0</v>
      </c>
      <c r="AC49" s="46">
        <f>Weather!J169</f>
        <v>374.6</v>
      </c>
      <c r="AD49" s="46">
        <f>Weather!K169</f>
        <v>0</v>
      </c>
      <c r="AE49" s="46">
        <f>Weather!L169</f>
        <v>312.60000000000002</v>
      </c>
      <c r="AF49" s="46">
        <f>Weather!M169</f>
        <v>0</v>
      </c>
      <c r="AG49" s="46">
        <f>Weather!N169</f>
        <v>250.6</v>
      </c>
      <c r="AH49" s="46">
        <f>Weather!O169</f>
        <v>0</v>
      </c>
      <c r="AI49" s="46">
        <f>Weather!P169</f>
        <v>190.4</v>
      </c>
      <c r="AJ49" s="46">
        <f>Weather!Q169</f>
        <v>1.8</v>
      </c>
      <c r="AK49" s="46">
        <f>Weather!R169</f>
        <v>133.69999999999999</v>
      </c>
      <c r="AL49" s="46">
        <f>Weather!S169</f>
        <v>7.1</v>
      </c>
      <c r="AM49" s="43">
        <f>Economic!C49</f>
        <v>677384</v>
      </c>
      <c r="AN49" s="43">
        <f>Economic!D49</f>
        <v>6858.1</v>
      </c>
      <c r="AO49" s="43">
        <f>Economic!E49</f>
        <v>6866.6</v>
      </c>
      <c r="AP49" s="43">
        <f>Economic!F49</f>
        <v>103.1</v>
      </c>
      <c r="AQ49" s="43">
        <f>Economic!G49</f>
        <v>103.1</v>
      </c>
      <c r="AR49" s="47">
        <f t="shared" si="48"/>
        <v>31</v>
      </c>
      <c r="AS49" s="47">
        <v>20</v>
      </c>
      <c r="AT49" s="47">
        <f t="shared" si="22"/>
        <v>48</v>
      </c>
      <c r="AU49" s="47">
        <f t="shared" si="48"/>
        <v>0</v>
      </c>
      <c r="AV49" s="47">
        <f t="shared" si="48"/>
        <v>0</v>
      </c>
      <c r="AW49" s="47">
        <f t="shared" si="48"/>
        <v>0</v>
      </c>
      <c r="AX49" s="47">
        <f t="shared" si="48"/>
        <v>0</v>
      </c>
      <c r="AY49" s="47">
        <f t="shared" si="48"/>
        <v>0</v>
      </c>
      <c r="AZ49" s="47">
        <f t="shared" si="48"/>
        <v>0</v>
      </c>
      <c r="BA49" s="47">
        <f t="shared" si="48"/>
        <v>0</v>
      </c>
      <c r="BB49" s="47">
        <f t="shared" si="48"/>
        <v>0</v>
      </c>
      <c r="BC49" s="47">
        <f t="shared" si="48"/>
        <v>0</v>
      </c>
      <c r="BD49" s="47">
        <f t="shared" si="48"/>
        <v>0</v>
      </c>
      <c r="BE49" s="47">
        <f t="shared" si="48"/>
        <v>0</v>
      </c>
      <c r="BF49" s="47">
        <f t="shared" si="48"/>
        <v>1</v>
      </c>
      <c r="BG49" s="47">
        <f t="shared" si="48"/>
        <v>0</v>
      </c>
      <c r="BH49" s="47">
        <f t="shared" si="48"/>
        <v>0</v>
      </c>
      <c r="BI49" s="47">
        <f t="shared" si="2"/>
        <v>0</v>
      </c>
      <c r="BJ49" s="48">
        <v>0</v>
      </c>
      <c r="BK49" s="48">
        <v>0</v>
      </c>
      <c r="BL49" s="48">
        <f t="shared" si="23"/>
        <v>0</v>
      </c>
      <c r="BM49" s="47">
        <f t="shared" si="25"/>
        <v>0</v>
      </c>
      <c r="BN49" s="53">
        <f t="shared" si="29"/>
        <v>0</v>
      </c>
      <c r="BO49" s="53">
        <f t="shared" si="30"/>
        <v>0</v>
      </c>
      <c r="BP49" s="53">
        <f t="shared" si="31"/>
        <v>0</v>
      </c>
      <c r="BQ49" s="53">
        <f t="shared" si="32"/>
        <v>0</v>
      </c>
      <c r="BR49" s="53">
        <f t="shared" si="33"/>
        <v>0</v>
      </c>
      <c r="BS49" s="53">
        <f t="shared" si="34"/>
        <v>0</v>
      </c>
      <c r="BT49" s="53">
        <f t="shared" si="35"/>
        <v>0</v>
      </c>
      <c r="BU49" s="53">
        <f t="shared" si="36"/>
        <v>0</v>
      </c>
      <c r="BV49" s="53">
        <f t="shared" si="37"/>
        <v>0</v>
      </c>
      <c r="BW49" s="53">
        <f t="shared" si="38"/>
        <v>0</v>
      </c>
      <c r="BX49" s="53">
        <f t="shared" si="39"/>
        <v>0</v>
      </c>
      <c r="BY49" s="53">
        <f t="shared" si="40"/>
        <v>0</v>
      </c>
      <c r="BZ49" s="53">
        <f t="shared" si="41"/>
        <v>0</v>
      </c>
      <c r="CA49" s="53">
        <f t="shared" si="42"/>
        <v>0</v>
      </c>
      <c r="CB49" s="53">
        <f t="shared" si="43"/>
        <v>0</v>
      </c>
      <c r="CC49" s="53">
        <f t="shared" si="44"/>
        <v>0</v>
      </c>
      <c r="CD49" s="8">
        <f t="shared" si="45"/>
        <v>757.57067626159142</v>
      </c>
      <c r="CE49" s="8">
        <f t="shared" si="46"/>
        <v>2350.5868782044149</v>
      </c>
      <c r="CF49" s="8">
        <f t="shared" si="47"/>
        <v>82419.207631341924</v>
      </c>
    </row>
    <row r="50" spans="1:84">
      <c r="A50" s="7">
        <f>'Monthly Data'!A50</f>
        <v>42370</v>
      </c>
      <c r="B50" s="6">
        <f>'Monthly Data'!B50</f>
        <v>2016</v>
      </c>
      <c r="C50" s="6">
        <f t="shared" si="1"/>
        <v>1</v>
      </c>
      <c r="D50" s="8">
        <f>'Monthly Data'!D50</f>
        <v>12387821.568398194</v>
      </c>
      <c r="E50" s="1">
        <f>'Monthly Data'!E50</f>
        <v>198370.29154496465</v>
      </c>
      <c r="F50" s="8">
        <f>'Monthly Data'!F50</f>
        <v>12586191.859943159</v>
      </c>
      <c r="G50" s="8">
        <f>'Monthly Data'!G50</f>
        <v>4269798.7353650993</v>
      </c>
      <c r="H50" s="1">
        <f>'Monthly Data'!H50</f>
        <v>246828.58648979184</v>
      </c>
      <c r="I50" s="8">
        <f>'Monthly Data'!I50</f>
        <v>4516627.3218548913</v>
      </c>
      <c r="J50" s="8">
        <f>'Monthly Data'!J50</f>
        <v>11266540.085255619</v>
      </c>
      <c r="K50" s="1">
        <f>'Monthly Data'!K50</f>
        <v>255809.82296543571</v>
      </c>
      <c r="L50" s="8">
        <f>'Monthly Data'!L50</f>
        <v>11522349.908221055</v>
      </c>
      <c r="M50" s="8">
        <f>'Monthly Data'!M50</f>
        <v>232228.24493238155</v>
      </c>
      <c r="N50" s="8">
        <f>'Monthly Data'!N50</f>
        <v>34010.772242230225</v>
      </c>
      <c r="O50" s="5">
        <f>'Monthly Data'!O50</f>
        <v>25271.989999999998</v>
      </c>
      <c r="P50" s="5">
        <f>'Monthly Data'!P50</f>
        <v>511.54999999999995</v>
      </c>
      <c r="Q50" s="8">
        <f>'Monthly Data'!Q50</f>
        <v>14724</v>
      </c>
      <c r="R50" s="8">
        <f>'Monthly Data'!R50</f>
        <v>1723</v>
      </c>
      <c r="S50" s="8">
        <f>'Monthly Data'!S50</f>
        <v>126</v>
      </c>
      <c r="T50" s="8">
        <f>'Monthly Data'!T50</f>
        <v>3018</v>
      </c>
      <c r="U50" s="8">
        <f>'Monthly Data'!U50</f>
        <v>30</v>
      </c>
      <c r="V50" s="45">
        <f>Weather!C170</f>
        <v>-4.0102200937996555</v>
      </c>
      <c r="W50" s="46">
        <f>Weather!D170</f>
        <v>806.3</v>
      </c>
      <c r="X50" s="46">
        <f>Weather!E170</f>
        <v>0</v>
      </c>
      <c r="Y50" s="46">
        <f>Weather!F170</f>
        <v>744.3</v>
      </c>
      <c r="Z50" s="46">
        <f>Weather!G170</f>
        <v>0</v>
      </c>
      <c r="AA50" s="46">
        <f>Weather!H170</f>
        <v>682.3</v>
      </c>
      <c r="AB50" s="46">
        <f>Weather!I170</f>
        <v>0</v>
      </c>
      <c r="AC50" s="46">
        <f>Weather!J170</f>
        <v>620.29999999999995</v>
      </c>
      <c r="AD50" s="46">
        <f>Weather!K170</f>
        <v>0</v>
      </c>
      <c r="AE50" s="46">
        <f>Weather!L170</f>
        <v>558.29999999999995</v>
      </c>
      <c r="AF50" s="46">
        <f>Weather!M170</f>
        <v>0</v>
      </c>
      <c r="AG50" s="46">
        <f>Weather!N170</f>
        <v>496.3</v>
      </c>
      <c r="AH50" s="46">
        <f>Weather!O170</f>
        <v>0</v>
      </c>
      <c r="AI50" s="46">
        <f>Weather!P170</f>
        <v>434.3</v>
      </c>
      <c r="AJ50" s="46">
        <f>Weather!Q170</f>
        <v>0</v>
      </c>
      <c r="AK50" s="46">
        <f>Weather!R170</f>
        <v>372.3</v>
      </c>
      <c r="AL50" s="46">
        <f>Weather!S170</f>
        <v>0</v>
      </c>
      <c r="AM50" s="43">
        <f>Economic!C50</f>
        <v>692620.80000000005</v>
      </c>
      <c r="AN50" s="43">
        <f>Economic!D50</f>
        <v>6871.7</v>
      </c>
      <c r="AO50" s="43">
        <f>Economic!E50</f>
        <v>6837.4</v>
      </c>
      <c r="AP50" s="43">
        <f>Economic!F50</f>
        <v>105.1</v>
      </c>
      <c r="AQ50" s="43">
        <f>Economic!G50</f>
        <v>105.5</v>
      </c>
      <c r="AR50" s="47">
        <f>AR2</f>
        <v>31</v>
      </c>
      <c r="AS50" s="47">
        <v>22</v>
      </c>
      <c r="AT50" s="47">
        <f t="shared" si="22"/>
        <v>49</v>
      </c>
      <c r="AU50" s="47">
        <f t="shared" si="48"/>
        <v>1</v>
      </c>
      <c r="AV50" s="47">
        <f t="shared" si="48"/>
        <v>0</v>
      </c>
      <c r="AW50" s="47">
        <f t="shared" si="48"/>
        <v>0</v>
      </c>
      <c r="AX50" s="47">
        <f t="shared" si="48"/>
        <v>0</v>
      </c>
      <c r="AY50" s="47">
        <f t="shared" si="48"/>
        <v>0</v>
      </c>
      <c r="AZ50" s="47">
        <f t="shared" si="48"/>
        <v>0</v>
      </c>
      <c r="BA50" s="47">
        <f t="shared" si="48"/>
        <v>0</v>
      </c>
      <c r="BB50" s="47">
        <f t="shared" si="48"/>
        <v>0</v>
      </c>
      <c r="BC50" s="47">
        <f t="shared" si="48"/>
        <v>0</v>
      </c>
      <c r="BD50" s="47">
        <f t="shared" si="48"/>
        <v>0</v>
      </c>
      <c r="BE50" s="47">
        <f t="shared" si="48"/>
        <v>0</v>
      </c>
      <c r="BF50" s="47">
        <f t="shared" si="48"/>
        <v>0</v>
      </c>
      <c r="BG50" s="47">
        <f t="shared" si="48"/>
        <v>0</v>
      </c>
      <c r="BH50" s="47">
        <f t="shared" si="48"/>
        <v>0</v>
      </c>
      <c r="BI50" s="47">
        <f t="shared" si="2"/>
        <v>0</v>
      </c>
      <c r="BJ50" s="48">
        <v>0</v>
      </c>
      <c r="BK50" s="48">
        <v>0</v>
      </c>
      <c r="BL50" s="48">
        <f t="shared" si="23"/>
        <v>0</v>
      </c>
      <c r="BM50" s="47">
        <f t="shared" si="25"/>
        <v>0</v>
      </c>
      <c r="BN50" s="53">
        <f t="shared" si="29"/>
        <v>0</v>
      </c>
      <c r="BO50" s="53">
        <f t="shared" si="30"/>
        <v>0</v>
      </c>
      <c r="BP50" s="53">
        <f t="shared" si="31"/>
        <v>0</v>
      </c>
      <c r="BQ50" s="53">
        <f t="shared" si="32"/>
        <v>0</v>
      </c>
      <c r="BR50" s="53">
        <f t="shared" si="33"/>
        <v>0</v>
      </c>
      <c r="BS50" s="53">
        <f t="shared" si="34"/>
        <v>0</v>
      </c>
      <c r="BT50" s="53">
        <f t="shared" si="35"/>
        <v>0</v>
      </c>
      <c r="BU50" s="53">
        <f t="shared" si="36"/>
        <v>0</v>
      </c>
      <c r="BV50" s="53">
        <f t="shared" si="37"/>
        <v>0</v>
      </c>
      <c r="BW50" s="53">
        <f t="shared" si="38"/>
        <v>0</v>
      </c>
      <c r="BX50" s="53">
        <f t="shared" si="39"/>
        <v>0</v>
      </c>
      <c r="BY50" s="53">
        <f t="shared" si="40"/>
        <v>0</v>
      </c>
      <c r="BZ50" s="53">
        <f t="shared" si="41"/>
        <v>0</v>
      </c>
      <c r="CA50" s="53">
        <f t="shared" si="42"/>
        <v>0</v>
      </c>
      <c r="CB50" s="53">
        <f t="shared" si="43"/>
        <v>0</v>
      </c>
      <c r="CC50" s="53">
        <f t="shared" si="44"/>
        <v>0</v>
      </c>
      <c r="CD50" s="8">
        <f t="shared" si="45"/>
        <v>854.80792311485732</v>
      </c>
      <c r="CE50" s="8">
        <f t="shared" si="46"/>
        <v>2621.373953485137</v>
      </c>
      <c r="CF50" s="8">
        <f t="shared" si="47"/>
        <v>91447.221493817895</v>
      </c>
    </row>
    <row r="51" spans="1:84">
      <c r="A51" s="7">
        <f>'Monthly Data'!A51</f>
        <v>42401</v>
      </c>
      <c r="B51" s="6">
        <f>'Monthly Data'!B51</f>
        <v>2016</v>
      </c>
      <c r="C51" s="6">
        <f t="shared" si="1"/>
        <v>2</v>
      </c>
      <c r="D51" s="8">
        <f>'Monthly Data'!D51</f>
        <v>11677569.979080239</v>
      </c>
      <c r="E51" s="1">
        <f>'Monthly Data'!E51</f>
        <v>198370.29154496465</v>
      </c>
      <c r="F51" s="8">
        <f>'Monthly Data'!F51</f>
        <v>11875940.270625204</v>
      </c>
      <c r="G51" s="8">
        <f>'Monthly Data'!G51</f>
        <v>4152083.7733572423</v>
      </c>
      <c r="H51" s="1">
        <f>'Monthly Data'!H51</f>
        <v>246828.58648979184</v>
      </c>
      <c r="I51" s="8">
        <f>'Monthly Data'!I51</f>
        <v>4398912.3598470343</v>
      </c>
      <c r="J51" s="8">
        <f>'Monthly Data'!J51</f>
        <v>11106545.541198021</v>
      </c>
      <c r="K51" s="1">
        <f>'Monthly Data'!K51</f>
        <v>255809.82296543571</v>
      </c>
      <c r="L51" s="8">
        <f>'Monthly Data'!L51</f>
        <v>11362355.364163456</v>
      </c>
      <c r="M51" s="8">
        <f>'Monthly Data'!M51</f>
        <v>199737.63340115434</v>
      </c>
      <c r="N51" s="8">
        <f>'Monthly Data'!N51</f>
        <v>31065.543450157224</v>
      </c>
      <c r="O51" s="5">
        <f>'Monthly Data'!O51</f>
        <v>24882.779999999995</v>
      </c>
      <c r="P51" s="5">
        <f>'Monthly Data'!P51</f>
        <v>511.54999999999995</v>
      </c>
      <c r="Q51" s="8">
        <f>'Monthly Data'!Q51</f>
        <v>14666</v>
      </c>
      <c r="R51" s="8">
        <f>'Monthly Data'!R51</f>
        <v>1724</v>
      </c>
      <c r="S51" s="8">
        <f>'Monthly Data'!S51</f>
        <v>144</v>
      </c>
      <c r="T51" s="8">
        <f>'Monthly Data'!T51</f>
        <v>3069</v>
      </c>
      <c r="U51" s="8">
        <f>'Monthly Data'!U51</f>
        <v>30</v>
      </c>
      <c r="V51" s="45">
        <f>Weather!C171</f>
        <v>-3.5</v>
      </c>
      <c r="W51" s="46">
        <f>Weather!D171</f>
        <v>739.5</v>
      </c>
      <c r="X51" s="46">
        <f>Weather!E171</f>
        <v>0</v>
      </c>
      <c r="Y51" s="46">
        <f>Weather!F171</f>
        <v>681.5</v>
      </c>
      <c r="Z51" s="46">
        <f>Weather!G171</f>
        <v>0</v>
      </c>
      <c r="AA51" s="46">
        <f>Weather!H171</f>
        <v>623.5</v>
      </c>
      <c r="AB51" s="46">
        <f>Weather!I171</f>
        <v>0</v>
      </c>
      <c r="AC51" s="46">
        <f>Weather!J171</f>
        <v>565.5</v>
      </c>
      <c r="AD51" s="46">
        <f>Weather!K171</f>
        <v>0</v>
      </c>
      <c r="AE51" s="46">
        <f>Weather!L171</f>
        <v>507.5</v>
      </c>
      <c r="AF51" s="46">
        <f>Weather!M171</f>
        <v>0</v>
      </c>
      <c r="AG51" s="46">
        <f>Weather!N171</f>
        <v>449.5</v>
      </c>
      <c r="AH51" s="46">
        <f>Weather!O171</f>
        <v>0</v>
      </c>
      <c r="AI51" s="46">
        <f>Weather!P171</f>
        <v>391.5</v>
      </c>
      <c r="AJ51" s="46">
        <f>Weather!Q171</f>
        <v>0</v>
      </c>
      <c r="AK51" s="46">
        <f>Weather!R171</f>
        <v>333.5</v>
      </c>
      <c r="AL51" s="46">
        <f>Weather!S171</f>
        <v>0</v>
      </c>
      <c r="AM51" s="43">
        <f>Economic!C51</f>
        <v>692620.80000000005</v>
      </c>
      <c r="AN51" s="43">
        <f>Economic!D51</f>
        <v>6885.9</v>
      </c>
      <c r="AO51" s="43">
        <f>Economic!E51</f>
        <v>6815.5</v>
      </c>
      <c r="AP51" s="43">
        <f>Economic!F51</f>
        <v>106.4</v>
      </c>
      <c r="AQ51" s="43">
        <f>Economic!G51</f>
        <v>105.7</v>
      </c>
      <c r="AR51" s="47">
        <f t="shared" ref="AR51:AR114" si="49">AR3</f>
        <v>29</v>
      </c>
      <c r="AS51" s="47">
        <v>19</v>
      </c>
      <c r="AT51" s="47">
        <f t="shared" si="22"/>
        <v>50</v>
      </c>
      <c r="AU51" s="47">
        <f t="shared" si="48"/>
        <v>0</v>
      </c>
      <c r="AV51" s="47">
        <f t="shared" si="48"/>
        <v>1</v>
      </c>
      <c r="AW51" s="47">
        <f t="shared" si="48"/>
        <v>0</v>
      </c>
      <c r="AX51" s="47">
        <f t="shared" si="48"/>
        <v>0</v>
      </c>
      <c r="AY51" s="47">
        <f t="shared" si="48"/>
        <v>0</v>
      </c>
      <c r="AZ51" s="47">
        <f t="shared" si="48"/>
        <v>0</v>
      </c>
      <c r="BA51" s="47">
        <f t="shared" si="48"/>
        <v>0</v>
      </c>
      <c r="BB51" s="47">
        <f t="shared" si="48"/>
        <v>0</v>
      </c>
      <c r="BC51" s="47">
        <f t="shared" si="48"/>
        <v>0</v>
      </c>
      <c r="BD51" s="47">
        <f t="shared" si="48"/>
        <v>0</v>
      </c>
      <c r="BE51" s="47">
        <f t="shared" si="48"/>
        <v>0</v>
      </c>
      <c r="BF51" s="47">
        <f t="shared" si="48"/>
        <v>0</v>
      </c>
      <c r="BG51" s="47">
        <f t="shared" si="48"/>
        <v>0</v>
      </c>
      <c r="BH51" s="47">
        <f t="shared" si="48"/>
        <v>0</v>
      </c>
      <c r="BI51" s="47">
        <f t="shared" si="2"/>
        <v>0</v>
      </c>
      <c r="BJ51" s="48">
        <v>0</v>
      </c>
      <c r="BK51" s="48">
        <v>0</v>
      </c>
      <c r="BL51" s="48">
        <f t="shared" si="23"/>
        <v>0</v>
      </c>
      <c r="BM51" s="47">
        <f t="shared" si="25"/>
        <v>0</v>
      </c>
      <c r="BN51" s="53">
        <f t="shared" si="29"/>
        <v>0</v>
      </c>
      <c r="BO51" s="53">
        <f t="shared" si="30"/>
        <v>0</v>
      </c>
      <c r="BP51" s="53">
        <f t="shared" si="31"/>
        <v>0</v>
      </c>
      <c r="BQ51" s="53">
        <f t="shared" si="32"/>
        <v>0</v>
      </c>
      <c r="BR51" s="53">
        <f t="shared" si="33"/>
        <v>0</v>
      </c>
      <c r="BS51" s="53">
        <f t="shared" si="34"/>
        <v>0</v>
      </c>
      <c r="BT51" s="53">
        <f t="shared" si="35"/>
        <v>0</v>
      </c>
      <c r="BU51" s="53">
        <f t="shared" si="36"/>
        <v>0</v>
      </c>
      <c r="BV51" s="53">
        <f t="shared" si="37"/>
        <v>0</v>
      </c>
      <c r="BW51" s="53">
        <f t="shared" si="38"/>
        <v>0</v>
      </c>
      <c r="BX51" s="53">
        <f t="shared" si="39"/>
        <v>0</v>
      </c>
      <c r="BY51" s="53">
        <f t="shared" si="40"/>
        <v>0</v>
      </c>
      <c r="BZ51" s="53">
        <f t="shared" si="41"/>
        <v>0</v>
      </c>
      <c r="CA51" s="53">
        <f t="shared" si="42"/>
        <v>0</v>
      </c>
      <c r="CB51" s="53">
        <f t="shared" si="43"/>
        <v>0</v>
      </c>
      <c r="CC51" s="53">
        <f t="shared" si="44"/>
        <v>0</v>
      </c>
      <c r="CD51" s="8">
        <f t="shared" si="45"/>
        <v>809.76000754297036</v>
      </c>
      <c r="CE51" s="8">
        <f t="shared" si="46"/>
        <v>2551.5732945748459</v>
      </c>
      <c r="CF51" s="8">
        <f t="shared" si="47"/>
        <v>78905.245584468445</v>
      </c>
    </row>
    <row r="52" spans="1:84">
      <c r="A52" s="7">
        <f>'Monthly Data'!A52</f>
        <v>42430</v>
      </c>
      <c r="B52" s="6">
        <f>'Monthly Data'!B52</f>
        <v>2016</v>
      </c>
      <c r="C52" s="6">
        <f t="shared" si="1"/>
        <v>3</v>
      </c>
      <c r="D52" s="8">
        <f>'Monthly Data'!D52</f>
        <v>11211169.235502606</v>
      </c>
      <c r="E52" s="1">
        <f>'Monthly Data'!E52</f>
        <v>198370.29154496465</v>
      </c>
      <c r="F52" s="8">
        <f>'Monthly Data'!F52</f>
        <v>11409539.527047571</v>
      </c>
      <c r="G52" s="8">
        <f>'Monthly Data'!G52</f>
        <v>4135689.9597290251</v>
      </c>
      <c r="H52" s="1">
        <f>'Monthly Data'!H52</f>
        <v>246828.58648979184</v>
      </c>
      <c r="I52" s="8">
        <f>'Monthly Data'!I52</f>
        <v>4382518.5462188171</v>
      </c>
      <c r="J52" s="8">
        <f>'Monthly Data'!J52</f>
        <v>11187739.524963889</v>
      </c>
      <c r="K52" s="1">
        <f>'Monthly Data'!K52</f>
        <v>255809.82296543571</v>
      </c>
      <c r="L52" s="8">
        <f>'Monthly Data'!L52</f>
        <v>11443549.347929325</v>
      </c>
      <c r="M52" s="8">
        <f>'Monthly Data'!M52</f>
        <v>176768.39774248595</v>
      </c>
      <c r="N52" s="8">
        <f>'Monthly Data'!N52</f>
        <v>34160.893191165975</v>
      </c>
      <c r="O52" s="5">
        <f>'Monthly Data'!O52</f>
        <v>27735.630000000005</v>
      </c>
      <c r="P52" s="5">
        <f>'Monthly Data'!P52</f>
        <v>511.54999999999995</v>
      </c>
      <c r="Q52" s="8">
        <f>'Monthly Data'!Q52</f>
        <v>14697.5</v>
      </c>
      <c r="R52" s="8">
        <f>'Monthly Data'!R52</f>
        <v>1731</v>
      </c>
      <c r="S52" s="8">
        <f>'Monthly Data'!S52</f>
        <v>136</v>
      </c>
      <c r="T52" s="8">
        <f>'Monthly Data'!T52</f>
        <v>3069</v>
      </c>
      <c r="U52" s="8">
        <f>'Monthly Data'!U52</f>
        <v>30</v>
      </c>
      <c r="V52" s="45">
        <f>Weather!C172</f>
        <v>1.442472110272327</v>
      </c>
      <c r="W52" s="46">
        <f>Weather!D172</f>
        <v>637.29999999999995</v>
      </c>
      <c r="X52" s="46">
        <f>Weather!E172</f>
        <v>0</v>
      </c>
      <c r="Y52" s="46">
        <f>Weather!F172</f>
        <v>575.29999999999995</v>
      </c>
      <c r="Z52" s="46">
        <f>Weather!G172</f>
        <v>0</v>
      </c>
      <c r="AA52" s="46">
        <f>Weather!H172</f>
        <v>513.29999999999995</v>
      </c>
      <c r="AB52" s="46">
        <f>Weather!I172</f>
        <v>0</v>
      </c>
      <c r="AC52" s="46">
        <f>Weather!J172</f>
        <v>451.3</v>
      </c>
      <c r="AD52" s="46">
        <f>Weather!K172</f>
        <v>0</v>
      </c>
      <c r="AE52" s="46">
        <f>Weather!L172</f>
        <v>389.3</v>
      </c>
      <c r="AF52" s="46">
        <f>Weather!M172</f>
        <v>0</v>
      </c>
      <c r="AG52" s="46">
        <f>Weather!N172</f>
        <v>327.8</v>
      </c>
      <c r="AH52" s="46">
        <f>Weather!O172</f>
        <v>0.5</v>
      </c>
      <c r="AI52" s="46">
        <f>Weather!P172</f>
        <v>268.7</v>
      </c>
      <c r="AJ52" s="46">
        <f>Weather!Q172</f>
        <v>3.4</v>
      </c>
      <c r="AK52" s="46">
        <f>Weather!R172</f>
        <v>210.7</v>
      </c>
      <c r="AL52" s="46">
        <f>Weather!S172</f>
        <v>7.4</v>
      </c>
      <c r="AM52" s="43">
        <f>Economic!C52</f>
        <v>692620.80000000005</v>
      </c>
      <c r="AN52" s="43">
        <f>Economic!D52</f>
        <v>6897.7</v>
      </c>
      <c r="AO52" s="43">
        <f>Economic!E52</f>
        <v>6793.5</v>
      </c>
      <c r="AP52" s="43">
        <f>Economic!F52</f>
        <v>106.8</v>
      </c>
      <c r="AQ52" s="43">
        <f>Economic!G52</f>
        <v>105.8</v>
      </c>
      <c r="AR52" s="47">
        <f t="shared" si="49"/>
        <v>31</v>
      </c>
      <c r="AS52" s="47">
        <v>21</v>
      </c>
      <c r="AT52" s="47">
        <f t="shared" si="22"/>
        <v>51</v>
      </c>
      <c r="AU52" s="47">
        <f t="shared" si="48"/>
        <v>0</v>
      </c>
      <c r="AV52" s="47">
        <f t="shared" si="48"/>
        <v>0</v>
      </c>
      <c r="AW52" s="47">
        <f t="shared" si="48"/>
        <v>1</v>
      </c>
      <c r="AX52" s="47">
        <f t="shared" si="48"/>
        <v>0</v>
      </c>
      <c r="AY52" s="47">
        <f t="shared" si="48"/>
        <v>0</v>
      </c>
      <c r="AZ52" s="47">
        <f t="shared" si="48"/>
        <v>0</v>
      </c>
      <c r="BA52" s="47">
        <f t="shared" si="48"/>
        <v>0</v>
      </c>
      <c r="BB52" s="47">
        <f t="shared" si="48"/>
        <v>0</v>
      </c>
      <c r="BC52" s="47">
        <f t="shared" si="48"/>
        <v>0</v>
      </c>
      <c r="BD52" s="47">
        <f t="shared" si="48"/>
        <v>0</v>
      </c>
      <c r="BE52" s="47">
        <f t="shared" si="48"/>
        <v>0</v>
      </c>
      <c r="BF52" s="47">
        <f t="shared" si="48"/>
        <v>0</v>
      </c>
      <c r="BG52" s="47">
        <f t="shared" si="48"/>
        <v>1</v>
      </c>
      <c r="BH52" s="47">
        <f t="shared" si="48"/>
        <v>0</v>
      </c>
      <c r="BI52" s="47">
        <f t="shared" si="2"/>
        <v>1</v>
      </c>
      <c r="BJ52" s="48">
        <v>0</v>
      </c>
      <c r="BK52" s="48">
        <v>0</v>
      </c>
      <c r="BL52" s="48">
        <f t="shared" si="23"/>
        <v>0</v>
      </c>
      <c r="BM52" s="47">
        <f t="shared" si="25"/>
        <v>0</v>
      </c>
      <c r="BN52" s="53">
        <f t="shared" si="29"/>
        <v>0</v>
      </c>
      <c r="BO52" s="53">
        <f t="shared" si="30"/>
        <v>0</v>
      </c>
      <c r="BP52" s="53">
        <f t="shared" si="31"/>
        <v>0</v>
      </c>
      <c r="BQ52" s="53">
        <f t="shared" si="32"/>
        <v>0</v>
      </c>
      <c r="BR52" s="53">
        <f t="shared" si="33"/>
        <v>0</v>
      </c>
      <c r="BS52" s="53">
        <f t="shared" si="34"/>
        <v>0</v>
      </c>
      <c r="BT52" s="53">
        <f t="shared" si="35"/>
        <v>0</v>
      </c>
      <c r="BU52" s="53">
        <f t="shared" si="36"/>
        <v>0</v>
      </c>
      <c r="BV52" s="53">
        <f t="shared" si="37"/>
        <v>0</v>
      </c>
      <c r="BW52" s="53">
        <f t="shared" si="38"/>
        <v>0</v>
      </c>
      <c r="BX52" s="53">
        <f t="shared" si="39"/>
        <v>0</v>
      </c>
      <c r="BY52" s="53">
        <f t="shared" si="40"/>
        <v>0</v>
      </c>
      <c r="BZ52" s="53">
        <f t="shared" si="41"/>
        <v>0</v>
      </c>
      <c r="CA52" s="53">
        <f t="shared" si="42"/>
        <v>0</v>
      </c>
      <c r="CB52" s="53">
        <f t="shared" si="43"/>
        <v>0</v>
      </c>
      <c r="CC52" s="53">
        <f t="shared" si="44"/>
        <v>0</v>
      </c>
      <c r="CD52" s="8">
        <f t="shared" si="45"/>
        <v>776.29117380830553</v>
      </c>
      <c r="CE52" s="8">
        <f t="shared" si="46"/>
        <v>2531.7842554701429</v>
      </c>
      <c r="CF52" s="8">
        <f t="shared" si="47"/>
        <v>84143.745205362677</v>
      </c>
    </row>
    <row r="53" spans="1:84">
      <c r="A53" s="7">
        <f>'Monthly Data'!A53</f>
        <v>42461</v>
      </c>
      <c r="B53" s="6">
        <f>'Monthly Data'!B53</f>
        <v>2016</v>
      </c>
      <c r="C53" s="6">
        <f t="shared" si="1"/>
        <v>4</v>
      </c>
      <c r="D53" s="8">
        <f>'Monthly Data'!D53</f>
        <v>9324741.16342129</v>
      </c>
      <c r="E53" s="1">
        <f>'Monthly Data'!E53</f>
        <v>198370.29154496465</v>
      </c>
      <c r="F53" s="8">
        <f>'Monthly Data'!F53</f>
        <v>9523111.4549662545</v>
      </c>
      <c r="G53" s="8">
        <f>'Monthly Data'!G53</f>
        <v>3689399.7142583006</v>
      </c>
      <c r="H53" s="1">
        <f>'Monthly Data'!H53</f>
        <v>246828.58648979184</v>
      </c>
      <c r="I53" s="8">
        <f>'Monthly Data'!I53</f>
        <v>3936228.3007480926</v>
      </c>
      <c r="J53" s="8">
        <f>'Monthly Data'!J53</f>
        <v>10070952.854873979</v>
      </c>
      <c r="K53" s="1">
        <f>'Monthly Data'!K53</f>
        <v>255809.82296543571</v>
      </c>
      <c r="L53" s="8">
        <f>'Monthly Data'!L53</f>
        <v>10326762.677839415</v>
      </c>
      <c r="M53" s="8">
        <f>'Monthly Data'!M53</f>
        <v>148609.893627702</v>
      </c>
      <c r="N53" s="8">
        <f>'Monthly Data'!N53</f>
        <v>34364.849219974727</v>
      </c>
      <c r="O53" s="5">
        <f>'Monthly Data'!O53</f>
        <v>26003.790000000005</v>
      </c>
      <c r="P53" s="5">
        <f>'Monthly Data'!P53</f>
        <v>501.98999999999995</v>
      </c>
      <c r="Q53" s="8">
        <f>'Monthly Data'!Q53</f>
        <v>14697.5</v>
      </c>
      <c r="R53" s="8">
        <f>'Monthly Data'!R53</f>
        <v>1731</v>
      </c>
      <c r="S53" s="8">
        <f>'Monthly Data'!S53</f>
        <v>130</v>
      </c>
      <c r="T53" s="8">
        <f>'Monthly Data'!T53</f>
        <v>3069</v>
      </c>
      <c r="U53" s="8">
        <f>'Monthly Data'!U53</f>
        <v>30</v>
      </c>
      <c r="V53" s="45">
        <f>Weather!C173</f>
        <v>3.3416635418442127</v>
      </c>
      <c r="W53" s="46">
        <f>Weather!D173</f>
        <v>559.79999999999995</v>
      </c>
      <c r="X53" s="46">
        <f>Weather!E173</f>
        <v>0</v>
      </c>
      <c r="Y53" s="46">
        <f>Weather!F173</f>
        <v>499.8</v>
      </c>
      <c r="Z53" s="46">
        <f>Weather!G173</f>
        <v>0</v>
      </c>
      <c r="AA53" s="46">
        <f>Weather!H173</f>
        <v>439.8</v>
      </c>
      <c r="AB53" s="46">
        <f>Weather!I173</f>
        <v>0</v>
      </c>
      <c r="AC53" s="46">
        <f>Weather!J173</f>
        <v>379.8</v>
      </c>
      <c r="AD53" s="46">
        <f>Weather!K173</f>
        <v>0</v>
      </c>
      <c r="AE53" s="46">
        <f>Weather!L173</f>
        <v>319.8</v>
      </c>
      <c r="AF53" s="46">
        <f>Weather!M173</f>
        <v>0</v>
      </c>
      <c r="AG53" s="46">
        <f>Weather!N173</f>
        <v>261.7</v>
      </c>
      <c r="AH53" s="46">
        <f>Weather!O173</f>
        <v>1.9</v>
      </c>
      <c r="AI53" s="46">
        <f>Weather!P173</f>
        <v>206.3</v>
      </c>
      <c r="AJ53" s="46">
        <f>Weather!Q173</f>
        <v>6.5</v>
      </c>
      <c r="AK53" s="46">
        <f>Weather!R173</f>
        <v>155.19999999999999</v>
      </c>
      <c r="AL53" s="46">
        <f>Weather!S173</f>
        <v>15.4</v>
      </c>
      <c r="AM53" s="43">
        <f>Economic!C53</f>
        <v>692620.80000000005</v>
      </c>
      <c r="AN53" s="43">
        <f>Economic!D53</f>
        <v>6905.4</v>
      </c>
      <c r="AO53" s="43">
        <f>Economic!E53</f>
        <v>6814.3</v>
      </c>
      <c r="AP53" s="43">
        <f>Economic!F53</f>
        <v>105.5</v>
      </c>
      <c r="AQ53" s="43">
        <f>Economic!G53</f>
        <v>104</v>
      </c>
      <c r="AR53" s="47">
        <f t="shared" si="49"/>
        <v>30</v>
      </c>
      <c r="AS53" s="47">
        <v>20</v>
      </c>
      <c r="AT53" s="47">
        <f t="shared" si="22"/>
        <v>52</v>
      </c>
      <c r="AU53" s="47">
        <f t="shared" si="48"/>
        <v>0</v>
      </c>
      <c r="AV53" s="47">
        <f t="shared" si="48"/>
        <v>0</v>
      </c>
      <c r="AW53" s="47">
        <f t="shared" si="48"/>
        <v>0</v>
      </c>
      <c r="AX53" s="47">
        <f t="shared" si="48"/>
        <v>1</v>
      </c>
      <c r="AY53" s="47">
        <f t="shared" si="48"/>
        <v>0</v>
      </c>
      <c r="AZ53" s="47">
        <f t="shared" si="48"/>
        <v>0</v>
      </c>
      <c r="BA53" s="47">
        <f t="shared" si="48"/>
        <v>0</v>
      </c>
      <c r="BB53" s="47">
        <f t="shared" si="48"/>
        <v>0</v>
      </c>
      <c r="BC53" s="47">
        <f t="shared" si="48"/>
        <v>0</v>
      </c>
      <c r="BD53" s="47">
        <f t="shared" si="48"/>
        <v>0</v>
      </c>
      <c r="BE53" s="47">
        <f t="shared" si="48"/>
        <v>0</v>
      </c>
      <c r="BF53" s="47">
        <f t="shared" si="48"/>
        <v>0</v>
      </c>
      <c r="BG53" s="47">
        <f t="shared" si="48"/>
        <v>1</v>
      </c>
      <c r="BH53" s="47">
        <f t="shared" si="48"/>
        <v>0</v>
      </c>
      <c r="BI53" s="47">
        <f t="shared" si="2"/>
        <v>1</v>
      </c>
      <c r="BJ53" s="48">
        <v>0</v>
      </c>
      <c r="BK53" s="48">
        <v>0</v>
      </c>
      <c r="BL53" s="48">
        <f t="shared" si="23"/>
        <v>0</v>
      </c>
      <c r="BM53" s="47">
        <f t="shared" si="25"/>
        <v>0</v>
      </c>
      <c r="BN53" s="53">
        <f t="shared" si="29"/>
        <v>0</v>
      </c>
      <c r="BO53" s="53">
        <f t="shared" si="30"/>
        <v>0</v>
      </c>
      <c r="BP53" s="53">
        <f t="shared" si="31"/>
        <v>0</v>
      </c>
      <c r="BQ53" s="53">
        <f t="shared" si="32"/>
        <v>0</v>
      </c>
      <c r="BR53" s="53">
        <f t="shared" si="33"/>
        <v>0</v>
      </c>
      <c r="BS53" s="53">
        <f t="shared" si="34"/>
        <v>0</v>
      </c>
      <c r="BT53" s="53">
        <f t="shared" si="35"/>
        <v>0</v>
      </c>
      <c r="BU53" s="53">
        <f t="shared" si="36"/>
        <v>0</v>
      </c>
      <c r="BV53" s="53">
        <f t="shared" si="37"/>
        <v>0</v>
      </c>
      <c r="BW53" s="53">
        <f t="shared" si="38"/>
        <v>0</v>
      </c>
      <c r="BX53" s="53">
        <f t="shared" si="39"/>
        <v>0</v>
      </c>
      <c r="BY53" s="53">
        <f t="shared" si="40"/>
        <v>0</v>
      </c>
      <c r="BZ53" s="53">
        <f t="shared" si="41"/>
        <v>0</v>
      </c>
      <c r="CA53" s="53">
        <f t="shared" si="42"/>
        <v>0</v>
      </c>
      <c r="CB53" s="53">
        <f t="shared" si="43"/>
        <v>0</v>
      </c>
      <c r="CC53" s="53">
        <f t="shared" si="44"/>
        <v>0</v>
      </c>
      <c r="CD53" s="8">
        <f t="shared" si="45"/>
        <v>647.94090525369995</v>
      </c>
      <c r="CE53" s="8">
        <f t="shared" si="46"/>
        <v>2273.9620454928322</v>
      </c>
      <c r="CF53" s="8">
        <f t="shared" si="47"/>
        <v>79436.635983380111</v>
      </c>
    </row>
    <row r="54" spans="1:84">
      <c r="A54" s="7">
        <f>'Monthly Data'!A54</f>
        <v>42491</v>
      </c>
      <c r="B54" s="6">
        <f>'Monthly Data'!B54</f>
        <v>2016</v>
      </c>
      <c r="C54" s="6">
        <f t="shared" si="1"/>
        <v>5</v>
      </c>
      <c r="D54" s="8">
        <f>'Monthly Data'!D54</f>
        <v>8202425.032766467</v>
      </c>
      <c r="E54" s="1">
        <f>'Monthly Data'!E54</f>
        <v>198370.29154496465</v>
      </c>
      <c r="F54" s="8">
        <f>'Monthly Data'!F54</f>
        <v>8400795.3243114315</v>
      </c>
      <c r="G54" s="8">
        <f>'Monthly Data'!G54</f>
        <v>3635237.4133716091</v>
      </c>
      <c r="H54" s="1">
        <f>'Monthly Data'!H54</f>
        <v>246828.58648979184</v>
      </c>
      <c r="I54" s="8">
        <f>'Monthly Data'!I54</f>
        <v>3882065.999861401</v>
      </c>
      <c r="J54" s="8">
        <f>'Monthly Data'!J54</f>
        <v>10734126.733036427</v>
      </c>
      <c r="K54" s="1">
        <f>'Monthly Data'!K54</f>
        <v>255809.82296543571</v>
      </c>
      <c r="L54" s="8">
        <f>'Monthly Data'!L54</f>
        <v>10989936.556001863</v>
      </c>
      <c r="M54" s="8">
        <f>'Monthly Data'!M54</f>
        <v>134063.85987369859</v>
      </c>
      <c r="N54" s="8">
        <f>'Monthly Data'!N54</f>
        <v>32305.711470968316</v>
      </c>
      <c r="O54" s="5">
        <f>'Monthly Data'!O54</f>
        <v>25716.509999999991</v>
      </c>
      <c r="P54" s="5">
        <f>'Monthly Data'!P54</f>
        <v>473.33000000000004</v>
      </c>
      <c r="Q54" s="8">
        <f>'Monthly Data'!Q54</f>
        <v>14833</v>
      </c>
      <c r="R54" s="8">
        <f>'Monthly Data'!R54</f>
        <v>1735</v>
      </c>
      <c r="S54" s="8">
        <f>'Monthly Data'!S54</f>
        <v>129</v>
      </c>
      <c r="T54" s="8">
        <f>'Monthly Data'!T54</f>
        <v>3069</v>
      </c>
      <c r="U54" s="8">
        <f>'Monthly Data'!U54</f>
        <v>30</v>
      </c>
      <c r="V54" s="45">
        <f>Weather!C174</f>
        <v>11.948387096774194</v>
      </c>
      <c r="W54" s="46">
        <f>Weather!D174</f>
        <v>318</v>
      </c>
      <c r="X54" s="46">
        <f>Weather!E174</f>
        <v>6.4</v>
      </c>
      <c r="Y54" s="46">
        <f>Weather!F174</f>
        <v>260.7</v>
      </c>
      <c r="Z54" s="46">
        <f>Weather!G174</f>
        <v>11.1</v>
      </c>
      <c r="AA54" s="46">
        <f>Weather!H174</f>
        <v>206</v>
      </c>
      <c r="AB54" s="46">
        <f>Weather!I174</f>
        <v>18.399999999999999</v>
      </c>
      <c r="AC54" s="46">
        <f>Weather!J174</f>
        <v>156.19999999999999</v>
      </c>
      <c r="AD54" s="46">
        <f>Weather!K174</f>
        <v>30.6</v>
      </c>
      <c r="AE54" s="46">
        <f>Weather!L174</f>
        <v>108.8</v>
      </c>
      <c r="AF54" s="46">
        <f>Weather!M174</f>
        <v>45.2</v>
      </c>
      <c r="AG54" s="46">
        <f>Weather!N174</f>
        <v>68.8</v>
      </c>
      <c r="AH54" s="46">
        <f>Weather!O174</f>
        <v>67.2</v>
      </c>
      <c r="AI54" s="46">
        <f>Weather!P174</f>
        <v>41.7</v>
      </c>
      <c r="AJ54" s="46">
        <f>Weather!Q174</f>
        <v>102.1</v>
      </c>
      <c r="AK54" s="46">
        <f>Weather!R174</f>
        <v>18.5</v>
      </c>
      <c r="AL54" s="46">
        <f>Weather!S174</f>
        <v>140.9</v>
      </c>
      <c r="AM54" s="43">
        <f>Economic!C54</f>
        <v>692620.80000000005</v>
      </c>
      <c r="AN54" s="43">
        <f>Economic!D54</f>
        <v>6917.8</v>
      </c>
      <c r="AO54" s="43">
        <f>Economic!E54</f>
        <v>6884.3</v>
      </c>
      <c r="AP54" s="43">
        <f>Economic!F54</f>
        <v>103.6</v>
      </c>
      <c r="AQ54" s="43">
        <f>Economic!G54</f>
        <v>103.5</v>
      </c>
      <c r="AR54" s="47">
        <f t="shared" si="49"/>
        <v>31</v>
      </c>
      <c r="AS54" s="47">
        <v>21</v>
      </c>
      <c r="AT54" s="47">
        <f t="shared" si="22"/>
        <v>53</v>
      </c>
      <c r="AU54" s="47">
        <f t="shared" si="48"/>
        <v>0</v>
      </c>
      <c r="AV54" s="47">
        <f t="shared" si="48"/>
        <v>0</v>
      </c>
      <c r="AW54" s="47">
        <f t="shared" si="48"/>
        <v>0</v>
      </c>
      <c r="AX54" s="47">
        <f t="shared" si="48"/>
        <v>0</v>
      </c>
      <c r="AY54" s="47">
        <f t="shared" si="48"/>
        <v>1</v>
      </c>
      <c r="AZ54" s="47">
        <f t="shared" si="48"/>
        <v>0</v>
      </c>
      <c r="BA54" s="47">
        <f t="shared" si="48"/>
        <v>0</v>
      </c>
      <c r="BB54" s="47">
        <f t="shared" si="48"/>
        <v>0</v>
      </c>
      <c r="BC54" s="47">
        <f t="shared" si="48"/>
        <v>0</v>
      </c>
      <c r="BD54" s="47">
        <f t="shared" si="48"/>
        <v>0</v>
      </c>
      <c r="BE54" s="47">
        <f t="shared" si="48"/>
        <v>0</v>
      </c>
      <c r="BF54" s="47">
        <f t="shared" si="48"/>
        <v>0</v>
      </c>
      <c r="BG54" s="47">
        <f t="shared" si="48"/>
        <v>1</v>
      </c>
      <c r="BH54" s="47">
        <f t="shared" si="48"/>
        <v>0</v>
      </c>
      <c r="BI54" s="47">
        <f t="shared" si="2"/>
        <v>1</v>
      </c>
      <c r="BJ54" s="48">
        <v>0</v>
      </c>
      <c r="BK54" s="48">
        <v>0</v>
      </c>
      <c r="BL54" s="48">
        <f t="shared" si="23"/>
        <v>0</v>
      </c>
      <c r="BM54" s="47">
        <f t="shared" si="25"/>
        <v>0</v>
      </c>
      <c r="BN54" s="53">
        <f t="shared" si="29"/>
        <v>0</v>
      </c>
      <c r="BO54" s="53">
        <f t="shared" si="30"/>
        <v>0</v>
      </c>
      <c r="BP54" s="53">
        <f t="shared" si="31"/>
        <v>0</v>
      </c>
      <c r="BQ54" s="53">
        <f t="shared" si="32"/>
        <v>0</v>
      </c>
      <c r="BR54" s="53">
        <f t="shared" si="33"/>
        <v>0</v>
      </c>
      <c r="BS54" s="53">
        <f t="shared" si="34"/>
        <v>0</v>
      </c>
      <c r="BT54" s="53">
        <f t="shared" si="35"/>
        <v>0</v>
      </c>
      <c r="BU54" s="53">
        <f t="shared" si="36"/>
        <v>0</v>
      </c>
      <c r="BV54" s="53">
        <f t="shared" si="37"/>
        <v>0</v>
      </c>
      <c r="BW54" s="53">
        <f t="shared" si="38"/>
        <v>0</v>
      </c>
      <c r="BX54" s="53">
        <f t="shared" si="39"/>
        <v>0</v>
      </c>
      <c r="BY54" s="53">
        <f t="shared" si="40"/>
        <v>0</v>
      </c>
      <c r="BZ54" s="53">
        <f t="shared" si="41"/>
        <v>0</v>
      </c>
      <c r="CA54" s="53">
        <f t="shared" si="42"/>
        <v>0</v>
      </c>
      <c r="CB54" s="53">
        <f t="shared" si="43"/>
        <v>0</v>
      </c>
      <c r="CC54" s="53">
        <f t="shared" si="44"/>
        <v>0</v>
      </c>
      <c r="CD54" s="8">
        <f t="shared" si="45"/>
        <v>566.35847935761012</v>
      </c>
      <c r="CE54" s="8">
        <f t="shared" si="46"/>
        <v>2237.5020172111822</v>
      </c>
      <c r="CF54" s="8">
        <f t="shared" si="47"/>
        <v>85193.306635673347</v>
      </c>
    </row>
    <row r="55" spans="1:84">
      <c r="A55" s="7">
        <f>'Monthly Data'!A55</f>
        <v>42522</v>
      </c>
      <c r="B55" s="6">
        <f>'Monthly Data'!B55</f>
        <v>2016</v>
      </c>
      <c r="C55" s="6">
        <f t="shared" ref="C55:C116" si="50">MONTH(A55)</f>
        <v>6</v>
      </c>
      <c r="D55" s="8">
        <f>'Monthly Data'!D55</f>
        <v>8210837.070834836</v>
      </c>
      <c r="E55" s="1">
        <f>'Monthly Data'!E55</f>
        <v>198370.29154496465</v>
      </c>
      <c r="F55" s="8">
        <f>'Monthly Data'!F55</f>
        <v>8409207.3623798005</v>
      </c>
      <c r="G55" s="8">
        <f>'Monthly Data'!G55</f>
        <v>3724923.8132245392</v>
      </c>
      <c r="H55" s="1">
        <f>'Monthly Data'!H55</f>
        <v>246828.58648979184</v>
      </c>
      <c r="I55" s="8">
        <f>'Monthly Data'!I55</f>
        <v>3971752.3997143311</v>
      </c>
      <c r="J55" s="8">
        <f>'Monthly Data'!J55</f>
        <v>10682680.940668745</v>
      </c>
      <c r="K55" s="1">
        <f>'Monthly Data'!K55</f>
        <v>255809.82296543571</v>
      </c>
      <c r="L55" s="8">
        <f>'Monthly Data'!L55</f>
        <v>10938490.763634181</v>
      </c>
      <c r="M55" s="8">
        <f>'Monthly Data'!M55</f>
        <v>119797.86904008915</v>
      </c>
      <c r="N55" s="8">
        <f>'Monthly Data'!N55</f>
        <v>33307.505682559764</v>
      </c>
      <c r="O55" s="5">
        <f>'Monthly Data'!O55</f>
        <v>26115.979999999996</v>
      </c>
      <c r="P55" s="5">
        <f>'Monthly Data'!P55</f>
        <v>473.33</v>
      </c>
      <c r="Q55" s="8">
        <f>'Monthly Data'!Q55</f>
        <v>14776</v>
      </c>
      <c r="R55" s="8">
        <f>'Monthly Data'!R55</f>
        <v>1738</v>
      </c>
      <c r="S55" s="8">
        <f>'Monthly Data'!S55</f>
        <v>124</v>
      </c>
      <c r="T55" s="8">
        <f>'Monthly Data'!T55</f>
        <v>3069</v>
      </c>
      <c r="U55" s="8">
        <f>'Monthly Data'!U55</f>
        <v>30</v>
      </c>
      <c r="V55" s="45">
        <f>Weather!C175</f>
        <v>17.300554513948068</v>
      </c>
      <c r="W55" s="46">
        <f>Weather!D175</f>
        <v>149.30000000000001</v>
      </c>
      <c r="X55" s="46">
        <f>Weather!E175</f>
        <v>8.3000000000000007</v>
      </c>
      <c r="Y55" s="46">
        <f>Weather!F175</f>
        <v>101.2</v>
      </c>
      <c r="Z55" s="46">
        <f>Weather!G175</f>
        <v>20.2</v>
      </c>
      <c r="AA55" s="46">
        <f>Weather!H175</f>
        <v>58.3</v>
      </c>
      <c r="AB55" s="46">
        <f>Weather!I175</f>
        <v>37.299999999999997</v>
      </c>
      <c r="AC55" s="46">
        <f>Weather!J175</f>
        <v>28.5</v>
      </c>
      <c r="AD55" s="46">
        <f>Weather!K175</f>
        <v>67.5</v>
      </c>
      <c r="AE55" s="46">
        <f>Weather!L175</f>
        <v>10.199999999999999</v>
      </c>
      <c r="AF55" s="46">
        <f>Weather!M175</f>
        <v>109.2</v>
      </c>
      <c r="AG55" s="46">
        <f>Weather!N175</f>
        <v>2</v>
      </c>
      <c r="AH55" s="46">
        <f>Weather!O175</f>
        <v>161</v>
      </c>
      <c r="AI55" s="46">
        <f>Weather!P175</f>
        <v>0</v>
      </c>
      <c r="AJ55" s="46">
        <f>Weather!Q175</f>
        <v>219</v>
      </c>
      <c r="AK55" s="46">
        <f>Weather!R175</f>
        <v>0</v>
      </c>
      <c r="AL55" s="46">
        <f>Weather!S175</f>
        <v>279</v>
      </c>
      <c r="AM55" s="43">
        <f>Economic!C55</f>
        <v>692620.80000000005</v>
      </c>
      <c r="AN55" s="43">
        <f>Economic!D55</f>
        <v>6923.9</v>
      </c>
      <c r="AO55" s="43">
        <f>Economic!E55</f>
        <v>6966.5</v>
      </c>
      <c r="AP55" s="43">
        <f>Economic!F55</f>
        <v>101.2</v>
      </c>
      <c r="AQ55" s="43">
        <f>Economic!G55</f>
        <v>102.1</v>
      </c>
      <c r="AR55" s="47">
        <f t="shared" si="49"/>
        <v>30</v>
      </c>
      <c r="AS55" s="47">
        <v>21</v>
      </c>
      <c r="AT55" s="47">
        <f t="shared" ref="AT55:AT119" si="51">1+AT54</f>
        <v>54</v>
      </c>
      <c r="AU55" s="47">
        <f t="shared" si="48"/>
        <v>0</v>
      </c>
      <c r="AV55" s="47">
        <f t="shared" si="48"/>
        <v>0</v>
      </c>
      <c r="AW55" s="47">
        <f t="shared" si="48"/>
        <v>0</v>
      </c>
      <c r="AX55" s="47">
        <f t="shared" si="48"/>
        <v>0</v>
      </c>
      <c r="AY55" s="47">
        <f t="shared" si="48"/>
        <v>0</v>
      </c>
      <c r="AZ55" s="47">
        <f t="shared" si="48"/>
        <v>1</v>
      </c>
      <c r="BA55" s="47">
        <f t="shared" si="48"/>
        <v>0</v>
      </c>
      <c r="BB55" s="47">
        <f t="shared" si="48"/>
        <v>0</v>
      </c>
      <c r="BC55" s="47">
        <f t="shared" si="48"/>
        <v>0</v>
      </c>
      <c r="BD55" s="47">
        <f t="shared" si="48"/>
        <v>0</v>
      </c>
      <c r="BE55" s="47">
        <f t="shared" si="48"/>
        <v>0</v>
      </c>
      <c r="BF55" s="47">
        <f t="shared" si="48"/>
        <v>0</v>
      </c>
      <c r="BG55" s="47">
        <f t="shared" si="48"/>
        <v>0</v>
      </c>
      <c r="BH55" s="47">
        <f t="shared" si="48"/>
        <v>0</v>
      </c>
      <c r="BI55" s="47">
        <f t="shared" ref="BI55:BI116" si="52">BG55+BH55</f>
        <v>0</v>
      </c>
      <c r="BJ55" s="48">
        <v>0</v>
      </c>
      <c r="BK55" s="48">
        <v>0</v>
      </c>
      <c r="BL55" s="48">
        <f t="shared" si="23"/>
        <v>0</v>
      </c>
      <c r="BM55" s="47">
        <f t="shared" si="25"/>
        <v>0</v>
      </c>
      <c r="BN55" s="53">
        <f t="shared" si="29"/>
        <v>0</v>
      </c>
      <c r="BO55" s="53">
        <f t="shared" si="30"/>
        <v>0</v>
      </c>
      <c r="BP55" s="53">
        <f t="shared" si="31"/>
        <v>0</v>
      </c>
      <c r="BQ55" s="53">
        <f t="shared" si="32"/>
        <v>0</v>
      </c>
      <c r="BR55" s="53">
        <f t="shared" si="33"/>
        <v>0</v>
      </c>
      <c r="BS55" s="53">
        <f t="shared" si="34"/>
        <v>0</v>
      </c>
      <c r="BT55" s="53">
        <f t="shared" si="35"/>
        <v>0</v>
      </c>
      <c r="BU55" s="53">
        <f t="shared" si="36"/>
        <v>0</v>
      </c>
      <c r="BV55" s="53">
        <f t="shared" si="37"/>
        <v>0</v>
      </c>
      <c r="BW55" s="53">
        <f t="shared" si="38"/>
        <v>0</v>
      </c>
      <c r="BX55" s="53">
        <f t="shared" si="39"/>
        <v>0</v>
      </c>
      <c r="BY55" s="53">
        <f t="shared" si="40"/>
        <v>0</v>
      </c>
      <c r="BZ55" s="53">
        <f t="shared" si="41"/>
        <v>0</v>
      </c>
      <c r="CA55" s="53">
        <f t="shared" si="42"/>
        <v>0</v>
      </c>
      <c r="CB55" s="53">
        <f t="shared" si="43"/>
        <v>0</v>
      </c>
      <c r="CC55" s="53">
        <f t="shared" si="44"/>
        <v>0</v>
      </c>
      <c r="CD55" s="8">
        <f t="shared" si="45"/>
        <v>569.11257189901198</v>
      </c>
      <c r="CE55" s="8">
        <f t="shared" si="46"/>
        <v>2285.2430378103172</v>
      </c>
      <c r="CF55" s="8">
        <f t="shared" si="47"/>
        <v>88213.63519059823</v>
      </c>
    </row>
    <row r="56" spans="1:84">
      <c r="A56" s="7">
        <f>'Monthly Data'!A56</f>
        <v>42552</v>
      </c>
      <c r="B56" s="6">
        <f>'Monthly Data'!B56</f>
        <v>2016</v>
      </c>
      <c r="C56" s="6">
        <f t="shared" si="50"/>
        <v>7</v>
      </c>
      <c r="D56" s="8">
        <f>'Monthly Data'!D56</f>
        <v>10177405.283162512</v>
      </c>
      <c r="E56" s="1">
        <f>'Monthly Data'!E56</f>
        <v>198370.29154496465</v>
      </c>
      <c r="F56" s="8">
        <f>'Monthly Data'!F56</f>
        <v>10375775.574707476</v>
      </c>
      <c r="G56" s="8">
        <f>'Monthly Data'!G56</f>
        <v>4130566.7417025785</v>
      </c>
      <c r="H56" s="1">
        <f>'Monthly Data'!H56</f>
        <v>246828.58648979184</v>
      </c>
      <c r="I56" s="8">
        <f>'Monthly Data'!I56</f>
        <v>4377395.32819237</v>
      </c>
      <c r="J56" s="8">
        <f>'Monthly Data'!J56</f>
        <v>10785755.642805133</v>
      </c>
      <c r="K56" s="1">
        <f>'Monthly Data'!K56</f>
        <v>255809.82296543571</v>
      </c>
      <c r="L56" s="8">
        <f>'Monthly Data'!L56</f>
        <v>11041565.465770569</v>
      </c>
      <c r="M56" s="8">
        <f>'Monthly Data'!M56</f>
        <v>128536.57389837656</v>
      </c>
      <c r="N56" s="8">
        <f>'Monthly Data'!N56</f>
        <v>34508.64538431861</v>
      </c>
      <c r="O56" s="5">
        <f>'Monthly Data'!O56</f>
        <v>26453.4</v>
      </c>
      <c r="P56" s="5">
        <f>'Monthly Data'!P56</f>
        <v>473.33</v>
      </c>
      <c r="Q56" s="8">
        <f>'Monthly Data'!Q56</f>
        <v>14784</v>
      </c>
      <c r="R56" s="8">
        <f>'Monthly Data'!R56</f>
        <v>1753</v>
      </c>
      <c r="S56" s="8">
        <f>'Monthly Data'!S56</f>
        <v>126</v>
      </c>
      <c r="T56" s="8">
        <f>'Monthly Data'!T56</f>
        <v>3069</v>
      </c>
      <c r="U56" s="8">
        <f>'Monthly Data'!U56</f>
        <v>30</v>
      </c>
      <c r="V56" s="45">
        <f>Weather!C176</f>
        <v>21.884407594143298</v>
      </c>
      <c r="W56" s="46">
        <f>Weather!D176</f>
        <v>39.299999999999997</v>
      </c>
      <c r="X56" s="46">
        <f>Weather!E176</f>
        <v>35.700000000000003</v>
      </c>
      <c r="Y56" s="46">
        <f>Weather!F176</f>
        <v>14.5</v>
      </c>
      <c r="Z56" s="46">
        <f>Weather!G176</f>
        <v>72.900000000000006</v>
      </c>
      <c r="AA56" s="46">
        <f>Weather!H176</f>
        <v>2.9</v>
      </c>
      <c r="AB56" s="46">
        <f>Weather!I176</f>
        <v>123.3</v>
      </c>
      <c r="AC56" s="46">
        <f>Weather!J176</f>
        <v>0</v>
      </c>
      <c r="AD56" s="46">
        <f>Weather!K176</f>
        <v>182.4</v>
      </c>
      <c r="AE56" s="46">
        <f>Weather!L176</f>
        <v>0</v>
      </c>
      <c r="AF56" s="46">
        <f>Weather!M176</f>
        <v>244.4</v>
      </c>
      <c r="AG56" s="46">
        <f>Weather!N176</f>
        <v>0</v>
      </c>
      <c r="AH56" s="46">
        <f>Weather!O176</f>
        <v>306.39999999999998</v>
      </c>
      <c r="AI56" s="46">
        <f>Weather!P176</f>
        <v>0</v>
      </c>
      <c r="AJ56" s="46">
        <f>Weather!Q176</f>
        <v>368.4</v>
      </c>
      <c r="AK56" s="46">
        <f>Weather!R176</f>
        <v>0</v>
      </c>
      <c r="AL56" s="46">
        <f>Weather!S176</f>
        <v>430.4</v>
      </c>
      <c r="AM56" s="43">
        <f>Economic!C56</f>
        <v>692620.80000000005</v>
      </c>
      <c r="AN56" s="43">
        <f>Economic!D56</f>
        <v>6918.7</v>
      </c>
      <c r="AO56" s="43">
        <f>Economic!E56</f>
        <v>7011.7</v>
      </c>
      <c r="AP56" s="43">
        <f>Economic!F56</f>
        <v>99.6</v>
      </c>
      <c r="AQ56" s="43">
        <f>Economic!G56</f>
        <v>100.3</v>
      </c>
      <c r="AR56" s="47">
        <f t="shared" si="49"/>
        <v>31</v>
      </c>
      <c r="AS56" s="47">
        <v>22</v>
      </c>
      <c r="AT56" s="47">
        <f t="shared" si="51"/>
        <v>55</v>
      </c>
      <c r="AU56" s="47">
        <f t="shared" si="48"/>
        <v>0</v>
      </c>
      <c r="AV56" s="47">
        <f t="shared" si="48"/>
        <v>0</v>
      </c>
      <c r="AW56" s="47">
        <f t="shared" si="48"/>
        <v>0</v>
      </c>
      <c r="AX56" s="47">
        <f t="shared" si="48"/>
        <v>0</v>
      </c>
      <c r="AY56" s="47">
        <f t="shared" si="48"/>
        <v>0</v>
      </c>
      <c r="AZ56" s="47">
        <f t="shared" si="48"/>
        <v>0</v>
      </c>
      <c r="BA56" s="47">
        <f t="shared" si="48"/>
        <v>1</v>
      </c>
      <c r="BB56" s="47">
        <f t="shared" si="48"/>
        <v>0</v>
      </c>
      <c r="BC56" s="47">
        <f t="shared" si="48"/>
        <v>0</v>
      </c>
      <c r="BD56" s="47">
        <f t="shared" si="48"/>
        <v>0</v>
      </c>
      <c r="BE56" s="47">
        <f t="shared" si="48"/>
        <v>0</v>
      </c>
      <c r="BF56" s="47">
        <f t="shared" si="48"/>
        <v>0</v>
      </c>
      <c r="BG56" s="47">
        <f t="shared" si="48"/>
        <v>0</v>
      </c>
      <c r="BH56" s="47">
        <f t="shared" si="48"/>
        <v>0</v>
      </c>
      <c r="BI56" s="47">
        <f t="shared" si="52"/>
        <v>0</v>
      </c>
      <c r="BJ56" s="48">
        <v>0</v>
      </c>
      <c r="BK56" s="48">
        <v>0</v>
      </c>
      <c r="BL56" s="48">
        <f t="shared" si="23"/>
        <v>0</v>
      </c>
      <c r="BM56" s="47">
        <f t="shared" si="25"/>
        <v>0</v>
      </c>
      <c r="BN56" s="53">
        <f t="shared" si="29"/>
        <v>0</v>
      </c>
      <c r="BO56" s="53">
        <f t="shared" si="30"/>
        <v>0</v>
      </c>
      <c r="BP56" s="53">
        <f t="shared" si="31"/>
        <v>0</v>
      </c>
      <c r="BQ56" s="53">
        <f t="shared" si="32"/>
        <v>0</v>
      </c>
      <c r="BR56" s="53">
        <f t="shared" si="33"/>
        <v>0</v>
      </c>
      <c r="BS56" s="53">
        <f t="shared" si="34"/>
        <v>0</v>
      </c>
      <c r="BT56" s="53">
        <f t="shared" si="35"/>
        <v>0</v>
      </c>
      <c r="BU56" s="53">
        <f t="shared" si="36"/>
        <v>0</v>
      </c>
      <c r="BV56" s="53">
        <f t="shared" si="37"/>
        <v>0</v>
      </c>
      <c r="BW56" s="53">
        <f t="shared" si="38"/>
        <v>0</v>
      </c>
      <c r="BX56" s="53">
        <f t="shared" si="39"/>
        <v>0</v>
      </c>
      <c r="BY56" s="53">
        <f t="shared" si="40"/>
        <v>0</v>
      </c>
      <c r="BZ56" s="53">
        <f t="shared" si="41"/>
        <v>0</v>
      </c>
      <c r="CA56" s="53">
        <f t="shared" si="42"/>
        <v>0</v>
      </c>
      <c r="CB56" s="53">
        <f t="shared" si="43"/>
        <v>0</v>
      </c>
      <c r="CC56" s="53">
        <f t="shared" si="44"/>
        <v>0</v>
      </c>
      <c r="CD56" s="8">
        <f t="shared" si="45"/>
        <v>701.82464655759441</v>
      </c>
      <c r="CE56" s="8">
        <f t="shared" si="46"/>
        <v>2497.0880366185797</v>
      </c>
      <c r="CF56" s="8">
        <f t="shared" si="47"/>
        <v>87631.471950560066</v>
      </c>
    </row>
    <row r="57" spans="1:84">
      <c r="A57" s="7">
        <f>'Monthly Data'!A57</f>
        <v>42583</v>
      </c>
      <c r="B57" s="6">
        <f>'Monthly Data'!B57</f>
        <v>2016</v>
      </c>
      <c r="C57" s="6">
        <f t="shared" si="50"/>
        <v>8</v>
      </c>
      <c r="D57" s="8">
        <f>'Monthly Data'!D57</f>
        <v>10526912.745510558</v>
      </c>
      <c r="E57" s="1">
        <f>'Monthly Data'!E57</f>
        <v>198370.29154496465</v>
      </c>
      <c r="F57" s="8">
        <f>'Monthly Data'!F57</f>
        <v>10725283.037055522</v>
      </c>
      <c r="G57" s="8">
        <f>'Monthly Data'!G57</f>
        <v>4169701.2309280368</v>
      </c>
      <c r="H57" s="1">
        <f>'Monthly Data'!H57</f>
        <v>246828.58648979184</v>
      </c>
      <c r="I57" s="8">
        <f>'Monthly Data'!I57</f>
        <v>4416529.8174178284</v>
      </c>
      <c r="J57" s="8">
        <f>'Monthly Data'!J57</f>
        <v>11225991.63333085</v>
      </c>
      <c r="K57" s="1">
        <f>'Monthly Data'!K57</f>
        <v>255809.82296543571</v>
      </c>
      <c r="L57" s="8">
        <f>'Monthly Data'!L57</f>
        <v>11481801.456296286</v>
      </c>
      <c r="M57" s="8">
        <f>'Monthly Data'!M57</f>
        <v>145310.59787355806</v>
      </c>
      <c r="N57" s="8">
        <f>'Monthly Data'!N57</f>
        <v>31788.626350540224</v>
      </c>
      <c r="O57" s="5">
        <f>'Monthly Data'!O57</f>
        <v>27287.139999999992</v>
      </c>
      <c r="P57" s="5">
        <f>'Monthly Data'!P57</f>
        <v>473.33000000000004</v>
      </c>
      <c r="Q57" s="8">
        <f>'Monthly Data'!Q57</f>
        <v>14829</v>
      </c>
      <c r="R57" s="8">
        <f>'Monthly Data'!R57</f>
        <v>1757</v>
      </c>
      <c r="S57" s="8">
        <f>'Monthly Data'!S57</f>
        <v>128</v>
      </c>
      <c r="T57" s="8">
        <f>'Monthly Data'!T57</f>
        <v>3069</v>
      </c>
      <c r="U57" s="8">
        <f>'Monthly Data'!U57</f>
        <v>29</v>
      </c>
      <c r="V57" s="45">
        <f>Weather!C177</f>
        <v>22.391932459849244</v>
      </c>
      <c r="W57" s="46">
        <f>Weather!D177</f>
        <v>20.5</v>
      </c>
      <c r="X57" s="46">
        <f>Weather!E177</f>
        <v>32.6</v>
      </c>
      <c r="Y57" s="46">
        <f>Weather!F177</f>
        <v>4.4000000000000004</v>
      </c>
      <c r="Z57" s="46">
        <f>Weather!G177</f>
        <v>78.5</v>
      </c>
      <c r="AA57" s="46">
        <f>Weather!H177</f>
        <v>0.4</v>
      </c>
      <c r="AB57" s="46">
        <f>Weather!I177</f>
        <v>136.5</v>
      </c>
      <c r="AC57" s="46">
        <f>Weather!J177</f>
        <v>0</v>
      </c>
      <c r="AD57" s="46">
        <f>Weather!K177</f>
        <v>198.1</v>
      </c>
      <c r="AE57" s="46">
        <f>Weather!L177</f>
        <v>0</v>
      </c>
      <c r="AF57" s="46">
        <f>Weather!M177</f>
        <v>260.10000000000002</v>
      </c>
      <c r="AG57" s="46">
        <f>Weather!N177</f>
        <v>0</v>
      </c>
      <c r="AH57" s="46">
        <f>Weather!O177</f>
        <v>322.10000000000002</v>
      </c>
      <c r="AI57" s="46">
        <f>Weather!P177</f>
        <v>0</v>
      </c>
      <c r="AJ57" s="46">
        <f>Weather!Q177</f>
        <v>384.1</v>
      </c>
      <c r="AK57" s="46">
        <f>Weather!R177</f>
        <v>0</v>
      </c>
      <c r="AL57" s="46">
        <f>Weather!S177</f>
        <v>446.1</v>
      </c>
      <c r="AM57" s="43">
        <f>Economic!C57</f>
        <v>692620.80000000005</v>
      </c>
      <c r="AN57" s="43">
        <f>Economic!D57</f>
        <v>6916.3</v>
      </c>
      <c r="AO57" s="43">
        <f>Economic!E57</f>
        <v>7009.1</v>
      </c>
      <c r="AP57" s="43">
        <f>Economic!F57</f>
        <v>98.8</v>
      </c>
      <c r="AQ57" s="43">
        <f>Economic!G57</f>
        <v>99.6</v>
      </c>
      <c r="AR57" s="47">
        <f t="shared" si="49"/>
        <v>31</v>
      </c>
      <c r="AS57" s="47">
        <v>20</v>
      </c>
      <c r="AT57" s="47">
        <f t="shared" si="51"/>
        <v>56</v>
      </c>
      <c r="AU57" s="47">
        <f t="shared" si="48"/>
        <v>0</v>
      </c>
      <c r="AV57" s="47">
        <f t="shared" si="48"/>
        <v>0</v>
      </c>
      <c r="AW57" s="47">
        <f t="shared" si="48"/>
        <v>0</v>
      </c>
      <c r="AX57" s="47">
        <f t="shared" si="48"/>
        <v>0</v>
      </c>
      <c r="AY57" s="47">
        <f t="shared" si="48"/>
        <v>0</v>
      </c>
      <c r="AZ57" s="47">
        <f t="shared" si="48"/>
        <v>0</v>
      </c>
      <c r="BA57" s="47">
        <f t="shared" si="48"/>
        <v>0</v>
      </c>
      <c r="BB57" s="47">
        <f t="shared" si="48"/>
        <v>1</v>
      </c>
      <c r="BC57" s="47">
        <f t="shared" si="48"/>
        <v>0</v>
      </c>
      <c r="BD57" s="47">
        <f t="shared" si="48"/>
        <v>0</v>
      </c>
      <c r="BE57" s="47">
        <f t="shared" si="48"/>
        <v>0</v>
      </c>
      <c r="BF57" s="47">
        <f t="shared" si="48"/>
        <v>0</v>
      </c>
      <c r="BG57" s="47">
        <f t="shared" si="48"/>
        <v>0</v>
      </c>
      <c r="BH57" s="47">
        <f t="shared" si="48"/>
        <v>0</v>
      </c>
      <c r="BI57" s="47">
        <f t="shared" si="52"/>
        <v>0</v>
      </c>
      <c r="BJ57" s="48">
        <v>0</v>
      </c>
      <c r="BK57" s="48">
        <v>0</v>
      </c>
      <c r="BL57" s="48">
        <f t="shared" si="23"/>
        <v>0</v>
      </c>
      <c r="BM57" s="47">
        <f t="shared" si="25"/>
        <v>0</v>
      </c>
      <c r="BN57" s="53">
        <f t="shared" si="29"/>
        <v>0</v>
      </c>
      <c r="BO57" s="53">
        <f t="shared" si="30"/>
        <v>0</v>
      </c>
      <c r="BP57" s="53">
        <f t="shared" si="31"/>
        <v>0</v>
      </c>
      <c r="BQ57" s="53">
        <f t="shared" si="32"/>
        <v>0</v>
      </c>
      <c r="BR57" s="53">
        <f t="shared" si="33"/>
        <v>0</v>
      </c>
      <c r="BS57" s="53">
        <f t="shared" si="34"/>
        <v>0</v>
      </c>
      <c r="BT57" s="53">
        <f t="shared" si="35"/>
        <v>0</v>
      </c>
      <c r="BU57" s="53">
        <f t="shared" si="36"/>
        <v>0</v>
      </c>
      <c r="BV57" s="53">
        <f t="shared" si="37"/>
        <v>0</v>
      </c>
      <c r="BW57" s="53">
        <f t="shared" si="38"/>
        <v>0</v>
      </c>
      <c r="BX57" s="53">
        <f t="shared" si="39"/>
        <v>0</v>
      </c>
      <c r="BY57" s="53">
        <f t="shared" si="40"/>
        <v>0</v>
      </c>
      <c r="BZ57" s="53">
        <f t="shared" si="41"/>
        <v>0</v>
      </c>
      <c r="CA57" s="53">
        <f t="shared" si="42"/>
        <v>0</v>
      </c>
      <c r="CB57" s="53">
        <f t="shared" si="43"/>
        <v>0</v>
      </c>
      <c r="CC57" s="53">
        <f t="shared" si="44"/>
        <v>0</v>
      </c>
      <c r="CD57" s="8">
        <f t="shared" si="45"/>
        <v>723.26407964498765</v>
      </c>
      <c r="CE57" s="8">
        <f t="shared" si="46"/>
        <v>2513.6766177676882</v>
      </c>
      <c r="CF57" s="8">
        <f t="shared" si="47"/>
        <v>89701.573877314731</v>
      </c>
    </row>
    <row r="58" spans="1:84">
      <c r="A58" s="7">
        <f>'Monthly Data'!A58</f>
        <v>42614</v>
      </c>
      <c r="B58" s="6">
        <f>'Monthly Data'!B58</f>
        <v>2016</v>
      </c>
      <c r="C58" s="6">
        <f t="shared" si="50"/>
        <v>9</v>
      </c>
      <c r="D58" s="8">
        <f>'Monthly Data'!D58</f>
        <v>8416839.4938610476</v>
      </c>
      <c r="E58" s="1">
        <f>'Monthly Data'!E58</f>
        <v>198370.29154496465</v>
      </c>
      <c r="F58" s="8">
        <f>'Monthly Data'!F58</f>
        <v>8615209.7854060121</v>
      </c>
      <c r="G58" s="8">
        <f>'Monthly Data'!G58</f>
        <v>3609723.9205128388</v>
      </c>
      <c r="H58" s="1">
        <f>'Monthly Data'!H58</f>
        <v>246828.58648979184</v>
      </c>
      <c r="I58" s="8">
        <f>'Monthly Data'!I58</f>
        <v>3856552.5070026307</v>
      </c>
      <c r="J58" s="8">
        <f>'Monthly Data'!J58</f>
        <v>10573681.34794176</v>
      </c>
      <c r="K58" s="1">
        <f>'Monthly Data'!K58</f>
        <v>255809.82296543571</v>
      </c>
      <c r="L58" s="8">
        <f>'Monthly Data'!L58</f>
        <v>10829491.170907196</v>
      </c>
      <c r="M58" s="8">
        <f>'Monthly Data'!M58</f>
        <v>161569.06414465426</v>
      </c>
      <c r="N58" s="8">
        <f>'Monthly Data'!N58</f>
        <v>33369.217371894993</v>
      </c>
      <c r="O58" s="5">
        <f>'Monthly Data'!O58</f>
        <v>27545.469999999994</v>
      </c>
      <c r="P58" s="5">
        <f>'Monthly Data'!P58</f>
        <v>473.33</v>
      </c>
      <c r="Q58" s="8">
        <f>'Monthly Data'!Q58</f>
        <v>14797</v>
      </c>
      <c r="R58" s="8">
        <f>'Monthly Data'!R58</f>
        <v>1734</v>
      </c>
      <c r="S58" s="8">
        <f>'Monthly Data'!S58</f>
        <v>127</v>
      </c>
      <c r="T58" s="8">
        <f>'Monthly Data'!T58</f>
        <v>3069</v>
      </c>
      <c r="U58" s="8">
        <f>'Monthly Data'!U58</f>
        <v>31</v>
      </c>
      <c r="V58" s="45">
        <f>Weather!C178</f>
        <v>17.866666666666667</v>
      </c>
      <c r="W58" s="46">
        <f>Weather!D178</f>
        <v>131.1</v>
      </c>
      <c r="X58" s="46">
        <f>Weather!E178</f>
        <v>7.1</v>
      </c>
      <c r="Y58" s="46">
        <f>Weather!F178</f>
        <v>80.599999999999994</v>
      </c>
      <c r="Z58" s="46">
        <f>Weather!G178</f>
        <v>16.600000000000001</v>
      </c>
      <c r="AA58" s="46">
        <f>Weather!H178</f>
        <v>45.4</v>
      </c>
      <c r="AB58" s="46">
        <f>Weather!I178</f>
        <v>41.4</v>
      </c>
      <c r="AC58" s="46">
        <f>Weather!J178</f>
        <v>19.5</v>
      </c>
      <c r="AD58" s="46">
        <f>Weather!K178</f>
        <v>75.5</v>
      </c>
      <c r="AE58" s="46">
        <f>Weather!L178</f>
        <v>4.4000000000000004</v>
      </c>
      <c r="AF58" s="46">
        <f>Weather!M178</f>
        <v>120.4</v>
      </c>
      <c r="AG58" s="46">
        <f>Weather!N178</f>
        <v>0.2</v>
      </c>
      <c r="AH58" s="46">
        <f>Weather!O178</f>
        <v>176.2</v>
      </c>
      <c r="AI58" s="46">
        <f>Weather!P178</f>
        <v>0</v>
      </c>
      <c r="AJ58" s="46">
        <f>Weather!Q178</f>
        <v>236</v>
      </c>
      <c r="AK58" s="46">
        <f>Weather!R178</f>
        <v>0</v>
      </c>
      <c r="AL58" s="46">
        <f>Weather!S178</f>
        <v>296</v>
      </c>
      <c r="AM58" s="43">
        <f>Economic!C58</f>
        <v>692620.80000000005</v>
      </c>
      <c r="AN58" s="43">
        <f>Economic!D58</f>
        <v>6914.1</v>
      </c>
      <c r="AO58" s="43">
        <f>Economic!E58</f>
        <v>6963.5</v>
      </c>
      <c r="AP58" s="43">
        <f>Economic!F58</f>
        <v>98.3</v>
      </c>
      <c r="AQ58" s="43">
        <f>Economic!G58</f>
        <v>98.7</v>
      </c>
      <c r="AR58" s="47">
        <f t="shared" si="49"/>
        <v>30</v>
      </c>
      <c r="AS58" s="47">
        <v>21</v>
      </c>
      <c r="AT58" s="47">
        <f t="shared" si="51"/>
        <v>57</v>
      </c>
      <c r="AU58" s="47">
        <f t="shared" si="48"/>
        <v>0</v>
      </c>
      <c r="AV58" s="47">
        <f t="shared" si="48"/>
        <v>0</v>
      </c>
      <c r="AW58" s="47">
        <f t="shared" si="48"/>
        <v>0</v>
      </c>
      <c r="AX58" s="47">
        <f t="shared" si="48"/>
        <v>0</v>
      </c>
      <c r="AY58" s="47">
        <f t="shared" si="48"/>
        <v>0</v>
      </c>
      <c r="AZ58" s="47">
        <f t="shared" si="48"/>
        <v>0</v>
      </c>
      <c r="BA58" s="47">
        <f t="shared" si="48"/>
        <v>0</v>
      </c>
      <c r="BB58" s="47">
        <f t="shared" si="48"/>
        <v>0</v>
      </c>
      <c r="BC58" s="47">
        <f t="shared" si="48"/>
        <v>1</v>
      </c>
      <c r="BD58" s="47">
        <f t="shared" si="48"/>
        <v>0</v>
      </c>
      <c r="BE58" s="47">
        <f t="shared" si="48"/>
        <v>0</v>
      </c>
      <c r="BF58" s="47">
        <f t="shared" si="48"/>
        <v>0</v>
      </c>
      <c r="BG58" s="47">
        <f t="shared" si="48"/>
        <v>0</v>
      </c>
      <c r="BH58" s="47">
        <f t="shared" si="48"/>
        <v>1</v>
      </c>
      <c r="BI58" s="47">
        <f t="shared" si="52"/>
        <v>1</v>
      </c>
      <c r="BJ58" s="48">
        <v>0</v>
      </c>
      <c r="BK58" s="48">
        <v>0</v>
      </c>
      <c r="BL58" s="48">
        <f t="shared" si="23"/>
        <v>0</v>
      </c>
      <c r="BM58" s="47">
        <f t="shared" si="25"/>
        <v>0</v>
      </c>
      <c r="BN58" s="53">
        <f t="shared" si="29"/>
        <v>0</v>
      </c>
      <c r="BO58" s="53">
        <f t="shared" si="30"/>
        <v>0</v>
      </c>
      <c r="BP58" s="53">
        <f t="shared" si="31"/>
        <v>0</v>
      </c>
      <c r="BQ58" s="53">
        <f t="shared" si="32"/>
        <v>0</v>
      </c>
      <c r="BR58" s="53">
        <f t="shared" si="33"/>
        <v>0</v>
      </c>
      <c r="BS58" s="53">
        <f t="shared" si="34"/>
        <v>0</v>
      </c>
      <c r="BT58" s="53">
        <f t="shared" si="35"/>
        <v>0</v>
      </c>
      <c r="BU58" s="53">
        <f t="shared" si="36"/>
        <v>0</v>
      </c>
      <c r="BV58" s="53">
        <f t="shared" si="37"/>
        <v>0</v>
      </c>
      <c r="BW58" s="53">
        <f t="shared" si="38"/>
        <v>0</v>
      </c>
      <c r="BX58" s="53">
        <f t="shared" si="39"/>
        <v>0</v>
      </c>
      <c r="BY58" s="53">
        <f t="shared" si="40"/>
        <v>0</v>
      </c>
      <c r="BZ58" s="53">
        <f t="shared" si="41"/>
        <v>0</v>
      </c>
      <c r="CA58" s="53">
        <f t="shared" si="42"/>
        <v>0</v>
      </c>
      <c r="CB58" s="53">
        <f t="shared" si="43"/>
        <v>0</v>
      </c>
      <c r="CC58" s="53">
        <f t="shared" si="44"/>
        <v>0</v>
      </c>
      <c r="CD58" s="8">
        <f t="shared" si="45"/>
        <v>582.22678822774969</v>
      </c>
      <c r="CE58" s="8">
        <f t="shared" si="46"/>
        <v>2224.0787237616096</v>
      </c>
      <c r="CF58" s="8">
        <f t="shared" si="47"/>
        <v>85271.5840228913</v>
      </c>
    </row>
    <row r="59" spans="1:84">
      <c r="A59" s="7">
        <f>'Monthly Data'!A59</f>
        <v>42644</v>
      </c>
      <c r="B59" s="6">
        <f>'Monthly Data'!B59</f>
        <v>2016</v>
      </c>
      <c r="C59" s="6">
        <f t="shared" si="50"/>
        <v>10</v>
      </c>
      <c r="D59" s="8">
        <f>'Monthly Data'!D59</f>
        <v>8058372.0394760324</v>
      </c>
      <c r="E59" s="1">
        <f>'Monthly Data'!E59</f>
        <v>198370.29154496465</v>
      </c>
      <c r="F59" s="8">
        <f>'Monthly Data'!F59</f>
        <v>8256742.3310209969</v>
      </c>
      <c r="G59" s="8">
        <f>'Monthly Data'!G59</f>
        <v>3420216.3146130797</v>
      </c>
      <c r="H59" s="1">
        <f>'Monthly Data'!H59</f>
        <v>246828.58648979184</v>
      </c>
      <c r="I59" s="8">
        <f>'Monthly Data'!I59</f>
        <v>3667044.9011028716</v>
      </c>
      <c r="J59" s="8">
        <f>'Monthly Data'!J59</f>
        <v>10860702.399528233</v>
      </c>
      <c r="K59" s="1">
        <f>'Monthly Data'!K59</f>
        <v>255809.82296543571</v>
      </c>
      <c r="L59" s="8">
        <f>'Monthly Data'!L59</f>
        <v>11116512.222493669</v>
      </c>
      <c r="M59" s="8">
        <f>'Monthly Data'!M59</f>
        <v>189685.44867122476</v>
      </c>
      <c r="N59" s="8">
        <f>'Monthly Data'!N59</f>
        <v>34830.204014939314</v>
      </c>
      <c r="O59" s="5">
        <f>'Monthly Data'!O59</f>
        <v>27124.48</v>
      </c>
      <c r="P59" s="5">
        <f>'Monthly Data'!P59</f>
        <v>473.33</v>
      </c>
      <c r="Q59" s="8">
        <f>'Monthly Data'!Q59</f>
        <v>14916</v>
      </c>
      <c r="R59" s="8">
        <f>'Monthly Data'!R59</f>
        <v>1744</v>
      </c>
      <c r="S59" s="8">
        <f>'Monthly Data'!S59</f>
        <v>128</v>
      </c>
      <c r="T59" s="8">
        <f>'Monthly Data'!T59</f>
        <v>3069</v>
      </c>
      <c r="U59" s="8">
        <f>'Monthly Data'!U59</f>
        <v>30</v>
      </c>
      <c r="V59" s="45">
        <f>Weather!C179</f>
        <v>11.748387096774195</v>
      </c>
      <c r="W59" s="46">
        <f>Weather!D179</f>
        <v>317.8</v>
      </c>
      <c r="X59" s="46">
        <f>Weather!E179</f>
        <v>0</v>
      </c>
      <c r="Y59" s="46">
        <f>Weather!F179</f>
        <v>256.2</v>
      </c>
      <c r="Z59" s="46">
        <f>Weather!G179</f>
        <v>0.4</v>
      </c>
      <c r="AA59" s="46">
        <f>Weather!H179</f>
        <v>198.3</v>
      </c>
      <c r="AB59" s="46">
        <f>Weather!I179</f>
        <v>4.5</v>
      </c>
      <c r="AC59" s="46">
        <f>Weather!J179</f>
        <v>147.6</v>
      </c>
      <c r="AD59" s="46">
        <f>Weather!K179</f>
        <v>15.8</v>
      </c>
      <c r="AE59" s="46">
        <f>Weather!L179</f>
        <v>104.9</v>
      </c>
      <c r="AF59" s="46">
        <f>Weather!M179</f>
        <v>35.1</v>
      </c>
      <c r="AG59" s="46">
        <f>Weather!N179</f>
        <v>71.099999999999994</v>
      </c>
      <c r="AH59" s="46">
        <f>Weather!O179</f>
        <v>63.3</v>
      </c>
      <c r="AI59" s="46">
        <f>Weather!P179</f>
        <v>43.4</v>
      </c>
      <c r="AJ59" s="46">
        <f>Weather!Q179</f>
        <v>97.6</v>
      </c>
      <c r="AK59" s="46">
        <f>Weather!R179</f>
        <v>22</v>
      </c>
      <c r="AL59" s="46">
        <f>Weather!S179</f>
        <v>138.19999999999999</v>
      </c>
      <c r="AM59" s="43">
        <f>Economic!C59</f>
        <v>692620.80000000005</v>
      </c>
      <c r="AN59" s="43">
        <f>Economic!D59</f>
        <v>6929.7</v>
      </c>
      <c r="AO59" s="43">
        <f>Economic!E59</f>
        <v>6956.2</v>
      </c>
      <c r="AP59" s="43">
        <f>Economic!F59</f>
        <v>97.6</v>
      </c>
      <c r="AQ59" s="43">
        <f>Economic!G59</f>
        <v>98.7</v>
      </c>
      <c r="AR59" s="47">
        <f t="shared" si="49"/>
        <v>31</v>
      </c>
      <c r="AS59" s="47">
        <v>22</v>
      </c>
      <c r="AT59" s="47">
        <f t="shared" si="51"/>
        <v>58</v>
      </c>
      <c r="AU59" s="47">
        <f t="shared" si="48"/>
        <v>0</v>
      </c>
      <c r="AV59" s="47">
        <f t="shared" si="48"/>
        <v>0</v>
      </c>
      <c r="AW59" s="47">
        <f t="shared" si="48"/>
        <v>0</v>
      </c>
      <c r="AX59" s="47">
        <f t="shared" si="48"/>
        <v>0</v>
      </c>
      <c r="AY59" s="47">
        <f t="shared" si="48"/>
        <v>0</v>
      </c>
      <c r="AZ59" s="47">
        <f t="shared" si="48"/>
        <v>0</v>
      </c>
      <c r="BA59" s="47">
        <f t="shared" si="48"/>
        <v>0</v>
      </c>
      <c r="BB59" s="47">
        <f t="shared" si="48"/>
        <v>0</v>
      </c>
      <c r="BC59" s="47">
        <f t="shared" si="48"/>
        <v>0</v>
      </c>
      <c r="BD59" s="47">
        <f t="shared" si="48"/>
        <v>1</v>
      </c>
      <c r="BE59" s="47">
        <f t="shared" si="48"/>
        <v>0</v>
      </c>
      <c r="BF59" s="47">
        <f t="shared" si="48"/>
        <v>0</v>
      </c>
      <c r="BG59" s="47">
        <f t="shared" si="48"/>
        <v>0</v>
      </c>
      <c r="BH59" s="47">
        <f t="shared" si="48"/>
        <v>1</v>
      </c>
      <c r="BI59" s="47">
        <f t="shared" si="52"/>
        <v>1</v>
      </c>
      <c r="BJ59" s="48">
        <v>0</v>
      </c>
      <c r="BK59" s="48">
        <v>0</v>
      </c>
      <c r="BL59" s="48">
        <f t="shared" si="23"/>
        <v>0</v>
      </c>
      <c r="BM59" s="47">
        <f t="shared" si="25"/>
        <v>0</v>
      </c>
      <c r="BN59" s="53">
        <f t="shared" si="29"/>
        <v>0</v>
      </c>
      <c r="BO59" s="53">
        <f t="shared" si="30"/>
        <v>0</v>
      </c>
      <c r="BP59" s="53">
        <f t="shared" si="31"/>
        <v>0</v>
      </c>
      <c r="BQ59" s="53">
        <f t="shared" si="32"/>
        <v>0</v>
      </c>
      <c r="BR59" s="53">
        <f t="shared" si="33"/>
        <v>0</v>
      </c>
      <c r="BS59" s="53">
        <f t="shared" si="34"/>
        <v>0</v>
      </c>
      <c r="BT59" s="53">
        <f t="shared" si="35"/>
        <v>0</v>
      </c>
      <c r="BU59" s="53">
        <f t="shared" si="36"/>
        <v>0</v>
      </c>
      <c r="BV59" s="53">
        <f t="shared" si="37"/>
        <v>0</v>
      </c>
      <c r="BW59" s="53">
        <f t="shared" si="38"/>
        <v>0</v>
      </c>
      <c r="BX59" s="53">
        <f t="shared" si="39"/>
        <v>0</v>
      </c>
      <c r="BY59" s="53">
        <f t="shared" si="40"/>
        <v>0</v>
      </c>
      <c r="BZ59" s="53">
        <f t="shared" si="41"/>
        <v>0</v>
      </c>
      <c r="CA59" s="53">
        <f t="shared" si="42"/>
        <v>0</v>
      </c>
      <c r="CB59" s="53">
        <f t="shared" si="43"/>
        <v>0</v>
      </c>
      <c r="CC59" s="53">
        <f t="shared" si="44"/>
        <v>0</v>
      </c>
      <c r="CD59" s="8">
        <f t="shared" si="45"/>
        <v>553.54936517973965</v>
      </c>
      <c r="CE59" s="8">
        <f t="shared" si="46"/>
        <v>2102.6633607241238</v>
      </c>
      <c r="CF59" s="8">
        <f t="shared" si="47"/>
        <v>86847.751738231789</v>
      </c>
    </row>
    <row r="60" spans="1:84">
      <c r="A60" s="7">
        <f>'Monthly Data'!A60</f>
        <v>42675</v>
      </c>
      <c r="B60" s="6">
        <f>'Monthly Data'!B60</f>
        <v>2016</v>
      </c>
      <c r="C60" s="6">
        <f t="shared" si="50"/>
        <v>11</v>
      </c>
      <c r="D60" s="8">
        <f>'Monthly Data'!D60</f>
        <v>9135930.7174679395</v>
      </c>
      <c r="E60" s="1">
        <f>'Monthly Data'!E60</f>
        <v>198370.29154496465</v>
      </c>
      <c r="F60" s="8">
        <f>'Monthly Data'!F60</f>
        <v>9334301.009012904</v>
      </c>
      <c r="G60" s="8">
        <f>'Monthly Data'!G60</f>
        <v>3591797.4753896496</v>
      </c>
      <c r="H60" s="1">
        <f>'Monthly Data'!H60</f>
        <v>246828.58648979184</v>
      </c>
      <c r="I60" s="8">
        <f>'Monthly Data'!I60</f>
        <v>3838626.0618794416</v>
      </c>
      <c r="J60" s="8">
        <f>'Monthly Data'!J60</f>
        <v>10718526.344199492</v>
      </c>
      <c r="K60" s="1">
        <f>'Monthly Data'!K60</f>
        <v>255809.82296543571</v>
      </c>
      <c r="L60" s="8">
        <f>'Monthly Data'!L60</f>
        <v>10974336.167164927</v>
      </c>
      <c r="M60" s="8">
        <f>'Monthly Data'!M60</f>
        <v>202943.46791763301</v>
      </c>
      <c r="N60" s="8">
        <f>'Monthly Data'!N60</f>
        <v>33679.860544217692</v>
      </c>
      <c r="O60" s="5">
        <f>'Monthly Data'!O60</f>
        <v>27066.76</v>
      </c>
      <c r="P60" s="5">
        <f>'Monthly Data'!P60</f>
        <v>474.01</v>
      </c>
      <c r="Q60" s="8">
        <f>'Monthly Data'!Q60</f>
        <v>14928</v>
      </c>
      <c r="R60" s="8">
        <f>'Monthly Data'!R60</f>
        <v>1744.5</v>
      </c>
      <c r="S60" s="8">
        <f>'Monthly Data'!S60</f>
        <v>128</v>
      </c>
      <c r="T60" s="8">
        <f>'Monthly Data'!T60</f>
        <v>3069</v>
      </c>
      <c r="U60" s="8">
        <f>'Monthly Data'!U60</f>
        <v>30</v>
      </c>
      <c r="V60" s="45">
        <f>Weather!C180</f>
        <v>7.4361059030736874</v>
      </c>
      <c r="W60" s="46">
        <f>Weather!D180</f>
        <v>436.9</v>
      </c>
      <c r="X60" s="46">
        <f>Weather!E180</f>
        <v>0</v>
      </c>
      <c r="Y60" s="46">
        <f>Weather!F180</f>
        <v>376.9</v>
      </c>
      <c r="Z60" s="46">
        <f>Weather!G180</f>
        <v>0</v>
      </c>
      <c r="AA60" s="46">
        <f>Weather!H180</f>
        <v>316.89999999999998</v>
      </c>
      <c r="AB60" s="46">
        <f>Weather!I180</f>
        <v>0</v>
      </c>
      <c r="AC60" s="46">
        <f>Weather!J180</f>
        <v>257</v>
      </c>
      <c r="AD60" s="46">
        <f>Weather!K180</f>
        <v>0.1</v>
      </c>
      <c r="AE60" s="46">
        <f>Weather!L180</f>
        <v>199</v>
      </c>
      <c r="AF60" s="46">
        <f>Weather!M180</f>
        <v>2.1</v>
      </c>
      <c r="AG60" s="46">
        <f>Weather!N180</f>
        <v>143</v>
      </c>
      <c r="AH60" s="46">
        <f>Weather!O180</f>
        <v>6.1</v>
      </c>
      <c r="AI60" s="46">
        <f>Weather!P180</f>
        <v>97</v>
      </c>
      <c r="AJ60" s="46">
        <f>Weather!Q180</f>
        <v>20.100000000000001</v>
      </c>
      <c r="AK60" s="46">
        <f>Weather!R180</f>
        <v>63.4</v>
      </c>
      <c r="AL60" s="46">
        <f>Weather!S180</f>
        <v>46.5</v>
      </c>
      <c r="AM60" s="43">
        <f>Economic!C60</f>
        <v>692620.80000000005</v>
      </c>
      <c r="AN60" s="43">
        <f>Economic!D60</f>
        <v>6939.8</v>
      </c>
      <c r="AO60" s="43">
        <f>Economic!E60</f>
        <v>6946.2</v>
      </c>
      <c r="AP60" s="43">
        <f>Economic!F60</f>
        <v>98.7</v>
      </c>
      <c r="AQ60" s="43">
        <f>Economic!G60</f>
        <v>99.7</v>
      </c>
      <c r="AR60" s="47">
        <f t="shared" si="49"/>
        <v>30</v>
      </c>
      <c r="AS60" s="47">
        <v>19</v>
      </c>
      <c r="AT60" s="47">
        <f t="shared" si="51"/>
        <v>59</v>
      </c>
      <c r="AU60" s="47">
        <f t="shared" ref="AU60:BH75" si="53">AU48</f>
        <v>0</v>
      </c>
      <c r="AV60" s="47">
        <f t="shared" si="53"/>
        <v>0</v>
      </c>
      <c r="AW60" s="47">
        <f t="shared" si="53"/>
        <v>0</v>
      </c>
      <c r="AX60" s="47">
        <f t="shared" si="53"/>
        <v>0</v>
      </c>
      <c r="AY60" s="47">
        <f t="shared" si="53"/>
        <v>0</v>
      </c>
      <c r="AZ60" s="47">
        <f t="shared" si="53"/>
        <v>0</v>
      </c>
      <c r="BA60" s="47">
        <f t="shared" si="53"/>
        <v>0</v>
      </c>
      <c r="BB60" s="47">
        <f t="shared" si="53"/>
        <v>0</v>
      </c>
      <c r="BC60" s="47">
        <f t="shared" si="53"/>
        <v>0</v>
      </c>
      <c r="BD60" s="47">
        <f t="shared" si="53"/>
        <v>0</v>
      </c>
      <c r="BE60" s="47">
        <f t="shared" si="53"/>
        <v>1</v>
      </c>
      <c r="BF60" s="47">
        <f t="shared" si="53"/>
        <v>0</v>
      </c>
      <c r="BG60" s="47">
        <f t="shared" si="53"/>
        <v>0</v>
      </c>
      <c r="BH60" s="47">
        <f t="shared" si="53"/>
        <v>1</v>
      </c>
      <c r="BI60" s="47">
        <f t="shared" si="52"/>
        <v>1</v>
      </c>
      <c r="BJ60" s="48">
        <v>0</v>
      </c>
      <c r="BK60" s="48">
        <v>0</v>
      </c>
      <c r="BL60" s="48">
        <f t="shared" si="23"/>
        <v>0</v>
      </c>
      <c r="BM60" s="47">
        <f t="shared" si="25"/>
        <v>0</v>
      </c>
      <c r="BN60" s="53">
        <f t="shared" si="29"/>
        <v>0</v>
      </c>
      <c r="BO60" s="53">
        <f t="shared" si="30"/>
        <v>0</v>
      </c>
      <c r="BP60" s="53">
        <f t="shared" si="31"/>
        <v>0</v>
      </c>
      <c r="BQ60" s="53">
        <f t="shared" si="32"/>
        <v>0</v>
      </c>
      <c r="BR60" s="53">
        <f t="shared" si="33"/>
        <v>0</v>
      </c>
      <c r="BS60" s="53">
        <f t="shared" si="34"/>
        <v>0</v>
      </c>
      <c r="BT60" s="53">
        <f t="shared" si="35"/>
        <v>0</v>
      </c>
      <c r="BU60" s="53">
        <f t="shared" si="36"/>
        <v>0</v>
      </c>
      <c r="BV60" s="53">
        <f t="shared" si="37"/>
        <v>0</v>
      </c>
      <c r="BW60" s="53">
        <f t="shared" si="38"/>
        <v>0</v>
      </c>
      <c r="BX60" s="53">
        <f t="shared" si="39"/>
        <v>0</v>
      </c>
      <c r="BY60" s="53">
        <f t="shared" si="40"/>
        <v>0</v>
      </c>
      <c r="BZ60" s="53">
        <f t="shared" si="41"/>
        <v>0</v>
      </c>
      <c r="CA60" s="53">
        <f t="shared" si="42"/>
        <v>0</v>
      </c>
      <c r="CB60" s="53">
        <f t="shared" si="43"/>
        <v>0</v>
      </c>
      <c r="CC60" s="53">
        <f t="shared" si="44"/>
        <v>0</v>
      </c>
      <c r="CD60" s="8">
        <f t="shared" si="45"/>
        <v>625.28811689529095</v>
      </c>
      <c r="CE60" s="8">
        <f t="shared" si="46"/>
        <v>2200.4162005614453</v>
      </c>
      <c r="CF60" s="8">
        <f t="shared" si="47"/>
        <v>85737.001305975995</v>
      </c>
    </row>
    <row r="61" spans="1:84">
      <c r="A61" s="7">
        <f>'Monthly Data'!A61</f>
        <v>42705</v>
      </c>
      <c r="B61" s="6">
        <f>'Monthly Data'!B61</f>
        <v>2016</v>
      </c>
      <c r="C61" s="6">
        <f t="shared" si="50"/>
        <v>12</v>
      </c>
      <c r="D61" s="8">
        <f>'Monthly Data'!D61</f>
        <v>12042494.786609141</v>
      </c>
      <c r="E61" s="1">
        <f>'Monthly Data'!E61</f>
        <v>198370.29154496465</v>
      </c>
      <c r="F61" s="8">
        <f>'Monthly Data'!F61</f>
        <v>12240865.078154106</v>
      </c>
      <c r="G61" s="8">
        <f>'Monthly Data'!G61</f>
        <v>4193924.0553414854</v>
      </c>
      <c r="H61" s="1">
        <f>'Monthly Data'!H61</f>
        <v>246828.58648979184</v>
      </c>
      <c r="I61" s="8">
        <f>'Monthly Data'!I61</f>
        <v>4440752.6418312769</v>
      </c>
      <c r="J61" s="8">
        <f>'Monthly Data'!J61</f>
        <v>10221670.924776817</v>
      </c>
      <c r="K61" s="1">
        <f>'Monthly Data'!K61</f>
        <v>255809.82296543571</v>
      </c>
      <c r="L61" s="8">
        <f>'Monthly Data'!L61</f>
        <v>10477480.747742252</v>
      </c>
      <c r="M61" s="8">
        <f>'Monthly Data'!M61</f>
        <v>221504.91586598798</v>
      </c>
      <c r="N61" s="8">
        <f>'Monthly Data'!N61</f>
        <v>31784.619114312391</v>
      </c>
      <c r="O61" s="5">
        <f>'Monthly Data'!O61</f>
        <v>26087.759999999998</v>
      </c>
      <c r="P61" s="5">
        <f>'Monthly Data'!P61</f>
        <v>474.01000000000005</v>
      </c>
      <c r="Q61" s="8">
        <f>'Monthly Data'!Q61</f>
        <v>14928</v>
      </c>
      <c r="R61" s="8">
        <f>'Monthly Data'!R61</f>
        <v>1744.5</v>
      </c>
      <c r="S61" s="8">
        <f>'Monthly Data'!S61</f>
        <v>130</v>
      </c>
      <c r="T61" s="8">
        <f>'Monthly Data'!T61</f>
        <v>3069</v>
      </c>
      <c r="U61" s="8">
        <f>'Monthly Data'!U61</f>
        <v>30</v>
      </c>
      <c r="V61" s="45">
        <f>Weather!C181</f>
        <v>-1.2387096774193549</v>
      </c>
      <c r="W61" s="46">
        <f>Weather!D181</f>
        <v>720.4</v>
      </c>
      <c r="X61" s="46">
        <f>Weather!E181</f>
        <v>0</v>
      </c>
      <c r="Y61" s="46">
        <f>Weather!F181</f>
        <v>658.4</v>
      </c>
      <c r="Z61" s="46">
        <f>Weather!G181</f>
        <v>0</v>
      </c>
      <c r="AA61" s="46">
        <f>Weather!H181</f>
        <v>596.4</v>
      </c>
      <c r="AB61" s="46">
        <f>Weather!I181</f>
        <v>0</v>
      </c>
      <c r="AC61" s="46">
        <f>Weather!J181</f>
        <v>534.4</v>
      </c>
      <c r="AD61" s="46">
        <f>Weather!K181</f>
        <v>0</v>
      </c>
      <c r="AE61" s="46">
        <f>Weather!L181</f>
        <v>472.4</v>
      </c>
      <c r="AF61" s="46">
        <f>Weather!M181</f>
        <v>0</v>
      </c>
      <c r="AG61" s="46">
        <f>Weather!N181</f>
        <v>410.4</v>
      </c>
      <c r="AH61" s="46">
        <f>Weather!O181</f>
        <v>0</v>
      </c>
      <c r="AI61" s="46">
        <f>Weather!P181</f>
        <v>348.4</v>
      </c>
      <c r="AJ61" s="46">
        <f>Weather!Q181</f>
        <v>0</v>
      </c>
      <c r="AK61" s="46">
        <f>Weather!R181</f>
        <v>286.39999999999998</v>
      </c>
      <c r="AL61" s="46">
        <f>Weather!S181</f>
        <v>0</v>
      </c>
      <c r="AM61" s="43">
        <f>Economic!C61</f>
        <v>692620.80000000005</v>
      </c>
      <c r="AN61" s="43">
        <f>Economic!D61</f>
        <v>6952.3</v>
      </c>
      <c r="AO61" s="43">
        <f>Economic!E61</f>
        <v>6962</v>
      </c>
      <c r="AP61" s="43">
        <f>Economic!F61</f>
        <v>99.9</v>
      </c>
      <c r="AQ61" s="43">
        <f>Economic!G61</f>
        <v>100.6</v>
      </c>
      <c r="AR61" s="47">
        <f t="shared" si="49"/>
        <v>31</v>
      </c>
      <c r="AS61" s="47">
        <v>21</v>
      </c>
      <c r="AT61" s="47">
        <f t="shared" si="51"/>
        <v>60</v>
      </c>
      <c r="AU61" s="47">
        <f t="shared" si="53"/>
        <v>0</v>
      </c>
      <c r="AV61" s="47">
        <f t="shared" si="53"/>
        <v>0</v>
      </c>
      <c r="AW61" s="47">
        <f t="shared" si="53"/>
        <v>0</v>
      </c>
      <c r="AX61" s="47">
        <f t="shared" si="53"/>
        <v>0</v>
      </c>
      <c r="AY61" s="47">
        <f t="shared" si="53"/>
        <v>0</v>
      </c>
      <c r="AZ61" s="47">
        <f t="shared" si="53"/>
        <v>0</v>
      </c>
      <c r="BA61" s="47">
        <f t="shared" si="53"/>
        <v>0</v>
      </c>
      <c r="BB61" s="47">
        <f t="shared" si="53"/>
        <v>0</v>
      </c>
      <c r="BC61" s="47">
        <f t="shared" si="53"/>
        <v>0</v>
      </c>
      <c r="BD61" s="47">
        <f t="shared" si="53"/>
        <v>0</v>
      </c>
      <c r="BE61" s="47">
        <f t="shared" si="53"/>
        <v>0</v>
      </c>
      <c r="BF61" s="47">
        <f t="shared" si="53"/>
        <v>1</v>
      </c>
      <c r="BG61" s="47">
        <f t="shared" si="53"/>
        <v>0</v>
      </c>
      <c r="BH61" s="47">
        <f t="shared" si="53"/>
        <v>0</v>
      </c>
      <c r="BI61" s="47">
        <f t="shared" si="52"/>
        <v>0</v>
      </c>
      <c r="BJ61" s="48">
        <v>0</v>
      </c>
      <c r="BK61" s="48">
        <v>0</v>
      </c>
      <c r="BL61" s="48">
        <f t="shared" si="23"/>
        <v>0</v>
      </c>
      <c r="BM61" s="47">
        <f t="shared" si="25"/>
        <v>0</v>
      </c>
      <c r="BN61" s="53">
        <f t="shared" si="29"/>
        <v>0</v>
      </c>
      <c r="BO61" s="53">
        <f t="shared" si="30"/>
        <v>0</v>
      </c>
      <c r="BP61" s="53">
        <f t="shared" si="31"/>
        <v>0</v>
      </c>
      <c r="BQ61" s="53">
        <f t="shared" si="32"/>
        <v>0</v>
      </c>
      <c r="BR61" s="53">
        <f t="shared" si="33"/>
        <v>0</v>
      </c>
      <c r="BS61" s="53">
        <f t="shared" si="34"/>
        <v>0</v>
      </c>
      <c r="BT61" s="53">
        <f t="shared" si="35"/>
        <v>0</v>
      </c>
      <c r="BU61" s="53">
        <f t="shared" si="36"/>
        <v>0</v>
      </c>
      <c r="BV61" s="53">
        <f t="shared" si="37"/>
        <v>0</v>
      </c>
      <c r="BW61" s="53">
        <f t="shared" si="38"/>
        <v>0</v>
      </c>
      <c r="BX61" s="53">
        <f t="shared" si="39"/>
        <v>0</v>
      </c>
      <c r="BY61" s="53">
        <f t="shared" si="40"/>
        <v>0</v>
      </c>
      <c r="BZ61" s="53">
        <f t="shared" si="41"/>
        <v>0</v>
      </c>
      <c r="CA61" s="53">
        <f t="shared" si="42"/>
        <v>0</v>
      </c>
      <c r="CB61" s="53">
        <f t="shared" si="43"/>
        <v>0</v>
      </c>
      <c r="CC61" s="53">
        <f t="shared" si="44"/>
        <v>0</v>
      </c>
      <c r="CD61" s="8">
        <f t="shared" si="45"/>
        <v>819.99364135544647</v>
      </c>
      <c r="CE61" s="8">
        <f t="shared" si="46"/>
        <v>2545.5733114538702</v>
      </c>
      <c r="CF61" s="8">
        <f t="shared" si="47"/>
        <v>80596.005751863486</v>
      </c>
    </row>
    <row r="62" spans="1:84">
      <c r="A62" s="7">
        <f>'Monthly Data'!A62</f>
        <v>42736</v>
      </c>
      <c r="B62" s="6">
        <f>'Monthly Data'!B62</f>
        <v>2017</v>
      </c>
      <c r="C62" s="6">
        <f t="shared" si="50"/>
        <v>1</v>
      </c>
      <c r="D62" s="8">
        <f>'Monthly Data'!D62</f>
        <v>12402016.336484401</v>
      </c>
      <c r="E62" s="1">
        <f>'Monthly Data'!E62</f>
        <v>424165.64364677883</v>
      </c>
      <c r="F62" s="8">
        <f>'Monthly Data'!F62</f>
        <v>12826181.980131179</v>
      </c>
      <c r="G62" s="8">
        <f>'Monthly Data'!G62</f>
        <v>4320040.4514866741</v>
      </c>
      <c r="H62" s="1">
        <f>'Monthly Data'!H62</f>
        <v>249658.95771913868</v>
      </c>
      <c r="I62" s="8">
        <f>'Monthly Data'!I62</f>
        <v>4569699.409205813</v>
      </c>
      <c r="J62" s="8">
        <f>'Monthly Data'!J62</f>
        <v>11262659.046966342</v>
      </c>
      <c r="K62" s="1">
        <f>'Monthly Data'!K62</f>
        <v>361922.66569328256</v>
      </c>
      <c r="L62" s="8">
        <f>'Monthly Data'!L62</f>
        <v>11624581.712659625</v>
      </c>
      <c r="M62" s="8">
        <f>'Monthly Data'!M62</f>
        <v>133380.70118369928</v>
      </c>
      <c r="N62" s="8">
        <f>'Monthly Data'!N62</f>
        <v>33734.31912765107</v>
      </c>
      <c r="O62" s="5">
        <f>'Monthly Data'!O62</f>
        <v>26034.580000000005</v>
      </c>
      <c r="P62" s="5">
        <f>'Monthly Data'!P62</f>
        <v>474.01000000000005</v>
      </c>
      <c r="Q62" s="8">
        <f>'Monthly Data'!Q62</f>
        <v>15020</v>
      </c>
      <c r="R62" s="8">
        <f>'Monthly Data'!R62</f>
        <v>1739</v>
      </c>
      <c r="S62" s="8">
        <f>'Monthly Data'!S62</f>
        <v>126</v>
      </c>
      <c r="T62" s="8">
        <f>'Monthly Data'!T62</f>
        <v>3069</v>
      </c>
      <c r="U62" s="8">
        <f>'Monthly Data'!U62</f>
        <v>30</v>
      </c>
      <c r="V62" s="45">
        <f>Weather!C182</f>
        <v>-1.8064516129032251</v>
      </c>
      <c r="W62" s="46">
        <f>Weather!D182</f>
        <v>738</v>
      </c>
      <c r="X62" s="46">
        <f>Weather!E182</f>
        <v>0</v>
      </c>
      <c r="Y62" s="46">
        <f>Weather!F182</f>
        <v>676</v>
      </c>
      <c r="Z62" s="46">
        <f>Weather!G182</f>
        <v>0</v>
      </c>
      <c r="AA62" s="46">
        <f>Weather!H182</f>
        <v>614</v>
      </c>
      <c r="AB62" s="46">
        <f>Weather!I182</f>
        <v>0</v>
      </c>
      <c r="AC62" s="46">
        <f>Weather!J182</f>
        <v>552</v>
      </c>
      <c r="AD62" s="46">
        <f>Weather!K182</f>
        <v>0</v>
      </c>
      <c r="AE62" s="46">
        <f>Weather!L182</f>
        <v>490</v>
      </c>
      <c r="AF62" s="46">
        <f>Weather!M182</f>
        <v>0</v>
      </c>
      <c r="AG62" s="46">
        <f>Weather!N182</f>
        <v>428</v>
      </c>
      <c r="AH62" s="46">
        <f>Weather!O182</f>
        <v>0</v>
      </c>
      <c r="AI62" s="46">
        <f>Weather!P182</f>
        <v>366</v>
      </c>
      <c r="AJ62" s="46">
        <f>Weather!Q182</f>
        <v>0</v>
      </c>
      <c r="AK62" s="46">
        <f>Weather!R182</f>
        <v>304</v>
      </c>
      <c r="AL62" s="46">
        <f>Weather!S182</f>
        <v>0</v>
      </c>
      <c r="AM62" s="43">
        <f>Economic!C62</f>
        <v>711695.1</v>
      </c>
      <c r="AN62" s="43">
        <f>Economic!D62</f>
        <v>6971</v>
      </c>
      <c r="AO62" s="43">
        <f>Economic!E62</f>
        <v>6942.1</v>
      </c>
      <c r="AP62" s="43">
        <f>Economic!F62</f>
        <v>102.6</v>
      </c>
      <c r="AQ62" s="43">
        <f>Economic!G62</f>
        <v>102.2</v>
      </c>
      <c r="AR62" s="47">
        <f t="shared" si="49"/>
        <v>31</v>
      </c>
      <c r="AS62" s="47">
        <v>21</v>
      </c>
      <c r="AT62" s="47">
        <f t="shared" si="51"/>
        <v>61</v>
      </c>
      <c r="AU62" s="47">
        <f t="shared" si="53"/>
        <v>1</v>
      </c>
      <c r="AV62" s="47">
        <f t="shared" si="53"/>
        <v>0</v>
      </c>
      <c r="AW62" s="47">
        <f t="shared" si="53"/>
        <v>0</v>
      </c>
      <c r="AX62" s="47">
        <f t="shared" si="53"/>
        <v>0</v>
      </c>
      <c r="AY62" s="47">
        <f t="shared" si="53"/>
        <v>0</v>
      </c>
      <c r="AZ62" s="47">
        <f t="shared" si="53"/>
        <v>0</v>
      </c>
      <c r="BA62" s="47">
        <f t="shared" si="53"/>
        <v>0</v>
      </c>
      <c r="BB62" s="47">
        <f t="shared" si="53"/>
        <v>0</v>
      </c>
      <c r="BC62" s="47">
        <f t="shared" si="53"/>
        <v>0</v>
      </c>
      <c r="BD62" s="47">
        <f t="shared" si="53"/>
        <v>0</v>
      </c>
      <c r="BE62" s="47">
        <f t="shared" si="53"/>
        <v>0</v>
      </c>
      <c r="BF62" s="47">
        <f t="shared" si="53"/>
        <v>0</v>
      </c>
      <c r="BG62" s="47">
        <f t="shared" si="53"/>
        <v>0</v>
      </c>
      <c r="BH62" s="47">
        <f t="shared" si="53"/>
        <v>0</v>
      </c>
      <c r="BI62" s="47">
        <f t="shared" si="52"/>
        <v>0</v>
      </c>
      <c r="BJ62" s="48">
        <v>0</v>
      </c>
      <c r="BK62" s="48">
        <v>0</v>
      </c>
      <c r="BL62" s="48">
        <f t="shared" si="23"/>
        <v>0</v>
      </c>
      <c r="BM62" s="47">
        <f t="shared" si="25"/>
        <v>0</v>
      </c>
      <c r="BN62" s="53">
        <f t="shared" si="29"/>
        <v>0</v>
      </c>
      <c r="BO62" s="53">
        <f t="shared" si="30"/>
        <v>0</v>
      </c>
      <c r="BP62" s="53">
        <f t="shared" si="31"/>
        <v>0</v>
      </c>
      <c r="BQ62" s="53">
        <f t="shared" si="32"/>
        <v>0</v>
      </c>
      <c r="BR62" s="53">
        <f t="shared" si="33"/>
        <v>0</v>
      </c>
      <c r="BS62" s="53">
        <f t="shared" si="34"/>
        <v>0</v>
      </c>
      <c r="BT62" s="53">
        <f t="shared" si="35"/>
        <v>0</v>
      </c>
      <c r="BU62" s="53">
        <f t="shared" si="36"/>
        <v>0</v>
      </c>
      <c r="BV62" s="53">
        <f t="shared" si="37"/>
        <v>0</v>
      </c>
      <c r="BW62" s="53">
        <f t="shared" si="38"/>
        <v>0</v>
      </c>
      <c r="BX62" s="53">
        <f t="shared" si="39"/>
        <v>0</v>
      </c>
      <c r="BY62" s="53">
        <f t="shared" si="40"/>
        <v>0</v>
      </c>
      <c r="BZ62" s="53">
        <f t="shared" si="41"/>
        <v>0</v>
      </c>
      <c r="CA62" s="53">
        <f t="shared" si="42"/>
        <v>0</v>
      </c>
      <c r="CB62" s="53">
        <f t="shared" si="43"/>
        <v>0</v>
      </c>
      <c r="CC62" s="53">
        <f t="shared" si="44"/>
        <v>0</v>
      </c>
      <c r="CD62" s="8">
        <f t="shared" si="45"/>
        <v>853.94021172644329</v>
      </c>
      <c r="CE62" s="8">
        <f t="shared" si="46"/>
        <v>2627.7742433615945</v>
      </c>
      <c r="CF62" s="8">
        <f t="shared" si="47"/>
        <v>92258.585021108142</v>
      </c>
    </row>
    <row r="63" spans="1:84">
      <c r="A63" s="7">
        <f>'Monthly Data'!A63</f>
        <v>42767</v>
      </c>
      <c r="B63" s="6">
        <f>'Monthly Data'!B63</f>
        <v>2017</v>
      </c>
      <c r="C63" s="6">
        <f t="shared" si="50"/>
        <v>2</v>
      </c>
      <c r="D63" s="8">
        <f>'Monthly Data'!D63</f>
        <v>10732724.525906282</v>
      </c>
      <c r="E63" s="1">
        <f>'Monthly Data'!E63</f>
        <v>424165.64364677883</v>
      </c>
      <c r="F63" s="8">
        <f>'Monthly Data'!F63</f>
        <v>11156890.16955306</v>
      </c>
      <c r="G63" s="8">
        <f>'Monthly Data'!G63</f>
        <v>3893047.7223456632</v>
      </c>
      <c r="H63" s="1">
        <f>'Monthly Data'!H63</f>
        <v>249658.95771913868</v>
      </c>
      <c r="I63" s="8">
        <f>'Monthly Data'!I63</f>
        <v>4142706.6800648021</v>
      </c>
      <c r="J63" s="8">
        <f>'Monthly Data'!J63</f>
        <v>10276279.219916252</v>
      </c>
      <c r="K63" s="1">
        <f>'Monthly Data'!K63</f>
        <v>361922.66569328256</v>
      </c>
      <c r="L63" s="8">
        <f>'Monthly Data'!L63</f>
        <v>10638201.885609536</v>
      </c>
      <c r="M63" s="8">
        <f>'Monthly Data'!M63</f>
        <v>108624.99508405513</v>
      </c>
      <c r="N63" s="8">
        <f>'Monthly Data'!N63</f>
        <v>30132.438308656801</v>
      </c>
      <c r="O63" s="5">
        <f>'Monthly Data'!O63</f>
        <v>25927.160000000003</v>
      </c>
      <c r="P63" s="5">
        <f>'Monthly Data'!P63</f>
        <v>427.40999999999997</v>
      </c>
      <c r="Q63" s="8">
        <f>'Monthly Data'!Q63</f>
        <v>14981</v>
      </c>
      <c r="R63" s="8">
        <f>'Monthly Data'!R63</f>
        <v>1744</v>
      </c>
      <c r="S63" s="8">
        <f>'Monthly Data'!S63</f>
        <v>126</v>
      </c>
      <c r="T63" s="8">
        <f>'Monthly Data'!T63</f>
        <v>3069</v>
      </c>
      <c r="U63" s="8">
        <f>'Monthly Data'!U63</f>
        <v>30</v>
      </c>
      <c r="V63" s="45">
        <f>Weather!C183</f>
        <v>-0.30000000000000054</v>
      </c>
      <c r="W63" s="46">
        <f>Weather!D183</f>
        <v>624.4</v>
      </c>
      <c r="X63" s="46">
        <f>Weather!E183</f>
        <v>0</v>
      </c>
      <c r="Y63" s="46">
        <f>Weather!F183</f>
        <v>568.4</v>
      </c>
      <c r="Z63" s="46">
        <f>Weather!G183</f>
        <v>0</v>
      </c>
      <c r="AA63" s="46">
        <f>Weather!H183</f>
        <v>512.4</v>
      </c>
      <c r="AB63" s="46">
        <f>Weather!I183</f>
        <v>0</v>
      </c>
      <c r="AC63" s="46">
        <f>Weather!J183</f>
        <v>456.4</v>
      </c>
      <c r="AD63" s="46">
        <f>Weather!K183</f>
        <v>0</v>
      </c>
      <c r="AE63" s="46">
        <f>Weather!L183</f>
        <v>400.4</v>
      </c>
      <c r="AF63" s="46">
        <f>Weather!M183</f>
        <v>0</v>
      </c>
      <c r="AG63" s="46">
        <f>Weather!N183</f>
        <v>344.4</v>
      </c>
      <c r="AH63" s="46">
        <f>Weather!O183</f>
        <v>0</v>
      </c>
      <c r="AI63" s="46">
        <f>Weather!P183</f>
        <v>288.39999999999998</v>
      </c>
      <c r="AJ63" s="46">
        <f>Weather!Q183</f>
        <v>0</v>
      </c>
      <c r="AK63" s="46">
        <f>Weather!R183</f>
        <v>236.2</v>
      </c>
      <c r="AL63" s="46">
        <f>Weather!S183</f>
        <v>3.8</v>
      </c>
      <c r="AM63" s="43">
        <f>Economic!C63</f>
        <v>711695.1</v>
      </c>
      <c r="AN63" s="43">
        <f>Economic!D63</f>
        <v>6987.8</v>
      </c>
      <c r="AO63" s="43">
        <f>Economic!E63</f>
        <v>6920.9</v>
      </c>
      <c r="AP63" s="43">
        <f>Economic!F63</f>
        <v>105.9</v>
      </c>
      <c r="AQ63" s="43">
        <f>Economic!G63</f>
        <v>104.1</v>
      </c>
      <c r="AR63" s="47">
        <f t="shared" si="49"/>
        <v>28</v>
      </c>
      <c r="AS63" s="47">
        <v>19</v>
      </c>
      <c r="AT63" s="47">
        <f t="shared" si="51"/>
        <v>62</v>
      </c>
      <c r="AU63" s="47">
        <f t="shared" si="53"/>
        <v>0</v>
      </c>
      <c r="AV63" s="47">
        <f t="shared" si="53"/>
        <v>1</v>
      </c>
      <c r="AW63" s="47">
        <f t="shared" si="53"/>
        <v>0</v>
      </c>
      <c r="AX63" s="47">
        <f t="shared" si="53"/>
        <v>0</v>
      </c>
      <c r="AY63" s="47">
        <f t="shared" si="53"/>
        <v>0</v>
      </c>
      <c r="AZ63" s="47">
        <f t="shared" si="53"/>
        <v>0</v>
      </c>
      <c r="BA63" s="47">
        <f t="shared" si="53"/>
        <v>0</v>
      </c>
      <c r="BB63" s="47">
        <f t="shared" si="53"/>
        <v>0</v>
      </c>
      <c r="BC63" s="47">
        <f t="shared" si="53"/>
        <v>0</v>
      </c>
      <c r="BD63" s="47">
        <f t="shared" si="53"/>
        <v>0</v>
      </c>
      <c r="BE63" s="47">
        <f t="shared" si="53"/>
        <v>0</v>
      </c>
      <c r="BF63" s="47">
        <f t="shared" si="53"/>
        <v>0</v>
      </c>
      <c r="BG63" s="47">
        <f t="shared" si="53"/>
        <v>0</v>
      </c>
      <c r="BH63" s="47">
        <f t="shared" si="53"/>
        <v>0</v>
      </c>
      <c r="BI63" s="47">
        <f t="shared" si="52"/>
        <v>0</v>
      </c>
      <c r="BJ63" s="48">
        <v>0</v>
      </c>
      <c r="BK63" s="48">
        <v>0</v>
      </c>
      <c r="BL63" s="48">
        <f t="shared" si="23"/>
        <v>0</v>
      </c>
      <c r="BM63" s="47">
        <f t="shared" si="25"/>
        <v>0</v>
      </c>
      <c r="BN63" s="53">
        <f t="shared" si="29"/>
        <v>0</v>
      </c>
      <c r="BO63" s="53">
        <f t="shared" si="30"/>
        <v>0</v>
      </c>
      <c r="BP63" s="53">
        <f t="shared" si="31"/>
        <v>0</v>
      </c>
      <c r="BQ63" s="53">
        <f t="shared" si="32"/>
        <v>0</v>
      </c>
      <c r="BR63" s="53">
        <f t="shared" si="33"/>
        <v>0</v>
      </c>
      <c r="BS63" s="53">
        <f t="shared" si="34"/>
        <v>0</v>
      </c>
      <c r="BT63" s="53">
        <f t="shared" si="35"/>
        <v>0</v>
      </c>
      <c r="BU63" s="53">
        <f t="shared" si="36"/>
        <v>0</v>
      </c>
      <c r="BV63" s="53">
        <f t="shared" si="37"/>
        <v>0</v>
      </c>
      <c r="BW63" s="53">
        <f t="shared" si="38"/>
        <v>0</v>
      </c>
      <c r="BX63" s="53">
        <f t="shared" si="39"/>
        <v>0</v>
      </c>
      <c r="BY63" s="53">
        <f t="shared" si="40"/>
        <v>0</v>
      </c>
      <c r="BZ63" s="53">
        <f t="shared" si="41"/>
        <v>0</v>
      </c>
      <c r="CA63" s="53">
        <f t="shared" si="42"/>
        <v>0</v>
      </c>
      <c r="CB63" s="53">
        <f t="shared" si="43"/>
        <v>0</v>
      </c>
      <c r="CC63" s="53">
        <f t="shared" si="44"/>
        <v>0</v>
      </c>
      <c r="CD63" s="8">
        <f t="shared" si="45"/>
        <v>744.73601024985385</v>
      </c>
      <c r="CE63" s="8">
        <f t="shared" si="46"/>
        <v>2375.4052064591756</v>
      </c>
      <c r="CF63" s="8">
        <f t="shared" si="47"/>
        <v>84430.173695313773</v>
      </c>
    </row>
    <row r="64" spans="1:84">
      <c r="A64" s="7">
        <f>'Monthly Data'!A64</f>
        <v>42795</v>
      </c>
      <c r="B64" s="6">
        <f>'Monthly Data'!B64</f>
        <v>2017</v>
      </c>
      <c r="C64" s="6">
        <f t="shared" si="50"/>
        <v>3</v>
      </c>
      <c r="D64" s="8">
        <f>'Monthly Data'!D64</f>
        <v>11246900.818313407</v>
      </c>
      <c r="E64" s="1">
        <f>'Monthly Data'!E64</f>
        <v>424165.64364677883</v>
      </c>
      <c r="F64" s="8">
        <f>'Monthly Data'!F64</f>
        <v>11671066.461960185</v>
      </c>
      <c r="G64" s="8">
        <f>'Monthly Data'!G64</f>
        <v>4171063.5601851279</v>
      </c>
      <c r="H64" s="1">
        <f>'Monthly Data'!H64</f>
        <v>249658.95771913868</v>
      </c>
      <c r="I64" s="8">
        <f>'Monthly Data'!I64</f>
        <v>4420722.5179042667</v>
      </c>
      <c r="J64" s="8">
        <f>'Monthly Data'!J64</f>
        <v>11335383.600888738</v>
      </c>
      <c r="K64" s="1">
        <f>'Monthly Data'!K64</f>
        <v>361922.66569328256</v>
      </c>
      <c r="L64" s="8">
        <f>'Monthly Data'!L64</f>
        <v>11697306.266582021</v>
      </c>
      <c r="M64" s="8">
        <f>'Monthly Data'!M64</f>
        <v>107105.11364760959</v>
      </c>
      <c r="N64" s="8">
        <f>'Monthly Data'!N64</f>
        <v>33972.705482192883</v>
      </c>
      <c r="O64" s="5">
        <f>'Monthly Data'!O64</f>
        <v>25972.27</v>
      </c>
      <c r="P64" s="5">
        <f>'Monthly Data'!P64</f>
        <v>287.61</v>
      </c>
      <c r="Q64" s="8">
        <f>'Monthly Data'!Q64</f>
        <v>14985</v>
      </c>
      <c r="R64" s="8">
        <f>'Monthly Data'!R64</f>
        <v>1736</v>
      </c>
      <c r="S64" s="8">
        <f>'Monthly Data'!S64</f>
        <v>124</v>
      </c>
      <c r="T64" s="8">
        <f>'Monthly Data'!T64</f>
        <v>3069</v>
      </c>
      <c r="U64" s="8">
        <f>'Monthly Data'!U64</f>
        <v>30</v>
      </c>
      <c r="V64" s="45">
        <f>Weather!C184</f>
        <v>-1.6478504703728338</v>
      </c>
      <c r="W64" s="46">
        <f>Weather!D184</f>
        <v>733.1</v>
      </c>
      <c r="X64" s="46">
        <f>Weather!E184</f>
        <v>0</v>
      </c>
      <c r="Y64" s="46">
        <f>Weather!F184</f>
        <v>671.1</v>
      </c>
      <c r="Z64" s="46">
        <f>Weather!G184</f>
        <v>0</v>
      </c>
      <c r="AA64" s="46">
        <f>Weather!H184</f>
        <v>609.1</v>
      </c>
      <c r="AB64" s="46">
        <f>Weather!I184</f>
        <v>0</v>
      </c>
      <c r="AC64" s="46">
        <f>Weather!J184</f>
        <v>547.1</v>
      </c>
      <c r="AD64" s="46">
        <f>Weather!K184</f>
        <v>0</v>
      </c>
      <c r="AE64" s="46">
        <f>Weather!L184</f>
        <v>485.1</v>
      </c>
      <c r="AF64" s="46">
        <f>Weather!M184</f>
        <v>0</v>
      </c>
      <c r="AG64" s="46">
        <f>Weather!N184</f>
        <v>423.1</v>
      </c>
      <c r="AH64" s="46">
        <f>Weather!O184</f>
        <v>0</v>
      </c>
      <c r="AI64" s="46">
        <f>Weather!P184</f>
        <v>361.1</v>
      </c>
      <c r="AJ64" s="46">
        <f>Weather!Q184</f>
        <v>0</v>
      </c>
      <c r="AK64" s="46">
        <f>Weather!R184</f>
        <v>301.10000000000002</v>
      </c>
      <c r="AL64" s="46">
        <f>Weather!S184</f>
        <v>2</v>
      </c>
      <c r="AM64" s="43">
        <f>Economic!C64</f>
        <v>711695.1</v>
      </c>
      <c r="AN64" s="43">
        <f>Economic!D64</f>
        <v>7000.6</v>
      </c>
      <c r="AO64" s="43">
        <f>Economic!E64</f>
        <v>6896.8</v>
      </c>
      <c r="AP64" s="43">
        <f>Economic!F64</f>
        <v>109.2</v>
      </c>
      <c r="AQ64" s="43">
        <f>Economic!G64</f>
        <v>107</v>
      </c>
      <c r="AR64" s="47">
        <f t="shared" si="49"/>
        <v>31</v>
      </c>
      <c r="AS64" s="47">
        <v>22</v>
      </c>
      <c r="AT64" s="47">
        <f t="shared" si="51"/>
        <v>63</v>
      </c>
      <c r="AU64" s="47">
        <f t="shared" si="53"/>
        <v>0</v>
      </c>
      <c r="AV64" s="47">
        <f t="shared" si="53"/>
        <v>0</v>
      </c>
      <c r="AW64" s="47">
        <f t="shared" si="53"/>
        <v>1</v>
      </c>
      <c r="AX64" s="47">
        <f t="shared" si="53"/>
        <v>0</v>
      </c>
      <c r="AY64" s="47">
        <f t="shared" si="53"/>
        <v>0</v>
      </c>
      <c r="AZ64" s="47">
        <f t="shared" si="53"/>
        <v>0</v>
      </c>
      <c r="BA64" s="47">
        <f t="shared" si="53"/>
        <v>0</v>
      </c>
      <c r="BB64" s="47">
        <f t="shared" si="53"/>
        <v>0</v>
      </c>
      <c r="BC64" s="47">
        <f t="shared" si="53"/>
        <v>0</v>
      </c>
      <c r="BD64" s="47">
        <f t="shared" si="53"/>
        <v>0</v>
      </c>
      <c r="BE64" s="47">
        <f t="shared" si="53"/>
        <v>0</v>
      </c>
      <c r="BF64" s="47">
        <f t="shared" si="53"/>
        <v>0</v>
      </c>
      <c r="BG64" s="47">
        <f t="shared" si="53"/>
        <v>1</v>
      </c>
      <c r="BH64" s="47">
        <f t="shared" si="53"/>
        <v>0</v>
      </c>
      <c r="BI64" s="47">
        <f t="shared" si="52"/>
        <v>1</v>
      </c>
      <c r="BJ64" s="48">
        <v>0</v>
      </c>
      <c r="BK64" s="48">
        <v>0</v>
      </c>
      <c r="BL64" s="48">
        <f t="shared" si="23"/>
        <v>0</v>
      </c>
      <c r="BM64" s="47">
        <f t="shared" si="25"/>
        <v>0</v>
      </c>
      <c r="BN64" s="53">
        <f t="shared" si="29"/>
        <v>0</v>
      </c>
      <c r="BO64" s="53">
        <f t="shared" si="30"/>
        <v>0</v>
      </c>
      <c r="BP64" s="53">
        <f t="shared" si="31"/>
        <v>0</v>
      </c>
      <c r="BQ64" s="53">
        <f t="shared" si="32"/>
        <v>0</v>
      </c>
      <c r="BR64" s="53">
        <f t="shared" si="33"/>
        <v>0</v>
      </c>
      <c r="BS64" s="53">
        <f t="shared" si="34"/>
        <v>0</v>
      </c>
      <c r="BT64" s="53">
        <f t="shared" si="35"/>
        <v>0</v>
      </c>
      <c r="BU64" s="53">
        <f t="shared" si="36"/>
        <v>0</v>
      </c>
      <c r="BV64" s="53">
        <f t="shared" si="37"/>
        <v>0</v>
      </c>
      <c r="BW64" s="53">
        <f t="shared" si="38"/>
        <v>0</v>
      </c>
      <c r="BX64" s="53">
        <f t="shared" si="39"/>
        <v>0</v>
      </c>
      <c r="BY64" s="53">
        <f t="shared" si="40"/>
        <v>0</v>
      </c>
      <c r="BZ64" s="53">
        <f t="shared" si="41"/>
        <v>0</v>
      </c>
      <c r="CA64" s="53">
        <f t="shared" si="42"/>
        <v>0</v>
      </c>
      <c r="CB64" s="53">
        <f t="shared" si="43"/>
        <v>0</v>
      </c>
      <c r="CC64" s="53">
        <f t="shared" si="44"/>
        <v>0</v>
      </c>
      <c r="CD64" s="8">
        <f t="shared" si="45"/>
        <v>778.84994741142373</v>
      </c>
      <c r="CE64" s="8">
        <f t="shared" si="46"/>
        <v>2546.4991462582179</v>
      </c>
      <c r="CF64" s="8">
        <f t="shared" si="47"/>
        <v>94333.115053080823</v>
      </c>
    </row>
    <row r="65" spans="1:84">
      <c r="A65" s="7">
        <f>'Monthly Data'!A65</f>
        <v>42826</v>
      </c>
      <c r="B65" s="6">
        <f>'Monthly Data'!B65</f>
        <v>2017</v>
      </c>
      <c r="C65" s="6">
        <f t="shared" si="50"/>
        <v>4</v>
      </c>
      <c r="D65" s="8">
        <f>'Monthly Data'!D65</f>
        <v>8824164.5158211607</v>
      </c>
      <c r="E65" s="1">
        <f>'Monthly Data'!E65</f>
        <v>424165.64364677883</v>
      </c>
      <c r="F65" s="8">
        <f>'Monthly Data'!F65</f>
        <v>9248330.1594679393</v>
      </c>
      <c r="G65" s="8">
        <f>'Monthly Data'!G65</f>
        <v>3496506.3587449682</v>
      </c>
      <c r="H65" s="1">
        <f>'Monthly Data'!H65</f>
        <v>249658.95771913868</v>
      </c>
      <c r="I65" s="8">
        <f>'Monthly Data'!I65</f>
        <v>3746165.316464107</v>
      </c>
      <c r="J65" s="8">
        <f>'Monthly Data'!J65</f>
        <v>9494360.7801229116</v>
      </c>
      <c r="K65" s="1">
        <f>'Monthly Data'!K65</f>
        <v>361922.66569328256</v>
      </c>
      <c r="L65" s="8">
        <f>'Monthly Data'!L65</f>
        <v>9856283.4458161946</v>
      </c>
      <c r="M65" s="8">
        <f>'Monthly Data'!M65</f>
        <v>90299.89731232998</v>
      </c>
      <c r="N65" s="8">
        <f>'Monthly Data'!N65</f>
        <v>33841.683340002674</v>
      </c>
      <c r="O65" s="5">
        <f>'Monthly Data'!O65</f>
        <v>25778.839999999997</v>
      </c>
      <c r="P65" s="5">
        <f>'Monthly Data'!P65</f>
        <v>287.61</v>
      </c>
      <c r="Q65" s="8">
        <f>'Monthly Data'!Q65</f>
        <v>14923</v>
      </c>
      <c r="R65" s="8">
        <f>'Monthly Data'!R65</f>
        <v>1748</v>
      </c>
      <c r="S65" s="8">
        <f>'Monthly Data'!S65</f>
        <v>125</v>
      </c>
      <c r="T65" s="8">
        <f>'Monthly Data'!T65</f>
        <v>3069</v>
      </c>
      <c r="U65" s="8">
        <f>'Monthly Data'!U65</f>
        <v>30</v>
      </c>
      <c r="V65" s="45">
        <f>Weather!C185</f>
        <v>8.0533333333333328</v>
      </c>
      <c r="W65" s="46">
        <f>Weather!D185</f>
        <v>418.4</v>
      </c>
      <c r="X65" s="46">
        <f>Weather!E185</f>
        <v>0</v>
      </c>
      <c r="Y65" s="46">
        <f>Weather!F185</f>
        <v>358.4</v>
      </c>
      <c r="Z65" s="46">
        <f>Weather!G185</f>
        <v>0</v>
      </c>
      <c r="AA65" s="46">
        <f>Weather!H185</f>
        <v>298.89999999999998</v>
      </c>
      <c r="AB65" s="46">
        <f>Weather!I185</f>
        <v>0.5</v>
      </c>
      <c r="AC65" s="46">
        <f>Weather!J185</f>
        <v>240.9</v>
      </c>
      <c r="AD65" s="46">
        <f>Weather!K185</f>
        <v>2.5</v>
      </c>
      <c r="AE65" s="46">
        <f>Weather!L185</f>
        <v>185.2</v>
      </c>
      <c r="AF65" s="46">
        <f>Weather!M185</f>
        <v>6.8</v>
      </c>
      <c r="AG65" s="46">
        <f>Weather!N185</f>
        <v>134.9</v>
      </c>
      <c r="AH65" s="46">
        <f>Weather!O185</f>
        <v>16.5</v>
      </c>
      <c r="AI65" s="46">
        <f>Weather!P185</f>
        <v>91.3</v>
      </c>
      <c r="AJ65" s="46">
        <f>Weather!Q185</f>
        <v>32.9</v>
      </c>
      <c r="AK65" s="46">
        <f>Weather!R185</f>
        <v>53.6</v>
      </c>
      <c r="AL65" s="46">
        <f>Weather!S185</f>
        <v>55.2</v>
      </c>
      <c r="AM65" s="43">
        <f>Economic!C65</f>
        <v>711695.1</v>
      </c>
      <c r="AN65" s="43">
        <f>Economic!D65</f>
        <v>6999.5</v>
      </c>
      <c r="AO65" s="43">
        <f>Economic!E65</f>
        <v>6905.1</v>
      </c>
      <c r="AP65" s="43">
        <f>Economic!F65</f>
        <v>111.5</v>
      </c>
      <c r="AQ65" s="43">
        <f>Economic!G65</f>
        <v>110.1</v>
      </c>
      <c r="AR65" s="47">
        <f t="shared" si="49"/>
        <v>30</v>
      </c>
      <c r="AS65" s="47">
        <v>21</v>
      </c>
      <c r="AT65" s="47">
        <f t="shared" si="51"/>
        <v>64</v>
      </c>
      <c r="AU65" s="47">
        <f t="shared" si="53"/>
        <v>0</v>
      </c>
      <c r="AV65" s="47">
        <f t="shared" si="53"/>
        <v>0</v>
      </c>
      <c r="AW65" s="47">
        <f t="shared" si="53"/>
        <v>0</v>
      </c>
      <c r="AX65" s="47">
        <f t="shared" si="53"/>
        <v>1</v>
      </c>
      <c r="AY65" s="47">
        <f t="shared" si="53"/>
        <v>0</v>
      </c>
      <c r="AZ65" s="47">
        <f t="shared" si="53"/>
        <v>0</v>
      </c>
      <c r="BA65" s="47">
        <f t="shared" si="53"/>
        <v>0</v>
      </c>
      <c r="BB65" s="47">
        <f t="shared" si="53"/>
        <v>0</v>
      </c>
      <c r="BC65" s="47">
        <f t="shared" si="53"/>
        <v>0</v>
      </c>
      <c r="BD65" s="47">
        <f t="shared" si="53"/>
        <v>0</v>
      </c>
      <c r="BE65" s="47">
        <f t="shared" si="53"/>
        <v>0</v>
      </c>
      <c r="BF65" s="47">
        <f t="shared" si="53"/>
        <v>0</v>
      </c>
      <c r="BG65" s="47">
        <f t="shared" si="53"/>
        <v>1</v>
      </c>
      <c r="BH65" s="47">
        <f t="shared" si="53"/>
        <v>0</v>
      </c>
      <c r="BI65" s="47">
        <f t="shared" si="52"/>
        <v>1</v>
      </c>
      <c r="BJ65" s="48">
        <v>0</v>
      </c>
      <c r="BK65" s="48">
        <v>0</v>
      </c>
      <c r="BL65" s="48">
        <f t="shared" si="23"/>
        <v>0</v>
      </c>
      <c r="BM65" s="47">
        <f t="shared" si="25"/>
        <v>0</v>
      </c>
      <c r="BN65" s="53">
        <f t="shared" si="29"/>
        <v>0</v>
      </c>
      <c r="BO65" s="53">
        <f t="shared" si="30"/>
        <v>0</v>
      </c>
      <c r="BP65" s="53">
        <f t="shared" si="31"/>
        <v>0</v>
      </c>
      <c r="BQ65" s="53">
        <f t="shared" si="32"/>
        <v>0</v>
      </c>
      <c r="BR65" s="53">
        <f t="shared" si="33"/>
        <v>0</v>
      </c>
      <c r="BS65" s="53">
        <f t="shared" si="34"/>
        <v>0</v>
      </c>
      <c r="BT65" s="53">
        <f t="shared" si="35"/>
        <v>0</v>
      </c>
      <c r="BU65" s="53">
        <f t="shared" si="36"/>
        <v>0</v>
      </c>
      <c r="BV65" s="53">
        <f t="shared" si="37"/>
        <v>0</v>
      </c>
      <c r="BW65" s="53">
        <f t="shared" si="38"/>
        <v>0</v>
      </c>
      <c r="BX65" s="53">
        <f t="shared" si="39"/>
        <v>0</v>
      </c>
      <c r="BY65" s="53">
        <f t="shared" si="40"/>
        <v>0</v>
      </c>
      <c r="BZ65" s="53">
        <f t="shared" si="41"/>
        <v>0</v>
      </c>
      <c r="CA65" s="53">
        <f t="shared" si="42"/>
        <v>0</v>
      </c>
      <c r="CB65" s="53">
        <f t="shared" si="43"/>
        <v>0</v>
      </c>
      <c r="CC65" s="53">
        <f t="shared" si="44"/>
        <v>0</v>
      </c>
      <c r="CD65" s="8">
        <f t="shared" si="45"/>
        <v>619.73665881310319</v>
      </c>
      <c r="CE65" s="8">
        <f t="shared" si="46"/>
        <v>2143.1151696018919</v>
      </c>
      <c r="CF65" s="8">
        <f t="shared" si="47"/>
        <v>78850.267566529554</v>
      </c>
    </row>
    <row r="66" spans="1:84">
      <c r="A66" s="7">
        <f>'Monthly Data'!A66</f>
        <v>42856</v>
      </c>
      <c r="B66" s="6">
        <f>'Monthly Data'!B66</f>
        <v>2017</v>
      </c>
      <c r="C66" s="6">
        <f t="shared" si="50"/>
        <v>5</v>
      </c>
      <c r="D66" s="8">
        <f>'Monthly Data'!D66</f>
        <v>8161256.906336261</v>
      </c>
      <c r="E66" s="1">
        <f>'Monthly Data'!E66</f>
        <v>424165.64364677883</v>
      </c>
      <c r="F66" s="8">
        <f>'Monthly Data'!F66</f>
        <v>8585422.5499830395</v>
      </c>
      <c r="G66" s="8">
        <f>'Monthly Data'!G66</f>
        <v>3468969.0901791146</v>
      </c>
      <c r="H66" s="1">
        <f>'Monthly Data'!H66</f>
        <v>249658.95771913868</v>
      </c>
      <c r="I66" s="8">
        <f>'Monthly Data'!I66</f>
        <v>3718628.0478982534</v>
      </c>
      <c r="J66" s="8">
        <f>'Monthly Data'!J66</f>
        <v>10255185.620479725</v>
      </c>
      <c r="K66" s="1">
        <f>'Monthly Data'!K66</f>
        <v>361922.66569328256</v>
      </c>
      <c r="L66" s="8">
        <f>'Monthly Data'!L66</f>
        <v>10617108.286173008</v>
      </c>
      <c r="M66" s="8">
        <f>'Monthly Data'!M66</f>
        <v>81461.249942270821</v>
      </c>
      <c r="N66" s="8">
        <f>'Monthly Data'!N66</f>
        <v>31829.167667066831</v>
      </c>
      <c r="O66" s="5">
        <f>'Monthly Data'!O66</f>
        <v>24976.589999999997</v>
      </c>
      <c r="P66" s="5">
        <f>'Monthly Data'!P66</f>
        <v>287.61</v>
      </c>
      <c r="Q66" s="8">
        <f>'Monthly Data'!Q66</f>
        <v>15053</v>
      </c>
      <c r="R66" s="8">
        <f>'Monthly Data'!R66</f>
        <v>1737</v>
      </c>
      <c r="S66" s="8">
        <f>'Monthly Data'!S66</f>
        <v>125</v>
      </c>
      <c r="T66" s="8">
        <f>'Monthly Data'!T66</f>
        <v>3069</v>
      </c>
      <c r="U66" s="8">
        <f>'Monthly Data'!U66</f>
        <v>30</v>
      </c>
      <c r="V66" s="45">
        <f>Weather!C186</f>
        <v>11.148387096774194</v>
      </c>
      <c r="W66" s="46">
        <f>Weather!D186</f>
        <v>338.7</v>
      </c>
      <c r="X66" s="46">
        <f>Weather!E186</f>
        <v>2.2999999999999998</v>
      </c>
      <c r="Y66" s="46">
        <f>Weather!F186</f>
        <v>278.7</v>
      </c>
      <c r="Z66" s="46">
        <f>Weather!G186</f>
        <v>4.3</v>
      </c>
      <c r="AA66" s="46">
        <f>Weather!H186</f>
        <v>221</v>
      </c>
      <c r="AB66" s="46">
        <f>Weather!I186</f>
        <v>8.6</v>
      </c>
      <c r="AC66" s="46">
        <f>Weather!J186</f>
        <v>167.7</v>
      </c>
      <c r="AD66" s="46">
        <f>Weather!K186</f>
        <v>17.3</v>
      </c>
      <c r="AE66" s="46">
        <f>Weather!L186</f>
        <v>117.6</v>
      </c>
      <c r="AF66" s="46">
        <f>Weather!M186</f>
        <v>29.2</v>
      </c>
      <c r="AG66" s="46">
        <f>Weather!N186</f>
        <v>75.599999999999994</v>
      </c>
      <c r="AH66" s="46">
        <f>Weather!O186</f>
        <v>49.2</v>
      </c>
      <c r="AI66" s="46">
        <f>Weather!P186</f>
        <v>43.8</v>
      </c>
      <c r="AJ66" s="46">
        <f>Weather!Q186</f>
        <v>79.400000000000006</v>
      </c>
      <c r="AK66" s="46">
        <f>Weather!R186</f>
        <v>20.2</v>
      </c>
      <c r="AL66" s="46">
        <f>Weather!S186</f>
        <v>117.8</v>
      </c>
      <c r="AM66" s="43">
        <f>Economic!C66</f>
        <v>711695.1</v>
      </c>
      <c r="AN66" s="43">
        <f>Economic!D66</f>
        <v>7006.2</v>
      </c>
      <c r="AO66" s="43">
        <f>Economic!E66</f>
        <v>6969.8</v>
      </c>
      <c r="AP66" s="43">
        <f>Economic!F66</f>
        <v>112.3</v>
      </c>
      <c r="AQ66" s="43">
        <f>Economic!G66</f>
        <v>112.3</v>
      </c>
      <c r="AR66" s="47">
        <f t="shared" si="49"/>
        <v>31</v>
      </c>
      <c r="AS66" s="47">
        <v>20</v>
      </c>
      <c r="AT66" s="47">
        <f t="shared" si="51"/>
        <v>65</v>
      </c>
      <c r="AU66" s="47">
        <f t="shared" si="53"/>
        <v>0</v>
      </c>
      <c r="AV66" s="47">
        <f t="shared" si="53"/>
        <v>0</v>
      </c>
      <c r="AW66" s="47">
        <f t="shared" si="53"/>
        <v>0</v>
      </c>
      <c r="AX66" s="47">
        <f t="shared" si="53"/>
        <v>0</v>
      </c>
      <c r="AY66" s="47">
        <f t="shared" si="53"/>
        <v>1</v>
      </c>
      <c r="AZ66" s="47">
        <f t="shared" si="53"/>
        <v>0</v>
      </c>
      <c r="BA66" s="47">
        <f t="shared" si="53"/>
        <v>0</v>
      </c>
      <c r="BB66" s="47">
        <f t="shared" si="53"/>
        <v>0</v>
      </c>
      <c r="BC66" s="47">
        <f t="shared" si="53"/>
        <v>0</v>
      </c>
      <c r="BD66" s="47">
        <f t="shared" si="53"/>
        <v>0</v>
      </c>
      <c r="BE66" s="47">
        <f t="shared" si="53"/>
        <v>0</v>
      </c>
      <c r="BF66" s="47">
        <f t="shared" si="53"/>
        <v>0</v>
      </c>
      <c r="BG66" s="47">
        <f t="shared" si="53"/>
        <v>1</v>
      </c>
      <c r="BH66" s="47">
        <f t="shared" si="53"/>
        <v>0</v>
      </c>
      <c r="BI66" s="47">
        <f t="shared" si="52"/>
        <v>1</v>
      </c>
      <c r="BJ66" s="48">
        <v>0</v>
      </c>
      <c r="BK66" s="48">
        <v>0</v>
      </c>
      <c r="BL66" s="48">
        <f t="shared" si="23"/>
        <v>0</v>
      </c>
      <c r="BM66" s="47">
        <f t="shared" si="25"/>
        <v>0</v>
      </c>
      <c r="BN66" s="53">
        <f t="shared" ref="BN66:BN97" si="54">$BJ66*W66</f>
        <v>0</v>
      </c>
      <c r="BO66" s="53">
        <f t="shared" ref="BO66:BO97" si="55">$BJ66*X66</f>
        <v>0</v>
      </c>
      <c r="BP66" s="53">
        <f t="shared" ref="BP66:BP97" si="56">$BJ66*Y66</f>
        <v>0</v>
      </c>
      <c r="BQ66" s="53">
        <f t="shared" ref="BQ66:BQ97" si="57">$BJ66*Z66</f>
        <v>0</v>
      </c>
      <c r="BR66" s="53">
        <f t="shared" ref="BR66:BR97" si="58">$BJ66*AA66</f>
        <v>0</v>
      </c>
      <c r="BS66" s="53">
        <f t="shared" ref="BS66:BS97" si="59">$BJ66*AB66</f>
        <v>0</v>
      </c>
      <c r="BT66" s="53">
        <f t="shared" ref="BT66:BT97" si="60">$BJ66*AC66</f>
        <v>0</v>
      </c>
      <c r="BU66" s="53">
        <f t="shared" ref="BU66:BU97" si="61">$BJ66*AD66</f>
        <v>0</v>
      </c>
      <c r="BV66" s="53">
        <f t="shared" ref="BV66:BV97" si="62">$BJ66*AE66</f>
        <v>0</v>
      </c>
      <c r="BW66" s="53">
        <f t="shared" ref="BW66:BW97" si="63">$BJ66*AF66</f>
        <v>0</v>
      </c>
      <c r="BX66" s="53">
        <f t="shared" ref="BX66:BX97" si="64">$BJ66*AG66</f>
        <v>0</v>
      </c>
      <c r="BY66" s="53">
        <f t="shared" ref="BY66:BY97" si="65">$BJ66*AH66</f>
        <v>0</v>
      </c>
      <c r="BZ66" s="53">
        <f t="shared" ref="BZ66:BZ97" si="66">$BJ66*AI66</f>
        <v>0</v>
      </c>
      <c r="CA66" s="53">
        <f t="shared" ref="CA66:CA97" si="67">$BJ66*AJ66</f>
        <v>0</v>
      </c>
      <c r="CB66" s="53">
        <f t="shared" ref="CB66:CB97" si="68">$BJ66*AK66</f>
        <v>0</v>
      </c>
      <c r="CC66" s="53">
        <f t="shared" ref="CC66:CC97" si="69">$BJ66*AL66</f>
        <v>0</v>
      </c>
      <c r="CD66" s="8">
        <f t="shared" ref="CD66:CD97" si="70">F66/Q66</f>
        <v>570.34627981020662</v>
      </c>
      <c r="CE66" s="8">
        <f t="shared" ref="CE66:CE97" si="71">I66/R66</f>
        <v>2140.8336487612282</v>
      </c>
      <c r="CF66" s="8">
        <f t="shared" ref="CF66:CF97" si="72">L66/S66</f>
        <v>84936.866289384066</v>
      </c>
    </row>
    <row r="67" spans="1:84">
      <c r="A67" s="7">
        <f>'Monthly Data'!A67</f>
        <v>42887</v>
      </c>
      <c r="B67" s="6">
        <f>'Monthly Data'!B67</f>
        <v>2017</v>
      </c>
      <c r="C67" s="6">
        <f t="shared" si="50"/>
        <v>6</v>
      </c>
      <c r="D67" s="8">
        <f>'Monthly Data'!D67</f>
        <v>8070742.9147809604</v>
      </c>
      <c r="E67" s="1">
        <f>'Monthly Data'!E67</f>
        <v>424165.64364677883</v>
      </c>
      <c r="F67" s="8">
        <f>'Monthly Data'!F67</f>
        <v>8494908.5584277399</v>
      </c>
      <c r="G67" s="8">
        <f>'Monthly Data'!G67</f>
        <v>3471006.0375395976</v>
      </c>
      <c r="H67" s="1">
        <f>'Monthly Data'!H67</f>
        <v>249658.95771913868</v>
      </c>
      <c r="I67" s="8">
        <f>'Monthly Data'!I67</f>
        <v>3720664.9952587364</v>
      </c>
      <c r="J67" s="8">
        <f>'Monthly Data'!J67</f>
        <v>10162898.99275995</v>
      </c>
      <c r="K67" s="1">
        <f>'Monthly Data'!K67</f>
        <v>361922.66569328256</v>
      </c>
      <c r="L67" s="8">
        <f>'Monthly Data'!L67</f>
        <v>10524821.658453234</v>
      </c>
      <c r="M67" s="8">
        <f>'Monthly Data'!M67</f>
        <v>72792.820708211599</v>
      </c>
      <c r="N67" s="8">
        <f>'Monthly Data'!N67</f>
        <v>33369.960384153666</v>
      </c>
      <c r="O67" s="5">
        <f>'Monthly Data'!O67</f>
        <v>26002.260000000002</v>
      </c>
      <c r="P67" s="5">
        <f>'Monthly Data'!P67</f>
        <v>287.61</v>
      </c>
      <c r="Q67" s="8">
        <f>'Monthly Data'!Q67</f>
        <v>14924</v>
      </c>
      <c r="R67" s="8">
        <f>'Monthly Data'!R67</f>
        <v>1739</v>
      </c>
      <c r="S67" s="8">
        <f>'Monthly Data'!S67</f>
        <v>125</v>
      </c>
      <c r="T67" s="8">
        <f>'Monthly Data'!T67</f>
        <v>3069</v>
      </c>
      <c r="U67" s="8">
        <f>'Monthly Data'!U67</f>
        <v>30</v>
      </c>
      <c r="V67" s="45">
        <f>Weather!C187</f>
        <v>17.220000000000002</v>
      </c>
      <c r="W67" s="46">
        <f>Weather!D187</f>
        <v>150.80000000000001</v>
      </c>
      <c r="X67" s="46">
        <f>Weather!E187</f>
        <v>7.4</v>
      </c>
      <c r="Y67" s="46">
        <f>Weather!F187</f>
        <v>103.5</v>
      </c>
      <c r="Z67" s="46">
        <f>Weather!G187</f>
        <v>20.100000000000001</v>
      </c>
      <c r="AA67" s="46">
        <f>Weather!H187</f>
        <v>64.3</v>
      </c>
      <c r="AB67" s="46">
        <f>Weather!I187</f>
        <v>40.9</v>
      </c>
      <c r="AC67" s="46">
        <f>Weather!J187</f>
        <v>34.1</v>
      </c>
      <c r="AD67" s="46">
        <f>Weather!K187</f>
        <v>70.7</v>
      </c>
      <c r="AE67" s="46">
        <f>Weather!L187</f>
        <v>13.2</v>
      </c>
      <c r="AF67" s="46">
        <f>Weather!M187</f>
        <v>109.8</v>
      </c>
      <c r="AG67" s="46">
        <f>Weather!N187</f>
        <v>1</v>
      </c>
      <c r="AH67" s="46">
        <f>Weather!O187</f>
        <v>157.6</v>
      </c>
      <c r="AI67" s="46">
        <f>Weather!P187</f>
        <v>0</v>
      </c>
      <c r="AJ67" s="46">
        <f>Weather!Q187</f>
        <v>216.6</v>
      </c>
      <c r="AK67" s="46">
        <f>Weather!R187</f>
        <v>0</v>
      </c>
      <c r="AL67" s="46">
        <f>Weather!S187</f>
        <v>276.60000000000002</v>
      </c>
      <c r="AM67" s="43">
        <f>Economic!C67</f>
        <v>711695.1</v>
      </c>
      <c r="AN67" s="43">
        <f>Economic!D67</f>
        <v>7010.4</v>
      </c>
      <c r="AO67" s="43">
        <f>Economic!E67</f>
        <v>7051.6</v>
      </c>
      <c r="AP67" s="43">
        <f>Economic!F67</f>
        <v>113.3</v>
      </c>
      <c r="AQ67" s="43">
        <f>Economic!G67</f>
        <v>114.7</v>
      </c>
      <c r="AR67" s="47">
        <f t="shared" si="49"/>
        <v>30</v>
      </c>
      <c r="AS67" s="47">
        <v>22</v>
      </c>
      <c r="AT67" s="47">
        <f t="shared" si="51"/>
        <v>66</v>
      </c>
      <c r="AU67" s="47">
        <f t="shared" si="53"/>
        <v>0</v>
      </c>
      <c r="AV67" s="47">
        <f t="shared" si="53"/>
        <v>0</v>
      </c>
      <c r="AW67" s="47">
        <f t="shared" si="53"/>
        <v>0</v>
      </c>
      <c r="AX67" s="47">
        <f t="shared" si="53"/>
        <v>0</v>
      </c>
      <c r="AY67" s="47">
        <f t="shared" si="53"/>
        <v>0</v>
      </c>
      <c r="AZ67" s="47">
        <f t="shared" si="53"/>
        <v>1</v>
      </c>
      <c r="BA67" s="47">
        <f t="shared" si="53"/>
        <v>0</v>
      </c>
      <c r="BB67" s="47">
        <f t="shared" si="53"/>
        <v>0</v>
      </c>
      <c r="BC67" s="47">
        <f t="shared" si="53"/>
        <v>0</v>
      </c>
      <c r="BD67" s="47">
        <f t="shared" si="53"/>
        <v>0</v>
      </c>
      <c r="BE67" s="47">
        <f t="shared" si="53"/>
        <v>0</v>
      </c>
      <c r="BF67" s="47">
        <f t="shared" si="53"/>
        <v>0</v>
      </c>
      <c r="BG67" s="47">
        <f t="shared" si="53"/>
        <v>0</v>
      </c>
      <c r="BH67" s="47">
        <f t="shared" si="53"/>
        <v>0</v>
      </c>
      <c r="BI67" s="47">
        <f t="shared" si="52"/>
        <v>0</v>
      </c>
      <c r="BJ67" s="48">
        <v>0</v>
      </c>
      <c r="BK67" s="48">
        <v>0</v>
      </c>
      <c r="BL67" s="48">
        <f t="shared" ref="BL67:BL103" si="73">BK67</f>
        <v>0</v>
      </c>
      <c r="BM67" s="47">
        <f t="shared" si="25"/>
        <v>0</v>
      </c>
      <c r="BN67" s="53">
        <f t="shared" si="54"/>
        <v>0</v>
      </c>
      <c r="BO67" s="53">
        <f t="shared" si="55"/>
        <v>0</v>
      </c>
      <c r="BP67" s="53">
        <f t="shared" si="56"/>
        <v>0</v>
      </c>
      <c r="BQ67" s="53">
        <f t="shared" si="57"/>
        <v>0</v>
      </c>
      <c r="BR67" s="53">
        <f t="shared" si="58"/>
        <v>0</v>
      </c>
      <c r="BS67" s="53">
        <f t="shared" si="59"/>
        <v>0</v>
      </c>
      <c r="BT67" s="53">
        <f t="shared" si="60"/>
        <v>0</v>
      </c>
      <c r="BU67" s="53">
        <f t="shared" si="61"/>
        <v>0</v>
      </c>
      <c r="BV67" s="53">
        <f t="shared" si="62"/>
        <v>0</v>
      </c>
      <c r="BW67" s="53">
        <f t="shared" si="63"/>
        <v>0</v>
      </c>
      <c r="BX67" s="53">
        <f t="shared" si="64"/>
        <v>0</v>
      </c>
      <c r="BY67" s="53">
        <f t="shared" si="65"/>
        <v>0</v>
      </c>
      <c r="BZ67" s="53">
        <f t="shared" si="66"/>
        <v>0</v>
      </c>
      <c r="CA67" s="53">
        <f t="shared" si="67"/>
        <v>0</v>
      </c>
      <c r="CB67" s="53">
        <f t="shared" si="68"/>
        <v>0</v>
      </c>
      <c r="CC67" s="53">
        <f t="shared" si="69"/>
        <v>0</v>
      </c>
      <c r="CD67" s="8">
        <f t="shared" si="70"/>
        <v>569.21124084881671</v>
      </c>
      <c r="CE67" s="8">
        <f t="shared" si="71"/>
        <v>2139.5428379866225</v>
      </c>
      <c r="CF67" s="8">
        <f t="shared" si="72"/>
        <v>84198.573267625863</v>
      </c>
    </row>
    <row r="68" spans="1:84">
      <c r="A68" s="7">
        <f>'Monthly Data'!A68</f>
        <v>42917</v>
      </c>
      <c r="B68" s="6">
        <f>'Monthly Data'!B68</f>
        <v>2017</v>
      </c>
      <c r="C68" s="6">
        <f t="shared" si="50"/>
        <v>7</v>
      </c>
      <c r="D68" s="8">
        <f>'Monthly Data'!D68</f>
        <v>9056278.6867618226</v>
      </c>
      <c r="E68" s="1">
        <f>'Monthly Data'!E68</f>
        <v>424165.64364677883</v>
      </c>
      <c r="F68" s="8">
        <f>'Monthly Data'!F68</f>
        <v>9480444.3304086011</v>
      </c>
      <c r="G68" s="8">
        <f>'Monthly Data'!G68</f>
        <v>3789392.472789696</v>
      </c>
      <c r="H68" s="1">
        <f>'Monthly Data'!H68</f>
        <v>249658.95771913868</v>
      </c>
      <c r="I68" s="8">
        <f>'Monthly Data'!I68</f>
        <v>4039051.4305088348</v>
      </c>
      <c r="J68" s="8">
        <f>'Monthly Data'!J68</f>
        <v>9531247.6077796426</v>
      </c>
      <c r="K68" s="1">
        <f>'Monthly Data'!K68</f>
        <v>361922.66569328256</v>
      </c>
      <c r="L68" s="8">
        <f>'Monthly Data'!L68</f>
        <v>9893170.2734729256</v>
      </c>
      <c r="M68" s="8">
        <f>'Monthly Data'!M68</f>
        <v>78102.747196369586</v>
      </c>
      <c r="N68" s="8">
        <f>'Monthly Data'!N68</f>
        <v>34423.691343203951</v>
      </c>
      <c r="O68" s="5">
        <f>'Monthly Data'!O68</f>
        <v>25979.749999999993</v>
      </c>
      <c r="P68" s="5">
        <f>'Monthly Data'!P68</f>
        <v>287.61</v>
      </c>
      <c r="Q68" s="8">
        <f>'Monthly Data'!Q68</f>
        <v>15264</v>
      </c>
      <c r="R68" s="8">
        <f>'Monthly Data'!R68</f>
        <v>1748</v>
      </c>
      <c r="S68" s="8">
        <f>'Monthly Data'!S68</f>
        <v>127</v>
      </c>
      <c r="T68" s="8">
        <f>'Monthly Data'!T68</f>
        <v>3069</v>
      </c>
      <c r="U68" s="8">
        <f>'Monthly Data'!U68</f>
        <v>30</v>
      </c>
      <c r="V68" s="45">
        <f>Weather!C188</f>
        <v>19.867741935483874</v>
      </c>
      <c r="W68" s="46">
        <f>Weather!D188</f>
        <v>67.099999999999994</v>
      </c>
      <c r="X68" s="46">
        <f>Weather!E188</f>
        <v>1</v>
      </c>
      <c r="Y68" s="46">
        <f>Weather!F188</f>
        <v>20.6</v>
      </c>
      <c r="Z68" s="46">
        <f>Weather!G188</f>
        <v>16.5</v>
      </c>
      <c r="AA68" s="46">
        <f>Weather!H188</f>
        <v>3.9</v>
      </c>
      <c r="AB68" s="46">
        <f>Weather!I188</f>
        <v>61.8</v>
      </c>
      <c r="AC68" s="46">
        <f>Weather!J188</f>
        <v>0</v>
      </c>
      <c r="AD68" s="46">
        <f>Weather!K188</f>
        <v>119.9</v>
      </c>
      <c r="AE68" s="46">
        <f>Weather!L188</f>
        <v>0</v>
      </c>
      <c r="AF68" s="46">
        <f>Weather!M188</f>
        <v>181.9</v>
      </c>
      <c r="AG68" s="46">
        <f>Weather!N188</f>
        <v>0</v>
      </c>
      <c r="AH68" s="46">
        <f>Weather!O188</f>
        <v>243.9</v>
      </c>
      <c r="AI68" s="46">
        <f>Weather!P188</f>
        <v>0</v>
      </c>
      <c r="AJ68" s="46">
        <f>Weather!Q188</f>
        <v>305.89999999999998</v>
      </c>
      <c r="AK68" s="46">
        <f>Weather!R188</f>
        <v>0</v>
      </c>
      <c r="AL68" s="46">
        <f>Weather!S188</f>
        <v>367.9</v>
      </c>
      <c r="AM68" s="43">
        <f>Economic!C68</f>
        <v>711695.1</v>
      </c>
      <c r="AN68" s="43">
        <f>Economic!D68</f>
        <v>7022.8</v>
      </c>
      <c r="AO68" s="43">
        <f>Economic!E68</f>
        <v>7118.5</v>
      </c>
      <c r="AP68" s="43">
        <f>Economic!F68</f>
        <v>114</v>
      </c>
      <c r="AQ68" s="43">
        <f>Economic!G68</f>
        <v>114.9</v>
      </c>
      <c r="AR68" s="47">
        <f t="shared" si="49"/>
        <v>31</v>
      </c>
      <c r="AS68" s="47">
        <v>22</v>
      </c>
      <c r="AT68" s="47">
        <f t="shared" si="51"/>
        <v>67</v>
      </c>
      <c r="AU68" s="47">
        <f t="shared" si="53"/>
        <v>0</v>
      </c>
      <c r="AV68" s="47">
        <f t="shared" si="53"/>
        <v>0</v>
      </c>
      <c r="AW68" s="47">
        <f t="shared" si="53"/>
        <v>0</v>
      </c>
      <c r="AX68" s="47">
        <f t="shared" si="53"/>
        <v>0</v>
      </c>
      <c r="AY68" s="47">
        <f t="shared" si="53"/>
        <v>0</v>
      </c>
      <c r="AZ68" s="47">
        <f t="shared" si="53"/>
        <v>0</v>
      </c>
      <c r="BA68" s="47">
        <f t="shared" si="53"/>
        <v>1</v>
      </c>
      <c r="BB68" s="47">
        <f t="shared" si="53"/>
        <v>0</v>
      </c>
      <c r="BC68" s="47">
        <f t="shared" si="53"/>
        <v>0</v>
      </c>
      <c r="BD68" s="47">
        <f t="shared" si="53"/>
        <v>0</v>
      </c>
      <c r="BE68" s="47">
        <f t="shared" si="53"/>
        <v>0</v>
      </c>
      <c r="BF68" s="47">
        <f t="shared" si="53"/>
        <v>0</v>
      </c>
      <c r="BG68" s="47">
        <f t="shared" si="53"/>
        <v>0</v>
      </c>
      <c r="BH68" s="47">
        <f t="shared" si="53"/>
        <v>0</v>
      </c>
      <c r="BI68" s="47">
        <f t="shared" si="52"/>
        <v>0</v>
      </c>
      <c r="BJ68" s="48">
        <v>0</v>
      </c>
      <c r="BK68" s="48">
        <v>0</v>
      </c>
      <c r="BL68" s="48">
        <f t="shared" si="73"/>
        <v>0</v>
      </c>
      <c r="BM68" s="47">
        <f t="shared" si="25"/>
        <v>0</v>
      </c>
      <c r="BN68" s="53">
        <f t="shared" si="54"/>
        <v>0</v>
      </c>
      <c r="BO68" s="53">
        <f t="shared" si="55"/>
        <v>0</v>
      </c>
      <c r="BP68" s="53">
        <f t="shared" si="56"/>
        <v>0</v>
      </c>
      <c r="BQ68" s="53">
        <f t="shared" si="57"/>
        <v>0</v>
      </c>
      <c r="BR68" s="53">
        <f t="shared" si="58"/>
        <v>0</v>
      </c>
      <c r="BS68" s="53">
        <f t="shared" si="59"/>
        <v>0</v>
      </c>
      <c r="BT68" s="53">
        <f t="shared" si="60"/>
        <v>0</v>
      </c>
      <c r="BU68" s="53">
        <f t="shared" si="61"/>
        <v>0</v>
      </c>
      <c r="BV68" s="53">
        <f t="shared" si="62"/>
        <v>0</v>
      </c>
      <c r="BW68" s="53">
        <f t="shared" si="63"/>
        <v>0</v>
      </c>
      <c r="BX68" s="53">
        <f t="shared" si="64"/>
        <v>0</v>
      </c>
      <c r="BY68" s="53">
        <f t="shared" si="65"/>
        <v>0</v>
      </c>
      <c r="BZ68" s="53">
        <f t="shared" si="66"/>
        <v>0</v>
      </c>
      <c r="CA68" s="53">
        <f t="shared" si="67"/>
        <v>0</v>
      </c>
      <c r="CB68" s="53">
        <f t="shared" si="68"/>
        <v>0</v>
      </c>
      <c r="CC68" s="53">
        <f t="shared" si="69"/>
        <v>0</v>
      </c>
      <c r="CD68" s="8">
        <f t="shared" si="70"/>
        <v>621.0982920865174</v>
      </c>
      <c r="CE68" s="8">
        <f t="shared" si="71"/>
        <v>2310.670154753338</v>
      </c>
      <c r="CF68" s="8">
        <f t="shared" si="72"/>
        <v>77898.978531282875</v>
      </c>
    </row>
    <row r="69" spans="1:84">
      <c r="A69" s="7">
        <f>'Monthly Data'!A69</f>
        <v>42948</v>
      </c>
      <c r="B69" s="6">
        <f>'Monthly Data'!B69</f>
        <v>2017</v>
      </c>
      <c r="C69" s="6">
        <f t="shared" si="50"/>
        <v>8</v>
      </c>
      <c r="D69" s="8">
        <f>'Monthly Data'!D69</f>
        <v>8724675.0009408221</v>
      </c>
      <c r="E69" s="1">
        <f>'Monthly Data'!E69</f>
        <v>424165.64364677883</v>
      </c>
      <c r="F69" s="8">
        <f>'Monthly Data'!F69</f>
        <v>9148840.6445876006</v>
      </c>
      <c r="G69" s="8">
        <f>'Monthly Data'!G69</f>
        <v>3707499.9391524931</v>
      </c>
      <c r="H69" s="1">
        <f>'Monthly Data'!H69</f>
        <v>249658.95771913868</v>
      </c>
      <c r="I69" s="8">
        <f>'Monthly Data'!I69</f>
        <v>3957158.896871632</v>
      </c>
      <c r="J69" s="8">
        <f>'Monthly Data'!J69</f>
        <v>10132328.04433449</v>
      </c>
      <c r="K69" s="1">
        <f>'Monthly Data'!K69</f>
        <v>361922.66569328256</v>
      </c>
      <c r="L69" s="8">
        <f>'Monthly Data'!L69</f>
        <v>10494250.710027773</v>
      </c>
      <c r="M69" s="8">
        <f>'Monthly Data'!M69</f>
        <v>88295.15677238637</v>
      </c>
      <c r="N69" s="8">
        <f>'Monthly Data'!N69</f>
        <v>31793.62925170068</v>
      </c>
      <c r="O69" s="5">
        <f>'Monthly Data'!O69</f>
        <v>25670.32</v>
      </c>
      <c r="P69" s="5">
        <f>'Monthly Data'!P69</f>
        <v>287.61</v>
      </c>
      <c r="Q69" s="8">
        <f>'Monthly Data'!Q69</f>
        <v>15122</v>
      </c>
      <c r="R69" s="8">
        <f>'Monthly Data'!R69</f>
        <v>1746</v>
      </c>
      <c r="S69" s="8">
        <f>'Monthly Data'!S69</f>
        <v>129</v>
      </c>
      <c r="T69" s="8">
        <f>'Monthly Data'!T69</f>
        <v>3069</v>
      </c>
      <c r="U69" s="8">
        <f>'Monthly Data'!U69</f>
        <v>30</v>
      </c>
      <c r="V69" s="45">
        <f>Weather!C189</f>
        <v>18.816129032258058</v>
      </c>
      <c r="W69" s="46">
        <f>Weather!D189</f>
        <v>100.3</v>
      </c>
      <c r="X69" s="46">
        <f>Weather!E189</f>
        <v>1.6</v>
      </c>
      <c r="Y69" s="46">
        <f>Weather!F189</f>
        <v>51.8</v>
      </c>
      <c r="Z69" s="46">
        <f>Weather!G189</f>
        <v>15.1</v>
      </c>
      <c r="AA69" s="46">
        <f>Weather!H189</f>
        <v>19.3</v>
      </c>
      <c r="AB69" s="46">
        <f>Weather!I189</f>
        <v>44.6</v>
      </c>
      <c r="AC69" s="46">
        <f>Weather!J189</f>
        <v>5.9</v>
      </c>
      <c r="AD69" s="46">
        <f>Weather!K189</f>
        <v>93.2</v>
      </c>
      <c r="AE69" s="46">
        <f>Weather!L189</f>
        <v>0</v>
      </c>
      <c r="AF69" s="46">
        <f>Weather!M189</f>
        <v>149.30000000000001</v>
      </c>
      <c r="AG69" s="46">
        <f>Weather!N189</f>
        <v>0</v>
      </c>
      <c r="AH69" s="46">
        <f>Weather!O189</f>
        <v>211.3</v>
      </c>
      <c r="AI69" s="46">
        <f>Weather!P189</f>
        <v>0</v>
      </c>
      <c r="AJ69" s="46">
        <f>Weather!Q189</f>
        <v>273.3</v>
      </c>
      <c r="AK69" s="46">
        <f>Weather!R189</f>
        <v>0</v>
      </c>
      <c r="AL69" s="46">
        <f>Weather!S189</f>
        <v>335.3</v>
      </c>
      <c r="AM69" s="43">
        <f>Economic!C69</f>
        <v>711695.1</v>
      </c>
      <c r="AN69" s="43">
        <f>Economic!D69</f>
        <v>7041.5</v>
      </c>
      <c r="AO69" s="43">
        <f>Economic!E69</f>
        <v>7139</v>
      </c>
      <c r="AP69" s="43">
        <f>Economic!F69</f>
        <v>114</v>
      </c>
      <c r="AQ69" s="43">
        <f>Economic!G69</f>
        <v>115.4</v>
      </c>
      <c r="AR69" s="47">
        <f t="shared" si="49"/>
        <v>31</v>
      </c>
      <c r="AS69" s="47">
        <v>20</v>
      </c>
      <c r="AT69" s="47">
        <f t="shared" si="51"/>
        <v>68</v>
      </c>
      <c r="AU69" s="47">
        <f t="shared" si="53"/>
        <v>0</v>
      </c>
      <c r="AV69" s="47">
        <f t="shared" si="53"/>
        <v>0</v>
      </c>
      <c r="AW69" s="47">
        <f t="shared" si="53"/>
        <v>0</v>
      </c>
      <c r="AX69" s="47">
        <f t="shared" si="53"/>
        <v>0</v>
      </c>
      <c r="AY69" s="47">
        <f t="shared" si="53"/>
        <v>0</v>
      </c>
      <c r="AZ69" s="47">
        <f t="shared" si="53"/>
        <v>0</v>
      </c>
      <c r="BA69" s="47">
        <f t="shared" si="53"/>
        <v>0</v>
      </c>
      <c r="BB69" s="47">
        <f t="shared" si="53"/>
        <v>1</v>
      </c>
      <c r="BC69" s="47">
        <f t="shared" si="53"/>
        <v>0</v>
      </c>
      <c r="BD69" s="47">
        <f t="shared" si="53"/>
        <v>0</v>
      </c>
      <c r="BE69" s="47">
        <f t="shared" si="53"/>
        <v>0</v>
      </c>
      <c r="BF69" s="47">
        <f t="shared" si="53"/>
        <v>0</v>
      </c>
      <c r="BG69" s="47">
        <f t="shared" si="53"/>
        <v>0</v>
      </c>
      <c r="BH69" s="47">
        <f t="shared" si="53"/>
        <v>0</v>
      </c>
      <c r="BI69" s="47">
        <f t="shared" si="52"/>
        <v>0</v>
      </c>
      <c r="BJ69" s="48">
        <v>0</v>
      </c>
      <c r="BK69" s="48">
        <v>0</v>
      </c>
      <c r="BL69" s="48">
        <f t="shared" si="73"/>
        <v>0</v>
      </c>
      <c r="BM69" s="47">
        <f t="shared" si="25"/>
        <v>0</v>
      </c>
      <c r="BN69" s="53">
        <f t="shared" si="54"/>
        <v>0</v>
      </c>
      <c r="BO69" s="53">
        <f t="shared" si="55"/>
        <v>0</v>
      </c>
      <c r="BP69" s="53">
        <f t="shared" si="56"/>
        <v>0</v>
      </c>
      <c r="BQ69" s="53">
        <f t="shared" si="57"/>
        <v>0</v>
      </c>
      <c r="BR69" s="53">
        <f t="shared" si="58"/>
        <v>0</v>
      </c>
      <c r="BS69" s="53">
        <f t="shared" si="59"/>
        <v>0</v>
      </c>
      <c r="BT69" s="53">
        <f t="shared" si="60"/>
        <v>0</v>
      </c>
      <c r="BU69" s="53">
        <f t="shared" si="61"/>
        <v>0</v>
      </c>
      <c r="BV69" s="53">
        <f t="shared" si="62"/>
        <v>0</v>
      </c>
      <c r="BW69" s="53">
        <f t="shared" si="63"/>
        <v>0</v>
      </c>
      <c r="BX69" s="53">
        <f t="shared" si="64"/>
        <v>0</v>
      </c>
      <c r="BY69" s="53">
        <f t="shared" si="65"/>
        <v>0</v>
      </c>
      <c r="BZ69" s="53">
        <f t="shared" si="66"/>
        <v>0</v>
      </c>
      <c r="CA69" s="53">
        <f t="shared" si="67"/>
        <v>0</v>
      </c>
      <c r="CB69" s="53">
        <f t="shared" si="68"/>
        <v>0</v>
      </c>
      <c r="CC69" s="53">
        <f t="shared" si="69"/>
        <v>0</v>
      </c>
      <c r="CD69" s="8">
        <f t="shared" si="70"/>
        <v>605.00202649038488</v>
      </c>
      <c r="CE69" s="8">
        <f t="shared" si="71"/>
        <v>2266.4140302815763</v>
      </c>
      <c r="CF69" s="8">
        <f t="shared" si="72"/>
        <v>81350.780697889713</v>
      </c>
    </row>
    <row r="70" spans="1:84">
      <c r="A70" s="7">
        <f>'Monthly Data'!A70</f>
        <v>42979</v>
      </c>
      <c r="B70" s="6">
        <f>'Monthly Data'!B70</f>
        <v>2017</v>
      </c>
      <c r="C70" s="6">
        <f t="shared" si="50"/>
        <v>9</v>
      </c>
      <c r="D70" s="8">
        <f>'Monthly Data'!D70</f>
        <v>8151924.7321264194</v>
      </c>
      <c r="E70" s="1">
        <f>'Monthly Data'!E70</f>
        <v>424165.64364677883</v>
      </c>
      <c r="F70" s="8">
        <f>'Monthly Data'!F70</f>
        <v>8576090.3757731989</v>
      </c>
      <c r="G70" s="8">
        <f>'Monthly Data'!G70</f>
        <v>3428070.8388424739</v>
      </c>
      <c r="H70" s="1">
        <f>'Monthly Data'!H70</f>
        <v>249658.95771913868</v>
      </c>
      <c r="I70" s="8">
        <f>'Monthly Data'!I70</f>
        <v>3677729.7965616127</v>
      </c>
      <c r="J70" s="8">
        <f>'Monthly Data'!J70</f>
        <v>10432795.834865717</v>
      </c>
      <c r="K70" s="1">
        <f>'Monthly Data'!K70</f>
        <v>361922.66569328256</v>
      </c>
      <c r="L70" s="8">
        <f>'Monthly Data'!L70</f>
        <v>10794718.500559</v>
      </c>
      <c r="M70" s="8">
        <f>'Monthly Data'!M70</f>
        <v>98174.326656827616</v>
      </c>
      <c r="N70" s="8">
        <f>'Monthly Data'!N70</f>
        <v>33438.750833666818</v>
      </c>
      <c r="O70" s="5">
        <f>'Monthly Data'!O70</f>
        <v>24722.83</v>
      </c>
      <c r="P70" s="5">
        <f>'Monthly Data'!P70</f>
        <v>287.61</v>
      </c>
      <c r="Q70" s="8">
        <f>'Monthly Data'!Q70</f>
        <v>15188</v>
      </c>
      <c r="R70" s="8">
        <f>'Monthly Data'!R70</f>
        <v>1740</v>
      </c>
      <c r="S70" s="8">
        <f>'Monthly Data'!S70</f>
        <v>127</v>
      </c>
      <c r="T70" s="8">
        <f>'Monthly Data'!T70</f>
        <v>3069</v>
      </c>
      <c r="U70" s="8">
        <f>'Monthly Data'!U70</f>
        <v>30</v>
      </c>
      <c r="V70" s="45">
        <f>Weather!C190</f>
        <v>17.433333333333334</v>
      </c>
      <c r="W70" s="46">
        <f>Weather!D190</f>
        <v>147.69999999999999</v>
      </c>
      <c r="X70" s="46">
        <f>Weather!E190</f>
        <v>10.7</v>
      </c>
      <c r="Y70" s="46">
        <f>Weather!F190</f>
        <v>103.5</v>
      </c>
      <c r="Z70" s="46">
        <f>Weather!G190</f>
        <v>26.5</v>
      </c>
      <c r="AA70" s="46">
        <f>Weather!H190</f>
        <v>69</v>
      </c>
      <c r="AB70" s="46">
        <f>Weather!I190</f>
        <v>52</v>
      </c>
      <c r="AC70" s="46">
        <f>Weather!J190</f>
        <v>40.9</v>
      </c>
      <c r="AD70" s="46">
        <f>Weather!K190</f>
        <v>83.9</v>
      </c>
      <c r="AE70" s="46">
        <f>Weather!L190</f>
        <v>18.100000000000001</v>
      </c>
      <c r="AF70" s="46">
        <f>Weather!M190</f>
        <v>121.1</v>
      </c>
      <c r="AG70" s="46">
        <f>Weather!N190</f>
        <v>5.2</v>
      </c>
      <c r="AH70" s="46">
        <f>Weather!O190</f>
        <v>168.2</v>
      </c>
      <c r="AI70" s="46">
        <f>Weather!P190</f>
        <v>1.6</v>
      </c>
      <c r="AJ70" s="46">
        <f>Weather!Q190</f>
        <v>224.6</v>
      </c>
      <c r="AK70" s="46">
        <f>Weather!R190</f>
        <v>0</v>
      </c>
      <c r="AL70" s="46">
        <f>Weather!S190</f>
        <v>283</v>
      </c>
      <c r="AM70" s="43">
        <f>Economic!C70</f>
        <v>711695.1</v>
      </c>
      <c r="AN70" s="43">
        <f>Economic!D70</f>
        <v>7068.5</v>
      </c>
      <c r="AO70" s="43">
        <f>Economic!E70</f>
        <v>7121.5</v>
      </c>
      <c r="AP70" s="43">
        <f>Economic!F70</f>
        <v>114.1</v>
      </c>
      <c r="AQ70" s="43">
        <f>Economic!G70</f>
        <v>115</v>
      </c>
      <c r="AR70" s="47">
        <f t="shared" si="49"/>
        <v>30</v>
      </c>
      <c r="AS70" s="47">
        <v>21</v>
      </c>
      <c r="AT70" s="47">
        <f t="shared" si="51"/>
        <v>69</v>
      </c>
      <c r="AU70" s="47">
        <f t="shared" si="53"/>
        <v>0</v>
      </c>
      <c r="AV70" s="47">
        <f t="shared" si="53"/>
        <v>0</v>
      </c>
      <c r="AW70" s="47">
        <f t="shared" si="53"/>
        <v>0</v>
      </c>
      <c r="AX70" s="47">
        <f t="shared" si="53"/>
        <v>0</v>
      </c>
      <c r="AY70" s="47">
        <f t="shared" si="53"/>
        <v>0</v>
      </c>
      <c r="AZ70" s="47">
        <f t="shared" si="53"/>
        <v>0</v>
      </c>
      <c r="BA70" s="47">
        <f t="shared" si="53"/>
        <v>0</v>
      </c>
      <c r="BB70" s="47">
        <f t="shared" si="53"/>
        <v>0</v>
      </c>
      <c r="BC70" s="47">
        <f t="shared" si="53"/>
        <v>1</v>
      </c>
      <c r="BD70" s="47">
        <f t="shared" si="53"/>
        <v>0</v>
      </c>
      <c r="BE70" s="47">
        <f t="shared" si="53"/>
        <v>0</v>
      </c>
      <c r="BF70" s="47">
        <f t="shared" si="53"/>
        <v>0</v>
      </c>
      <c r="BG70" s="47">
        <f t="shared" si="53"/>
        <v>0</v>
      </c>
      <c r="BH70" s="47">
        <f t="shared" si="53"/>
        <v>1</v>
      </c>
      <c r="BI70" s="47">
        <f t="shared" si="52"/>
        <v>1</v>
      </c>
      <c r="BJ70" s="48">
        <v>0</v>
      </c>
      <c r="BK70" s="48">
        <v>0</v>
      </c>
      <c r="BL70" s="48">
        <f t="shared" si="73"/>
        <v>0</v>
      </c>
      <c r="BM70" s="47">
        <f t="shared" si="25"/>
        <v>0</v>
      </c>
      <c r="BN70" s="53">
        <f t="shared" si="54"/>
        <v>0</v>
      </c>
      <c r="BO70" s="53">
        <f t="shared" si="55"/>
        <v>0</v>
      </c>
      <c r="BP70" s="53">
        <f t="shared" si="56"/>
        <v>0</v>
      </c>
      <c r="BQ70" s="53">
        <f t="shared" si="57"/>
        <v>0</v>
      </c>
      <c r="BR70" s="53">
        <f t="shared" si="58"/>
        <v>0</v>
      </c>
      <c r="BS70" s="53">
        <f t="shared" si="59"/>
        <v>0</v>
      </c>
      <c r="BT70" s="53">
        <f t="shared" si="60"/>
        <v>0</v>
      </c>
      <c r="BU70" s="53">
        <f t="shared" si="61"/>
        <v>0</v>
      </c>
      <c r="BV70" s="53">
        <f t="shared" si="62"/>
        <v>0</v>
      </c>
      <c r="BW70" s="53">
        <f t="shared" si="63"/>
        <v>0</v>
      </c>
      <c r="BX70" s="53">
        <f t="shared" si="64"/>
        <v>0</v>
      </c>
      <c r="BY70" s="53">
        <f t="shared" si="65"/>
        <v>0</v>
      </c>
      <c r="BZ70" s="53">
        <f t="shared" si="66"/>
        <v>0</v>
      </c>
      <c r="CA70" s="53">
        <f t="shared" si="67"/>
        <v>0</v>
      </c>
      <c r="CB70" s="53">
        <f t="shared" si="68"/>
        <v>0</v>
      </c>
      <c r="CC70" s="53">
        <f t="shared" si="69"/>
        <v>0</v>
      </c>
      <c r="CD70" s="8">
        <f t="shared" si="70"/>
        <v>564.66225808356592</v>
      </c>
      <c r="CE70" s="8">
        <f t="shared" si="71"/>
        <v>2113.6378141158693</v>
      </c>
      <c r="CF70" s="8">
        <f t="shared" si="72"/>
        <v>84997.783468968511</v>
      </c>
    </row>
    <row r="71" spans="1:84">
      <c r="A71" s="7">
        <f>'Monthly Data'!A71</f>
        <v>43009</v>
      </c>
      <c r="B71" s="6">
        <f>'Monthly Data'!B71</f>
        <v>2017</v>
      </c>
      <c r="C71" s="6">
        <f t="shared" si="50"/>
        <v>10</v>
      </c>
      <c r="D71" s="8">
        <f>'Monthly Data'!D71</f>
        <v>8318972.3384735566</v>
      </c>
      <c r="E71" s="1">
        <f>'Monthly Data'!E71</f>
        <v>424165.64364677883</v>
      </c>
      <c r="F71" s="8">
        <f>'Monthly Data'!F71</f>
        <v>8743137.9821203351</v>
      </c>
      <c r="G71" s="8">
        <f>'Monthly Data'!G71</f>
        <v>3435622.3948252881</v>
      </c>
      <c r="H71" s="1">
        <f>'Monthly Data'!H71</f>
        <v>249658.95771913868</v>
      </c>
      <c r="I71" s="8">
        <f>'Monthly Data'!I71</f>
        <v>3685281.3525444269</v>
      </c>
      <c r="J71" s="8">
        <f>'Monthly Data'!J71</f>
        <v>10910463.653396899</v>
      </c>
      <c r="K71" s="1">
        <f>'Monthly Data'!K71</f>
        <v>361922.66569328256</v>
      </c>
      <c r="L71" s="8">
        <f>'Monthly Data'!L71</f>
        <v>11272386.319090182</v>
      </c>
      <c r="M71" s="8">
        <f>'Monthly Data'!M71</f>
        <v>115152.76680421273</v>
      </c>
      <c r="N71" s="8">
        <f>'Monthly Data'!N71</f>
        <v>34830.204014939307</v>
      </c>
      <c r="O71" s="5">
        <f>'Monthly Data'!O71</f>
        <v>26566.619999999995</v>
      </c>
      <c r="P71" s="5">
        <f>'Monthly Data'!P71</f>
        <v>287.61</v>
      </c>
      <c r="Q71" s="8">
        <f>'Monthly Data'!Q71</f>
        <v>15208</v>
      </c>
      <c r="R71" s="8">
        <f>'Monthly Data'!R71</f>
        <v>1743</v>
      </c>
      <c r="S71" s="8">
        <f>'Monthly Data'!S71</f>
        <v>128</v>
      </c>
      <c r="T71" s="8">
        <f>'Monthly Data'!T71</f>
        <v>3069</v>
      </c>
      <c r="U71" s="8">
        <f>'Monthly Data'!U71</f>
        <v>30</v>
      </c>
      <c r="V71" s="45">
        <f>Weather!C191</f>
        <v>13.074193548387097</v>
      </c>
      <c r="W71" s="46">
        <f>Weather!D191</f>
        <v>276.7</v>
      </c>
      <c r="X71" s="46">
        <f>Weather!E191</f>
        <v>0</v>
      </c>
      <c r="Y71" s="46">
        <f>Weather!F191</f>
        <v>214.7</v>
      </c>
      <c r="Z71" s="46">
        <f>Weather!G191</f>
        <v>0</v>
      </c>
      <c r="AA71" s="46">
        <f>Weather!H191</f>
        <v>158.19999999999999</v>
      </c>
      <c r="AB71" s="46">
        <f>Weather!I191</f>
        <v>5.5</v>
      </c>
      <c r="AC71" s="46">
        <f>Weather!J191</f>
        <v>111.2</v>
      </c>
      <c r="AD71" s="46">
        <f>Weather!K191</f>
        <v>20.5</v>
      </c>
      <c r="AE71" s="46">
        <f>Weather!L191</f>
        <v>78.7</v>
      </c>
      <c r="AF71" s="46">
        <f>Weather!M191</f>
        <v>50</v>
      </c>
      <c r="AG71" s="46">
        <f>Weather!N191</f>
        <v>53.4</v>
      </c>
      <c r="AH71" s="46">
        <f>Weather!O191</f>
        <v>86.7</v>
      </c>
      <c r="AI71" s="46">
        <f>Weather!P191</f>
        <v>31.4</v>
      </c>
      <c r="AJ71" s="46">
        <f>Weather!Q191</f>
        <v>126.7</v>
      </c>
      <c r="AK71" s="46">
        <f>Weather!R191</f>
        <v>13.8</v>
      </c>
      <c r="AL71" s="46">
        <f>Weather!S191</f>
        <v>171.1</v>
      </c>
      <c r="AM71" s="43">
        <f>Economic!C71</f>
        <v>711695.1</v>
      </c>
      <c r="AN71" s="43">
        <f>Economic!D71</f>
        <v>7092.3</v>
      </c>
      <c r="AO71" s="43">
        <f>Economic!E71</f>
        <v>7117.9</v>
      </c>
      <c r="AP71" s="43">
        <f>Economic!F71</f>
        <v>114.8</v>
      </c>
      <c r="AQ71" s="43">
        <f>Economic!G71</f>
        <v>116.6</v>
      </c>
      <c r="AR71" s="47">
        <f t="shared" si="49"/>
        <v>31</v>
      </c>
      <c r="AS71" s="47">
        <v>21</v>
      </c>
      <c r="AT71" s="47">
        <f t="shared" si="51"/>
        <v>70</v>
      </c>
      <c r="AU71" s="47">
        <f t="shared" si="53"/>
        <v>0</v>
      </c>
      <c r="AV71" s="47">
        <f t="shared" si="53"/>
        <v>0</v>
      </c>
      <c r="AW71" s="47">
        <f t="shared" si="53"/>
        <v>0</v>
      </c>
      <c r="AX71" s="47">
        <f t="shared" si="53"/>
        <v>0</v>
      </c>
      <c r="AY71" s="47">
        <f t="shared" si="53"/>
        <v>0</v>
      </c>
      <c r="AZ71" s="47">
        <f t="shared" si="53"/>
        <v>0</v>
      </c>
      <c r="BA71" s="47">
        <f t="shared" si="53"/>
        <v>0</v>
      </c>
      <c r="BB71" s="47">
        <f t="shared" si="53"/>
        <v>0</v>
      </c>
      <c r="BC71" s="47">
        <f t="shared" si="53"/>
        <v>0</v>
      </c>
      <c r="BD71" s="47">
        <f t="shared" si="53"/>
        <v>1</v>
      </c>
      <c r="BE71" s="47">
        <f t="shared" si="53"/>
        <v>0</v>
      </c>
      <c r="BF71" s="47">
        <f t="shared" si="53"/>
        <v>0</v>
      </c>
      <c r="BG71" s="47">
        <f t="shared" si="53"/>
        <v>0</v>
      </c>
      <c r="BH71" s="47">
        <f t="shared" si="53"/>
        <v>1</v>
      </c>
      <c r="BI71" s="47">
        <f t="shared" si="52"/>
        <v>1</v>
      </c>
      <c r="BJ71" s="48">
        <v>0</v>
      </c>
      <c r="BK71" s="48">
        <v>0</v>
      </c>
      <c r="BL71" s="48">
        <f t="shared" si="73"/>
        <v>0</v>
      </c>
      <c r="BM71" s="47">
        <f t="shared" si="25"/>
        <v>0</v>
      </c>
      <c r="BN71" s="53">
        <f t="shared" si="54"/>
        <v>0</v>
      </c>
      <c r="BO71" s="53">
        <f t="shared" si="55"/>
        <v>0</v>
      </c>
      <c r="BP71" s="53">
        <f t="shared" si="56"/>
        <v>0</v>
      </c>
      <c r="BQ71" s="53">
        <f t="shared" si="57"/>
        <v>0</v>
      </c>
      <c r="BR71" s="53">
        <f t="shared" si="58"/>
        <v>0</v>
      </c>
      <c r="BS71" s="53">
        <f t="shared" si="59"/>
        <v>0</v>
      </c>
      <c r="BT71" s="53">
        <f t="shared" si="60"/>
        <v>0</v>
      </c>
      <c r="BU71" s="53">
        <f t="shared" si="61"/>
        <v>0</v>
      </c>
      <c r="BV71" s="53">
        <f t="shared" si="62"/>
        <v>0</v>
      </c>
      <c r="BW71" s="53">
        <f t="shared" si="63"/>
        <v>0</v>
      </c>
      <c r="BX71" s="53">
        <f t="shared" si="64"/>
        <v>0</v>
      </c>
      <c r="BY71" s="53">
        <f t="shared" si="65"/>
        <v>0</v>
      </c>
      <c r="BZ71" s="53">
        <f t="shared" si="66"/>
        <v>0</v>
      </c>
      <c r="CA71" s="53">
        <f t="shared" si="67"/>
        <v>0</v>
      </c>
      <c r="CB71" s="53">
        <f t="shared" si="68"/>
        <v>0</v>
      </c>
      <c r="CC71" s="53">
        <f t="shared" si="69"/>
        <v>0</v>
      </c>
      <c r="CD71" s="8">
        <f t="shared" si="70"/>
        <v>574.90386521043763</v>
      </c>
      <c r="CE71" s="8">
        <f t="shared" si="71"/>
        <v>2114.332388149413</v>
      </c>
      <c r="CF71" s="8">
        <f t="shared" si="72"/>
        <v>88065.518117892047</v>
      </c>
    </row>
    <row r="72" spans="1:84">
      <c r="A72" s="7">
        <f>'Monthly Data'!A72</f>
        <v>43040</v>
      </c>
      <c r="B72" s="6">
        <f>'Monthly Data'!B72</f>
        <v>2017</v>
      </c>
      <c r="C72" s="6">
        <f t="shared" si="50"/>
        <v>11</v>
      </c>
      <c r="D72" s="8">
        <f>'Monthly Data'!D72</f>
        <v>9874516.6713623516</v>
      </c>
      <c r="E72" s="1">
        <f>'Monthly Data'!E72</f>
        <v>424165.64364677883</v>
      </c>
      <c r="F72" s="8">
        <f>'Monthly Data'!F72</f>
        <v>10298682.31500913</v>
      </c>
      <c r="G72" s="8">
        <f>'Monthly Data'!G72</f>
        <v>3671837.9661032245</v>
      </c>
      <c r="H72" s="1">
        <f>'Monthly Data'!H72</f>
        <v>249658.95771913868</v>
      </c>
      <c r="I72" s="8">
        <f>'Monthly Data'!I72</f>
        <v>3921496.9238223634</v>
      </c>
      <c r="J72" s="8">
        <f>'Monthly Data'!J72</f>
        <v>10855073.548756536</v>
      </c>
      <c r="K72" s="1">
        <f>'Monthly Data'!K72</f>
        <v>361922.66569328256</v>
      </c>
      <c r="L72" s="8">
        <f>'Monthly Data'!L72</f>
        <v>11216996.214449819</v>
      </c>
      <c r="M72" s="8">
        <f>'Monthly Data'!M72</f>
        <v>123139.42304950654</v>
      </c>
      <c r="N72" s="8">
        <f>'Monthly Data'!N72</f>
        <v>34180.595657870996</v>
      </c>
      <c r="O72" s="5">
        <f>'Monthly Data'!O72</f>
        <v>26094.429999999997</v>
      </c>
      <c r="P72" s="5">
        <f>'Monthly Data'!P72</f>
        <v>287.61</v>
      </c>
      <c r="Q72" s="8">
        <f>'Monthly Data'!Q72</f>
        <v>15218</v>
      </c>
      <c r="R72" s="8">
        <f>'Monthly Data'!R72</f>
        <v>1738</v>
      </c>
      <c r="S72" s="8">
        <f>'Monthly Data'!S72</f>
        <v>130</v>
      </c>
      <c r="T72" s="8">
        <f>'Monthly Data'!T72</f>
        <v>3069</v>
      </c>
      <c r="U72" s="8">
        <f>'Monthly Data'!U72</f>
        <v>30</v>
      </c>
      <c r="V72" s="45">
        <f>Weather!C192</f>
        <v>3.1733333333333338</v>
      </c>
      <c r="W72" s="46">
        <f>Weather!D192</f>
        <v>564.79999999999995</v>
      </c>
      <c r="X72" s="46">
        <f>Weather!E192</f>
        <v>0</v>
      </c>
      <c r="Y72" s="46">
        <f>Weather!F192</f>
        <v>504.8</v>
      </c>
      <c r="Z72" s="46">
        <f>Weather!G192</f>
        <v>0</v>
      </c>
      <c r="AA72" s="46">
        <f>Weather!H192</f>
        <v>444.8</v>
      </c>
      <c r="AB72" s="46">
        <f>Weather!I192</f>
        <v>0</v>
      </c>
      <c r="AC72" s="46">
        <f>Weather!J192</f>
        <v>384.8</v>
      </c>
      <c r="AD72" s="46">
        <f>Weather!K192</f>
        <v>0</v>
      </c>
      <c r="AE72" s="46">
        <f>Weather!L192</f>
        <v>324.8</v>
      </c>
      <c r="AF72" s="46">
        <f>Weather!M192</f>
        <v>0</v>
      </c>
      <c r="AG72" s="46">
        <f>Weather!N192</f>
        <v>264.8</v>
      </c>
      <c r="AH72" s="46">
        <f>Weather!O192</f>
        <v>0</v>
      </c>
      <c r="AI72" s="46">
        <f>Weather!P192</f>
        <v>204.8</v>
      </c>
      <c r="AJ72" s="46">
        <f>Weather!Q192</f>
        <v>0</v>
      </c>
      <c r="AK72" s="46">
        <f>Weather!R192</f>
        <v>148.19999999999999</v>
      </c>
      <c r="AL72" s="46">
        <f>Weather!S192</f>
        <v>3.4</v>
      </c>
      <c r="AM72" s="43">
        <f>Economic!C72</f>
        <v>711695.1</v>
      </c>
      <c r="AN72" s="43">
        <f>Economic!D72</f>
        <v>7114.4</v>
      </c>
      <c r="AO72" s="43">
        <f>Economic!E72</f>
        <v>7117.8</v>
      </c>
      <c r="AP72" s="43">
        <f>Economic!F72</f>
        <v>114.7</v>
      </c>
      <c r="AQ72" s="43">
        <f>Economic!G72</f>
        <v>116.3</v>
      </c>
      <c r="AR72" s="47">
        <f t="shared" si="49"/>
        <v>30</v>
      </c>
      <c r="AS72" s="47">
        <v>20</v>
      </c>
      <c r="AT72" s="47">
        <f t="shared" si="51"/>
        <v>71</v>
      </c>
      <c r="AU72" s="47">
        <f t="shared" si="53"/>
        <v>0</v>
      </c>
      <c r="AV72" s="47">
        <f t="shared" si="53"/>
        <v>0</v>
      </c>
      <c r="AW72" s="47">
        <f t="shared" si="53"/>
        <v>0</v>
      </c>
      <c r="AX72" s="47">
        <f t="shared" si="53"/>
        <v>0</v>
      </c>
      <c r="AY72" s="47">
        <f t="shared" si="53"/>
        <v>0</v>
      </c>
      <c r="AZ72" s="47">
        <f t="shared" si="53"/>
        <v>0</v>
      </c>
      <c r="BA72" s="47">
        <f t="shared" si="53"/>
        <v>0</v>
      </c>
      <c r="BB72" s="47">
        <f t="shared" si="53"/>
        <v>0</v>
      </c>
      <c r="BC72" s="47">
        <f t="shared" si="53"/>
        <v>0</v>
      </c>
      <c r="BD72" s="47">
        <f t="shared" si="53"/>
        <v>0</v>
      </c>
      <c r="BE72" s="47">
        <f t="shared" si="53"/>
        <v>1</v>
      </c>
      <c r="BF72" s="47">
        <f t="shared" si="53"/>
        <v>0</v>
      </c>
      <c r="BG72" s="47">
        <f t="shared" si="53"/>
        <v>0</v>
      </c>
      <c r="BH72" s="47">
        <f t="shared" si="53"/>
        <v>1</v>
      </c>
      <c r="BI72" s="47">
        <f t="shared" si="52"/>
        <v>1</v>
      </c>
      <c r="BJ72" s="48">
        <v>0</v>
      </c>
      <c r="BK72" s="48">
        <v>0</v>
      </c>
      <c r="BL72" s="48">
        <f t="shared" si="73"/>
        <v>0</v>
      </c>
      <c r="BM72" s="47">
        <f t="shared" si="25"/>
        <v>0</v>
      </c>
      <c r="BN72" s="53">
        <f t="shared" si="54"/>
        <v>0</v>
      </c>
      <c r="BO72" s="53">
        <f t="shared" si="55"/>
        <v>0</v>
      </c>
      <c r="BP72" s="53">
        <f t="shared" si="56"/>
        <v>0</v>
      </c>
      <c r="BQ72" s="53">
        <f t="shared" si="57"/>
        <v>0</v>
      </c>
      <c r="BR72" s="53">
        <f t="shared" si="58"/>
        <v>0</v>
      </c>
      <c r="BS72" s="53">
        <f t="shared" si="59"/>
        <v>0</v>
      </c>
      <c r="BT72" s="53">
        <f t="shared" si="60"/>
        <v>0</v>
      </c>
      <c r="BU72" s="53">
        <f t="shared" si="61"/>
        <v>0</v>
      </c>
      <c r="BV72" s="53">
        <f t="shared" si="62"/>
        <v>0</v>
      </c>
      <c r="BW72" s="53">
        <f t="shared" si="63"/>
        <v>0</v>
      </c>
      <c r="BX72" s="53">
        <f t="shared" si="64"/>
        <v>0</v>
      </c>
      <c r="BY72" s="53">
        <f t="shared" si="65"/>
        <v>0</v>
      </c>
      <c r="BZ72" s="53">
        <f t="shared" si="66"/>
        <v>0</v>
      </c>
      <c r="CA72" s="53">
        <f t="shared" si="67"/>
        <v>0</v>
      </c>
      <c r="CB72" s="53">
        <f t="shared" si="68"/>
        <v>0</v>
      </c>
      <c r="CC72" s="53">
        <f t="shared" si="69"/>
        <v>0</v>
      </c>
      <c r="CD72" s="8">
        <f t="shared" si="70"/>
        <v>676.74348238987579</v>
      </c>
      <c r="CE72" s="8">
        <f t="shared" si="71"/>
        <v>2256.3273439714403</v>
      </c>
      <c r="CF72" s="8">
        <f t="shared" si="72"/>
        <v>86284.586264998608</v>
      </c>
    </row>
    <row r="73" spans="1:84">
      <c r="A73" s="7">
        <f>'Monthly Data'!A73</f>
        <v>43070</v>
      </c>
      <c r="B73" s="6">
        <f>'Monthly Data'!B73</f>
        <v>2017</v>
      </c>
      <c r="C73" s="6">
        <f t="shared" si="50"/>
        <v>12</v>
      </c>
      <c r="D73" s="8">
        <f>'Monthly Data'!D73</f>
        <v>13025738.641533405</v>
      </c>
      <c r="E73" s="1">
        <f>'Monthly Data'!E73</f>
        <v>424165.64364677883</v>
      </c>
      <c r="F73" s="8">
        <f>'Monthly Data'!F73</f>
        <v>13449904.285180183</v>
      </c>
      <c r="G73" s="8">
        <f>'Monthly Data'!G73</f>
        <v>4345470.8652827246</v>
      </c>
      <c r="H73" s="1">
        <f>'Monthly Data'!H73</f>
        <v>249658.95771913868</v>
      </c>
      <c r="I73" s="8">
        <f>'Monthly Data'!I73</f>
        <v>4595129.8230018634</v>
      </c>
      <c r="J73" s="8">
        <f>'Monthly Data'!J73</f>
        <v>10712352.511391768</v>
      </c>
      <c r="K73" s="1">
        <f>'Monthly Data'!K73</f>
        <v>361922.66569328256</v>
      </c>
      <c r="L73" s="8">
        <f>'Monthly Data'!L73</f>
        <v>11074275.177085051</v>
      </c>
      <c r="M73" s="8">
        <f>'Monthly Data'!M73</f>
        <v>134400.20226298404</v>
      </c>
      <c r="N73" s="8">
        <f>'Monthly Data'!N73</f>
        <v>34569.169405016903</v>
      </c>
      <c r="O73" s="5">
        <f>'Monthly Data'!O73</f>
        <v>24596.639999999996</v>
      </c>
      <c r="P73" s="5">
        <f>'Monthly Data'!P73</f>
        <v>287.61</v>
      </c>
      <c r="Q73" s="8">
        <f>'Monthly Data'!Q73</f>
        <v>15228</v>
      </c>
      <c r="R73" s="8">
        <f>'Monthly Data'!R73</f>
        <v>1732</v>
      </c>
      <c r="S73" s="8">
        <f>'Monthly Data'!S73</f>
        <v>131</v>
      </c>
      <c r="T73" s="8">
        <f>'Monthly Data'!T73</f>
        <v>3069</v>
      </c>
      <c r="U73" s="8">
        <f>'Monthly Data'!U73</f>
        <v>30</v>
      </c>
      <c r="V73" s="45">
        <f>Weather!C193</f>
        <v>-5.0860235213908309</v>
      </c>
      <c r="W73" s="46">
        <f>Weather!D193</f>
        <v>839.7</v>
      </c>
      <c r="X73" s="46">
        <f>Weather!E193</f>
        <v>0</v>
      </c>
      <c r="Y73" s="46">
        <f>Weather!F193</f>
        <v>777.7</v>
      </c>
      <c r="Z73" s="46">
        <f>Weather!G193</f>
        <v>0</v>
      </c>
      <c r="AA73" s="46">
        <f>Weather!H193</f>
        <v>715.7</v>
      </c>
      <c r="AB73" s="46">
        <f>Weather!I193</f>
        <v>0</v>
      </c>
      <c r="AC73" s="46">
        <f>Weather!J193</f>
        <v>653.70000000000005</v>
      </c>
      <c r="AD73" s="46">
        <f>Weather!K193</f>
        <v>0</v>
      </c>
      <c r="AE73" s="46">
        <f>Weather!L193</f>
        <v>591.70000000000005</v>
      </c>
      <c r="AF73" s="46">
        <f>Weather!M193</f>
        <v>0</v>
      </c>
      <c r="AG73" s="46">
        <f>Weather!N193</f>
        <v>529.70000000000005</v>
      </c>
      <c r="AH73" s="46">
        <f>Weather!O193</f>
        <v>0</v>
      </c>
      <c r="AI73" s="46">
        <f>Weather!P193</f>
        <v>467.7</v>
      </c>
      <c r="AJ73" s="46">
        <f>Weather!Q193</f>
        <v>0</v>
      </c>
      <c r="AK73" s="46">
        <f>Weather!R193</f>
        <v>405.7</v>
      </c>
      <c r="AL73" s="46">
        <f>Weather!S193</f>
        <v>0</v>
      </c>
      <c r="AM73" s="43">
        <f>Economic!C73</f>
        <v>711695.1</v>
      </c>
      <c r="AN73" s="43">
        <f>Economic!D73</f>
        <v>7131.7</v>
      </c>
      <c r="AO73" s="43">
        <f>Economic!E73</f>
        <v>7140.2</v>
      </c>
      <c r="AP73" s="43">
        <f>Economic!F73</f>
        <v>114</v>
      </c>
      <c r="AQ73" s="43">
        <f>Economic!G73</f>
        <v>115.3</v>
      </c>
      <c r="AR73" s="47">
        <f t="shared" si="49"/>
        <v>31</v>
      </c>
      <c r="AS73" s="47">
        <v>22</v>
      </c>
      <c r="AT73" s="47">
        <f t="shared" si="51"/>
        <v>72</v>
      </c>
      <c r="AU73" s="47">
        <f t="shared" si="53"/>
        <v>0</v>
      </c>
      <c r="AV73" s="47">
        <f t="shared" si="53"/>
        <v>0</v>
      </c>
      <c r="AW73" s="47">
        <f t="shared" si="53"/>
        <v>0</v>
      </c>
      <c r="AX73" s="47">
        <f t="shared" si="53"/>
        <v>0</v>
      </c>
      <c r="AY73" s="47">
        <f t="shared" si="53"/>
        <v>0</v>
      </c>
      <c r="AZ73" s="47">
        <f t="shared" si="53"/>
        <v>0</v>
      </c>
      <c r="BA73" s="47">
        <f t="shared" si="53"/>
        <v>0</v>
      </c>
      <c r="BB73" s="47">
        <f t="shared" si="53"/>
        <v>0</v>
      </c>
      <c r="BC73" s="47">
        <f t="shared" si="53"/>
        <v>0</v>
      </c>
      <c r="BD73" s="47">
        <f t="shared" si="53"/>
        <v>0</v>
      </c>
      <c r="BE73" s="47">
        <f t="shared" si="53"/>
        <v>0</v>
      </c>
      <c r="BF73" s="47">
        <f t="shared" si="53"/>
        <v>1</v>
      </c>
      <c r="BG73" s="47">
        <f t="shared" si="53"/>
        <v>0</v>
      </c>
      <c r="BH73" s="47">
        <f t="shared" si="53"/>
        <v>0</v>
      </c>
      <c r="BI73" s="47">
        <f t="shared" si="52"/>
        <v>0</v>
      </c>
      <c r="BJ73" s="48">
        <v>0</v>
      </c>
      <c r="BK73" s="48">
        <v>0</v>
      </c>
      <c r="BL73" s="48">
        <f t="shared" si="73"/>
        <v>0</v>
      </c>
      <c r="BM73" s="47">
        <f t="shared" si="25"/>
        <v>0</v>
      </c>
      <c r="BN73" s="53">
        <f t="shared" si="54"/>
        <v>0</v>
      </c>
      <c r="BO73" s="53">
        <f t="shared" si="55"/>
        <v>0</v>
      </c>
      <c r="BP73" s="53">
        <f t="shared" si="56"/>
        <v>0</v>
      </c>
      <c r="BQ73" s="53">
        <f t="shared" si="57"/>
        <v>0</v>
      </c>
      <c r="BR73" s="53">
        <f t="shared" si="58"/>
        <v>0</v>
      </c>
      <c r="BS73" s="53">
        <f t="shared" si="59"/>
        <v>0</v>
      </c>
      <c r="BT73" s="53">
        <f t="shared" si="60"/>
        <v>0</v>
      </c>
      <c r="BU73" s="53">
        <f t="shared" si="61"/>
        <v>0</v>
      </c>
      <c r="BV73" s="53">
        <f t="shared" si="62"/>
        <v>0</v>
      </c>
      <c r="BW73" s="53">
        <f t="shared" si="63"/>
        <v>0</v>
      </c>
      <c r="BX73" s="53">
        <f t="shared" si="64"/>
        <v>0</v>
      </c>
      <c r="BY73" s="53">
        <f t="shared" si="65"/>
        <v>0</v>
      </c>
      <c r="BZ73" s="53">
        <f t="shared" si="66"/>
        <v>0</v>
      </c>
      <c r="CA73" s="53">
        <f t="shared" si="67"/>
        <v>0</v>
      </c>
      <c r="CB73" s="53">
        <f t="shared" si="68"/>
        <v>0</v>
      </c>
      <c r="CC73" s="53">
        <f t="shared" si="69"/>
        <v>0</v>
      </c>
      <c r="CD73" s="8">
        <f t="shared" si="70"/>
        <v>883.23511197663402</v>
      </c>
      <c r="CE73" s="8">
        <f t="shared" si="71"/>
        <v>2653.0772650126232</v>
      </c>
      <c r="CF73" s="8">
        <f t="shared" si="72"/>
        <v>84536.451733473674</v>
      </c>
    </row>
    <row r="74" spans="1:84">
      <c r="A74" s="7">
        <f>'Monthly Data'!A74</f>
        <v>43101</v>
      </c>
      <c r="B74" s="6">
        <f>'Monthly Data'!B74</f>
        <v>2018</v>
      </c>
      <c r="C74" s="6">
        <f t="shared" si="50"/>
        <v>1</v>
      </c>
      <c r="D74" s="8">
        <f>'Monthly Data'!D74</f>
        <v>13883435.471597927</v>
      </c>
      <c r="E74" s="1">
        <f>'Monthly Data'!E74</f>
        <v>575271.53179928812</v>
      </c>
      <c r="F74" s="8">
        <f>'Monthly Data'!F74</f>
        <v>14458707.003397215</v>
      </c>
      <c r="G74" s="8">
        <f>'Monthly Data'!G74</f>
        <v>4634616.9582139906</v>
      </c>
      <c r="H74" s="1">
        <f>'Monthly Data'!H74</f>
        <v>263226.83378558612</v>
      </c>
      <c r="I74" s="8">
        <f>'Monthly Data'!I74</f>
        <v>4897843.7919995766</v>
      </c>
      <c r="J74" s="8">
        <f>'Monthly Data'!J74</f>
        <v>12061651.908779878</v>
      </c>
      <c r="K74" s="1">
        <f>'Monthly Data'!K74</f>
        <v>481211.6928081137</v>
      </c>
      <c r="L74" s="8">
        <f>'Monthly Data'!L74</f>
        <v>12542863.601587992</v>
      </c>
      <c r="M74" s="8">
        <f>'Monthly Data'!M74</f>
        <v>130566.16517574774</v>
      </c>
      <c r="N74" s="8">
        <f>'Monthly Data'!N74</f>
        <v>32175.028988065817</v>
      </c>
      <c r="O74" s="5">
        <f>'Monthly Data'!O74</f>
        <v>27106.87</v>
      </c>
      <c r="P74" s="5">
        <f>'Monthly Data'!P74</f>
        <v>287.61</v>
      </c>
      <c r="Q74" s="8">
        <f>'Monthly Data'!Q74</f>
        <v>15358</v>
      </c>
      <c r="R74" s="8">
        <f>'Monthly Data'!R74</f>
        <v>1745</v>
      </c>
      <c r="S74" s="8">
        <f>'Monthly Data'!S74</f>
        <v>131</v>
      </c>
      <c r="T74" s="8">
        <f>'Monthly Data'!T74</f>
        <v>3069</v>
      </c>
      <c r="U74" s="8">
        <f>'Monthly Data'!U74</f>
        <v>30</v>
      </c>
      <c r="V74" s="45">
        <f>Weather!C194</f>
        <v>-5.1026891800502527</v>
      </c>
      <c r="W74" s="46">
        <f>Weather!D194</f>
        <v>840.2</v>
      </c>
      <c r="X74" s="46">
        <f>Weather!E194</f>
        <v>0</v>
      </c>
      <c r="Y74" s="46">
        <f>Weather!F194</f>
        <v>778.2</v>
      </c>
      <c r="Z74" s="46">
        <f>Weather!G194</f>
        <v>0</v>
      </c>
      <c r="AA74" s="46">
        <f>Weather!H194</f>
        <v>716.2</v>
      </c>
      <c r="AB74" s="46">
        <f>Weather!I194</f>
        <v>0</v>
      </c>
      <c r="AC74" s="46">
        <f>Weather!J194</f>
        <v>654.20000000000005</v>
      </c>
      <c r="AD74" s="46">
        <f>Weather!K194</f>
        <v>0</v>
      </c>
      <c r="AE74" s="46">
        <f>Weather!L194</f>
        <v>592.20000000000005</v>
      </c>
      <c r="AF74" s="46">
        <f>Weather!M194</f>
        <v>0</v>
      </c>
      <c r="AG74" s="46">
        <f>Weather!N194</f>
        <v>530.20000000000005</v>
      </c>
      <c r="AH74" s="46">
        <f>Weather!O194</f>
        <v>0</v>
      </c>
      <c r="AI74" s="46">
        <f>Weather!P194</f>
        <v>468.2</v>
      </c>
      <c r="AJ74" s="46">
        <f>Weather!Q194</f>
        <v>0</v>
      </c>
      <c r="AK74" s="46">
        <f>Weather!R194</f>
        <v>408.2</v>
      </c>
      <c r="AL74" s="46">
        <f>Weather!S194</f>
        <v>2</v>
      </c>
      <c r="AM74" s="43">
        <f>Economic!C74</f>
        <v>732426.3</v>
      </c>
      <c r="AN74" s="43">
        <f>Economic!D74</f>
        <v>7129.8</v>
      </c>
      <c r="AO74" s="43">
        <f>Economic!E74</f>
        <v>7100.3</v>
      </c>
      <c r="AP74" s="43">
        <f>Economic!F74</f>
        <v>110.6</v>
      </c>
      <c r="AQ74" s="43">
        <f>Economic!G74</f>
        <v>110.5</v>
      </c>
      <c r="AR74" s="47">
        <f t="shared" si="49"/>
        <v>31</v>
      </c>
      <c r="AS74" s="47">
        <v>20</v>
      </c>
      <c r="AT74" s="47">
        <f t="shared" si="51"/>
        <v>73</v>
      </c>
      <c r="AU74" s="47">
        <f t="shared" si="53"/>
        <v>1</v>
      </c>
      <c r="AV74" s="47">
        <f t="shared" si="53"/>
        <v>0</v>
      </c>
      <c r="AW74" s="47">
        <f t="shared" si="53"/>
        <v>0</v>
      </c>
      <c r="AX74" s="47">
        <f t="shared" si="53"/>
        <v>0</v>
      </c>
      <c r="AY74" s="47">
        <f t="shared" si="53"/>
        <v>0</v>
      </c>
      <c r="AZ74" s="47">
        <f t="shared" si="53"/>
        <v>0</v>
      </c>
      <c r="BA74" s="47">
        <f t="shared" si="53"/>
        <v>0</v>
      </c>
      <c r="BB74" s="47">
        <f t="shared" si="53"/>
        <v>0</v>
      </c>
      <c r="BC74" s="47">
        <f t="shared" si="53"/>
        <v>0</v>
      </c>
      <c r="BD74" s="47">
        <f t="shared" si="53"/>
        <v>0</v>
      </c>
      <c r="BE74" s="47">
        <f t="shared" si="53"/>
        <v>0</v>
      </c>
      <c r="BF74" s="47">
        <f t="shared" si="53"/>
        <v>0</v>
      </c>
      <c r="BG74" s="47">
        <f t="shared" si="53"/>
        <v>0</v>
      </c>
      <c r="BH74" s="47">
        <f t="shared" si="53"/>
        <v>0</v>
      </c>
      <c r="BI74" s="47">
        <f t="shared" si="52"/>
        <v>0</v>
      </c>
      <c r="BJ74" s="48">
        <v>0</v>
      </c>
      <c r="BK74" s="48">
        <v>0</v>
      </c>
      <c r="BL74" s="48">
        <f t="shared" si="73"/>
        <v>0</v>
      </c>
      <c r="BM74" s="47">
        <f t="shared" si="25"/>
        <v>0</v>
      </c>
      <c r="BN74" s="53">
        <f t="shared" si="54"/>
        <v>0</v>
      </c>
      <c r="BO74" s="53">
        <f t="shared" si="55"/>
        <v>0</v>
      </c>
      <c r="BP74" s="53">
        <f t="shared" si="56"/>
        <v>0</v>
      </c>
      <c r="BQ74" s="53">
        <f t="shared" si="57"/>
        <v>0</v>
      </c>
      <c r="BR74" s="53">
        <f t="shared" si="58"/>
        <v>0</v>
      </c>
      <c r="BS74" s="53">
        <f t="shared" si="59"/>
        <v>0</v>
      </c>
      <c r="BT74" s="53">
        <f t="shared" si="60"/>
        <v>0</v>
      </c>
      <c r="BU74" s="53">
        <f t="shared" si="61"/>
        <v>0</v>
      </c>
      <c r="BV74" s="53">
        <f t="shared" si="62"/>
        <v>0</v>
      </c>
      <c r="BW74" s="53">
        <f t="shared" si="63"/>
        <v>0</v>
      </c>
      <c r="BX74" s="53">
        <f t="shared" si="64"/>
        <v>0</v>
      </c>
      <c r="BY74" s="53">
        <f t="shared" si="65"/>
        <v>0</v>
      </c>
      <c r="BZ74" s="53">
        <f t="shared" si="66"/>
        <v>0</v>
      </c>
      <c r="CA74" s="53">
        <f t="shared" si="67"/>
        <v>0</v>
      </c>
      <c r="CB74" s="53">
        <f t="shared" si="68"/>
        <v>0</v>
      </c>
      <c r="CC74" s="53">
        <f t="shared" si="69"/>
        <v>0</v>
      </c>
      <c r="CD74" s="8">
        <f t="shared" si="70"/>
        <v>941.44465447305743</v>
      </c>
      <c r="CE74" s="8">
        <f t="shared" si="71"/>
        <v>2806.7872733521931</v>
      </c>
      <c r="CF74" s="8">
        <f t="shared" si="72"/>
        <v>95747.050393801474</v>
      </c>
    </row>
    <row r="75" spans="1:84">
      <c r="A75" s="7">
        <f>'Monthly Data'!A75</f>
        <v>43132</v>
      </c>
      <c r="B75" s="6">
        <f>'Monthly Data'!B75</f>
        <v>2018</v>
      </c>
      <c r="C75" s="6">
        <f t="shared" si="50"/>
        <v>2</v>
      </c>
      <c r="D75" s="8">
        <f>'Monthly Data'!D75</f>
        <v>11384940.451659728</v>
      </c>
      <c r="E75" s="1">
        <f>'Monthly Data'!E75</f>
        <v>575271.53179928812</v>
      </c>
      <c r="F75" s="8">
        <f>'Monthly Data'!F75</f>
        <v>11960211.983459016</v>
      </c>
      <c r="G75" s="8">
        <f>'Monthly Data'!G75</f>
        <v>3979045.0294086551</v>
      </c>
      <c r="H75" s="1">
        <f>'Monthly Data'!H75</f>
        <v>263226.83378558612</v>
      </c>
      <c r="I75" s="8">
        <f>'Monthly Data'!I75</f>
        <v>4242271.8631942412</v>
      </c>
      <c r="J75" s="8">
        <f>'Monthly Data'!J75</f>
        <v>10569743.405669795</v>
      </c>
      <c r="K75" s="1">
        <f>'Monthly Data'!K75</f>
        <v>481211.6928081137</v>
      </c>
      <c r="L75" s="8">
        <f>'Monthly Data'!L75</f>
        <v>11050955.098477909</v>
      </c>
      <c r="M75" s="8">
        <f>'Monthly Data'!M75</f>
        <v>108624.99508405512</v>
      </c>
      <c r="N75" s="8">
        <f>'Monthly Data'!N75</f>
        <v>31694.43230625584</v>
      </c>
      <c r="O75" s="5">
        <f>'Monthly Data'!O75</f>
        <v>26969.469999999998</v>
      </c>
      <c r="P75" s="5">
        <f>'Monthly Data'!P75</f>
        <v>287.61</v>
      </c>
      <c r="Q75" s="8">
        <f>'Monthly Data'!Q75</f>
        <v>15245</v>
      </c>
      <c r="R75" s="8">
        <f>'Monthly Data'!R75</f>
        <v>1738</v>
      </c>
      <c r="S75" s="8">
        <f>'Monthly Data'!S75</f>
        <v>132</v>
      </c>
      <c r="T75" s="8">
        <f>'Monthly Data'!T75</f>
        <v>3136</v>
      </c>
      <c r="U75" s="8">
        <f>'Monthly Data'!U75</f>
        <v>30</v>
      </c>
      <c r="V75" s="45">
        <f>Weather!C195</f>
        <v>-1.792857142857144</v>
      </c>
      <c r="W75" s="46">
        <f>Weather!D195</f>
        <v>666.2</v>
      </c>
      <c r="X75" s="46">
        <f>Weather!E195</f>
        <v>0</v>
      </c>
      <c r="Y75" s="46">
        <f>Weather!F195</f>
        <v>610.20000000000005</v>
      </c>
      <c r="Z75" s="46">
        <f>Weather!G195</f>
        <v>0</v>
      </c>
      <c r="AA75" s="46">
        <f>Weather!H195</f>
        <v>554.20000000000005</v>
      </c>
      <c r="AB75" s="46">
        <f>Weather!I195</f>
        <v>0</v>
      </c>
      <c r="AC75" s="46">
        <f>Weather!J195</f>
        <v>498.2</v>
      </c>
      <c r="AD75" s="46">
        <f>Weather!K195</f>
        <v>0</v>
      </c>
      <c r="AE75" s="46">
        <f>Weather!L195</f>
        <v>442.2</v>
      </c>
      <c r="AF75" s="46">
        <f>Weather!M195</f>
        <v>0</v>
      </c>
      <c r="AG75" s="46">
        <f>Weather!N195</f>
        <v>386.2</v>
      </c>
      <c r="AH75" s="46">
        <f>Weather!O195</f>
        <v>0</v>
      </c>
      <c r="AI75" s="46">
        <f>Weather!P195</f>
        <v>330.2</v>
      </c>
      <c r="AJ75" s="46">
        <f>Weather!Q195</f>
        <v>0</v>
      </c>
      <c r="AK75" s="46">
        <f>Weather!R195</f>
        <v>275.8</v>
      </c>
      <c r="AL75" s="46">
        <f>Weather!S195</f>
        <v>1.6</v>
      </c>
      <c r="AM75" s="43">
        <f>Economic!C75</f>
        <v>732426.3</v>
      </c>
      <c r="AN75" s="43">
        <f>Economic!D75</f>
        <v>7121.1</v>
      </c>
      <c r="AO75" s="43">
        <f>Economic!E75</f>
        <v>7053.7</v>
      </c>
      <c r="AP75" s="43">
        <f>Economic!F75</f>
        <v>107.9</v>
      </c>
      <c r="AQ75" s="43">
        <f>Economic!G75</f>
        <v>106.3</v>
      </c>
      <c r="AR75" s="47">
        <f t="shared" si="49"/>
        <v>28</v>
      </c>
      <c r="AS75" s="47">
        <v>20</v>
      </c>
      <c r="AT75" s="47">
        <f t="shared" si="51"/>
        <v>74</v>
      </c>
      <c r="AU75" s="47">
        <f t="shared" si="53"/>
        <v>0</v>
      </c>
      <c r="AV75" s="47">
        <f t="shared" si="53"/>
        <v>1</v>
      </c>
      <c r="AW75" s="47">
        <f t="shared" si="53"/>
        <v>0</v>
      </c>
      <c r="AX75" s="47">
        <f t="shared" si="53"/>
        <v>0</v>
      </c>
      <c r="AY75" s="47">
        <f t="shared" si="53"/>
        <v>0</v>
      </c>
      <c r="AZ75" s="47">
        <f t="shared" si="53"/>
        <v>0</v>
      </c>
      <c r="BA75" s="47">
        <f t="shared" si="53"/>
        <v>0</v>
      </c>
      <c r="BB75" s="47">
        <f t="shared" si="53"/>
        <v>0</v>
      </c>
      <c r="BC75" s="47">
        <f t="shared" si="53"/>
        <v>0</v>
      </c>
      <c r="BD75" s="47">
        <f t="shared" si="53"/>
        <v>0</v>
      </c>
      <c r="BE75" s="47">
        <f t="shared" si="53"/>
        <v>0</v>
      </c>
      <c r="BF75" s="47">
        <f t="shared" si="53"/>
        <v>0</v>
      </c>
      <c r="BG75" s="47">
        <f t="shared" si="53"/>
        <v>0</v>
      </c>
      <c r="BH75" s="47">
        <f t="shared" si="53"/>
        <v>0</v>
      </c>
      <c r="BI75" s="47">
        <f t="shared" si="52"/>
        <v>0</v>
      </c>
      <c r="BJ75" s="48">
        <v>0</v>
      </c>
      <c r="BK75" s="48">
        <v>0</v>
      </c>
      <c r="BL75" s="48">
        <f t="shared" si="73"/>
        <v>0</v>
      </c>
      <c r="BM75" s="47">
        <f t="shared" si="25"/>
        <v>0</v>
      </c>
      <c r="BN75" s="53">
        <f t="shared" si="54"/>
        <v>0</v>
      </c>
      <c r="BO75" s="53">
        <f t="shared" si="55"/>
        <v>0</v>
      </c>
      <c r="BP75" s="53">
        <f t="shared" si="56"/>
        <v>0</v>
      </c>
      <c r="BQ75" s="53">
        <f t="shared" si="57"/>
        <v>0</v>
      </c>
      <c r="BR75" s="53">
        <f t="shared" si="58"/>
        <v>0</v>
      </c>
      <c r="BS75" s="53">
        <f t="shared" si="59"/>
        <v>0</v>
      </c>
      <c r="BT75" s="53">
        <f t="shared" si="60"/>
        <v>0</v>
      </c>
      <c r="BU75" s="53">
        <f t="shared" si="61"/>
        <v>0</v>
      </c>
      <c r="BV75" s="53">
        <f t="shared" si="62"/>
        <v>0</v>
      </c>
      <c r="BW75" s="53">
        <f t="shared" si="63"/>
        <v>0</v>
      </c>
      <c r="BX75" s="53">
        <f t="shared" si="64"/>
        <v>0</v>
      </c>
      <c r="BY75" s="53">
        <f t="shared" si="65"/>
        <v>0</v>
      </c>
      <c r="BZ75" s="53">
        <f t="shared" si="66"/>
        <v>0</v>
      </c>
      <c r="CA75" s="53">
        <f t="shared" si="67"/>
        <v>0</v>
      </c>
      <c r="CB75" s="53">
        <f t="shared" si="68"/>
        <v>0</v>
      </c>
      <c r="CC75" s="53">
        <f t="shared" si="69"/>
        <v>0</v>
      </c>
      <c r="CD75" s="8">
        <f t="shared" si="70"/>
        <v>784.53341970869246</v>
      </c>
      <c r="CE75" s="8">
        <f t="shared" si="71"/>
        <v>2440.8929017228083</v>
      </c>
      <c r="CF75" s="8">
        <f t="shared" si="72"/>
        <v>83719.356806650831</v>
      </c>
    </row>
    <row r="76" spans="1:84">
      <c r="A76" s="7">
        <f>'Monthly Data'!A76</f>
        <v>43160</v>
      </c>
      <c r="B76" s="6">
        <f>'Monthly Data'!B76</f>
        <v>2018</v>
      </c>
      <c r="C76" s="6">
        <f t="shared" si="50"/>
        <v>3</v>
      </c>
      <c r="D76" s="8">
        <f>'Monthly Data'!D76</f>
        <v>11501016.11392805</v>
      </c>
      <c r="E76" s="1">
        <f>'Monthly Data'!E76</f>
        <v>575271.53179928812</v>
      </c>
      <c r="F76" s="8">
        <f>'Monthly Data'!F76</f>
        <v>12076287.645727338</v>
      </c>
      <c r="G76" s="8">
        <f>'Monthly Data'!G76</f>
        <v>4130187.8020749432</v>
      </c>
      <c r="H76" s="1">
        <f>'Monthly Data'!H76</f>
        <v>263226.83378558612</v>
      </c>
      <c r="I76" s="8">
        <f>'Monthly Data'!I76</f>
        <v>4393414.6358605297</v>
      </c>
      <c r="J76" s="8">
        <f>'Monthly Data'!J76</f>
        <v>11369524.37695927</v>
      </c>
      <c r="K76" s="1">
        <f>'Monthly Data'!K76</f>
        <v>481211.6928081137</v>
      </c>
      <c r="L76" s="8">
        <f>'Monthly Data'!L76</f>
        <v>11850736.069767384</v>
      </c>
      <c r="M76" s="8">
        <f>'Monthly Data'!M76</f>
        <v>105479.33430361391</v>
      </c>
      <c r="N76" s="8">
        <f>'Monthly Data'!N76</f>
        <v>34868.971588635453</v>
      </c>
      <c r="O76" s="5">
        <f>'Monthly Data'!O76</f>
        <v>26484.61</v>
      </c>
      <c r="P76" s="5">
        <f>'Monthly Data'!P76</f>
        <v>287.61</v>
      </c>
      <c r="Q76" s="8">
        <f>'Monthly Data'!Q76</f>
        <v>15374</v>
      </c>
      <c r="R76" s="8">
        <f>'Monthly Data'!R76</f>
        <v>1754</v>
      </c>
      <c r="S76" s="8">
        <f>'Monthly Data'!S76</f>
        <v>129</v>
      </c>
      <c r="T76" s="8">
        <f>'Monthly Data'!T76</f>
        <v>3136</v>
      </c>
      <c r="U76" s="8">
        <f>'Monthly Data'!U76</f>
        <v>30</v>
      </c>
      <c r="V76" s="45">
        <f>Weather!C196</f>
        <v>-1.2602170697779262</v>
      </c>
      <c r="W76" s="46">
        <f>Weather!D196</f>
        <v>721.1</v>
      </c>
      <c r="X76" s="46">
        <f>Weather!E196</f>
        <v>0</v>
      </c>
      <c r="Y76" s="46">
        <f>Weather!F196</f>
        <v>659.1</v>
      </c>
      <c r="Z76" s="46">
        <f>Weather!G196</f>
        <v>0</v>
      </c>
      <c r="AA76" s="46">
        <f>Weather!H196</f>
        <v>597.1</v>
      </c>
      <c r="AB76" s="46">
        <f>Weather!I196</f>
        <v>0</v>
      </c>
      <c r="AC76" s="46">
        <f>Weather!J196</f>
        <v>535.1</v>
      </c>
      <c r="AD76" s="46">
        <f>Weather!K196</f>
        <v>0</v>
      </c>
      <c r="AE76" s="46">
        <f>Weather!L196</f>
        <v>473.1</v>
      </c>
      <c r="AF76" s="46">
        <f>Weather!M196</f>
        <v>0</v>
      </c>
      <c r="AG76" s="46">
        <f>Weather!N196</f>
        <v>411.1</v>
      </c>
      <c r="AH76" s="46">
        <f>Weather!O196</f>
        <v>0</v>
      </c>
      <c r="AI76" s="46">
        <f>Weather!P196</f>
        <v>349.1</v>
      </c>
      <c r="AJ76" s="46">
        <f>Weather!Q196</f>
        <v>0</v>
      </c>
      <c r="AK76" s="46">
        <f>Weather!R196</f>
        <v>287.10000000000002</v>
      </c>
      <c r="AL76" s="46">
        <f>Weather!S196</f>
        <v>0</v>
      </c>
      <c r="AM76" s="43">
        <f>Economic!C76</f>
        <v>732426.3</v>
      </c>
      <c r="AN76" s="43">
        <f>Economic!D76</f>
        <v>7120.5</v>
      </c>
      <c r="AO76" s="43">
        <f>Economic!E76</f>
        <v>7013.3</v>
      </c>
      <c r="AP76" s="43">
        <f>Economic!F76</f>
        <v>105.9</v>
      </c>
      <c r="AQ76" s="43">
        <f>Economic!G76</f>
        <v>103.7</v>
      </c>
      <c r="AR76" s="47">
        <f t="shared" si="49"/>
        <v>31</v>
      </c>
      <c r="AS76" s="47">
        <v>22</v>
      </c>
      <c r="AT76" s="47">
        <f t="shared" si="51"/>
        <v>75</v>
      </c>
      <c r="AU76" s="47">
        <f t="shared" ref="AU76:BH91" si="74">AU64</f>
        <v>0</v>
      </c>
      <c r="AV76" s="47">
        <f t="shared" si="74"/>
        <v>0</v>
      </c>
      <c r="AW76" s="47">
        <f t="shared" si="74"/>
        <v>1</v>
      </c>
      <c r="AX76" s="47">
        <f t="shared" si="74"/>
        <v>0</v>
      </c>
      <c r="AY76" s="47">
        <f t="shared" si="74"/>
        <v>0</v>
      </c>
      <c r="AZ76" s="47">
        <f t="shared" si="74"/>
        <v>0</v>
      </c>
      <c r="BA76" s="47">
        <f t="shared" si="74"/>
        <v>0</v>
      </c>
      <c r="BB76" s="47">
        <f t="shared" si="74"/>
        <v>0</v>
      </c>
      <c r="BC76" s="47">
        <f t="shared" si="74"/>
        <v>0</v>
      </c>
      <c r="BD76" s="47">
        <f t="shared" si="74"/>
        <v>0</v>
      </c>
      <c r="BE76" s="47">
        <f t="shared" si="74"/>
        <v>0</v>
      </c>
      <c r="BF76" s="47">
        <f t="shared" si="74"/>
        <v>0</v>
      </c>
      <c r="BG76" s="47">
        <f t="shared" si="74"/>
        <v>1</v>
      </c>
      <c r="BH76" s="47">
        <f t="shared" si="74"/>
        <v>0</v>
      </c>
      <c r="BI76" s="47">
        <f t="shared" si="52"/>
        <v>1</v>
      </c>
      <c r="BJ76" s="48">
        <v>0</v>
      </c>
      <c r="BK76" s="48">
        <v>0</v>
      </c>
      <c r="BL76" s="48">
        <f t="shared" si="73"/>
        <v>0</v>
      </c>
      <c r="BM76" s="47">
        <f t="shared" si="25"/>
        <v>0</v>
      </c>
      <c r="BN76" s="53">
        <f t="shared" si="54"/>
        <v>0</v>
      </c>
      <c r="BO76" s="53">
        <f t="shared" si="55"/>
        <v>0</v>
      </c>
      <c r="BP76" s="53">
        <f t="shared" si="56"/>
        <v>0</v>
      </c>
      <c r="BQ76" s="53">
        <f t="shared" si="57"/>
        <v>0</v>
      </c>
      <c r="BR76" s="53">
        <f t="shared" si="58"/>
        <v>0</v>
      </c>
      <c r="BS76" s="53">
        <f t="shared" si="59"/>
        <v>0</v>
      </c>
      <c r="BT76" s="53">
        <f t="shared" si="60"/>
        <v>0</v>
      </c>
      <c r="BU76" s="53">
        <f t="shared" si="61"/>
        <v>0</v>
      </c>
      <c r="BV76" s="53">
        <f t="shared" si="62"/>
        <v>0</v>
      </c>
      <c r="BW76" s="53">
        <f t="shared" si="63"/>
        <v>0</v>
      </c>
      <c r="BX76" s="53">
        <f t="shared" si="64"/>
        <v>0</v>
      </c>
      <c r="BY76" s="53">
        <f t="shared" si="65"/>
        <v>0</v>
      </c>
      <c r="BZ76" s="53">
        <f t="shared" si="66"/>
        <v>0</v>
      </c>
      <c r="CA76" s="53">
        <f t="shared" si="67"/>
        <v>0</v>
      </c>
      <c r="CB76" s="53">
        <f t="shared" si="68"/>
        <v>0</v>
      </c>
      <c r="CC76" s="53">
        <f t="shared" si="69"/>
        <v>0</v>
      </c>
      <c r="CD76" s="8">
        <f t="shared" si="70"/>
        <v>785.5006924500675</v>
      </c>
      <c r="CE76" s="8">
        <f t="shared" si="71"/>
        <v>2504.7973978680329</v>
      </c>
      <c r="CF76" s="8">
        <f t="shared" si="72"/>
        <v>91866.171083468085</v>
      </c>
    </row>
    <row r="77" spans="1:84">
      <c r="A77" s="7">
        <f>'Monthly Data'!A77</f>
        <v>43191</v>
      </c>
      <c r="B77" s="6">
        <f>'Monthly Data'!B77</f>
        <v>2018</v>
      </c>
      <c r="C77" s="6">
        <f t="shared" si="50"/>
        <v>4</v>
      </c>
      <c r="D77" s="8">
        <f>'Monthly Data'!D77</f>
        <v>9828482.6727534514</v>
      </c>
      <c r="E77" s="1">
        <f>'Monthly Data'!E77</f>
        <v>575271.53179928812</v>
      </c>
      <c r="F77" s="8">
        <f>'Monthly Data'!F77</f>
        <v>10403754.20455274</v>
      </c>
      <c r="G77" s="8">
        <f>'Monthly Data'!G77</f>
        <v>3695184.3068528124</v>
      </c>
      <c r="H77" s="1">
        <f>'Monthly Data'!H77</f>
        <v>263226.83378558612</v>
      </c>
      <c r="I77" s="8">
        <f>'Monthly Data'!I77</f>
        <v>3958411.1406383985</v>
      </c>
      <c r="J77" s="8">
        <f>'Monthly Data'!J77</f>
        <v>10356480.107455384</v>
      </c>
      <c r="K77" s="1">
        <f>'Monthly Data'!K77</f>
        <v>481211.6928081137</v>
      </c>
      <c r="L77" s="8">
        <f>'Monthly Data'!L77</f>
        <v>10837691.800263498</v>
      </c>
      <c r="M77" s="8">
        <f>'Monthly Data'!M77</f>
        <v>88074.342078049871</v>
      </c>
      <c r="N77" s="8">
        <f>'Monthly Data'!N77</f>
        <v>31778.661998132593</v>
      </c>
      <c r="O77" s="5">
        <f>'Monthly Data'!O77</f>
        <v>28368.31</v>
      </c>
      <c r="P77" s="5">
        <f>'Monthly Data'!P77</f>
        <v>287.61</v>
      </c>
      <c r="Q77" s="8">
        <f>'Monthly Data'!Q77</f>
        <v>15309</v>
      </c>
      <c r="R77" s="8">
        <f>'Monthly Data'!R77</f>
        <v>1747</v>
      </c>
      <c r="S77" s="8">
        <f>'Monthly Data'!S77</f>
        <v>137</v>
      </c>
      <c r="T77" s="8">
        <f>'Monthly Data'!T77</f>
        <v>3136</v>
      </c>
      <c r="U77" s="8">
        <f>'Monthly Data'!U77</f>
        <v>30</v>
      </c>
      <c r="V77" s="45">
        <f>Weather!C197</f>
        <v>2.2533333333333334</v>
      </c>
      <c r="W77" s="46">
        <f>Weather!D197</f>
        <v>592.4</v>
      </c>
      <c r="X77" s="46">
        <f>Weather!E197</f>
        <v>0</v>
      </c>
      <c r="Y77" s="46">
        <f>Weather!F197</f>
        <v>532.4</v>
      </c>
      <c r="Z77" s="46">
        <f>Weather!G197</f>
        <v>0</v>
      </c>
      <c r="AA77" s="46">
        <f>Weather!H197</f>
        <v>472.4</v>
      </c>
      <c r="AB77" s="46">
        <f>Weather!I197</f>
        <v>0</v>
      </c>
      <c r="AC77" s="46">
        <f>Weather!J197</f>
        <v>412.4</v>
      </c>
      <c r="AD77" s="46">
        <f>Weather!K197</f>
        <v>0</v>
      </c>
      <c r="AE77" s="46">
        <f>Weather!L197</f>
        <v>352.4</v>
      </c>
      <c r="AF77" s="46">
        <f>Weather!M197</f>
        <v>0</v>
      </c>
      <c r="AG77" s="46">
        <f>Weather!N197</f>
        <v>292.39999999999998</v>
      </c>
      <c r="AH77" s="46">
        <f>Weather!O197</f>
        <v>0</v>
      </c>
      <c r="AI77" s="46">
        <f>Weather!P197</f>
        <v>234</v>
      </c>
      <c r="AJ77" s="46">
        <f>Weather!Q197</f>
        <v>1.6</v>
      </c>
      <c r="AK77" s="46">
        <f>Weather!R197</f>
        <v>180.6</v>
      </c>
      <c r="AL77" s="46">
        <f>Weather!S197</f>
        <v>8.1999999999999993</v>
      </c>
      <c r="AM77" s="43">
        <f>Economic!C77</f>
        <v>732426.3</v>
      </c>
      <c r="AN77" s="43">
        <f>Economic!D77</f>
        <v>7136.3</v>
      </c>
      <c r="AO77" s="43">
        <f>Economic!E77</f>
        <v>7043.4</v>
      </c>
      <c r="AP77" s="43">
        <f>Economic!F77</f>
        <v>107.9</v>
      </c>
      <c r="AQ77" s="43">
        <f>Economic!G77</f>
        <v>105.1</v>
      </c>
      <c r="AR77" s="47">
        <f t="shared" si="49"/>
        <v>30</v>
      </c>
      <c r="AS77" s="47">
        <v>21</v>
      </c>
      <c r="AT77" s="47">
        <f t="shared" si="51"/>
        <v>76</v>
      </c>
      <c r="AU77" s="47">
        <f t="shared" si="74"/>
        <v>0</v>
      </c>
      <c r="AV77" s="47">
        <f t="shared" si="74"/>
        <v>0</v>
      </c>
      <c r="AW77" s="47">
        <f t="shared" si="74"/>
        <v>0</v>
      </c>
      <c r="AX77" s="47">
        <f t="shared" si="74"/>
        <v>1</v>
      </c>
      <c r="AY77" s="47">
        <f t="shared" si="74"/>
        <v>0</v>
      </c>
      <c r="AZ77" s="47">
        <f t="shared" si="74"/>
        <v>0</v>
      </c>
      <c r="BA77" s="47">
        <f t="shared" si="74"/>
        <v>0</v>
      </c>
      <c r="BB77" s="47">
        <f t="shared" si="74"/>
        <v>0</v>
      </c>
      <c r="BC77" s="47">
        <f t="shared" si="74"/>
        <v>0</v>
      </c>
      <c r="BD77" s="47">
        <f t="shared" si="74"/>
        <v>0</v>
      </c>
      <c r="BE77" s="47">
        <f t="shared" si="74"/>
        <v>0</v>
      </c>
      <c r="BF77" s="47">
        <f t="shared" si="74"/>
        <v>0</v>
      </c>
      <c r="BG77" s="47">
        <f t="shared" si="74"/>
        <v>1</v>
      </c>
      <c r="BH77" s="47">
        <f t="shared" si="74"/>
        <v>0</v>
      </c>
      <c r="BI77" s="47">
        <f t="shared" si="52"/>
        <v>1</v>
      </c>
      <c r="BJ77" s="48">
        <v>0</v>
      </c>
      <c r="BK77" s="48">
        <v>0</v>
      </c>
      <c r="BL77" s="48">
        <f t="shared" si="73"/>
        <v>0</v>
      </c>
      <c r="BM77" s="47">
        <f t="shared" si="25"/>
        <v>0</v>
      </c>
      <c r="BN77" s="53">
        <f t="shared" si="54"/>
        <v>0</v>
      </c>
      <c r="BO77" s="53">
        <f t="shared" si="55"/>
        <v>0</v>
      </c>
      <c r="BP77" s="53">
        <f t="shared" si="56"/>
        <v>0</v>
      </c>
      <c r="BQ77" s="53">
        <f t="shared" si="57"/>
        <v>0</v>
      </c>
      <c r="BR77" s="53">
        <f t="shared" si="58"/>
        <v>0</v>
      </c>
      <c r="BS77" s="53">
        <f t="shared" si="59"/>
        <v>0</v>
      </c>
      <c r="BT77" s="53">
        <f t="shared" si="60"/>
        <v>0</v>
      </c>
      <c r="BU77" s="53">
        <f t="shared" si="61"/>
        <v>0</v>
      </c>
      <c r="BV77" s="53">
        <f t="shared" si="62"/>
        <v>0</v>
      </c>
      <c r="BW77" s="53">
        <f t="shared" si="63"/>
        <v>0</v>
      </c>
      <c r="BX77" s="53">
        <f t="shared" si="64"/>
        <v>0</v>
      </c>
      <c r="BY77" s="53">
        <f t="shared" si="65"/>
        <v>0</v>
      </c>
      <c r="BZ77" s="53">
        <f t="shared" si="66"/>
        <v>0</v>
      </c>
      <c r="CA77" s="53">
        <f t="shared" si="67"/>
        <v>0</v>
      </c>
      <c r="CB77" s="53">
        <f t="shared" si="68"/>
        <v>0</v>
      </c>
      <c r="CC77" s="53">
        <f t="shared" si="69"/>
        <v>0</v>
      </c>
      <c r="CD77" s="8">
        <f t="shared" si="70"/>
        <v>679.58417953835908</v>
      </c>
      <c r="CE77" s="8">
        <f t="shared" si="71"/>
        <v>2265.8335092377783</v>
      </c>
      <c r="CF77" s="8">
        <f t="shared" si="72"/>
        <v>79107.239417981735</v>
      </c>
    </row>
    <row r="78" spans="1:84">
      <c r="A78" s="7">
        <f>'Monthly Data'!A78</f>
        <v>43221</v>
      </c>
      <c r="B78" s="6">
        <f>'Monthly Data'!B78</f>
        <v>2018</v>
      </c>
      <c r="C78" s="6">
        <f t="shared" si="50"/>
        <v>5</v>
      </c>
      <c r="D78" s="8">
        <f>'Monthly Data'!D78</f>
        <v>8619745.1538112145</v>
      </c>
      <c r="E78" s="1">
        <f>'Monthly Data'!E78</f>
        <v>575271.53179928812</v>
      </c>
      <c r="F78" s="8">
        <f>'Monthly Data'!F78</f>
        <v>9195016.685610503</v>
      </c>
      <c r="G78" s="8">
        <f>'Monthly Data'!G78</f>
        <v>3545274.159342139</v>
      </c>
      <c r="H78" s="1">
        <f>'Monthly Data'!H78</f>
        <v>263226.83378558612</v>
      </c>
      <c r="I78" s="8">
        <f>'Monthly Data'!I78</f>
        <v>3808500.9931277251</v>
      </c>
      <c r="J78" s="8">
        <f>'Monthly Data'!J78</f>
        <v>10469681.680061162</v>
      </c>
      <c r="K78" s="1">
        <f>'Monthly Data'!K78</f>
        <v>481211.6928081137</v>
      </c>
      <c r="L78" s="8">
        <f>'Monthly Data'!L78</f>
        <v>10950893.372869276</v>
      </c>
      <c r="M78" s="8">
        <f>'Monthly Data'!M78</f>
        <v>79424.877222573617</v>
      </c>
      <c r="N78" s="8">
        <f>'Monthly Data'!N78</f>
        <v>33064.713352007471</v>
      </c>
      <c r="O78" s="5">
        <f>'Monthly Data'!O78</f>
        <v>24841.78</v>
      </c>
      <c r="P78" s="5">
        <f>'Monthly Data'!P78</f>
        <v>280.41999999999996</v>
      </c>
      <c r="Q78" s="8">
        <f>'Monthly Data'!Q78</f>
        <v>15374</v>
      </c>
      <c r="R78" s="8">
        <f>'Monthly Data'!R78</f>
        <v>1745</v>
      </c>
      <c r="S78" s="8">
        <f>'Monthly Data'!S78</f>
        <v>127</v>
      </c>
      <c r="T78" s="8">
        <f>'Monthly Data'!T78</f>
        <v>3136</v>
      </c>
      <c r="U78" s="8">
        <f>'Monthly Data'!U78</f>
        <v>30</v>
      </c>
      <c r="V78" s="45">
        <f>Weather!C198</f>
        <v>14.38709677419355</v>
      </c>
      <c r="W78" s="46">
        <f>Weather!D198</f>
        <v>240.8</v>
      </c>
      <c r="X78" s="46">
        <f>Weather!E198</f>
        <v>4.8</v>
      </c>
      <c r="Y78" s="46">
        <f>Weather!F198</f>
        <v>187.7</v>
      </c>
      <c r="Z78" s="46">
        <f>Weather!G198</f>
        <v>13.7</v>
      </c>
      <c r="AA78" s="46">
        <f>Weather!H198</f>
        <v>138.80000000000001</v>
      </c>
      <c r="AB78" s="46">
        <f>Weather!I198</f>
        <v>26.8</v>
      </c>
      <c r="AC78" s="46">
        <f>Weather!J198</f>
        <v>95.5</v>
      </c>
      <c r="AD78" s="46">
        <f>Weather!K198</f>
        <v>45.5</v>
      </c>
      <c r="AE78" s="46">
        <f>Weather!L198</f>
        <v>59.6</v>
      </c>
      <c r="AF78" s="46">
        <f>Weather!M198</f>
        <v>71.599999999999994</v>
      </c>
      <c r="AG78" s="46">
        <f>Weather!N198</f>
        <v>32.200000000000003</v>
      </c>
      <c r="AH78" s="46">
        <f>Weather!O198</f>
        <v>106.2</v>
      </c>
      <c r="AI78" s="46">
        <f>Weather!P198</f>
        <v>14</v>
      </c>
      <c r="AJ78" s="46">
        <f>Weather!Q198</f>
        <v>150</v>
      </c>
      <c r="AK78" s="46">
        <f>Weather!R198</f>
        <v>5.9</v>
      </c>
      <c r="AL78" s="46">
        <f>Weather!S198</f>
        <v>203.9</v>
      </c>
      <c r="AM78" s="43">
        <f>Economic!C78</f>
        <v>732426.3</v>
      </c>
      <c r="AN78" s="43">
        <f>Economic!D78</f>
        <v>7145.7</v>
      </c>
      <c r="AO78" s="43">
        <f>Economic!E78</f>
        <v>7111</v>
      </c>
      <c r="AP78" s="43">
        <f>Economic!F78</f>
        <v>109.4</v>
      </c>
      <c r="AQ78" s="43">
        <f>Economic!G78</f>
        <v>107.9</v>
      </c>
      <c r="AR78" s="47">
        <f t="shared" si="49"/>
        <v>31</v>
      </c>
      <c r="AS78" s="47">
        <v>21</v>
      </c>
      <c r="AT78" s="47">
        <f t="shared" si="51"/>
        <v>77</v>
      </c>
      <c r="AU78" s="47">
        <f t="shared" si="74"/>
        <v>0</v>
      </c>
      <c r="AV78" s="47">
        <f t="shared" si="74"/>
        <v>0</v>
      </c>
      <c r="AW78" s="47">
        <f t="shared" si="74"/>
        <v>0</v>
      </c>
      <c r="AX78" s="47">
        <f t="shared" si="74"/>
        <v>0</v>
      </c>
      <c r="AY78" s="47">
        <f t="shared" si="74"/>
        <v>1</v>
      </c>
      <c r="AZ78" s="47">
        <f t="shared" si="74"/>
        <v>0</v>
      </c>
      <c r="BA78" s="47">
        <f t="shared" si="74"/>
        <v>0</v>
      </c>
      <c r="BB78" s="47">
        <f t="shared" si="74"/>
        <v>0</v>
      </c>
      <c r="BC78" s="47">
        <f t="shared" si="74"/>
        <v>0</v>
      </c>
      <c r="BD78" s="47">
        <f t="shared" si="74"/>
        <v>0</v>
      </c>
      <c r="BE78" s="47">
        <f t="shared" si="74"/>
        <v>0</v>
      </c>
      <c r="BF78" s="47">
        <f t="shared" si="74"/>
        <v>0</v>
      </c>
      <c r="BG78" s="47">
        <f t="shared" si="74"/>
        <v>1</v>
      </c>
      <c r="BH78" s="47">
        <f t="shared" si="74"/>
        <v>0</v>
      </c>
      <c r="BI78" s="47">
        <f t="shared" si="52"/>
        <v>1</v>
      </c>
      <c r="BJ78" s="48">
        <v>0</v>
      </c>
      <c r="BK78" s="48">
        <v>0</v>
      </c>
      <c r="BL78" s="48">
        <f t="shared" si="73"/>
        <v>0</v>
      </c>
      <c r="BM78" s="47">
        <f t="shared" ref="BM78:BM121" si="75">BM77</f>
        <v>0</v>
      </c>
      <c r="BN78" s="53">
        <f t="shared" si="54"/>
        <v>0</v>
      </c>
      <c r="BO78" s="53">
        <f t="shared" si="55"/>
        <v>0</v>
      </c>
      <c r="BP78" s="53">
        <f t="shared" si="56"/>
        <v>0</v>
      </c>
      <c r="BQ78" s="53">
        <f t="shared" si="57"/>
        <v>0</v>
      </c>
      <c r="BR78" s="53">
        <f t="shared" si="58"/>
        <v>0</v>
      </c>
      <c r="BS78" s="53">
        <f t="shared" si="59"/>
        <v>0</v>
      </c>
      <c r="BT78" s="53">
        <f t="shared" si="60"/>
        <v>0</v>
      </c>
      <c r="BU78" s="53">
        <f t="shared" si="61"/>
        <v>0</v>
      </c>
      <c r="BV78" s="53">
        <f t="shared" si="62"/>
        <v>0</v>
      </c>
      <c r="BW78" s="53">
        <f t="shared" si="63"/>
        <v>0</v>
      </c>
      <c r="BX78" s="53">
        <f t="shared" si="64"/>
        <v>0</v>
      </c>
      <c r="BY78" s="53">
        <f t="shared" si="65"/>
        <v>0</v>
      </c>
      <c r="BZ78" s="53">
        <f t="shared" si="66"/>
        <v>0</v>
      </c>
      <c r="CA78" s="53">
        <f t="shared" si="67"/>
        <v>0</v>
      </c>
      <c r="CB78" s="53">
        <f t="shared" si="68"/>
        <v>0</v>
      </c>
      <c r="CC78" s="53">
        <f t="shared" si="69"/>
        <v>0</v>
      </c>
      <c r="CD78" s="8">
        <f t="shared" si="70"/>
        <v>598.08876581309369</v>
      </c>
      <c r="CE78" s="8">
        <f t="shared" si="71"/>
        <v>2182.5220590989829</v>
      </c>
      <c r="CF78" s="8">
        <f t="shared" si="72"/>
        <v>86227.506872986414</v>
      </c>
    </row>
    <row r="79" spans="1:84">
      <c r="A79" s="7">
        <f>'Monthly Data'!A79</f>
        <v>43252</v>
      </c>
      <c r="B79" s="6">
        <f>'Monthly Data'!B79</f>
        <v>2018</v>
      </c>
      <c r="C79" s="6">
        <f t="shared" si="50"/>
        <v>6</v>
      </c>
      <c r="D79" s="8">
        <f>'Monthly Data'!D79</f>
        <v>8910906.6055843309</v>
      </c>
      <c r="E79" s="1">
        <f>'Monthly Data'!E79</f>
        <v>575271.53179928812</v>
      </c>
      <c r="F79" s="8">
        <f>'Monthly Data'!F79</f>
        <v>9486178.1373836193</v>
      </c>
      <c r="G79" s="8">
        <f>'Monthly Data'!G79</f>
        <v>3630673.8203668571</v>
      </c>
      <c r="H79" s="1">
        <f>'Monthly Data'!H79</f>
        <v>263226.83378558612</v>
      </c>
      <c r="I79" s="8">
        <f>'Monthly Data'!I79</f>
        <v>3893900.6541524432</v>
      </c>
      <c r="J79" s="8">
        <f>'Monthly Data'!J79</f>
        <v>10520542.293892801</v>
      </c>
      <c r="K79" s="1">
        <f>'Monthly Data'!K79</f>
        <v>481211.6928081137</v>
      </c>
      <c r="L79" s="8">
        <f>'Monthly Data'!L79</f>
        <v>11001753.986700915</v>
      </c>
      <c r="M79" s="8">
        <f>'Monthly Data'!M79</f>
        <v>70972.987078702441</v>
      </c>
      <c r="N79" s="8">
        <f>'Monthly Data'!N79</f>
        <v>33761.116446578635</v>
      </c>
      <c r="O79" s="5">
        <f>'Monthly Data'!O79</f>
        <v>26233.82</v>
      </c>
      <c r="P79" s="5">
        <f>'Monthly Data'!P79</f>
        <v>280.41999999999996</v>
      </c>
      <c r="Q79" s="8">
        <f>'Monthly Data'!Q79</f>
        <v>15358</v>
      </c>
      <c r="R79" s="8">
        <f>'Monthly Data'!R79</f>
        <v>1749</v>
      </c>
      <c r="S79" s="8">
        <f>'Monthly Data'!S79</f>
        <v>127</v>
      </c>
      <c r="T79" s="8">
        <f>'Monthly Data'!T79</f>
        <v>3136</v>
      </c>
      <c r="U79" s="8">
        <f>'Monthly Data'!U79</f>
        <v>30</v>
      </c>
      <c r="V79" s="45">
        <f>Weather!C199</f>
        <v>16.783887847281406</v>
      </c>
      <c r="W79" s="46">
        <f>Weather!D199</f>
        <v>166.3</v>
      </c>
      <c r="X79" s="46">
        <f>Weather!E199</f>
        <v>9.8000000000000007</v>
      </c>
      <c r="Y79" s="46">
        <f>Weather!F199</f>
        <v>116.3</v>
      </c>
      <c r="Z79" s="46">
        <f>Weather!G199</f>
        <v>19.8</v>
      </c>
      <c r="AA79" s="46">
        <f>Weather!H199</f>
        <v>67.900000000000006</v>
      </c>
      <c r="AB79" s="46">
        <f>Weather!I199</f>
        <v>31.4</v>
      </c>
      <c r="AC79" s="46">
        <f>Weather!J199</f>
        <v>30.9</v>
      </c>
      <c r="AD79" s="46">
        <f>Weather!K199</f>
        <v>54.4</v>
      </c>
      <c r="AE79" s="46">
        <f>Weather!L199</f>
        <v>9.3000000000000007</v>
      </c>
      <c r="AF79" s="46">
        <f>Weather!M199</f>
        <v>92.8</v>
      </c>
      <c r="AG79" s="46">
        <f>Weather!N199</f>
        <v>2.8</v>
      </c>
      <c r="AH79" s="46">
        <f>Weather!O199</f>
        <v>146.30000000000001</v>
      </c>
      <c r="AI79" s="46">
        <f>Weather!P199</f>
        <v>0</v>
      </c>
      <c r="AJ79" s="46">
        <f>Weather!Q199</f>
        <v>203.5</v>
      </c>
      <c r="AK79" s="46">
        <f>Weather!R199</f>
        <v>0</v>
      </c>
      <c r="AL79" s="46">
        <f>Weather!S199</f>
        <v>263.5</v>
      </c>
      <c r="AM79" s="43">
        <f>Economic!C79</f>
        <v>732426.3</v>
      </c>
      <c r="AN79" s="43">
        <f>Economic!D79</f>
        <v>7158.5</v>
      </c>
      <c r="AO79" s="43">
        <f>Economic!E79</f>
        <v>7203.7</v>
      </c>
      <c r="AP79" s="43">
        <f>Economic!F79</f>
        <v>110</v>
      </c>
      <c r="AQ79" s="43">
        <f>Economic!G79</f>
        <v>110</v>
      </c>
      <c r="AR79" s="47">
        <f t="shared" si="49"/>
        <v>30</v>
      </c>
      <c r="AS79" s="47">
        <v>22</v>
      </c>
      <c r="AT79" s="47">
        <f t="shared" si="51"/>
        <v>78</v>
      </c>
      <c r="AU79" s="47">
        <f t="shared" si="74"/>
        <v>0</v>
      </c>
      <c r="AV79" s="47">
        <f t="shared" si="74"/>
        <v>0</v>
      </c>
      <c r="AW79" s="47">
        <f t="shared" si="74"/>
        <v>0</v>
      </c>
      <c r="AX79" s="47">
        <f t="shared" si="74"/>
        <v>0</v>
      </c>
      <c r="AY79" s="47">
        <f t="shared" si="74"/>
        <v>0</v>
      </c>
      <c r="AZ79" s="47">
        <f t="shared" si="74"/>
        <v>1</v>
      </c>
      <c r="BA79" s="47">
        <f t="shared" si="74"/>
        <v>0</v>
      </c>
      <c r="BB79" s="47">
        <f t="shared" si="74"/>
        <v>0</v>
      </c>
      <c r="BC79" s="47">
        <f t="shared" si="74"/>
        <v>0</v>
      </c>
      <c r="BD79" s="47">
        <f t="shared" si="74"/>
        <v>0</v>
      </c>
      <c r="BE79" s="47">
        <f t="shared" si="74"/>
        <v>0</v>
      </c>
      <c r="BF79" s="47">
        <f t="shared" si="74"/>
        <v>0</v>
      </c>
      <c r="BG79" s="47">
        <f t="shared" si="74"/>
        <v>0</v>
      </c>
      <c r="BH79" s="47">
        <f t="shared" si="74"/>
        <v>0</v>
      </c>
      <c r="BI79" s="47">
        <f t="shared" si="52"/>
        <v>0</v>
      </c>
      <c r="BJ79" s="48">
        <v>0</v>
      </c>
      <c r="BK79" s="48">
        <v>0</v>
      </c>
      <c r="BL79" s="48">
        <f t="shared" si="73"/>
        <v>0</v>
      </c>
      <c r="BM79" s="47">
        <f t="shared" si="75"/>
        <v>0</v>
      </c>
      <c r="BN79" s="53">
        <f t="shared" si="54"/>
        <v>0</v>
      </c>
      <c r="BO79" s="53">
        <f t="shared" si="55"/>
        <v>0</v>
      </c>
      <c r="BP79" s="53">
        <f t="shared" si="56"/>
        <v>0</v>
      </c>
      <c r="BQ79" s="53">
        <f t="shared" si="57"/>
        <v>0</v>
      </c>
      <c r="BR79" s="53">
        <f t="shared" si="58"/>
        <v>0</v>
      </c>
      <c r="BS79" s="53">
        <f t="shared" si="59"/>
        <v>0</v>
      </c>
      <c r="BT79" s="53">
        <f t="shared" si="60"/>
        <v>0</v>
      </c>
      <c r="BU79" s="53">
        <f t="shared" si="61"/>
        <v>0</v>
      </c>
      <c r="BV79" s="53">
        <f t="shared" si="62"/>
        <v>0</v>
      </c>
      <c r="BW79" s="53">
        <f t="shared" si="63"/>
        <v>0</v>
      </c>
      <c r="BX79" s="53">
        <f t="shared" si="64"/>
        <v>0</v>
      </c>
      <c r="BY79" s="53">
        <f t="shared" si="65"/>
        <v>0</v>
      </c>
      <c r="BZ79" s="53">
        <f t="shared" si="66"/>
        <v>0</v>
      </c>
      <c r="CA79" s="53">
        <f t="shared" si="67"/>
        <v>0</v>
      </c>
      <c r="CB79" s="53">
        <f t="shared" si="68"/>
        <v>0</v>
      </c>
      <c r="CC79" s="53">
        <f t="shared" si="69"/>
        <v>0</v>
      </c>
      <c r="CD79" s="8">
        <f t="shared" si="70"/>
        <v>617.67014828647086</v>
      </c>
      <c r="CE79" s="8">
        <f t="shared" si="71"/>
        <v>2226.3582928258679</v>
      </c>
      <c r="CF79" s="8">
        <f t="shared" si="72"/>
        <v>86627.984147251293</v>
      </c>
    </row>
    <row r="80" spans="1:84">
      <c r="A80" s="7">
        <f>'Monthly Data'!A80</f>
        <v>43282</v>
      </c>
      <c r="B80" s="6">
        <f>'Monthly Data'!B80</f>
        <v>2018</v>
      </c>
      <c r="C80" s="6">
        <f t="shared" si="50"/>
        <v>7</v>
      </c>
      <c r="D80" s="8">
        <f>'Monthly Data'!D80</f>
        <v>10787521.686098501</v>
      </c>
      <c r="E80" s="1">
        <f>'Monthly Data'!E80</f>
        <v>575271.53179928812</v>
      </c>
      <c r="F80" s="8">
        <f>'Monthly Data'!F80</f>
        <v>11362793.21789779</v>
      </c>
      <c r="G80" s="8">
        <f>'Monthly Data'!G80</f>
        <v>4072890.0386634632</v>
      </c>
      <c r="H80" s="1">
        <f>'Monthly Data'!H80</f>
        <v>263226.83378558612</v>
      </c>
      <c r="I80" s="8">
        <f>'Monthly Data'!I80</f>
        <v>4336116.8724490497</v>
      </c>
      <c r="J80" s="8">
        <f>'Monthly Data'!J80</f>
        <v>11306706.940156406</v>
      </c>
      <c r="K80" s="1">
        <f>'Monthly Data'!K80</f>
        <v>481211.6928081137</v>
      </c>
      <c r="L80" s="8">
        <f>'Monthly Data'!L80</f>
        <v>11787918.63296452</v>
      </c>
      <c r="M80" s="8">
        <f>'Monthly Data'!M80</f>
        <v>76150.200475889287</v>
      </c>
      <c r="N80" s="8">
        <f>'Monthly Data'!N80</f>
        <v>31700.8975590236</v>
      </c>
      <c r="O80" s="5">
        <f>'Monthly Data'!O80</f>
        <v>26759.030000000006</v>
      </c>
      <c r="P80" s="5">
        <f>'Monthly Data'!P80</f>
        <v>280.41999999999996</v>
      </c>
      <c r="Q80" s="8">
        <f>'Monthly Data'!Q80</f>
        <v>15420</v>
      </c>
      <c r="R80" s="8">
        <f>'Monthly Data'!R80</f>
        <v>1753</v>
      </c>
      <c r="S80" s="8">
        <f>'Monthly Data'!S80</f>
        <v>128</v>
      </c>
      <c r="T80" s="8">
        <f>'Monthly Data'!T80</f>
        <v>3136</v>
      </c>
      <c r="U80" s="8">
        <f>'Monthly Data'!U80</f>
        <v>30</v>
      </c>
      <c r="V80" s="45">
        <f>Weather!C200</f>
        <v>21.37096774193548</v>
      </c>
      <c r="W80" s="46">
        <f>Weather!D200</f>
        <v>49.9</v>
      </c>
      <c r="X80" s="46">
        <f>Weather!E200</f>
        <v>30.4</v>
      </c>
      <c r="Y80" s="46">
        <f>Weather!F200</f>
        <v>20</v>
      </c>
      <c r="Z80" s="46">
        <f>Weather!G200</f>
        <v>62.5</v>
      </c>
      <c r="AA80" s="46">
        <f>Weather!H200</f>
        <v>4.8</v>
      </c>
      <c r="AB80" s="46">
        <f>Weather!I200</f>
        <v>109.3</v>
      </c>
      <c r="AC80" s="46">
        <f>Weather!J200</f>
        <v>0</v>
      </c>
      <c r="AD80" s="46">
        <f>Weather!K200</f>
        <v>166.5</v>
      </c>
      <c r="AE80" s="46">
        <f>Weather!L200</f>
        <v>0</v>
      </c>
      <c r="AF80" s="46">
        <f>Weather!M200</f>
        <v>228.5</v>
      </c>
      <c r="AG80" s="46">
        <f>Weather!N200</f>
        <v>0</v>
      </c>
      <c r="AH80" s="46">
        <f>Weather!O200</f>
        <v>290.5</v>
      </c>
      <c r="AI80" s="46">
        <f>Weather!P200</f>
        <v>0</v>
      </c>
      <c r="AJ80" s="46">
        <f>Weather!Q200</f>
        <v>352.5</v>
      </c>
      <c r="AK80" s="46">
        <f>Weather!R200</f>
        <v>0</v>
      </c>
      <c r="AL80" s="46">
        <f>Weather!S200</f>
        <v>414.5</v>
      </c>
      <c r="AM80" s="43">
        <f>Economic!C80</f>
        <v>732426.3</v>
      </c>
      <c r="AN80" s="43">
        <f>Economic!D80</f>
        <v>7189.2</v>
      </c>
      <c r="AO80" s="43">
        <f>Economic!E80</f>
        <v>7285.2</v>
      </c>
      <c r="AP80" s="43">
        <f>Economic!F80</f>
        <v>111.8</v>
      </c>
      <c r="AQ80" s="43">
        <f>Economic!G80</f>
        <v>114</v>
      </c>
      <c r="AR80" s="47">
        <f t="shared" si="49"/>
        <v>31</v>
      </c>
      <c r="AS80" s="47">
        <v>20</v>
      </c>
      <c r="AT80" s="47">
        <f t="shared" si="51"/>
        <v>79</v>
      </c>
      <c r="AU80" s="47">
        <f t="shared" si="74"/>
        <v>0</v>
      </c>
      <c r="AV80" s="47">
        <f t="shared" si="74"/>
        <v>0</v>
      </c>
      <c r="AW80" s="47">
        <f t="shared" si="74"/>
        <v>0</v>
      </c>
      <c r="AX80" s="47">
        <f t="shared" si="74"/>
        <v>0</v>
      </c>
      <c r="AY80" s="47">
        <f t="shared" si="74"/>
        <v>0</v>
      </c>
      <c r="AZ80" s="47">
        <f t="shared" si="74"/>
        <v>0</v>
      </c>
      <c r="BA80" s="47">
        <f t="shared" si="74"/>
        <v>1</v>
      </c>
      <c r="BB80" s="47">
        <f t="shared" si="74"/>
        <v>0</v>
      </c>
      <c r="BC80" s="47">
        <f t="shared" si="74"/>
        <v>0</v>
      </c>
      <c r="BD80" s="47">
        <f t="shared" si="74"/>
        <v>0</v>
      </c>
      <c r="BE80" s="47">
        <f t="shared" si="74"/>
        <v>0</v>
      </c>
      <c r="BF80" s="47">
        <f t="shared" si="74"/>
        <v>0</v>
      </c>
      <c r="BG80" s="47">
        <f t="shared" si="74"/>
        <v>0</v>
      </c>
      <c r="BH80" s="47">
        <f t="shared" si="74"/>
        <v>0</v>
      </c>
      <c r="BI80" s="47">
        <f t="shared" si="52"/>
        <v>0</v>
      </c>
      <c r="BJ80" s="48">
        <v>0</v>
      </c>
      <c r="BK80" s="48">
        <v>0</v>
      </c>
      <c r="BL80" s="48">
        <f t="shared" si="73"/>
        <v>0</v>
      </c>
      <c r="BM80" s="47">
        <f t="shared" si="75"/>
        <v>0</v>
      </c>
      <c r="BN80" s="53">
        <f t="shared" si="54"/>
        <v>0</v>
      </c>
      <c r="BO80" s="53">
        <f t="shared" si="55"/>
        <v>0</v>
      </c>
      <c r="BP80" s="53">
        <f t="shared" si="56"/>
        <v>0</v>
      </c>
      <c r="BQ80" s="53">
        <f t="shared" si="57"/>
        <v>0</v>
      </c>
      <c r="BR80" s="53">
        <f t="shared" si="58"/>
        <v>0</v>
      </c>
      <c r="BS80" s="53">
        <f t="shared" si="59"/>
        <v>0</v>
      </c>
      <c r="BT80" s="53">
        <f t="shared" si="60"/>
        <v>0</v>
      </c>
      <c r="BU80" s="53">
        <f t="shared" si="61"/>
        <v>0</v>
      </c>
      <c r="BV80" s="53">
        <f t="shared" si="62"/>
        <v>0</v>
      </c>
      <c r="BW80" s="53">
        <f t="shared" si="63"/>
        <v>0</v>
      </c>
      <c r="BX80" s="53">
        <f t="shared" si="64"/>
        <v>0</v>
      </c>
      <c r="BY80" s="53">
        <f t="shared" si="65"/>
        <v>0</v>
      </c>
      <c r="BZ80" s="53">
        <f t="shared" si="66"/>
        <v>0</v>
      </c>
      <c r="CA80" s="53">
        <f t="shared" si="67"/>
        <v>0</v>
      </c>
      <c r="CB80" s="53">
        <f t="shared" si="68"/>
        <v>0</v>
      </c>
      <c r="CC80" s="53">
        <f t="shared" si="69"/>
        <v>0</v>
      </c>
      <c r="CD80" s="8">
        <f t="shared" si="70"/>
        <v>736.88671970802784</v>
      </c>
      <c r="CE80" s="8">
        <f t="shared" si="71"/>
        <v>2473.5407144603819</v>
      </c>
      <c r="CF80" s="8">
        <f t="shared" si="72"/>
        <v>92093.114320035311</v>
      </c>
    </row>
    <row r="81" spans="1:84">
      <c r="A81" s="7">
        <f>'Monthly Data'!A81</f>
        <v>43313</v>
      </c>
      <c r="B81" s="6">
        <f>'Monthly Data'!B81</f>
        <v>2018</v>
      </c>
      <c r="C81" s="6">
        <f t="shared" si="50"/>
        <v>8</v>
      </c>
      <c r="D81" s="8">
        <f>'Monthly Data'!D81</f>
        <v>10868070.741826534</v>
      </c>
      <c r="E81" s="1">
        <f>'Monthly Data'!E81</f>
        <v>575271.53179928812</v>
      </c>
      <c r="F81" s="8">
        <f>'Monthly Data'!F81</f>
        <v>11443342.273625823</v>
      </c>
      <c r="G81" s="8">
        <f>'Monthly Data'!G81</f>
        <v>4102194.03058438</v>
      </c>
      <c r="H81" s="1">
        <f>'Monthly Data'!H81</f>
        <v>263226.83378558612</v>
      </c>
      <c r="I81" s="8">
        <f>'Monthly Data'!I81</f>
        <v>4365420.8643699661</v>
      </c>
      <c r="J81" s="8">
        <f>'Monthly Data'!J81</f>
        <v>11053462.956202352</v>
      </c>
      <c r="K81" s="1">
        <f>'Monthly Data'!K81</f>
        <v>481211.6928081137</v>
      </c>
      <c r="L81" s="8">
        <f>'Monthly Data'!L81</f>
        <v>11534674.649010466</v>
      </c>
      <c r="M81" s="8">
        <f>'Monthly Data'!M81</f>
        <v>86087.930182825832</v>
      </c>
      <c r="N81" s="8">
        <f>'Monthly Data'!N81</f>
        <v>34194.057422969192</v>
      </c>
      <c r="O81" s="5">
        <f>'Monthly Data'!O81</f>
        <v>27108.510000000006</v>
      </c>
      <c r="P81" s="5">
        <f>'Monthly Data'!P81</f>
        <v>280.41999999999996</v>
      </c>
      <c r="Q81" s="8">
        <f>'Monthly Data'!Q81</f>
        <v>15379</v>
      </c>
      <c r="R81" s="8">
        <f>'Monthly Data'!R81</f>
        <v>1749</v>
      </c>
      <c r="S81" s="8">
        <f>'Monthly Data'!S81</f>
        <v>126</v>
      </c>
      <c r="T81" s="8">
        <f>'Monthly Data'!T81</f>
        <v>3136</v>
      </c>
      <c r="U81" s="8">
        <f>'Monthly Data'!U81</f>
        <v>30</v>
      </c>
      <c r="V81" s="45">
        <f>Weather!C201</f>
        <v>21.819354838709678</v>
      </c>
      <c r="W81" s="46">
        <f>Weather!D201</f>
        <v>30.8</v>
      </c>
      <c r="X81" s="46">
        <f>Weather!E201</f>
        <v>25.2</v>
      </c>
      <c r="Y81" s="46">
        <f>Weather!F201</f>
        <v>10</v>
      </c>
      <c r="Z81" s="46">
        <f>Weather!G201</f>
        <v>66.400000000000006</v>
      </c>
      <c r="AA81" s="46">
        <f>Weather!H201</f>
        <v>3.7</v>
      </c>
      <c r="AB81" s="46">
        <f>Weather!I201</f>
        <v>122.1</v>
      </c>
      <c r="AC81" s="46">
        <f>Weather!J201</f>
        <v>1.1000000000000001</v>
      </c>
      <c r="AD81" s="46">
        <f>Weather!K201</f>
        <v>181.5</v>
      </c>
      <c r="AE81" s="46">
        <f>Weather!L201</f>
        <v>0</v>
      </c>
      <c r="AF81" s="46">
        <f>Weather!M201</f>
        <v>242.4</v>
      </c>
      <c r="AG81" s="46">
        <f>Weather!N201</f>
        <v>0</v>
      </c>
      <c r="AH81" s="46">
        <f>Weather!O201</f>
        <v>304.39999999999998</v>
      </c>
      <c r="AI81" s="46">
        <f>Weather!P201</f>
        <v>0</v>
      </c>
      <c r="AJ81" s="46">
        <f>Weather!Q201</f>
        <v>366.4</v>
      </c>
      <c r="AK81" s="46">
        <f>Weather!R201</f>
        <v>0</v>
      </c>
      <c r="AL81" s="46">
        <f>Weather!S201</f>
        <v>428.4</v>
      </c>
      <c r="AM81" s="43">
        <f>Economic!C81</f>
        <v>732426.3</v>
      </c>
      <c r="AN81" s="43">
        <f>Economic!D81</f>
        <v>7191.8</v>
      </c>
      <c r="AO81" s="43">
        <f>Economic!E81</f>
        <v>7290.7</v>
      </c>
      <c r="AP81" s="43">
        <f>Economic!F81</f>
        <v>114</v>
      </c>
      <c r="AQ81" s="43">
        <f>Economic!G81</f>
        <v>117</v>
      </c>
      <c r="AR81" s="47">
        <f t="shared" si="49"/>
        <v>31</v>
      </c>
      <c r="AS81" s="47">
        <v>22</v>
      </c>
      <c r="AT81" s="47">
        <f t="shared" si="51"/>
        <v>80</v>
      </c>
      <c r="AU81" s="47">
        <f t="shared" si="74"/>
        <v>0</v>
      </c>
      <c r="AV81" s="47">
        <f t="shared" si="74"/>
        <v>0</v>
      </c>
      <c r="AW81" s="47">
        <f t="shared" si="74"/>
        <v>0</v>
      </c>
      <c r="AX81" s="47">
        <f t="shared" si="74"/>
        <v>0</v>
      </c>
      <c r="AY81" s="47">
        <f t="shared" si="74"/>
        <v>0</v>
      </c>
      <c r="AZ81" s="47">
        <f t="shared" si="74"/>
        <v>0</v>
      </c>
      <c r="BA81" s="47">
        <f t="shared" si="74"/>
        <v>0</v>
      </c>
      <c r="BB81" s="47">
        <f t="shared" si="74"/>
        <v>1</v>
      </c>
      <c r="BC81" s="47">
        <f t="shared" si="74"/>
        <v>0</v>
      </c>
      <c r="BD81" s="47">
        <f t="shared" si="74"/>
        <v>0</v>
      </c>
      <c r="BE81" s="47">
        <f t="shared" si="74"/>
        <v>0</v>
      </c>
      <c r="BF81" s="47">
        <f t="shared" si="74"/>
        <v>0</v>
      </c>
      <c r="BG81" s="47">
        <f t="shared" si="74"/>
        <v>0</v>
      </c>
      <c r="BH81" s="47">
        <f t="shared" si="74"/>
        <v>0</v>
      </c>
      <c r="BI81" s="47">
        <f t="shared" si="52"/>
        <v>0</v>
      </c>
      <c r="BJ81" s="48">
        <v>0</v>
      </c>
      <c r="BK81" s="48">
        <v>0</v>
      </c>
      <c r="BL81" s="48">
        <f t="shared" si="73"/>
        <v>0</v>
      </c>
      <c r="BM81" s="47">
        <f t="shared" si="75"/>
        <v>0</v>
      </c>
      <c r="BN81" s="53">
        <f t="shared" si="54"/>
        <v>0</v>
      </c>
      <c r="BO81" s="53">
        <f t="shared" si="55"/>
        <v>0</v>
      </c>
      <c r="BP81" s="53">
        <f t="shared" si="56"/>
        <v>0</v>
      </c>
      <c r="BQ81" s="53">
        <f t="shared" si="57"/>
        <v>0</v>
      </c>
      <c r="BR81" s="53">
        <f t="shared" si="58"/>
        <v>0</v>
      </c>
      <c r="BS81" s="53">
        <f t="shared" si="59"/>
        <v>0</v>
      </c>
      <c r="BT81" s="53">
        <f t="shared" si="60"/>
        <v>0</v>
      </c>
      <c r="BU81" s="53">
        <f t="shared" si="61"/>
        <v>0</v>
      </c>
      <c r="BV81" s="53">
        <f t="shared" si="62"/>
        <v>0</v>
      </c>
      <c r="BW81" s="53">
        <f t="shared" si="63"/>
        <v>0</v>
      </c>
      <c r="BX81" s="53">
        <f t="shared" si="64"/>
        <v>0</v>
      </c>
      <c r="BY81" s="53">
        <f t="shared" si="65"/>
        <v>0</v>
      </c>
      <c r="BZ81" s="53">
        <f t="shared" si="66"/>
        <v>0</v>
      </c>
      <c r="CA81" s="53">
        <f t="shared" si="67"/>
        <v>0</v>
      </c>
      <c r="CB81" s="53">
        <f t="shared" si="68"/>
        <v>0</v>
      </c>
      <c r="CC81" s="53">
        <f t="shared" si="69"/>
        <v>0</v>
      </c>
      <c r="CD81" s="8">
        <f t="shared" si="70"/>
        <v>744.08884021235599</v>
      </c>
      <c r="CE81" s="8">
        <f t="shared" si="71"/>
        <v>2495.9524667638457</v>
      </c>
      <c r="CF81" s="8">
        <f t="shared" si="72"/>
        <v>91545.036896908467</v>
      </c>
    </row>
    <row r="82" spans="1:84">
      <c r="A82" s="7">
        <f>'Monthly Data'!A82</f>
        <v>43344</v>
      </c>
      <c r="B82" s="6">
        <f>'Monthly Data'!B82</f>
        <v>2018</v>
      </c>
      <c r="C82" s="6">
        <f t="shared" si="50"/>
        <v>9</v>
      </c>
      <c r="D82" s="8">
        <f>'Monthly Data'!D82</f>
        <v>8995048.0537879672</v>
      </c>
      <c r="E82" s="1">
        <f>'Monthly Data'!E82</f>
        <v>575271.53179928812</v>
      </c>
      <c r="F82" s="8">
        <f>'Monthly Data'!F82</f>
        <v>9570319.5855872557</v>
      </c>
      <c r="G82" s="8">
        <f>'Monthly Data'!G82</f>
        <v>3619310.0644468875</v>
      </c>
      <c r="H82" s="1">
        <f>'Monthly Data'!H82</f>
        <v>263226.83378558612</v>
      </c>
      <c r="I82" s="8">
        <f>'Monthly Data'!I82</f>
        <v>3882536.8982324735</v>
      </c>
      <c r="J82" s="8">
        <f>'Monthly Data'!J82</f>
        <v>10606362.106846716</v>
      </c>
      <c r="K82" s="1">
        <f>'Monthly Data'!K82</f>
        <v>481211.6928081137</v>
      </c>
      <c r="L82" s="8">
        <f>'Monthly Data'!L82</f>
        <v>11087573.79965483</v>
      </c>
      <c r="M82" s="8">
        <f>'Monthly Data'!M82</f>
        <v>95720.143228617599</v>
      </c>
      <c r="N82" s="8">
        <f>'Monthly Data'!N82</f>
        <v>33715.364279044959</v>
      </c>
      <c r="O82" s="5">
        <f>'Monthly Data'!O82</f>
        <v>26728.809999999994</v>
      </c>
      <c r="P82" s="5">
        <f>'Monthly Data'!P82</f>
        <v>280.41999999999996</v>
      </c>
      <c r="Q82" s="8">
        <f>'Monthly Data'!Q82</f>
        <v>15441</v>
      </c>
      <c r="R82" s="8">
        <f>'Monthly Data'!R82</f>
        <v>1762</v>
      </c>
      <c r="S82" s="8">
        <f>'Monthly Data'!S82</f>
        <v>125</v>
      </c>
      <c r="T82" s="8">
        <f>'Monthly Data'!T82</f>
        <v>3136</v>
      </c>
      <c r="U82" s="8">
        <f>'Monthly Data'!U82</f>
        <v>30</v>
      </c>
      <c r="V82" s="45">
        <f>Weather!C202</f>
        <v>17.296666666666667</v>
      </c>
      <c r="W82" s="46">
        <f>Weather!D202</f>
        <v>154.5</v>
      </c>
      <c r="X82" s="46">
        <f>Weather!E202</f>
        <v>13.4</v>
      </c>
      <c r="Y82" s="46">
        <f>Weather!F202</f>
        <v>112.3</v>
      </c>
      <c r="Z82" s="46">
        <f>Weather!G202</f>
        <v>31.2</v>
      </c>
      <c r="AA82" s="46">
        <f>Weather!H202</f>
        <v>75.900000000000006</v>
      </c>
      <c r="AB82" s="46">
        <f>Weather!I202</f>
        <v>54.8</v>
      </c>
      <c r="AC82" s="46">
        <f>Weather!J202</f>
        <v>43.7</v>
      </c>
      <c r="AD82" s="46">
        <f>Weather!K202</f>
        <v>82.6</v>
      </c>
      <c r="AE82" s="46">
        <f>Weather!L202</f>
        <v>20</v>
      </c>
      <c r="AF82" s="46">
        <f>Weather!M202</f>
        <v>118.9</v>
      </c>
      <c r="AG82" s="46">
        <f>Weather!N202</f>
        <v>6.6</v>
      </c>
      <c r="AH82" s="46">
        <f>Weather!O202</f>
        <v>165.5</v>
      </c>
      <c r="AI82" s="46">
        <f>Weather!P202</f>
        <v>1.2</v>
      </c>
      <c r="AJ82" s="46">
        <f>Weather!Q202</f>
        <v>220.1</v>
      </c>
      <c r="AK82" s="46">
        <f>Weather!R202</f>
        <v>0</v>
      </c>
      <c r="AL82" s="46">
        <f>Weather!S202</f>
        <v>278.89999999999998</v>
      </c>
      <c r="AM82" s="43">
        <f>Economic!C82</f>
        <v>732426.3</v>
      </c>
      <c r="AN82" s="43">
        <f>Economic!D82</f>
        <v>7195.6</v>
      </c>
      <c r="AO82" s="43">
        <f>Economic!E82</f>
        <v>7249.1</v>
      </c>
      <c r="AP82" s="43">
        <f>Economic!F82</f>
        <v>116.1</v>
      </c>
      <c r="AQ82" s="43">
        <f>Economic!G82</f>
        <v>118.6</v>
      </c>
      <c r="AR82" s="47">
        <f t="shared" si="49"/>
        <v>30</v>
      </c>
      <c r="AS82" s="47">
        <v>21</v>
      </c>
      <c r="AT82" s="47">
        <f t="shared" si="51"/>
        <v>81</v>
      </c>
      <c r="AU82" s="47">
        <f t="shared" si="74"/>
        <v>0</v>
      </c>
      <c r="AV82" s="47">
        <f t="shared" si="74"/>
        <v>0</v>
      </c>
      <c r="AW82" s="47">
        <f t="shared" si="74"/>
        <v>0</v>
      </c>
      <c r="AX82" s="47">
        <f t="shared" si="74"/>
        <v>0</v>
      </c>
      <c r="AY82" s="47">
        <f t="shared" si="74"/>
        <v>0</v>
      </c>
      <c r="AZ82" s="47">
        <f t="shared" si="74"/>
        <v>0</v>
      </c>
      <c r="BA82" s="47">
        <f t="shared" si="74"/>
        <v>0</v>
      </c>
      <c r="BB82" s="47">
        <f t="shared" si="74"/>
        <v>0</v>
      </c>
      <c r="BC82" s="47">
        <f t="shared" si="74"/>
        <v>1</v>
      </c>
      <c r="BD82" s="47">
        <f t="shared" si="74"/>
        <v>0</v>
      </c>
      <c r="BE82" s="47">
        <f t="shared" si="74"/>
        <v>0</v>
      </c>
      <c r="BF82" s="47">
        <f t="shared" si="74"/>
        <v>0</v>
      </c>
      <c r="BG82" s="47">
        <f t="shared" si="74"/>
        <v>0</v>
      </c>
      <c r="BH82" s="47">
        <f t="shared" si="74"/>
        <v>1</v>
      </c>
      <c r="BI82" s="47">
        <f t="shared" si="52"/>
        <v>1</v>
      </c>
      <c r="BJ82" s="48">
        <v>0</v>
      </c>
      <c r="BK82" s="48">
        <v>0</v>
      </c>
      <c r="BL82" s="48">
        <f t="shared" si="73"/>
        <v>0</v>
      </c>
      <c r="BM82" s="47">
        <f t="shared" si="75"/>
        <v>0</v>
      </c>
      <c r="BN82" s="53">
        <f t="shared" si="54"/>
        <v>0</v>
      </c>
      <c r="BO82" s="53">
        <f t="shared" si="55"/>
        <v>0</v>
      </c>
      <c r="BP82" s="53">
        <f t="shared" si="56"/>
        <v>0</v>
      </c>
      <c r="BQ82" s="53">
        <f t="shared" si="57"/>
        <v>0</v>
      </c>
      <c r="BR82" s="53">
        <f t="shared" si="58"/>
        <v>0</v>
      </c>
      <c r="BS82" s="53">
        <f t="shared" si="59"/>
        <v>0</v>
      </c>
      <c r="BT82" s="53">
        <f t="shared" si="60"/>
        <v>0</v>
      </c>
      <c r="BU82" s="53">
        <f t="shared" si="61"/>
        <v>0</v>
      </c>
      <c r="BV82" s="53">
        <f t="shared" si="62"/>
        <v>0</v>
      </c>
      <c r="BW82" s="53">
        <f t="shared" si="63"/>
        <v>0</v>
      </c>
      <c r="BX82" s="53">
        <f t="shared" si="64"/>
        <v>0</v>
      </c>
      <c r="BY82" s="53">
        <f t="shared" si="65"/>
        <v>0</v>
      </c>
      <c r="BZ82" s="53">
        <f t="shared" si="66"/>
        <v>0</v>
      </c>
      <c r="CA82" s="53">
        <f t="shared" si="67"/>
        <v>0</v>
      </c>
      <c r="CB82" s="53">
        <f t="shared" si="68"/>
        <v>0</v>
      </c>
      <c r="CC82" s="53">
        <f t="shared" si="69"/>
        <v>0</v>
      </c>
      <c r="CD82" s="8">
        <f t="shared" si="70"/>
        <v>619.79920896232466</v>
      </c>
      <c r="CE82" s="8">
        <f t="shared" si="71"/>
        <v>2203.4829161364778</v>
      </c>
      <c r="CF82" s="8">
        <f t="shared" si="72"/>
        <v>88700.590397238644</v>
      </c>
    </row>
    <row r="83" spans="1:84">
      <c r="A83" s="7">
        <f>'Monthly Data'!A83</f>
        <v>43374</v>
      </c>
      <c r="B83" s="6">
        <f>'Monthly Data'!B83</f>
        <v>2018</v>
      </c>
      <c r="C83" s="6">
        <f t="shared" si="50"/>
        <v>10</v>
      </c>
      <c r="D83" s="8">
        <f>'Monthly Data'!D83</f>
        <v>9113753.8751770835</v>
      </c>
      <c r="E83" s="1">
        <f>'Monthly Data'!E83</f>
        <v>575271.53179928812</v>
      </c>
      <c r="F83" s="8">
        <f>'Monthly Data'!F83</f>
        <v>9689025.406976372</v>
      </c>
      <c r="G83" s="8">
        <f>'Monthly Data'!G83</f>
        <v>3571668.7528973552</v>
      </c>
      <c r="H83" s="1">
        <f>'Monthly Data'!H83</f>
        <v>263226.83378558612</v>
      </c>
      <c r="I83" s="8">
        <f>'Monthly Data'!I83</f>
        <v>3834895.5866829413</v>
      </c>
      <c r="J83" s="8">
        <f>'Monthly Data'!J83</f>
        <v>10844362.25206094</v>
      </c>
      <c r="K83" s="1">
        <f>'Monthly Data'!K83</f>
        <v>481211.6928081137</v>
      </c>
      <c r="L83" s="8">
        <f>'Monthly Data'!L83</f>
        <v>11325573.944869054</v>
      </c>
      <c r="M83" s="8">
        <f>'Monthly Data'!M83</f>
        <v>112274.10122185075</v>
      </c>
      <c r="N83" s="8">
        <f>'Monthly Data'!N83</f>
        <v>31672.809457116178</v>
      </c>
      <c r="O83" s="5">
        <f>'Monthly Data'!O83</f>
        <v>28215.660000000011</v>
      </c>
      <c r="P83" s="5">
        <f>'Monthly Data'!P83</f>
        <v>280.41999999999996</v>
      </c>
      <c r="Q83" s="8">
        <f>'Monthly Data'!Q83</f>
        <v>15434</v>
      </c>
      <c r="R83" s="8">
        <f>'Monthly Data'!R83</f>
        <v>1757</v>
      </c>
      <c r="S83" s="8">
        <f>'Monthly Data'!S83</f>
        <v>127</v>
      </c>
      <c r="T83" s="8">
        <f>'Monthly Data'!T83</f>
        <v>3136</v>
      </c>
      <c r="U83" s="8">
        <f>'Monthly Data'!U83</f>
        <v>30</v>
      </c>
      <c r="V83" s="45">
        <f>Weather!C203</f>
        <v>8.9532258064516146</v>
      </c>
      <c r="W83" s="46">
        <f>Weather!D203</f>
        <v>409.1</v>
      </c>
      <c r="X83" s="46">
        <f>Weather!E203</f>
        <v>4.5999999999999996</v>
      </c>
      <c r="Y83" s="46">
        <f>Weather!F203</f>
        <v>351.1</v>
      </c>
      <c r="Z83" s="46">
        <f>Weather!G203</f>
        <v>8.6</v>
      </c>
      <c r="AA83" s="46">
        <f>Weather!H203</f>
        <v>293.10000000000002</v>
      </c>
      <c r="AB83" s="46">
        <f>Weather!I203</f>
        <v>12.6</v>
      </c>
      <c r="AC83" s="46">
        <f>Weather!J203</f>
        <v>235.6</v>
      </c>
      <c r="AD83" s="46">
        <f>Weather!K203</f>
        <v>17.100000000000001</v>
      </c>
      <c r="AE83" s="46">
        <f>Weather!L203</f>
        <v>182.4</v>
      </c>
      <c r="AF83" s="46">
        <f>Weather!M203</f>
        <v>25.9</v>
      </c>
      <c r="AG83" s="46">
        <f>Weather!N203</f>
        <v>135.1</v>
      </c>
      <c r="AH83" s="46">
        <f>Weather!O203</f>
        <v>40.6</v>
      </c>
      <c r="AI83" s="46">
        <f>Weather!P203</f>
        <v>90.6</v>
      </c>
      <c r="AJ83" s="46">
        <f>Weather!Q203</f>
        <v>58.1</v>
      </c>
      <c r="AK83" s="46">
        <f>Weather!R203</f>
        <v>52</v>
      </c>
      <c r="AL83" s="46">
        <f>Weather!S203</f>
        <v>81.5</v>
      </c>
      <c r="AM83" s="43">
        <f>Economic!C83</f>
        <v>732426.3</v>
      </c>
      <c r="AN83" s="43">
        <f>Economic!D83</f>
        <v>7181.8</v>
      </c>
      <c r="AO83" s="43">
        <f>Economic!E83</f>
        <v>7206.5</v>
      </c>
      <c r="AP83" s="43">
        <f>Economic!F83</f>
        <v>116</v>
      </c>
      <c r="AQ83" s="43">
        <f>Economic!G83</f>
        <v>118.5</v>
      </c>
      <c r="AR83" s="47">
        <f t="shared" si="49"/>
        <v>31</v>
      </c>
      <c r="AS83" s="47">
        <v>20</v>
      </c>
      <c r="AT83" s="47">
        <f t="shared" si="51"/>
        <v>82</v>
      </c>
      <c r="AU83" s="47">
        <f t="shared" si="74"/>
        <v>0</v>
      </c>
      <c r="AV83" s="47">
        <f t="shared" si="74"/>
        <v>0</v>
      </c>
      <c r="AW83" s="47">
        <f t="shared" si="74"/>
        <v>0</v>
      </c>
      <c r="AX83" s="47">
        <f t="shared" si="74"/>
        <v>0</v>
      </c>
      <c r="AY83" s="47">
        <f t="shared" si="74"/>
        <v>0</v>
      </c>
      <c r="AZ83" s="47">
        <f t="shared" si="74"/>
        <v>0</v>
      </c>
      <c r="BA83" s="47">
        <f t="shared" si="74"/>
        <v>0</v>
      </c>
      <c r="BB83" s="47">
        <f t="shared" si="74"/>
        <v>0</v>
      </c>
      <c r="BC83" s="47">
        <f t="shared" si="74"/>
        <v>0</v>
      </c>
      <c r="BD83" s="47">
        <f t="shared" si="74"/>
        <v>1</v>
      </c>
      <c r="BE83" s="47">
        <f t="shared" si="74"/>
        <v>0</v>
      </c>
      <c r="BF83" s="47">
        <f t="shared" si="74"/>
        <v>0</v>
      </c>
      <c r="BG83" s="47">
        <f t="shared" si="74"/>
        <v>0</v>
      </c>
      <c r="BH83" s="47">
        <f t="shared" si="74"/>
        <v>1</v>
      </c>
      <c r="BI83" s="47">
        <f t="shared" si="52"/>
        <v>1</v>
      </c>
      <c r="BJ83" s="48">
        <v>0</v>
      </c>
      <c r="BK83" s="48">
        <v>0</v>
      </c>
      <c r="BL83" s="48">
        <f t="shared" si="73"/>
        <v>0</v>
      </c>
      <c r="BM83" s="47">
        <f t="shared" si="75"/>
        <v>0</v>
      </c>
      <c r="BN83" s="53">
        <f t="shared" si="54"/>
        <v>0</v>
      </c>
      <c r="BO83" s="53">
        <f t="shared" si="55"/>
        <v>0</v>
      </c>
      <c r="BP83" s="53">
        <f t="shared" si="56"/>
        <v>0</v>
      </c>
      <c r="BQ83" s="53">
        <f t="shared" si="57"/>
        <v>0</v>
      </c>
      <c r="BR83" s="53">
        <f t="shared" si="58"/>
        <v>0</v>
      </c>
      <c r="BS83" s="53">
        <f t="shared" si="59"/>
        <v>0</v>
      </c>
      <c r="BT83" s="53">
        <f t="shared" si="60"/>
        <v>0</v>
      </c>
      <c r="BU83" s="53">
        <f t="shared" si="61"/>
        <v>0</v>
      </c>
      <c r="BV83" s="53">
        <f t="shared" si="62"/>
        <v>0</v>
      </c>
      <c r="BW83" s="53">
        <f t="shared" si="63"/>
        <v>0</v>
      </c>
      <c r="BX83" s="53">
        <f t="shared" si="64"/>
        <v>0</v>
      </c>
      <c r="BY83" s="53">
        <f t="shared" si="65"/>
        <v>0</v>
      </c>
      <c r="BZ83" s="53">
        <f t="shared" si="66"/>
        <v>0</v>
      </c>
      <c r="CA83" s="53">
        <f t="shared" si="67"/>
        <v>0</v>
      </c>
      <c r="CB83" s="53">
        <f t="shared" si="68"/>
        <v>0</v>
      </c>
      <c r="CC83" s="53">
        <f t="shared" si="69"/>
        <v>0</v>
      </c>
      <c r="CD83" s="8">
        <f t="shared" si="70"/>
        <v>627.77150492266242</v>
      </c>
      <c r="CE83" s="8">
        <f t="shared" si="71"/>
        <v>2182.6383532629147</v>
      </c>
      <c r="CF83" s="8">
        <f t="shared" si="72"/>
        <v>89177.747597394133</v>
      </c>
    </row>
    <row r="84" spans="1:84">
      <c r="A84" s="7">
        <f>'Monthly Data'!A84</f>
        <v>43405</v>
      </c>
      <c r="B84" s="6">
        <f>'Monthly Data'!B84</f>
        <v>2018</v>
      </c>
      <c r="C84" s="6">
        <f t="shared" si="50"/>
        <v>11</v>
      </c>
      <c r="D84" s="8">
        <f>'Monthly Data'!D84</f>
        <v>10631086.823455051</v>
      </c>
      <c r="E84" s="1">
        <f>'Monthly Data'!E84</f>
        <v>575271.53179928812</v>
      </c>
      <c r="F84" s="8">
        <f>'Monthly Data'!F84</f>
        <v>11206358.355254339</v>
      </c>
      <c r="G84" s="8">
        <f>'Monthly Data'!G84</f>
        <v>3898850.2739227014</v>
      </c>
      <c r="H84" s="1">
        <f>'Monthly Data'!H84</f>
        <v>263226.83378558612</v>
      </c>
      <c r="I84" s="8">
        <f>'Monthly Data'!I84</f>
        <v>4162077.1077082874</v>
      </c>
      <c r="J84" s="8">
        <f>'Monthly Data'!J84</f>
        <v>10980433.192465497</v>
      </c>
      <c r="K84" s="1">
        <f>'Monthly Data'!K84</f>
        <v>481211.6928081137</v>
      </c>
      <c r="L84" s="8">
        <f>'Monthly Data'!L84</f>
        <v>11461644.885273611</v>
      </c>
      <c r="M84" s="8">
        <f>'Monthly Data'!M84</f>
        <v>120061.07462626629</v>
      </c>
      <c r="N84" s="8">
        <f>'Monthly Data'!N84</f>
        <v>33652.609643857548</v>
      </c>
      <c r="O84" s="5">
        <f>'Monthly Data'!O84</f>
        <v>26456.249999999996</v>
      </c>
      <c r="P84" s="5">
        <f>'Monthly Data'!P84</f>
        <v>280.41999999999996</v>
      </c>
      <c r="Q84" s="8">
        <f>'Monthly Data'!Q84</f>
        <v>15487</v>
      </c>
      <c r="R84" s="8">
        <f>'Monthly Data'!R84</f>
        <v>1764</v>
      </c>
      <c r="S84" s="8">
        <f>'Monthly Data'!S84</f>
        <v>124</v>
      </c>
      <c r="T84" s="8">
        <f>'Monthly Data'!T84</f>
        <v>3136</v>
      </c>
      <c r="U84" s="8">
        <f>'Monthly Data'!U84</f>
        <v>30</v>
      </c>
      <c r="V84" s="45">
        <f>Weather!C204</f>
        <v>1.2333333333333336</v>
      </c>
      <c r="W84" s="46">
        <f>Weather!D204</f>
        <v>623</v>
      </c>
      <c r="X84" s="46">
        <f>Weather!E204</f>
        <v>0</v>
      </c>
      <c r="Y84" s="46">
        <f>Weather!F204</f>
        <v>563</v>
      </c>
      <c r="Z84" s="46">
        <f>Weather!G204</f>
        <v>0</v>
      </c>
      <c r="AA84" s="46">
        <f>Weather!H204</f>
        <v>503</v>
      </c>
      <c r="AB84" s="46">
        <f>Weather!I204</f>
        <v>0</v>
      </c>
      <c r="AC84" s="46">
        <f>Weather!J204</f>
        <v>443</v>
      </c>
      <c r="AD84" s="46">
        <f>Weather!K204</f>
        <v>0</v>
      </c>
      <c r="AE84" s="46">
        <f>Weather!L204</f>
        <v>383</v>
      </c>
      <c r="AF84" s="46">
        <f>Weather!M204</f>
        <v>0</v>
      </c>
      <c r="AG84" s="46">
        <f>Weather!N204</f>
        <v>323</v>
      </c>
      <c r="AH84" s="46">
        <f>Weather!O204</f>
        <v>0</v>
      </c>
      <c r="AI84" s="46">
        <f>Weather!P204</f>
        <v>264.3</v>
      </c>
      <c r="AJ84" s="46">
        <f>Weather!Q204</f>
        <v>1.3</v>
      </c>
      <c r="AK84" s="46">
        <f>Weather!R204</f>
        <v>206.3</v>
      </c>
      <c r="AL84" s="46">
        <f>Weather!S204</f>
        <v>3.3</v>
      </c>
      <c r="AM84" s="43">
        <f>Economic!C84</f>
        <v>732426.3</v>
      </c>
      <c r="AN84" s="43">
        <f>Economic!D84</f>
        <v>7204.8</v>
      </c>
      <c r="AO84" s="43">
        <f>Economic!E84</f>
        <v>7207.4</v>
      </c>
      <c r="AP84" s="43">
        <f>Economic!F84</f>
        <v>115.8</v>
      </c>
      <c r="AQ84" s="43">
        <f>Economic!G84</f>
        <v>117.9</v>
      </c>
      <c r="AR84" s="47">
        <f t="shared" si="49"/>
        <v>30</v>
      </c>
      <c r="AS84" s="47">
        <v>21</v>
      </c>
      <c r="AT84" s="47">
        <f t="shared" si="51"/>
        <v>83</v>
      </c>
      <c r="AU84" s="47">
        <f t="shared" si="74"/>
        <v>0</v>
      </c>
      <c r="AV84" s="47">
        <f t="shared" si="74"/>
        <v>0</v>
      </c>
      <c r="AW84" s="47">
        <f t="shared" si="74"/>
        <v>0</v>
      </c>
      <c r="AX84" s="47">
        <f t="shared" si="74"/>
        <v>0</v>
      </c>
      <c r="AY84" s="47">
        <f t="shared" si="74"/>
        <v>0</v>
      </c>
      <c r="AZ84" s="47">
        <f t="shared" si="74"/>
        <v>0</v>
      </c>
      <c r="BA84" s="47">
        <f t="shared" si="74"/>
        <v>0</v>
      </c>
      <c r="BB84" s="47">
        <f t="shared" si="74"/>
        <v>0</v>
      </c>
      <c r="BC84" s="47">
        <f t="shared" si="74"/>
        <v>0</v>
      </c>
      <c r="BD84" s="47">
        <f t="shared" si="74"/>
        <v>0</v>
      </c>
      <c r="BE84" s="47">
        <f t="shared" si="74"/>
        <v>1</v>
      </c>
      <c r="BF84" s="47">
        <f t="shared" si="74"/>
        <v>0</v>
      </c>
      <c r="BG84" s="47">
        <f t="shared" si="74"/>
        <v>0</v>
      </c>
      <c r="BH84" s="47">
        <f t="shared" si="74"/>
        <v>1</v>
      </c>
      <c r="BI84" s="47">
        <f t="shared" si="52"/>
        <v>1</v>
      </c>
      <c r="BJ84" s="48">
        <v>0</v>
      </c>
      <c r="BK84" s="48">
        <v>0</v>
      </c>
      <c r="BL84" s="48">
        <f t="shared" si="73"/>
        <v>0</v>
      </c>
      <c r="BM84" s="47">
        <f t="shared" si="75"/>
        <v>0</v>
      </c>
      <c r="BN84" s="53">
        <f t="shared" si="54"/>
        <v>0</v>
      </c>
      <c r="BO84" s="53">
        <f t="shared" si="55"/>
        <v>0</v>
      </c>
      <c r="BP84" s="53">
        <f t="shared" si="56"/>
        <v>0</v>
      </c>
      <c r="BQ84" s="53">
        <f t="shared" si="57"/>
        <v>0</v>
      </c>
      <c r="BR84" s="53">
        <f t="shared" si="58"/>
        <v>0</v>
      </c>
      <c r="BS84" s="53">
        <f t="shared" si="59"/>
        <v>0</v>
      </c>
      <c r="BT84" s="53">
        <f t="shared" si="60"/>
        <v>0</v>
      </c>
      <c r="BU84" s="53">
        <f t="shared" si="61"/>
        <v>0</v>
      </c>
      <c r="BV84" s="53">
        <f t="shared" si="62"/>
        <v>0</v>
      </c>
      <c r="BW84" s="53">
        <f t="shared" si="63"/>
        <v>0</v>
      </c>
      <c r="BX84" s="53">
        <f t="shared" si="64"/>
        <v>0</v>
      </c>
      <c r="BY84" s="53">
        <f t="shared" si="65"/>
        <v>0</v>
      </c>
      <c r="BZ84" s="53">
        <f t="shared" si="66"/>
        <v>0</v>
      </c>
      <c r="CA84" s="53">
        <f t="shared" si="67"/>
        <v>0</v>
      </c>
      <c r="CB84" s="53">
        <f t="shared" si="68"/>
        <v>0</v>
      </c>
      <c r="CC84" s="53">
        <f t="shared" si="69"/>
        <v>0</v>
      </c>
      <c r="CD84" s="8">
        <f t="shared" si="70"/>
        <v>723.5977500648504</v>
      </c>
      <c r="CE84" s="8">
        <f t="shared" si="71"/>
        <v>2359.4541426917731</v>
      </c>
      <c r="CF84" s="8">
        <f t="shared" si="72"/>
        <v>92432.620042529117</v>
      </c>
    </row>
    <row r="85" spans="1:84">
      <c r="A85" s="7">
        <f>'Monthly Data'!A85</f>
        <v>43435</v>
      </c>
      <c r="B85" s="6">
        <f>'Monthly Data'!B85</f>
        <v>2018</v>
      </c>
      <c r="C85" s="6">
        <f t="shared" si="50"/>
        <v>12</v>
      </c>
      <c r="D85" s="8">
        <f>'Monthly Data'!D85</f>
        <v>12518380.889968332</v>
      </c>
      <c r="E85" s="1">
        <f>'Monthly Data'!E85</f>
        <v>575271.53179928812</v>
      </c>
      <c r="F85" s="8">
        <f>'Monthly Data'!F85</f>
        <v>13093652.42176762</v>
      </c>
      <c r="G85" s="8">
        <f>'Monthly Data'!G85</f>
        <v>4282117.5597159071</v>
      </c>
      <c r="H85" s="1">
        <f>'Monthly Data'!H85</f>
        <v>263226.83378558612</v>
      </c>
      <c r="I85" s="8">
        <f>'Monthly Data'!I85</f>
        <v>4545344.3935014931</v>
      </c>
      <c r="J85" s="8">
        <f>'Monthly Data'!J85</f>
        <v>10851681.686155614</v>
      </c>
      <c r="K85" s="1">
        <f>'Monthly Data'!K85</f>
        <v>481211.6928081137</v>
      </c>
      <c r="L85" s="8">
        <f>'Monthly Data'!L85</f>
        <v>11332893.378963728</v>
      </c>
      <c r="M85" s="8">
        <f>'Monthly Data'!M85</f>
        <v>131040.28647731495</v>
      </c>
      <c r="N85" s="8">
        <f>'Monthly Data'!N85</f>
        <v>34772.945111377885</v>
      </c>
      <c r="O85" s="5">
        <f>'Monthly Data'!O85</f>
        <v>25146.899999999994</v>
      </c>
      <c r="P85" s="5">
        <f>'Monthly Data'!P85</f>
        <v>280.41999999999996</v>
      </c>
      <c r="Q85" s="8">
        <f>'Monthly Data'!Q85</f>
        <v>15461</v>
      </c>
      <c r="R85" s="8">
        <f>'Monthly Data'!R85</f>
        <v>1753</v>
      </c>
      <c r="S85" s="8">
        <f>'Monthly Data'!S85</f>
        <v>125</v>
      </c>
      <c r="T85" s="8">
        <f>'Monthly Data'!T85</f>
        <v>3136</v>
      </c>
      <c r="U85" s="8">
        <f>'Monthly Data'!U85</f>
        <v>30</v>
      </c>
      <c r="V85" s="45">
        <f>Weather!C205</f>
        <v>-0.97741935483870968</v>
      </c>
      <c r="W85" s="46">
        <f>Weather!D205</f>
        <v>712.3</v>
      </c>
      <c r="X85" s="46">
        <f>Weather!E205</f>
        <v>0</v>
      </c>
      <c r="Y85" s="46">
        <f>Weather!F205</f>
        <v>650.29999999999995</v>
      </c>
      <c r="Z85" s="46">
        <f>Weather!G205</f>
        <v>0</v>
      </c>
      <c r="AA85" s="46">
        <f>Weather!H205</f>
        <v>588.29999999999995</v>
      </c>
      <c r="AB85" s="46">
        <f>Weather!I205</f>
        <v>0</v>
      </c>
      <c r="AC85" s="46">
        <f>Weather!J205</f>
        <v>526.29999999999995</v>
      </c>
      <c r="AD85" s="46">
        <f>Weather!K205</f>
        <v>0</v>
      </c>
      <c r="AE85" s="46">
        <f>Weather!L205</f>
        <v>464.3</v>
      </c>
      <c r="AF85" s="46">
        <f>Weather!M205</f>
        <v>0</v>
      </c>
      <c r="AG85" s="46">
        <f>Weather!N205</f>
        <v>402.3</v>
      </c>
      <c r="AH85" s="46">
        <f>Weather!O205</f>
        <v>0</v>
      </c>
      <c r="AI85" s="46">
        <f>Weather!P205</f>
        <v>340.3</v>
      </c>
      <c r="AJ85" s="46">
        <f>Weather!Q205</f>
        <v>0</v>
      </c>
      <c r="AK85" s="46">
        <f>Weather!R205</f>
        <v>278.3</v>
      </c>
      <c r="AL85" s="46">
        <f>Weather!S205</f>
        <v>0</v>
      </c>
      <c r="AM85" s="43">
        <f>Economic!C85</f>
        <v>732426.3</v>
      </c>
      <c r="AN85" s="43">
        <f>Economic!D85</f>
        <v>7216.7</v>
      </c>
      <c r="AO85" s="43">
        <f>Economic!E85</f>
        <v>7227.2</v>
      </c>
      <c r="AP85" s="43">
        <f>Economic!F85</f>
        <v>115</v>
      </c>
      <c r="AQ85" s="43">
        <f>Economic!G85</f>
        <v>116.7</v>
      </c>
      <c r="AR85" s="47">
        <f t="shared" si="49"/>
        <v>31</v>
      </c>
      <c r="AS85" s="47">
        <v>21</v>
      </c>
      <c r="AT85" s="47">
        <f t="shared" si="51"/>
        <v>84</v>
      </c>
      <c r="AU85" s="47">
        <f t="shared" si="74"/>
        <v>0</v>
      </c>
      <c r="AV85" s="47">
        <f t="shared" si="74"/>
        <v>0</v>
      </c>
      <c r="AW85" s="47">
        <f t="shared" si="74"/>
        <v>0</v>
      </c>
      <c r="AX85" s="47">
        <f t="shared" si="74"/>
        <v>0</v>
      </c>
      <c r="AY85" s="47">
        <f t="shared" si="74"/>
        <v>0</v>
      </c>
      <c r="AZ85" s="47">
        <f t="shared" si="74"/>
        <v>0</v>
      </c>
      <c r="BA85" s="47">
        <f t="shared" si="74"/>
        <v>0</v>
      </c>
      <c r="BB85" s="47">
        <f t="shared" si="74"/>
        <v>0</v>
      </c>
      <c r="BC85" s="47">
        <f t="shared" si="74"/>
        <v>0</v>
      </c>
      <c r="BD85" s="47">
        <f t="shared" si="74"/>
        <v>0</v>
      </c>
      <c r="BE85" s="47">
        <f t="shared" si="74"/>
        <v>0</v>
      </c>
      <c r="BF85" s="47">
        <f t="shared" si="74"/>
        <v>1</v>
      </c>
      <c r="BG85" s="47">
        <f t="shared" si="74"/>
        <v>0</v>
      </c>
      <c r="BH85" s="47">
        <f t="shared" si="74"/>
        <v>0</v>
      </c>
      <c r="BI85" s="47">
        <f t="shared" si="52"/>
        <v>0</v>
      </c>
      <c r="BJ85" s="48">
        <v>0</v>
      </c>
      <c r="BK85" s="48">
        <v>0</v>
      </c>
      <c r="BL85" s="48">
        <f t="shared" si="73"/>
        <v>0</v>
      </c>
      <c r="BM85" s="47">
        <f t="shared" si="75"/>
        <v>0</v>
      </c>
      <c r="BN85" s="53">
        <f t="shared" si="54"/>
        <v>0</v>
      </c>
      <c r="BO85" s="53">
        <f t="shared" si="55"/>
        <v>0</v>
      </c>
      <c r="BP85" s="53">
        <f t="shared" si="56"/>
        <v>0</v>
      </c>
      <c r="BQ85" s="53">
        <f t="shared" si="57"/>
        <v>0</v>
      </c>
      <c r="BR85" s="53">
        <f t="shared" si="58"/>
        <v>0</v>
      </c>
      <c r="BS85" s="53">
        <f t="shared" si="59"/>
        <v>0</v>
      </c>
      <c r="BT85" s="53">
        <f t="shared" si="60"/>
        <v>0</v>
      </c>
      <c r="BU85" s="53">
        <f t="shared" si="61"/>
        <v>0</v>
      </c>
      <c r="BV85" s="53">
        <f t="shared" si="62"/>
        <v>0</v>
      </c>
      <c r="BW85" s="53">
        <f t="shared" si="63"/>
        <v>0</v>
      </c>
      <c r="BX85" s="53">
        <f t="shared" si="64"/>
        <v>0</v>
      </c>
      <c r="BY85" s="53">
        <f t="shared" si="65"/>
        <v>0</v>
      </c>
      <c r="BZ85" s="53">
        <f t="shared" si="66"/>
        <v>0</v>
      </c>
      <c r="CA85" s="53">
        <f t="shared" si="67"/>
        <v>0</v>
      </c>
      <c r="CB85" s="53">
        <f t="shared" si="68"/>
        <v>0</v>
      </c>
      <c r="CC85" s="53">
        <f t="shared" si="69"/>
        <v>0</v>
      </c>
      <c r="CD85" s="8">
        <f t="shared" si="70"/>
        <v>846.88263513146762</v>
      </c>
      <c r="CE85" s="8">
        <f t="shared" si="71"/>
        <v>2592.8946911018215</v>
      </c>
      <c r="CF85" s="8">
        <f t="shared" si="72"/>
        <v>90663.147031709814</v>
      </c>
    </row>
    <row r="86" spans="1:84">
      <c r="A86" s="7">
        <f>'Monthly Data'!A86</f>
        <v>43466</v>
      </c>
      <c r="B86" s="6">
        <f>'Monthly Data'!B86</f>
        <v>2019</v>
      </c>
      <c r="C86" s="6">
        <f t="shared" si="50"/>
        <v>1</v>
      </c>
      <c r="D86" s="8">
        <f>'Monthly Data'!D86</f>
        <v>13960982.808591014</v>
      </c>
      <c r="E86" s="1">
        <f>'Monthly Data'!E86</f>
        <v>605813.83793017792</v>
      </c>
      <c r="F86" s="8">
        <f>'Monthly Data'!F86</f>
        <v>14566796.646521192</v>
      </c>
      <c r="G86" s="8">
        <f>'Monthly Data'!G86</f>
        <v>4609255.6079716161</v>
      </c>
      <c r="H86" s="1">
        <f>'Monthly Data'!H86</f>
        <v>270693.99467576476</v>
      </c>
      <c r="I86" s="8">
        <f>'Monthly Data'!I86</f>
        <v>4879949.6026473809</v>
      </c>
      <c r="J86" s="8">
        <f>'Monthly Data'!J86</f>
        <v>11617271.757342085</v>
      </c>
      <c r="K86" s="1">
        <f>'Monthly Data'!K86</f>
        <v>578682.55469858088</v>
      </c>
      <c r="L86" s="8">
        <f>'Monthly Data'!L86</f>
        <v>12195954.312040666</v>
      </c>
      <c r="M86" s="8">
        <f>'Monthly Data'!M86</f>
        <v>127626.94948947323</v>
      </c>
      <c r="N86" s="8">
        <f>'Monthly Data'!N86</f>
        <v>31844.405362144858</v>
      </c>
      <c r="O86" s="5">
        <f>'Monthly Data'!O86</f>
        <v>25522.159999999996</v>
      </c>
      <c r="P86" s="5">
        <f>'Monthly Data'!P86</f>
        <v>280.41999999999996</v>
      </c>
      <c r="Q86" s="8">
        <f>'Monthly Data'!Q86</f>
        <v>15584.5</v>
      </c>
      <c r="R86" s="8">
        <f>'Monthly Data'!R86</f>
        <v>1756.5</v>
      </c>
      <c r="S86" s="8">
        <f>'Monthly Data'!S86</f>
        <v>125</v>
      </c>
      <c r="T86" s="8">
        <f>'Monthly Data'!T86</f>
        <v>3136</v>
      </c>
      <c r="U86" s="8">
        <f>'Monthly Data'!U86</f>
        <v>30</v>
      </c>
      <c r="V86" s="45">
        <f>Weather!C206</f>
        <v>-7.0935483870967744</v>
      </c>
      <c r="W86" s="46">
        <f>Weather!D206</f>
        <v>901.9</v>
      </c>
      <c r="X86" s="46">
        <f>Weather!E206</f>
        <v>0</v>
      </c>
      <c r="Y86" s="46">
        <f>Weather!F206</f>
        <v>839.9</v>
      </c>
      <c r="Z86" s="46">
        <f>Weather!G206</f>
        <v>0</v>
      </c>
      <c r="AA86" s="46">
        <f>Weather!H206</f>
        <v>777.9</v>
      </c>
      <c r="AB86" s="46">
        <f>Weather!I206</f>
        <v>0</v>
      </c>
      <c r="AC86" s="46">
        <f>Weather!J206</f>
        <v>715.9</v>
      </c>
      <c r="AD86" s="46">
        <f>Weather!K206</f>
        <v>0</v>
      </c>
      <c r="AE86" s="46">
        <f>Weather!L206</f>
        <v>653.9</v>
      </c>
      <c r="AF86" s="46">
        <f>Weather!M206</f>
        <v>0</v>
      </c>
      <c r="AG86" s="46">
        <f>Weather!N206</f>
        <v>591.9</v>
      </c>
      <c r="AH86" s="46">
        <f>Weather!O206</f>
        <v>0</v>
      </c>
      <c r="AI86" s="46">
        <f>Weather!P206</f>
        <v>529.9</v>
      </c>
      <c r="AJ86" s="46">
        <f>Weather!Q206</f>
        <v>0</v>
      </c>
      <c r="AK86" s="46">
        <f>Weather!R206</f>
        <v>467.9</v>
      </c>
      <c r="AL86" s="46">
        <f>Weather!S206</f>
        <v>0</v>
      </c>
      <c r="AM86" s="43">
        <f>Economic!C86</f>
        <v>747589.4</v>
      </c>
      <c r="AN86" s="43">
        <f>Economic!D86</f>
        <v>7242.3</v>
      </c>
      <c r="AO86" s="43">
        <f>Economic!E86</f>
        <v>7214.9</v>
      </c>
      <c r="AP86" s="43">
        <f>Economic!F86</f>
        <v>115.7</v>
      </c>
      <c r="AQ86" s="43">
        <f>Economic!G86</f>
        <v>115.1</v>
      </c>
      <c r="AR86" s="47">
        <f t="shared" si="49"/>
        <v>31</v>
      </c>
      <c r="AS86" s="47">
        <v>21</v>
      </c>
      <c r="AT86" s="47">
        <f t="shared" si="51"/>
        <v>85</v>
      </c>
      <c r="AU86" s="47">
        <f t="shared" si="74"/>
        <v>1</v>
      </c>
      <c r="AV86" s="47">
        <f t="shared" si="74"/>
        <v>0</v>
      </c>
      <c r="AW86" s="47">
        <f t="shared" si="74"/>
        <v>0</v>
      </c>
      <c r="AX86" s="47">
        <f t="shared" si="74"/>
        <v>0</v>
      </c>
      <c r="AY86" s="47">
        <f t="shared" si="74"/>
        <v>0</v>
      </c>
      <c r="AZ86" s="47">
        <f t="shared" si="74"/>
        <v>0</v>
      </c>
      <c r="BA86" s="47">
        <f t="shared" si="74"/>
        <v>0</v>
      </c>
      <c r="BB86" s="47">
        <f t="shared" si="74"/>
        <v>0</v>
      </c>
      <c r="BC86" s="47">
        <f t="shared" si="74"/>
        <v>0</v>
      </c>
      <c r="BD86" s="47">
        <f t="shared" si="74"/>
        <v>0</v>
      </c>
      <c r="BE86" s="47">
        <f t="shared" si="74"/>
        <v>0</v>
      </c>
      <c r="BF86" s="47">
        <f t="shared" si="74"/>
        <v>0</v>
      </c>
      <c r="BG86" s="47">
        <f t="shared" si="74"/>
        <v>0</v>
      </c>
      <c r="BH86" s="47">
        <f t="shared" si="74"/>
        <v>0</v>
      </c>
      <c r="BI86" s="47">
        <f t="shared" si="52"/>
        <v>0</v>
      </c>
      <c r="BJ86" s="48">
        <v>0</v>
      </c>
      <c r="BK86" s="48">
        <v>0</v>
      </c>
      <c r="BL86" s="48">
        <f t="shared" si="73"/>
        <v>0</v>
      </c>
      <c r="BM86" s="47">
        <f t="shared" si="75"/>
        <v>0</v>
      </c>
      <c r="BN86" s="53">
        <f t="shared" si="54"/>
        <v>0</v>
      </c>
      <c r="BO86" s="53">
        <f t="shared" si="55"/>
        <v>0</v>
      </c>
      <c r="BP86" s="53">
        <f t="shared" si="56"/>
        <v>0</v>
      </c>
      <c r="BQ86" s="53">
        <f t="shared" si="57"/>
        <v>0</v>
      </c>
      <c r="BR86" s="53">
        <f t="shared" si="58"/>
        <v>0</v>
      </c>
      <c r="BS86" s="53">
        <f t="shared" si="59"/>
        <v>0</v>
      </c>
      <c r="BT86" s="53">
        <f t="shared" si="60"/>
        <v>0</v>
      </c>
      <c r="BU86" s="53">
        <f t="shared" si="61"/>
        <v>0</v>
      </c>
      <c r="BV86" s="53">
        <f t="shared" si="62"/>
        <v>0</v>
      </c>
      <c r="BW86" s="53">
        <f t="shared" si="63"/>
        <v>0</v>
      </c>
      <c r="BX86" s="53">
        <f t="shared" si="64"/>
        <v>0</v>
      </c>
      <c r="BY86" s="53">
        <f t="shared" si="65"/>
        <v>0</v>
      </c>
      <c r="BZ86" s="53">
        <f t="shared" si="66"/>
        <v>0</v>
      </c>
      <c r="CA86" s="53">
        <f t="shared" si="67"/>
        <v>0</v>
      </c>
      <c r="CB86" s="53">
        <f t="shared" si="68"/>
        <v>0</v>
      </c>
      <c r="CC86" s="53">
        <f t="shared" si="69"/>
        <v>0</v>
      </c>
      <c r="CD86" s="8">
        <f t="shared" si="70"/>
        <v>934.69772187244973</v>
      </c>
      <c r="CE86" s="8">
        <f t="shared" si="71"/>
        <v>2778.2235141744268</v>
      </c>
      <c r="CF86" s="8">
        <f t="shared" si="72"/>
        <v>97567.634496325336</v>
      </c>
    </row>
    <row r="87" spans="1:84">
      <c r="A87" s="7">
        <f>'Monthly Data'!A87</f>
        <v>43497</v>
      </c>
      <c r="B87" s="6">
        <f>'Monthly Data'!B87</f>
        <v>2019</v>
      </c>
      <c r="C87" s="6">
        <f t="shared" si="50"/>
        <v>2</v>
      </c>
      <c r="D87" s="8">
        <f>'Monthly Data'!D87</f>
        <v>12392903.762277057</v>
      </c>
      <c r="E87" s="1">
        <f>'Monthly Data'!E87</f>
        <v>605813.83793017792</v>
      </c>
      <c r="F87" s="8">
        <f>'Monthly Data'!F87</f>
        <v>12998717.600207236</v>
      </c>
      <c r="G87" s="8">
        <f>'Monthly Data'!G87</f>
        <v>4226698.7559959963</v>
      </c>
      <c r="H87" s="1">
        <f>'Monthly Data'!H87</f>
        <v>270693.99467576476</v>
      </c>
      <c r="I87" s="8">
        <f>'Monthly Data'!I87</f>
        <v>4497392.7506717611</v>
      </c>
      <c r="J87" s="8">
        <f>'Monthly Data'!J87</f>
        <v>10508434.241887977</v>
      </c>
      <c r="K87" s="1">
        <f>'Monthly Data'!K87</f>
        <v>578682.55469858088</v>
      </c>
      <c r="L87" s="8">
        <f>'Monthly Data'!L87</f>
        <v>11087116.796586558</v>
      </c>
      <c r="M87" s="8">
        <f>'Monthly Data'!M87</f>
        <v>106189.02845008971</v>
      </c>
      <c r="N87" s="8">
        <f>'Monthly Data'!N87</f>
        <v>31804.439842603708</v>
      </c>
      <c r="O87" s="5">
        <f>'Monthly Data'!O87</f>
        <v>25897.030000000006</v>
      </c>
      <c r="P87" s="5">
        <f>'Monthly Data'!P87</f>
        <v>281.15999999999997</v>
      </c>
      <c r="Q87" s="8">
        <f>'Monthly Data'!Q87</f>
        <v>15584.5</v>
      </c>
      <c r="R87" s="8">
        <f>'Monthly Data'!R87</f>
        <v>1756.5</v>
      </c>
      <c r="S87" s="8">
        <f>'Monthly Data'!S87</f>
        <v>124</v>
      </c>
      <c r="T87" s="8">
        <f>'Monthly Data'!T87</f>
        <v>3261</v>
      </c>
      <c r="U87" s="8">
        <f>'Monthly Data'!U87</f>
        <v>30</v>
      </c>
      <c r="V87" s="45">
        <f>Weather!C207</f>
        <v>-4.6571428571428566</v>
      </c>
      <c r="W87" s="46">
        <f>Weather!D207</f>
        <v>746.4</v>
      </c>
      <c r="X87" s="46">
        <f>Weather!E207</f>
        <v>0</v>
      </c>
      <c r="Y87" s="46">
        <f>Weather!F207</f>
        <v>690.4</v>
      </c>
      <c r="Z87" s="46">
        <f>Weather!G207</f>
        <v>0</v>
      </c>
      <c r="AA87" s="46">
        <f>Weather!H207</f>
        <v>634.4</v>
      </c>
      <c r="AB87" s="46">
        <f>Weather!I207</f>
        <v>0</v>
      </c>
      <c r="AC87" s="46">
        <f>Weather!J207</f>
        <v>578.4</v>
      </c>
      <c r="AD87" s="46">
        <f>Weather!K207</f>
        <v>0</v>
      </c>
      <c r="AE87" s="46">
        <f>Weather!L207</f>
        <v>522.4</v>
      </c>
      <c r="AF87" s="46">
        <f>Weather!M207</f>
        <v>0</v>
      </c>
      <c r="AG87" s="46">
        <f>Weather!N207</f>
        <v>466.4</v>
      </c>
      <c r="AH87" s="46">
        <f>Weather!O207</f>
        <v>0</v>
      </c>
      <c r="AI87" s="46">
        <f>Weather!P207</f>
        <v>410.4</v>
      </c>
      <c r="AJ87" s="46">
        <f>Weather!Q207</f>
        <v>0</v>
      </c>
      <c r="AK87" s="46">
        <f>Weather!R207</f>
        <v>354.9</v>
      </c>
      <c r="AL87" s="46">
        <f>Weather!S207</f>
        <v>0.5</v>
      </c>
      <c r="AM87" s="43">
        <f>Economic!C87</f>
        <v>747589.4</v>
      </c>
      <c r="AN87" s="43">
        <f>Economic!D87</f>
        <v>7272.1</v>
      </c>
      <c r="AO87" s="43">
        <f>Economic!E87</f>
        <v>7205</v>
      </c>
      <c r="AP87" s="43">
        <f>Economic!F87</f>
        <v>115.6</v>
      </c>
      <c r="AQ87" s="43">
        <f>Economic!G87</f>
        <v>113.1</v>
      </c>
      <c r="AR87" s="47">
        <f t="shared" si="49"/>
        <v>28</v>
      </c>
      <c r="AS87" s="47">
        <v>19</v>
      </c>
      <c r="AT87" s="47">
        <f t="shared" si="51"/>
        <v>86</v>
      </c>
      <c r="AU87" s="47">
        <f t="shared" si="74"/>
        <v>0</v>
      </c>
      <c r="AV87" s="47">
        <f t="shared" si="74"/>
        <v>1</v>
      </c>
      <c r="AW87" s="47">
        <f t="shared" si="74"/>
        <v>0</v>
      </c>
      <c r="AX87" s="47">
        <f t="shared" si="74"/>
        <v>0</v>
      </c>
      <c r="AY87" s="47">
        <f t="shared" si="74"/>
        <v>0</v>
      </c>
      <c r="AZ87" s="47">
        <f t="shared" si="74"/>
        <v>0</v>
      </c>
      <c r="BA87" s="47">
        <f t="shared" si="74"/>
        <v>0</v>
      </c>
      <c r="BB87" s="47">
        <f t="shared" si="74"/>
        <v>0</v>
      </c>
      <c r="BC87" s="47">
        <f t="shared" si="74"/>
        <v>0</v>
      </c>
      <c r="BD87" s="47">
        <f t="shared" si="74"/>
        <v>0</v>
      </c>
      <c r="BE87" s="47">
        <f t="shared" si="74"/>
        <v>0</v>
      </c>
      <c r="BF87" s="47">
        <f t="shared" si="74"/>
        <v>0</v>
      </c>
      <c r="BG87" s="47">
        <f t="shared" si="74"/>
        <v>0</v>
      </c>
      <c r="BH87" s="47">
        <f t="shared" si="74"/>
        <v>0</v>
      </c>
      <c r="BI87" s="47">
        <f t="shared" si="52"/>
        <v>0</v>
      </c>
      <c r="BJ87" s="48">
        <v>0</v>
      </c>
      <c r="BK87" s="48">
        <v>0</v>
      </c>
      <c r="BL87" s="48">
        <f t="shared" si="73"/>
        <v>0</v>
      </c>
      <c r="BM87" s="47">
        <f t="shared" si="75"/>
        <v>0</v>
      </c>
      <c r="BN87" s="53">
        <f t="shared" si="54"/>
        <v>0</v>
      </c>
      <c r="BO87" s="53">
        <f t="shared" si="55"/>
        <v>0</v>
      </c>
      <c r="BP87" s="53">
        <f t="shared" si="56"/>
        <v>0</v>
      </c>
      <c r="BQ87" s="53">
        <f t="shared" si="57"/>
        <v>0</v>
      </c>
      <c r="BR87" s="53">
        <f t="shared" si="58"/>
        <v>0</v>
      </c>
      <c r="BS87" s="53">
        <f t="shared" si="59"/>
        <v>0</v>
      </c>
      <c r="BT87" s="53">
        <f t="shared" si="60"/>
        <v>0</v>
      </c>
      <c r="BU87" s="53">
        <f t="shared" si="61"/>
        <v>0</v>
      </c>
      <c r="BV87" s="53">
        <f t="shared" si="62"/>
        <v>0</v>
      </c>
      <c r="BW87" s="53">
        <f t="shared" si="63"/>
        <v>0</v>
      </c>
      <c r="BX87" s="53">
        <f t="shared" si="64"/>
        <v>0</v>
      </c>
      <c r="BY87" s="53">
        <f t="shared" si="65"/>
        <v>0</v>
      </c>
      <c r="BZ87" s="53">
        <f t="shared" si="66"/>
        <v>0</v>
      </c>
      <c r="CA87" s="53">
        <f t="shared" si="67"/>
        <v>0</v>
      </c>
      <c r="CB87" s="53">
        <f t="shared" si="68"/>
        <v>0</v>
      </c>
      <c r="CC87" s="53">
        <f t="shared" si="69"/>
        <v>0</v>
      </c>
      <c r="CD87" s="8">
        <f t="shared" si="70"/>
        <v>834.07986141404831</v>
      </c>
      <c r="CE87" s="8">
        <f t="shared" si="71"/>
        <v>2560.4285514783724</v>
      </c>
      <c r="CF87" s="8">
        <f t="shared" si="72"/>
        <v>89412.232230536756</v>
      </c>
    </row>
    <row r="88" spans="1:84">
      <c r="A88" s="7">
        <f>'Monthly Data'!A88</f>
        <v>43525</v>
      </c>
      <c r="B88" s="6">
        <f>'Monthly Data'!B88</f>
        <v>2019</v>
      </c>
      <c r="C88" s="6">
        <f t="shared" si="50"/>
        <v>3</v>
      </c>
      <c r="D88" s="8">
        <f>'Monthly Data'!D88</f>
        <v>12063604.824753724</v>
      </c>
      <c r="E88" s="1">
        <f>'Monthly Data'!E88</f>
        <v>605813.83793017792</v>
      </c>
      <c r="F88" s="8">
        <f>'Monthly Data'!F88</f>
        <v>12669418.662683902</v>
      </c>
      <c r="G88" s="8">
        <f>'Monthly Data'!G88</f>
        <v>4292846.5750633525</v>
      </c>
      <c r="H88" s="1">
        <f>'Monthly Data'!H88</f>
        <v>270693.99467576476</v>
      </c>
      <c r="I88" s="8">
        <f>'Monthly Data'!I88</f>
        <v>4563540.5697391173</v>
      </c>
      <c r="J88" s="8">
        <f>'Monthly Data'!J88</f>
        <v>11100930.956588307</v>
      </c>
      <c r="K88" s="1">
        <f>'Monthly Data'!K88</f>
        <v>578682.55469858088</v>
      </c>
      <c r="L88" s="8">
        <f>'Monthly Data'!L88</f>
        <v>11679613.511286888</v>
      </c>
      <c r="M88" s="8">
        <f>'Monthly Data'!M88</f>
        <v>104703.19798887297</v>
      </c>
      <c r="N88" s="8">
        <f>'Monthly Data'!N88</f>
        <v>34386.913832199549</v>
      </c>
      <c r="O88" s="5">
        <f>'Monthly Data'!O88</f>
        <v>26683.679999999997</v>
      </c>
      <c r="P88" s="5">
        <f>'Monthly Data'!P88</f>
        <v>281.15999999999997</v>
      </c>
      <c r="Q88" s="8">
        <f>'Monthly Data'!Q88</f>
        <v>15572</v>
      </c>
      <c r="R88" s="8">
        <f>'Monthly Data'!R88</f>
        <v>1761</v>
      </c>
      <c r="S88" s="8">
        <f>'Monthly Data'!S88</f>
        <v>124</v>
      </c>
      <c r="T88" s="8">
        <f>'Monthly Data'!T88</f>
        <v>3261</v>
      </c>
      <c r="U88" s="8">
        <f>'Monthly Data'!U88</f>
        <v>30</v>
      </c>
      <c r="V88" s="45">
        <f>Weather!C208</f>
        <v>-1.7177419354838708</v>
      </c>
      <c r="W88" s="46">
        <f>Weather!D208</f>
        <v>735.3</v>
      </c>
      <c r="X88" s="46">
        <f>Weather!E208</f>
        <v>0</v>
      </c>
      <c r="Y88" s="46">
        <f>Weather!F208</f>
        <v>673.3</v>
      </c>
      <c r="Z88" s="46">
        <f>Weather!G208</f>
        <v>0</v>
      </c>
      <c r="AA88" s="46">
        <f>Weather!H208</f>
        <v>611.29999999999995</v>
      </c>
      <c r="AB88" s="46">
        <f>Weather!I208</f>
        <v>0</v>
      </c>
      <c r="AC88" s="46">
        <f>Weather!J208</f>
        <v>549.29999999999995</v>
      </c>
      <c r="AD88" s="46">
        <f>Weather!K208</f>
        <v>0</v>
      </c>
      <c r="AE88" s="46">
        <f>Weather!L208</f>
        <v>487.3</v>
      </c>
      <c r="AF88" s="46">
        <f>Weather!M208</f>
        <v>0</v>
      </c>
      <c r="AG88" s="46">
        <f>Weather!N208</f>
        <v>425.3</v>
      </c>
      <c r="AH88" s="46">
        <f>Weather!O208</f>
        <v>0</v>
      </c>
      <c r="AI88" s="46">
        <f>Weather!P208</f>
        <v>363.3</v>
      </c>
      <c r="AJ88" s="46">
        <f>Weather!Q208</f>
        <v>0</v>
      </c>
      <c r="AK88" s="46">
        <f>Weather!R208</f>
        <v>301.3</v>
      </c>
      <c r="AL88" s="46">
        <f>Weather!S208</f>
        <v>0</v>
      </c>
      <c r="AM88" s="43">
        <f>Economic!C88</f>
        <v>747589.4</v>
      </c>
      <c r="AN88" s="43">
        <f>Economic!D88</f>
        <v>7294</v>
      </c>
      <c r="AO88" s="43">
        <f>Economic!E88</f>
        <v>7185</v>
      </c>
      <c r="AP88" s="43">
        <f>Economic!F88</f>
        <v>115.6</v>
      </c>
      <c r="AQ88" s="43">
        <f>Economic!G88</f>
        <v>112.4</v>
      </c>
      <c r="AR88" s="47">
        <f t="shared" si="49"/>
        <v>31</v>
      </c>
      <c r="AS88" s="47">
        <v>23</v>
      </c>
      <c r="AT88" s="47">
        <f t="shared" si="51"/>
        <v>87</v>
      </c>
      <c r="AU88" s="47">
        <f t="shared" si="74"/>
        <v>0</v>
      </c>
      <c r="AV88" s="47">
        <f t="shared" si="74"/>
        <v>0</v>
      </c>
      <c r="AW88" s="47">
        <f t="shared" si="74"/>
        <v>1</v>
      </c>
      <c r="AX88" s="47">
        <f t="shared" si="74"/>
        <v>0</v>
      </c>
      <c r="AY88" s="47">
        <f t="shared" si="74"/>
        <v>0</v>
      </c>
      <c r="AZ88" s="47">
        <f t="shared" si="74"/>
        <v>0</v>
      </c>
      <c r="BA88" s="47">
        <f t="shared" si="74"/>
        <v>0</v>
      </c>
      <c r="BB88" s="47">
        <f t="shared" si="74"/>
        <v>0</v>
      </c>
      <c r="BC88" s="47">
        <f t="shared" si="74"/>
        <v>0</v>
      </c>
      <c r="BD88" s="47">
        <f t="shared" si="74"/>
        <v>0</v>
      </c>
      <c r="BE88" s="47">
        <f t="shared" si="74"/>
        <v>0</v>
      </c>
      <c r="BF88" s="47">
        <f t="shared" si="74"/>
        <v>0</v>
      </c>
      <c r="BG88" s="47">
        <f t="shared" si="74"/>
        <v>1</v>
      </c>
      <c r="BH88" s="47">
        <f t="shared" si="74"/>
        <v>0</v>
      </c>
      <c r="BI88" s="47">
        <f t="shared" si="52"/>
        <v>1</v>
      </c>
      <c r="BJ88" s="48">
        <v>0</v>
      </c>
      <c r="BK88" s="48">
        <v>0</v>
      </c>
      <c r="BL88" s="48">
        <f t="shared" si="73"/>
        <v>0</v>
      </c>
      <c r="BM88" s="47">
        <f t="shared" si="75"/>
        <v>0</v>
      </c>
      <c r="BN88" s="53">
        <f t="shared" si="54"/>
        <v>0</v>
      </c>
      <c r="BO88" s="53">
        <f t="shared" si="55"/>
        <v>0</v>
      </c>
      <c r="BP88" s="53">
        <f t="shared" si="56"/>
        <v>0</v>
      </c>
      <c r="BQ88" s="53">
        <f t="shared" si="57"/>
        <v>0</v>
      </c>
      <c r="BR88" s="53">
        <f t="shared" si="58"/>
        <v>0</v>
      </c>
      <c r="BS88" s="53">
        <f t="shared" si="59"/>
        <v>0</v>
      </c>
      <c r="BT88" s="53">
        <f t="shared" si="60"/>
        <v>0</v>
      </c>
      <c r="BU88" s="53">
        <f t="shared" si="61"/>
        <v>0</v>
      </c>
      <c r="BV88" s="53">
        <f t="shared" si="62"/>
        <v>0</v>
      </c>
      <c r="BW88" s="53">
        <f t="shared" si="63"/>
        <v>0</v>
      </c>
      <c r="BX88" s="53">
        <f t="shared" si="64"/>
        <v>0</v>
      </c>
      <c r="BY88" s="53">
        <f t="shared" si="65"/>
        <v>0</v>
      </c>
      <c r="BZ88" s="53">
        <f t="shared" si="66"/>
        <v>0</v>
      </c>
      <c r="CA88" s="53">
        <f t="shared" si="67"/>
        <v>0</v>
      </c>
      <c r="CB88" s="53">
        <f t="shared" si="68"/>
        <v>0</v>
      </c>
      <c r="CC88" s="53">
        <f t="shared" si="69"/>
        <v>0</v>
      </c>
      <c r="CD88" s="8">
        <f t="shared" si="70"/>
        <v>813.60253420780259</v>
      </c>
      <c r="CE88" s="8">
        <f t="shared" si="71"/>
        <v>2591.4483644174429</v>
      </c>
      <c r="CF88" s="8">
        <f t="shared" si="72"/>
        <v>94190.431542636201</v>
      </c>
    </row>
    <row r="89" spans="1:84">
      <c r="A89" s="7">
        <f>'Monthly Data'!A89</f>
        <v>43556</v>
      </c>
      <c r="B89" s="6">
        <f>'Monthly Data'!B89</f>
        <v>2019</v>
      </c>
      <c r="C89" s="6">
        <f t="shared" si="50"/>
        <v>4</v>
      </c>
      <c r="D89" s="8">
        <f>'Monthly Data'!D89</f>
        <v>9719917.2265057545</v>
      </c>
      <c r="E89" s="1">
        <f>'Monthly Data'!E89</f>
        <v>605813.83793017792</v>
      </c>
      <c r="F89" s="8">
        <f>'Monthly Data'!F89</f>
        <v>10325731.064435933</v>
      </c>
      <c r="G89" s="8">
        <f>'Monthly Data'!G89</f>
        <v>3630067.6142082894</v>
      </c>
      <c r="H89" s="1">
        <f>'Monthly Data'!H89</f>
        <v>270693.99467576476</v>
      </c>
      <c r="I89" s="8">
        <f>'Monthly Data'!I89</f>
        <v>3900761.6088840542</v>
      </c>
      <c r="J89" s="8">
        <f>'Monthly Data'!J89</f>
        <v>10142281.579204079</v>
      </c>
      <c r="K89" s="1">
        <f>'Monthly Data'!K89</f>
        <v>578682.55469858088</v>
      </c>
      <c r="L89" s="8">
        <f>'Monthly Data'!L89</f>
        <v>10720964.13390266</v>
      </c>
      <c r="M89" s="8">
        <f>'Monthly Data'!M89</f>
        <v>88274.922592692994</v>
      </c>
      <c r="N89" s="8">
        <f>'Monthly Data'!N89</f>
        <v>31113.867747098833</v>
      </c>
      <c r="O89" s="5">
        <f>'Monthly Data'!O89</f>
        <v>25221.120000000003</v>
      </c>
      <c r="P89" s="5">
        <f>'Monthly Data'!P89</f>
        <v>281.15999999999997</v>
      </c>
      <c r="Q89" s="8">
        <f>'Monthly Data'!Q89</f>
        <v>15622</v>
      </c>
      <c r="R89" s="8">
        <f>'Monthly Data'!R89</f>
        <v>1761</v>
      </c>
      <c r="S89" s="8">
        <f>'Monthly Data'!S89</f>
        <v>124</v>
      </c>
      <c r="T89" s="8">
        <f>'Monthly Data'!T89</f>
        <v>3261</v>
      </c>
      <c r="U89" s="8">
        <f>'Monthly Data'!U89</f>
        <v>30</v>
      </c>
      <c r="V89" s="45">
        <f>Weather!C209</f>
        <v>4.9633333333333338</v>
      </c>
      <c r="W89" s="46">
        <f>Weather!D209</f>
        <v>511.1</v>
      </c>
      <c r="X89" s="46">
        <f>Weather!E209</f>
        <v>0</v>
      </c>
      <c r="Y89" s="46">
        <f>Weather!F209</f>
        <v>451.1</v>
      </c>
      <c r="Z89" s="46">
        <f>Weather!G209</f>
        <v>0</v>
      </c>
      <c r="AA89" s="46">
        <f>Weather!H209</f>
        <v>391.1</v>
      </c>
      <c r="AB89" s="46">
        <f>Weather!I209</f>
        <v>0</v>
      </c>
      <c r="AC89" s="46">
        <f>Weather!J209</f>
        <v>331.1</v>
      </c>
      <c r="AD89" s="46">
        <f>Weather!K209</f>
        <v>0</v>
      </c>
      <c r="AE89" s="46">
        <f>Weather!L209</f>
        <v>271.10000000000002</v>
      </c>
      <c r="AF89" s="46">
        <f>Weather!M209</f>
        <v>0</v>
      </c>
      <c r="AG89" s="46">
        <f>Weather!N209</f>
        <v>212</v>
      </c>
      <c r="AH89" s="46">
        <f>Weather!O209</f>
        <v>0.9</v>
      </c>
      <c r="AI89" s="46">
        <f>Weather!P209</f>
        <v>157.5</v>
      </c>
      <c r="AJ89" s="46">
        <f>Weather!Q209</f>
        <v>6.4</v>
      </c>
      <c r="AK89" s="46">
        <f>Weather!R209</f>
        <v>109.2</v>
      </c>
      <c r="AL89" s="46">
        <f>Weather!S209</f>
        <v>18.100000000000001</v>
      </c>
      <c r="AM89" s="43">
        <f>Economic!C89</f>
        <v>747589.4</v>
      </c>
      <c r="AN89" s="43">
        <f>Economic!D89</f>
        <v>7316.8</v>
      </c>
      <c r="AO89" s="43">
        <f>Economic!E89</f>
        <v>7222.7</v>
      </c>
      <c r="AP89" s="43">
        <f>Economic!F89</f>
        <v>113.9</v>
      </c>
      <c r="AQ89" s="43">
        <f>Economic!G89</f>
        <v>110.1</v>
      </c>
      <c r="AR89" s="47">
        <f t="shared" si="49"/>
        <v>30</v>
      </c>
      <c r="AS89" s="47">
        <v>19</v>
      </c>
      <c r="AT89" s="47">
        <f t="shared" si="51"/>
        <v>88</v>
      </c>
      <c r="AU89" s="47">
        <f t="shared" si="74"/>
        <v>0</v>
      </c>
      <c r="AV89" s="47">
        <f t="shared" si="74"/>
        <v>0</v>
      </c>
      <c r="AW89" s="47">
        <f t="shared" si="74"/>
        <v>0</v>
      </c>
      <c r="AX89" s="47">
        <f t="shared" si="74"/>
        <v>1</v>
      </c>
      <c r="AY89" s="47">
        <f t="shared" si="74"/>
        <v>0</v>
      </c>
      <c r="AZ89" s="47">
        <f t="shared" si="74"/>
        <v>0</v>
      </c>
      <c r="BA89" s="47">
        <f t="shared" si="74"/>
        <v>0</v>
      </c>
      <c r="BB89" s="47">
        <f t="shared" si="74"/>
        <v>0</v>
      </c>
      <c r="BC89" s="47">
        <f t="shared" si="74"/>
        <v>0</v>
      </c>
      <c r="BD89" s="47">
        <f t="shared" si="74"/>
        <v>0</v>
      </c>
      <c r="BE89" s="47">
        <f t="shared" si="74"/>
        <v>0</v>
      </c>
      <c r="BF89" s="47">
        <f t="shared" si="74"/>
        <v>0</v>
      </c>
      <c r="BG89" s="47">
        <f t="shared" si="74"/>
        <v>1</v>
      </c>
      <c r="BH89" s="47">
        <f t="shared" si="74"/>
        <v>0</v>
      </c>
      <c r="BI89" s="47">
        <f t="shared" si="52"/>
        <v>1</v>
      </c>
      <c r="BJ89" s="48">
        <v>0</v>
      </c>
      <c r="BK89" s="48">
        <v>0</v>
      </c>
      <c r="BL89" s="48">
        <f t="shared" si="73"/>
        <v>0</v>
      </c>
      <c r="BM89" s="47">
        <f t="shared" si="75"/>
        <v>0</v>
      </c>
      <c r="BN89" s="53">
        <f t="shared" si="54"/>
        <v>0</v>
      </c>
      <c r="BO89" s="53">
        <f t="shared" si="55"/>
        <v>0</v>
      </c>
      <c r="BP89" s="53">
        <f t="shared" si="56"/>
        <v>0</v>
      </c>
      <c r="BQ89" s="53">
        <f t="shared" si="57"/>
        <v>0</v>
      </c>
      <c r="BR89" s="53">
        <f t="shared" si="58"/>
        <v>0</v>
      </c>
      <c r="BS89" s="53">
        <f t="shared" si="59"/>
        <v>0</v>
      </c>
      <c r="BT89" s="53">
        <f t="shared" si="60"/>
        <v>0</v>
      </c>
      <c r="BU89" s="53">
        <f t="shared" si="61"/>
        <v>0</v>
      </c>
      <c r="BV89" s="53">
        <f t="shared" si="62"/>
        <v>0</v>
      </c>
      <c r="BW89" s="53">
        <f t="shared" si="63"/>
        <v>0</v>
      </c>
      <c r="BX89" s="53">
        <f t="shared" si="64"/>
        <v>0</v>
      </c>
      <c r="BY89" s="53">
        <f t="shared" si="65"/>
        <v>0</v>
      </c>
      <c r="BZ89" s="53">
        <f t="shared" si="66"/>
        <v>0</v>
      </c>
      <c r="CA89" s="53">
        <f t="shared" si="67"/>
        <v>0</v>
      </c>
      <c r="CB89" s="53">
        <f t="shared" si="68"/>
        <v>0</v>
      </c>
      <c r="CC89" s="53">
        <f t="shared" si="69"/>
        <v>0</v>
      </c>
      <c r="CD89" s="8">
        <f t="shared" si="70"/>
        <v>660.97369507335384</v>
      </c>
      <c r="CE89" s="8">
        <f t="shared" si="71"/>
        <v>2215.0832531993492</v>
      </c>
      <c r="CF89" s="8">
        <f t="shared" si="72"/>
        <v>86459.388176634355</v>
      </c>
    </row>
    <row r="90" spans="1:84">
      <c r="A90" s="7">
        <f>'Monthly Data'!A90</f>
        <v>43586</v>
      </c>
      <c r="B90" s="6">
        <f>'Monthly Data'!B90</f>
        <v>2019</v>
      </c>
      <c r="C90" s="6">
        <f t="shared" si="50"/>
        <v>5</v>
      </c>
      <c r="D90" s="8">
        <f>'Monthly Data'!D90</f>
        <v>8671238.6385931578</v>
      </c>
      <c r="E90" s="1">
        <f>'Monthly Data'!E90</f>
        <v>605813.83793017792</v>
      </c>
      <c r="F90" s="8">
        <f>'Monthly Data'!F90</f>
        <v>9277052.476523336</v>
      </c>
      <c r="G90" s="8">
        <f>'Monthly Data'!G90</f>
        <v>3445346.0237181168</v>
      </c>
      <c r="H90" s="1">
        <f>'Monthly Data'!H90</f>
        <v>270693.99467576476</v>
      </c>
      <c r="I90" s="8">
        <f>'Monthly Data'!I90</f>
        <v>3716040.0183938816</v>
      </c>
      <c r="J90" s="8">
        <f>'Monthly Data'!J90</f>
        <v>10207613.684272055</v>
      </c>
      <c r="K90" s="1">
        <f>'Monthly Data'!K90</f>
        <v>578682.55469858088</v>
      </c>
      <c r="L90" s="8">
        <f>'Monthly Data'!L90</f>
        <v>10786296.238970635</v>
      </c>
      <c r="M90" s="8">
        <f>'Monthly Data'!M90</f>
        <v>79634.420499382555</v>
      </c>
      <c r="N90" s="8">
        <f>'Monthly Data'!N90</f>
        <v>34211.565359477128</v>
      </c>
      <c r="O90" s="5">
        <f>'Monthly Data'!O90</f>
        <v>24107.83</v>
      </c>
      <c r="P90" s="5">
        <f>'Monthly Data'!P90</f>
        <v>281.15999999999997</v>
      </c>
      <c r="Q90" s="8">
        <f>'Monthly Data'!Q90</f>
        <v>15687</v>
      </c>
      <c r="R90" s="8">
        <f>'Monthly Data'!R90</f>
        <v>1754</v>
      </c>
      <c r="S90" s="8">
        <f>'Monthly Data'!S90</f>
        <v>124</v>
      </c>
      <c r="T90" s="8">
        <f>'Monthly Data'!T90</f>
        <v>3261</v>
      </c>
      <c r="U90" s="8">
        <f>'Monthly Data'!U90</f>
        <v>30</v>
      </c>
      <c r="V90" s="45">
        <f>Weather!C210</f>
        <v>10.354838709677422</v>
      </c>
      <c r="W90" s="46">
        <f>Weather!D210</f>
        <v>361</v>
      </c>
      <c r="X90" s="46">
        <f>Weather!E210</f>
        <v>0</v>
      </c>
      <c r="Y90" s="46">
        <f>Weather!F210</f>
        <v>299</v>
      </c>
      <c r="Z90" s="46">
        <f>Weather!G210</f>
        <v>0</v>
      </c>
      <c r="AA90" s="46">
        <f>Weather!H210</f>
        <v>237</v>
      </c>
      <c r="AB90" s="46">
        <f>Weather!I210</f>
        <v>0</v>
      </c>
      <c r="AC90" s="46">
        <f>Weather!J210</f>
        <v>179.6</v>
      </c>
      <c r="AD90" s="46">
        <f>Weather!K210</f>
        <v>4.5999999999999996</v>
      </c>
      <c r="AE90" s="46">
        <f>Weather!L210</f>
        <v>126.3</v>
      </c>
      <c r="AF90" s="46">
        <f>Weather!M210</f>
        <v>13.3</v>
      </c>
      <c r="AG90" s="46">
        <f>Weather!N210</f>
        <v>76.099999999999994</v>
      </c>
      <c r="AH90" s="46">
        <f>Weather!O210</f>
        <v>25.1</v>
      </c>
      <c r="AI90" s="46">
        <f>Weather!P210</f>
        <v>39.299999999999997</v>
      </c>
      <c r="AJ90" s="46">
        <f>Weather!Q210</f>
        <v>50.3</v>
      </c>
      <c r="AK90" s="46">
        <f>Weather!R210</f>
        <v>17.8</v>
      </c>
      <c r="AL90" s="46">
        <f>Weather!S210</f>
        <v>90.8</v>
      </c>
      <c r="AM90" s="43">
        <f>Economic!C90</f>
        <v>747589.4</v>
      </c>
      <c r="AN90" s="43">
        <f>Economic!D90</f>
        <v>7333.7</v>
      </c>
      <c r="AO90" s="43">
        <f>Economic!E90</f>
        <v>7297.7</v>
      </c>
      <c r="AP90" s="43">
        <f>Economic!F90</f>
        <v>114.8</v>
      </c>
      <c r="AQ90" s="43">
        <f>Economic!G90</f>
        <v>112.2</v>
      </c>
      <c r="AR90" s="47">
        <f t="shared" si="49"/>
        <v>31</v>
      </c>
      <c r="AS90" s="47">
        <v>22</v>
      </c>
      <c r="AT90" s="47">
        <f t="shared" si="51"/>
        <v>89</v>
      </c>
      <c r="AU90" s="47">
        <f t="shared" si="74"/>
        <v>0</v>
      </c>
      <c r="AV90" s="47">
        <f t="shared" si="74"/>
        <v>0</v>
      </c>
      <c r="AW90" s="47">
        <f t="shared" si="74"/>
        <v>0</v>
      </c>
      <c r="AX90" s="47">
        <f t="shared" si="74"/>
        <v>0</v>
      </c>
      <c r="AY90" s="47">
        <f t="shared" si="74"/>
        <v>1</v>
      </c>
      <c r="AZ90" s="47">
        <f t="shared" si="74"/>
        <v>0</v>
      </c>
      <c r="BA90" s="47">
        <f t="shared" si="74"/>
        <v>0</v>
      </c>
      <c r="BB90" s="47">
        <f t="shared" si="74"/>
        <v>0</v>
      </c>
      <c r="BC90" s="47">
        <f t="shared" si="74"/>
        <v>0</v>
      </c>
      <c r="BD90" s="47">
        <f t="shared" si="74"/>
        <v>0</v>
      </c>
      <c r="BE90" s="47">
        <f t="shared" si="74"/>
        <v>0</v>
      </c>
      <c r="BF90" s="47">
        <f t="shared" si="74"/>
        <v>0</v>
      </c>
      <c r="BG90" s="47">
        <f t="shared" si="74"/>
        <v>1</v>
      </c>
      <c r="BH90" s="47">
        <f t="shared" si="74"/>
        <v>0</v>
      </c>
      <c r="BI90" s="47">
        <f t="shared" si="52"/>
        <v>1</v>
      </c>
      <c r="BJ90" s="48">
        <v>0</v>
      </c>
      <c r="BK90" s="48">
        <v>0</v>
      </c>
      <c r="BL90" s="48">
        <f t="shared" si="73"/>
        <v>0</v>
      </c>
      <c r="BM90" s="47">
        <f t="shared" si="75"/>
        <v>0</v>
      </c>
      <c r="BN90" s="53">
        <f t="shared" si="54"/>
        <v>0</v>
      </c>
      <c r="BO90" s="53">
        <f t="shared" si="55"/>
        <v>0</v>
      </c>
      <c r="BP90" s="53">
        <f t="shared" si="56"/>
        <v>0</v>
      </c>
      <c r="BQ90" s="53">
        <f t="shared" si="57"/>
        <v>0</v>
      </c>
      <c r="BR90" s="53">
        <f t="shared" si="58"/>
        <v>0</v>
      </c>
      <c r="BS90" s="53">
        <f t="shared" si="59"/>
        <v>0</v>
      </c>
      <c r="BT90" s="53">
        <f t="shared" si="60"/>
        <v>0</v>
      </c>
      <c r="BU90" s="53">
        <f t="shared" si="61"/>
        <v>0</v>
      </c>
      <c r="BV90" s="53">
        <f t="shared" si="62"/>
        <v>0</v>
      </c>
      <c r="BW90" s="53">
        <f t="shared" si="63"/>
        <v>0</v>
      </c>
      <c r="BX90" s="53">
        <f t="shared" si="64"/>
        <v>0</v>
      </c>
      <c r="BY90" s="53">
        <f t="shared" si="65"/>
        <v>0</v>
      </c>
      <c r="BZ90" s="53">
        <f t="shared" si="66"/>
        <v>0</v>
      </c>
      <c r="CA90" s="53">
        <f t="shared" si="67"/>
        <v>0</v>
      </c>
      <c r="CB90" s="53">
        <f t="shared" si="68"/>
        <v>0</v>
      </c>
      <c r="CC90" s="53">
        <f t="shared" si="69"/>
        <v>0</v>
      </c>
      <c r="CD90" s="8">
        <f t="shared" si="70"/>
        <v>591.38474383396033</v>
      </c>
      <c r="CE90" s="8">
        <f t="shared" si="71"/>
        <v>2118.6089044434902</v>
      </c>
      <c r="CF90" s="8">
        <f t="shared" si="72"/>
        <v>86986.25999169868</v>
      </c>
    </row>
    <row r="91" spans="1:84">
      <c r="A91" s="7">
        <f>'Monthly Data'!A91</f>
        <v>43617</v>
      </c>
      <c r="B91" s="6">
        <f>'Monthly Data'!B91</f>
        <v>2019</v>
      </c>
      <c r="C91" s="6">
        <f t="shared" si="50"/>
        <v>6</v>
      </c>
      <c r="D91" s="8">
        <f>'Monthly Data'!D91</f>
        <v>8331102.5462989938</v>
      </c>
      <c r="E91" s="1">
        <f>'Monthly Data'!E91</f>
        <v>605813.83793017792</v>
      </c>
      <c r="F91" s="8">
        <f>'Monthly Data'!F91</f>
        <v>8936916.384229172</v>
      </c>
      <c r="G91" s="8">
        <f>'Monthly Data'!G91</f>
        <v>3448489.9909632192</v>
      </c>
      <c r="H91" s="1">
        <f>'Monthly Data'!H91</f>
        <v>270693.99467576476</v>
      </c>
      <c r="I91" s="8">
        <f>'Monthly Data'!I91</f>
        <v>3719183.985638984</v>
      </c>
      <c r="J91" s="8">
        <f>'Monthly Data'!J91</f>
        <v>10060825.489111267</v>
      </c>
      <c r="K91" s="1">
        <f>'Monthly Data'!K91</f>
        <v>578682.55469858088</v>
      </c>
      <c r="L91" s="8">
        <f>'Monthly Data'!L91</f>
        <v>10639508.043809848</v>
      </c>
      <c r="M91" s="8">
        <f>'Monthly Data'!M91</f>
        <v>71160.610624177993</v>
      </c>
      <c r="N91" s="8">
        <f>'Monthly Data'!N91</f>
        <v>33715.378284647188</v>
      </c>
      <c r="O91" s="5">
        <f>'Monthly Data'!O91</f>
        <v>24029.240000000005</v>
      </c>
      <c r="P91" s="5">
        <f>'Monthly Data'!P91</f>
        <v>281.15999999999997</v>
      </c>
      <c r="Q91" s="8">
        <f>'Monthly Data'!Q91</f>
        <v>15728</v>
      </c>
      <c r="R91" s="8">
        <f>'Monthly Data'!R91</f>
        <v>1766</v>
      </c>
      <c r="S91" s="8">
        <f>'Monthly Data'!S91</f>
        <v>124</v>
      </c>
      <c r="T91" s="8">
        <f>'Monthly Data'!T91</f>
        <v>3261</v>
      </c>
      <c r="U91" s="8">
        <f>'Monthly Data'!U91</f>
        <v>30</v>
      </c>
      <c r="V91" s="45">
        <f>Weather!C211</f>
        <v>15.359999999999998</v>
      </c>
      <c r="W91" s="46">
        <f>Weather!D211</f>
        <v>199.2</v>
      </c>
      <c r="X91" s="46">
        <f>Weather!E211</f>
        <v>0</v>
      </c>
      <c r="Y91" s="46">
        <f>Weather!F211</f>
        <v>143.9</v>
      </c>
      <c r="Z91" s="46">
        <f>Weather!G211</f>
        <v>4.7</v>
      </c>
      <c r="AA91" s="46">
        <f>Weather!H211</f>
        <v>96.1</v>
      </c>
      <c r="AB91" s="46">
        <f>Weather!I211</f>
        <v>16.899999999999999</v>
      </c>
      <c r="AC91" s="46">
        <f>Weather!J211</f>
        <v>53.6</v>
      </c>
      <c r="AD91" s="46">
        <f>Weather!K211</f>
        <v>34.4</v>
      </c>
      <c r="AE91" s="46">
        <f>Weather!L211</f>
        <v>23.2</v>
      </c>
      <c r="AF91" s="46">
        <f>Weather!M211</f>
        <v>64</v>
      </c>
      <c r="AG91" s="46">
        <f>Weather!N211</f>
        <v>7.3</v>
      </c>
      <c r="AH91" s="46">
        <f>Weather!O211</f>
        <v>108.1</v>
      </c>
      <c r="AI91" s="46">
        <f>Weather!P211</f>
        <v>0.3</v>
      </c>
      <c r="AJ91" s="46">
        <f>Weather!Q211</f>
        <v>161.1</v>
      </c>
      <c r="AK91" s="46">
        <f>Weather!R211</f>
        <v>0</v>
      </c>
      <c r="AL91" s="46">
        <f>Weather!S211</f>
        <v>220.8</v>
      </c>
      <c r="AM91" s="43">
        <f>Economic!C91</f>
        <v>747589.4</v>
      </c>
      <c r="AN91" s="43">
        <f>Economic!D91</f>
        <v>7355.7</v>
      </c>
      <c r="AO91" s="43">
        <f>Economic!E91</f>
        <v>7398.9</v>
      </c>
      <c r="AP91" s="43">
        <f>Economic!F91</f>
        <v>115.9</v>
      </c>
      <c r="AQ91" s="43">
        <f>Economic!G91</f>
        <v>115.7</v>
      </c>
      <c r="AR91" s="47">
        <f t="shared" si="49"/>
        <v>30</v>
      </c>
      <c r="AS91" s="47">
        <v>22</v>
      </c>
      <c r="AT91" s="47">
        <f t="shared" si="51"/>
        <v>90</v>
      </c>
      <c r="AU91" s="47">
        <f t="shared" si="74"/>
        <v>0</v>
      </c>
      <c r="AV91" s="47">
        <f t="shared" si="74"/>
        <v>0</v>
      </c>
      <c r="AW91" s="47">
        <f t="shared" si="74"/>
        <v>0</v>
      </c>
      <c r="AX91" s="47">
        <f t="shared" si="74"/>
        <v>0</v>
      </c>
      <c r="AY91" s="47">
        <f t="shared" si="74"/>
        <v>0</v>
      </c>
      <c r="AZ91" s="47">
        <f t="shared" si="74"/>
        <v>1</v>
      </c>
      <c r="BA91" s="47">
        <f t="shared" si="74"/>
        <v>0</v>
      </c>
      <c r="BB91" s="47">
        <f t="shared" si="74"/>
        <v>0</v>
      </c>
      <c r="BC91" s="47">
        <f t="shared" si="74"/>
        <v>0</v>
      </c>
      <c r="BD91" s="47">
        <f t="shared" si="74"/>
        <v>0</v>
      </c>
      <c r="BE91" s="47">
        <f t="shared" si="74"/>
        <v>0</v>
      </c>
      <c r="BF91" s="47">
        <f t="shared" si="74"/>
        <v>0</v>
      </c>
      <c r="BG91" s="47">
        <f t="shared" si="74"/>
        <v>0</v>
      </c>
      <c r="BH91" s="47">
        <f t="shared" si="74"/>
        <v>0</v>
      </c>
      <c r="BI91" s="47">
        <f t="shared" si="52"/>
        <v>0</v>
      </c>
      <c r="BJ91" s="48">
        <v>0</v>
      </c>
      <c r="BK91" s="48">
        <v>0</v>
      </c>
      <c r="BL91" s="48">
        <f t="shared" si="73"/>
        <v>0</v>
      </c>
      <c r="BM91" s="47">
        <f t="shared" si="75"/>
        <v>0</v>
      </c>
      <c r="BN91" s="53">
        <f t="shared" si="54"/>
        <v>0</v>
      </c>
      <c r="BO91" s="53">
        <f t="shared" si="55"/>
        <v>0</v>
      </c>
      <c r="BP91" s="53">
        <f t="shared" si="56"/>
        <v>0</v>
      </c>
      <c r="BQ91" s="53">
        <f t="shared" si="57"/>
        <v>0</v>
      </c>
      <c r="BR91" s="53">
        <f t="shared" si="58"/>
        <v>0</v>
      </c>
      <c r="BS91" s="53">
        <f t="shared" si="59"/>
        <v>0</v>
      </c>
      <c r="BT91" s="53">
        <f t="shared" si="60"/>
        <v>0</v>
      </c>
      <c r="BU91" s="53">
        <f t="shared" si="61"/>
        <v>0</v>
      </c>
      <c r="BV91" s="53">
        <f t="shared" si="62"/>
        <v>0</v>
      </c>
      <c r="BW91" s="53">
        <f t="shared" si="63"/>
        <v>0</v>
      </c>
      <c r="BX91" s="53">
        <f t="shared" si="64"/>
        <v>0</v>
      </c>
      <c r="BY91" s="53">
        <f t="shared" si="65"/>
        <v>0</v>
      </c>
      <c r="BZ91" s="53">
        <f t="shared" si="66"/>
        <v>0</v>
      </c>
      <c r="CA91" s="53">
        <f t="shared" si="67"/>
        <v>0</v>
      </c>
      <c r="CB91" s="53">
        <f t="shared" si="68"/>
        <v>0</v>
      </c>
      <c r="CC91" s="53">
        <f t="shared" si="69"/>
        <v>0</v>
      </c>
      <c r="CD91" s="8">
        <f t="shared" si="70"/>
        <v>568.21696237469303</v>
      </c>
      <c r="CE91" s="8">
        <f t="shared" si="71"/>
        <v>2105.9931968510668</v>
      </c>
      <c r="CF91" s="8">
        <f t="shared" si="72"/>
        <v>85802.484224272965</v>
      </c>
    </row>
    <row r="92" spans="1:84">
      <c r="A92" s="7">
        <f>'Monthly Data'!A92</f>
        <v>43647</v>
      </c>
      <c r="B92" s="6">
        <f>'Monthly Data'!B92</f>
        <v>2019</v>
      </c>
      <c r="C92" s="6">
        <f t="shared" si="50"/>
        <v>7</v>
      </c>
      <c r="D92" s="8">
        <f>'Monthly Data'!D92</f>
        <v>10609156.907327704</v>
      </c>
      <c r="E92" s="1">
        <f>'Monthly Data'!E92</f>
        <v>605813.83793017792</v>
      </c>
      <c r="F92" s="8">
        <f>'Monthly Data'!F92</f>
        <v>11214970.745257882</v>
      </c>
      <c r="G92" s="8">
        <f>'Monthly Data'!G92</f>
        <v>4014350.0624655569</v>
      </c>
      <c r="H92" s="1">
        <f>'Monthly Data'!H92</f>
        <v>270693.99467576476</v>
      </c>
      <c r="I92" s="8">
        <f>'Monthly Data'!I92</f>
        <v>4285044.0571413217</v>
      </c>
      <c r="J92" s="8">
        <f>'Monthly Data'!J92</f>
        <v>10411256.698898302</v>
      </c>
      <c r="K92" s="1">
        <f>'Monthly Data'!K92</f>
        <v>578682.55469858088</v>
      </c>
      <c r="L92" s="8">
        <f>'Monthly Data'!L92</f>
        <v>10989939.253596883</v>
      </c>
      <c r="M92" s="8">
        <f>'Monthly Data'!M92</f>
        <v>76351.305884360918</v>
      </c>
      <c r="N92" s="8">
        <f>'Monthly Data'!N92</f>
        <v>31669.642501445029</v>
      </c>
      <c r="O92" s="5">
        <f>'Monthly Data'!O92</f>
        <v>24951.919999999998</v>
      </c>
      <c r="P92" s="5">
        <f>'Monthly Data'!P92</f>
        <v>281.15999999999997</v>
      </c>
      <c r="Q92" s="8">
        <f>'Monthly Data'!Q92</f>
        <v>15749</v>
      </c>
      <c r="R92" s="8">
        <f>'Monthly Data'!R92</f>
        <v>1757</v>
      </c>
      <c r="S92" s="8">
        <f>'Monthly Data'!S92</f>
        <v>124</v>
      </c>
      <c r="T92" s="8">
        <f>'Monthly Data'!T92</f>
        <v>3261</v>
      </c>
      <c r="U92" s="8">
        <f>'Monthly Data'!U92</f>
        <v>30</v>
      </c>
      <c r="V92" s="45">
        <f>Weather!C212</f>
        <v>21.268278561885225</v>
      </c>
      <c r="W92" s="46">
        <f>Weather!D212</f>
        <v>54.6</v>
      </c>
      <c r="X92" s="46">
        <f>Weather!E212</f>
        <v>31.9</v>
      </c>
      <c r="Y92" s="46">
        <f>Weather!F212</f>
        <v>23</v>
      </c>
      <c r="Z92" s="46">
        <f>Weather!G212</f>
        <v>62.3</v>
      </c>
      <c r="AA92" s="46">
        <f>Weather!H212</f>
        <v>4</v>
      </c>
      <c r="AB92" s="46">
        <f>Weather!I212</f>
        <v>105.3</v>
      </c>
      <c r="AC92" s="46">
        <f>Weather!J212</f>
        <v>0</v>
      </c>
      <c r="AD92" s="46">
        <f>Weather!K212</f>
        <v>163.30000000000001</v>
      </c>
      <c r="AE92" s="46">
        <f>Weather!L212</f>
        <v>0</v>
      </c>
      <c r="AF92" s="46">
        <f>Weather!M212</f>
        <v>225.3</v>
      </c>
      <c r="AG92" s="46">
        <f>Weather!N212</f>
        <v>0</v>
      </c>
      <c r="AH92" s="46">
        <f>Weather!O212</f>
        <v>287.3</v>
      </c>
      <c r="AI92" s="46">
        <f>Weather!P212</f>
        <v>0</v>
      </c>
      <c r="AJ92" s="46">
        <f>Weather!Q212</f>
        <v>349.3</v>
      </c>
      <c r="AK92" s="46">
        <f>Weather!R212</f>
        <v>0</v>
      </c>
      <c r="AL92" s="46">
        <f>Weather!S212</f>
        <v>411.3</v>
      </c>
      <c r="AM92" s="43">
        <f>Economic!C92</f>
        <v>747589.4</v>
      </c>
      <c r="AN92" s="43">
        <f>Economic!D92</f>
        <v>7357.8</v>
      </c>
      <c r="AO92" s="43">
        <f>Economic!E92</f>
        <v>7452.4</v>
      </c>
      <c r="AP92" s="43">
        <f>Economic!F92</f>
        <v>114.8</v>
      </c>
      <c r="AQ92" s="43">
        <f>Economic!G92</f>
        <v>118.2</v>
      </c>
      <c r="AR92" s="47">
        <f t="shared" si="49"/>
        <v>31</v>
      </c>
      <c r="AS92" s="47">
        <v>20</v>
      </c>
      <c r="AT92" s="47">
        <f t="shared" si="51"/>
        <v>91</v>
      </c>
      <c r="AU92" s="47">
        <f t="shared" ref="AU92:BH107" si="76">AU80</f>
        <v>0</v>
      </c>
      <c r="AV92" s="47">
        <f t="shared" si="76"/>
        <v>0</v>
      </c>
      <c r="AW92" s="47">
        <f t="shared" si="76"/>
        <v>0</v>
      </c>
      <c r="AX92" s="47">
        <f t="shared" si="76"/>
        <v>0</v>
      </c>
      <c r="AY92" s="47">
        <f t="shared" si="76"/>
        <v>0</v>
      </c>
      <c r="AZ92" s="47">
        <f t="shared" si="76"/>
        <v>0</v>
      </c>
      <c r="BA92" s="47">
        <f t="shared" si="76"/>
        <v>1</v>
      </c>
      <c r="BB92" s="47">
        <f t="shared" si="76"/>
        <v>0</v>
      </c>
      <c r="BC92" s="47">
        <f t="shared" si="76"/>
        <v>0</v>
      </c>
      <c r="BD92" s="47">
        <f t="shared" si="76"/>
        <v>0</v>
      </c>
      <c r="BE92" s="47">
        <f t="shared" si="76"/>
        <v>0</v>
      </c>
      <c r="BF92" s="47">
        <f t="shared" si="76"/>
        <v>0</v>
      </c>
      <c r="BG92" s="47">
        <f t="shared" si="76"/>
        <v>0</v>
      </c>
      <c r="BH92" s="47">
        <f t="shared" si="76"/>
        <v>0</v>
      </c>
      <c r="BI92" s="47">
        <f t="shared" si="52"/>
        <v>0</v>
      </c>
      <c r="BJ92" s="48">
        <v>0</v>
      </c>
      <c r="BK92" s="48">
        <v>0</v>
      </c>
      <c r="BL92" s="48">
        <f t="shared" si="73"/>
        <v>0</v>
      </c>
      <c r="BM92" s="47">
        <f t="shared" si="75"/>
        <v>0</v>
      </c>
      <c r="BN92" s="53">
        <f t="shared" si="54"/>
        <v>0</v>
      </c>
      <c r="BO92" s="53">
        <f t="shared" si="55"/>
        <v>0</v>
      </c>
      <c r="BP92" s="53">
        <f t="shared" si="56"/>
        <v>0</v>
      </c>
      <c r="BQ92" s="53">
        <f t="shared" si="57"/>
        <v>0</v>
      </c>
      <c r="BR92" s="53">
        <f t="shared" si="58"/>
        <v>0</v>
      </c>
      <c r="BS92" s="53">
        <f t="shared" si="59"/>
        <v>0</v>
      </c>
      <c r="BT92" s="53">
        <f t="shared" si="60"/>
        <v>0</v>
      </c>
      <c r="BU92" s="53">
        <f t="shared" si="61"/>
        <v>0</v>
      </c>
      <c r="BV92" s="53">
        <f t="shared" si="62"/>
        <v>0</v>
      </c>
      <c r="BW92" s="53">
        <f t="shared" si="63"/>
        <v>0</v>
      </c>
      <c r="BX92" s="53">
        <f t="shared" si="64"/>
        <v>0</v>
      </c>
      <c r="BY92" s="53">
        <f t="shared" si="65"/>
        <v>0</v>
      </c>
      <c r="BZ92" s="53">
        <f t="shared" si="66"/>
        <v>0</v>
      </c>
      <c r="CA92" s="53">
        <f t="shared" si="67"/>
        <v>0</v>
      </c>
      <c r="CB92" s="53">
        <f t="shared" si="68"/>
        <v>0</v>
      </c>
      <c r="CC92" s="53">
        <f t="shared" si="69"/>
        <v>0</v>
      </c>
      <c r="CD92" s="8">
        <f t="shared" si="70"/>
        <v>712.10684775273876</v>
      </c>
      <c r="CE92" s="8">
        <f t="shared" si="71"/>
        <v>2438.8412391242582</v>
      </c>
      <c r="CF92" s="8">
        <f t="shared" si="72"/>
        <v>88628.5423677168</v>
      </c>
    </row>
    <row r="93" spans="1:84">
      <c r="A93" s="7">
        <f>'Monthly Data'!A93</f>
        <v>43678</v>
      </c>
      <c r="B93" s="6">
        <f>'Monthly Data'!B93</f>
        <v>2019</v>
      </c>
      <c r="C93" s="6">
        <f t="shared" si="50"/>
        <v>8</v>
      </c>
      <c r="D93" s="8">
        <f>'Monthly Data'!D93</f>
        <v>9801261.3353332076</v>
      </c>
      <c r="E93" s="1">
        <f>'Monthly Data'!E93</f>
        <v>605813.83793017792</v>
      </c>
      <c r="F93" s="8">
        <f>'Monthly Data'!F93</f>
        <v>10407075.173263386</v>
      </c>
      <c r="G93" s="8">
        <f>'Monthly Data'!G93</f>
        <v>3882002.7717145048</v>
      </c>
      <c r="H93" s="1">
        <f>'Monthly Data'!H93</f>
        <v>270693.99467576476</v>
      </c>
      <c r="I93" s="8">
        <f>'Monthly Data'!I93</f>
        <v>4152696.7663902696</v>
      </c>
      <c r="J93" s="8">
        <f>'Monthly Data'!J93</f>
        <v>10709168.986959817</v>
      </c>
      <c r="K93" s="1">
        <f>'Monthly Data'!K93</f>
        <v>578682.55469858088</v>
      </c>
      <c r="L93" s="8">
        <f>'Monthly Data'!L93</f>
        <v>11287851.541658398</v>
      </c>
      <c r="M93" s="8">
        <f>'Monthly Data'!M93</f>
        <v>86315.117918134973</v>
      </c>
      <c r="N93" s="8">
        <f>'Monthly Data'!N93</f>
        <v>34025.156570154941</v>
      </c>
      <c r="O93" s="5">
        <f>'Monthly Data'!O93</f>
        <v>26294.26</v>
      </c>
      <c r="P93" s="5">
        <f>'Monthly Data'!P93</f>
        <v>281.15999999999997</v>
      </c>
      <c r="Q93" s="8">
        <f>'Monthly Data'!Q93</f>
        <v>15732</v>
      </c>
      <c r="R93" s="8">
        <f>'Monthly Data'!R93</f>
        <v>1746</v>
      </c>
      <c r="S93" s="8">
        <f>'Monthly Data'!S93</f>
        <v>124</v>
      </c>
      <c r="T93" s="8">
        <f>'Monthly Data'!T93</f>
        <v>3261</v>
      </c>
      <c r="U93" s="8">
        <f>'Monthly Data'!U93</f>
        <v>30</v>
      </c>
      <c r="V93" s="45">
        <f>Weather!C213</f>
        <v>19.593548387096778</v>
      </c>
      <c r="W93" s="46">
        <f>Weather!D213</f>
        <v>77</v>
      </c>
      <c r="X93" s="46">
        <f>Weather!E213</f>
        <v>2.4</v>
      </c>
      <c r="Y93" s="46">
        <f>Weather!F213</f>
        <v>30.3</v>
      </c>
      <c r="Z93" s="46">
        <f>Weather!G213</f>
        <v>17.7</v>
      </c>
      <c r="AA93" s="46">
        <f>Weather!H213</f>
        <v>7.3</v>
      </c>
      <c r="AB93" s="46">
        <f>Weather!I213</f>
        <v>56.7</v>
      </c>
      <c r="AC93" s="46">
        <f>Weather!J213</f>
        <v>0</v>
      </c>
      <c r="AD93" s="46">
        <f>Weather!K213</f>
        <v>111.4</v>
      </c>
      <c r="AE93" s="46">
        <f>Weather!L213</f>
        <v>0</v>
      </c>
      <c r="AF93" s="46">
        <f>Weather!M213</f>
        <v>173.4</v>
      </c>
      <c r="AG93" s="46">
        <f>Weather!N213</f>
        <v>0</v>
      </c>
      <c r="AH93" s="46">
        <f>Weather!O213</f>
        <v>235.4</v>
      </c>
      <c r="AI93" s="46">
        <f>Weather!P213</f>
        <v>0</v>
      </c>
      <c r="AJ93" s="46">
        <f>Weather!Q213</f>
        <v>297.39999999999998</v>
      </c>
      <c r="AK93" s="46">
        <f>Weather!R213</f>
        <v>0</v>
      </c>
      <c r="AL93" s="46">
        <f>Weather!S213</f>
        <v>359.4</v>
      </c>
      <c r="AM93" s="43">
        <f>Economic!C93</f>
        <v>747589.4</v>
      </c>
      <c r="AN93" s="43">
        <f>Economic!D93</f>
        <v>7373.4</v>
      </c>
      <c r="AO93" s="43">
        <f>Economic!E93</f>
        <v>7472.4</v>
      </c>
      <c r="AP93" s="43">
        <f>Economic!F93</f>
        <v>113.9</v>
      </c>
      <c r="AQ93" s="43">
        <f>Economic!G93</f>
        <v>119.1</v>
      </c>
      <c r="AR93" s="47">
        <f t="shared" si="49"/>
        <v>31</v>
      </c>
      <c r="AS93" s="47">
        <v>22</v>
      </c>
      <c r="AT93" s="47">
        <f t="shared" si="51"/>
        <v>92</v>
      </c>
      <c r="AU93" s="47">
        <f t="shared" si="76"/>
        <v>0</v>
      </c>
      <c r="AV93" s="47">
        <f t="shared" si="76"/>
        <v>0</v>
      </c>
      <c r="AW93" s="47">
        <f t="shared" si="76"/>
        <v>0</v>
      </c>
      <c r="AX93" s="47">
        <f t="shared" si="76"/>
        <v>0</v>
      </c>
      <c r="AY93" s="47">
        <f t="shared" si="76"/>
        <v>0</v>
      </c>
      <c r="AZ93" s="47">
        <f t="shared" si="76"/>
        <v>0</v>
      </c>
      <c r="BA93" s="47">
        <f t="shared" si="76"/>
        <v>0</v>
      </c>
      <c r="BB93" s="47">
        <f t="shared" si="76"/>
        <v>1</v>
      </c>
      <c r="BC93" s="47">
        <f t="shared" si="76"/>
        <v>0</v>
      </c>
      <c r="BD93" s="47">
        <f t="shared" si="76"/>
        <v>0</v>
      </c>
      <c r="BE93" s="47">
        <f t="shared" si="76"/>
        <v>0</v>
      </c>
      <c r="BF93" s="47">
        <f t="shared" si="76"/>
        <v>0</v>
      </c>
      <c r="BG93" s="47">
        <f t="shared" si="76"/>
        <v>0</v>
      </c>
      <c r="BH93" s="47">
        <f t="shared" si="76"/>
        <v>0</v>
      </c>
      <c r="BI93" s="47">
        <f t="shared" si="52"/>
        <v>0</v>
      </c>
      <c r="BJ93" s="48">
        <v>0</v>
      </c>
      <c r="BK93" s="48">
        <v>0</v>
      </c>
      <c r="BL93" s="48">
        <f t="shared" si="73"/>
        <v>0</v>
      </c>
      <c r="BM93" s="47">
        <f t="shared" si="75"/>
        <v>0</v>
      </c>
      <c r="BN93" s="53">
        <f t="shared" si="54"/>
        <v>0</v>
      </c>
      <c r="BO93" s="53">
        <f t="shared" si="55"/>
        <v>0</v>
      </c>
      <c r="BP93" s="53">
        <f t="shared" si="56"/>
        <v>0</v>
      </c>
      <c r="BQ93" s="53">
        <f t="shared" si="57"/>
        <v>0</v>
      </c>
      <c r="BR93" s="53">
        <f t="shared" si="58"/>
        <v>0</v>
      </c>
      <c r="BS93" s="53">
        <f t="shared" si="59"/>
        <v>0</v>
      </c>
      <c r="BT93" s="53">
        <f t="shared" si="60"/>
        <v>0</v>
      </c>
      <c r="BU93" s="53">
        <f t="shared" si="61"/>
        <v>0</v>
      </c>
      <c r="BV93" s="53">
        <f t="shared" si="62"/>
        <v>0</v>
      </c>
      <c r="BW93" s="53">
        <f t="shared" si="63"/>
        <v>0</v>
      </c>
      <c r="BX93" s="53">
        <f t="shared" si="64"/>
        <v>0</v>
      </c>
      <c r="BY93" s="53">
        <f t="shared" si="65"/>
        <v>0</v>
      </c>
      <c r="BZ93" s="53">
        <f t="shared" si="66"/>
        <v>0</v>
      </c>
      <c r="CA93" s="53">
        <f t="shared" si="67"/>
        <v>0</v>
      </c>
      <c r="CB93" s="53">
        <f t="shared" si="68"/>
        <v>0</v>
      </c>
      <c r="CC93" s="53">
        <f t="shared" si="69"/>
        <v>0</v>
      </c>
      <c r="CD93" s="8">
        <f t="shared" si="70"/>
        <v>661.52270361450462</v>
      </c>
      <c r="CE93" s="8">
        <f t="shared" si="71"/>
        <v>2378.4059372223765</v>
      </c>
      <c r="CF93" s="8">
        <f t="shared" si="72"/>
        <v>91031.060819825783</v>
      </c>
    </row>
    <row r="94" spans="1:84">
      <c r="A94" s="7">
        <f>'Monthly Data'!A94</f>
        <v>43709</v>
      </c>
      <c r="B94" s="6">
        <f>'Monthly Data'!B94</f>
        <v>2019</v>
      </c>
      <c r="C94" s="6">
        <f t="shared" si="50"/>
        <v>9</v>
      </c>
      <c r="D94" s="8">
        <f>'Monthly Data'!D94</f>
        <v>8061127.0845380994</v>
      </c>
      <c r="E94" s="1">
        <f>'Monthly Data'!E94</f>
        <v>605813.83793017792</v>
      </c>
      <c r="F94" s="8">
        <f>'Monthly Data'!F94</f>
        <v>8666940.9224682767</v>
      </c>
      <c r="G94" s="8">
        <f>'Monthly Data'!G94</f>
        <v>3448393.0346508492</v>
      </c>
      <c r="H94" s="1">
        <f>'Monthly Data'!H94</f>
        <v>270693.99467576476</v>
      </c>
      <c r="I94" s="8">
        <f>'Monthly Data'!I94</f>
        <v>3719087.029326614</v>
      </c>
      <c r="J94" s="8">
        <f>'Monthly Data'!J94</f>
        <v>10395119.136384932</v>
      </c>
      <c r="K94" s="1">
        <f>'Monthly Data'!K94</f>
        <v>578682.55469858088</v>
      </c>
      <c r="L94" s="8">
        <f>'Monthly Data'!L94</f>
        <v>10973801.691083513</v>
      </c>
      <c r="M94" s="8">
        <f>'Monthly Data'!M94</f>
        <v>95972.641245745617</v>
      </c>
      <c r="N94" s="8">
        <f>'Monthly Data'!N94</f>
        <v>33656.943757960209</v>
      </c>
      <c r="O94" s="5">
        <f>'Monthly Data'!O94</f>
        <v>25467.440000000006</v>
      </c>
      <c r="P94" s="5">
        <f>'Monthly Data'!P94</f>
        <v>281.15999999999997</v>
      </c>
      <c r="Q94" s="8">
        <f>'Monthly Data'!Q94</f>
        <v>15807</v>
      </c>
      <c r="R94" s="8">
        <f>'Monthly Data'!R94</f>
        <v>1753</v>
      </c>
      <c r="S94" s="8">
        <f>'Monthly Data'!S94</f>
        <v>127</v>
      </c>
      <c r="T94" s="8">
        <f>'Monthly Data'!T94</f>
        <v>3261</v>
      </c>
      <c r="U94" s="8">
        <f>'Monthly Data'!U94</f>
        <v>30</v>
      </c>
      <c r="V94" s="45">
        <f>Weather!C214</f>
        <v>16.440000000000001</v>
      </c>
      <c r="W94" s="46">
        <f>Weather!D214</f>
        <v>169.3</v>
      </c>
      <c r="X94" s="46">
        <f>Weather!E214</f>
        <v>2.5</v>
      </c>
      <c r="Y94" s="46">
        <f>Weather!F214</f>
        <v>112.2</v>
      </c>
      <c r="Z94" s="46">
        <f>Weather!G214</f>
        <v>5.4</v>
      </c>
      <c r="AA94" s="46">
        <f>Weather!H214</f>
        <v>61.6</v>
      </c>
      <c r="AB94" s="46">
        <f>Weather!I214</f>
        <v>14.8</v>
      </c>
      <c r="AC94" s="46">
        <f>Weather!J214</f>
        <v>25.8</v>
      </c>
      <c r="AD94" s="46">
        <f>Weather!K214</f>
        <v>39</v>
      </c>
      <c r="AE94" s="46">
        <f>Weather!L214</f>
        <v>7</v>
      </c>
      <c r="AF94" s="46">
        <f>Weather!M214</f>
        <v>80.2</v>
      </c>
      <c r="AG94" s="46">
        <f>Weather!N214</f>
        <v>0.2</v>
      </c>
      <c r="AH94" s="46">
        <f>Weather!O214</f>
        <v>133.4</v>
      </c>
      <c r="AI94" s="46">
        <f>Weather!P214</f>
        <v>0</v>
      </c>
      <c r="AJ94" s="46">
        <f>Weather!Q214</f>
        <v>193.2</v>
      </c>
      <c r="AK94" s="46">
        <f>Weather!R214</f>
        <v>0</v>
      </c>
      <c r="AL94" s="46">
        <f>Weather!S214</f>
        <v>253.2</v>
      </c>
      <c r="AM94" s="43">
        <f>Economic!C94</f>
        <v>747589.4</v>
      </c>
      <c r="AN94" s="43">
        <f>Economic!D94</f>
        <v>7399.5</v>
      </c>
      <c r="AO94" s="43">
        <f>Economic!E94</f>
        <v>7464.3</v>
      </c>
      <c r="AP94" s="43">
        <f>Economic!F94</f>
        <v>113.5</v>
      </c>
      <c r="AQ94" s="43">
        <f>Economic!G94</f>
        <v>116.9</v>
      </c>
      <c r="AR94" s="47">
        <f t="shared" si="49"/>
        <v>30</v>
      </c>
      <c r="AS94" s="47">
        <v>20</v>
      </c>
      <c r="AT94" s="47">
        <f t="shared" si="51"/>
        <v>93</v>
      </c>
      <c r="AU94" s="47">
        <f t="shared" si="76"/>
        <v>0</v>
      </c>
      <c r="AV94" s="47">
        <f t="shared" si="76"/>
        <v>0</v>
      </c>
      <c r="AW94" s="47">
        <f t="shared" si="76"/>
        <v>0</v>
      </c>
      <c r="AX94" s="47">
        <f t="shared" si="76"/>
        <v>0</v>
      </c>
      <c r="AY94" s="47">
        <f t="shared" si="76"/>
        <v>0</v>
      </c>
      <c r="AZ94" s="47">
        <f t="shared" si="76"/>
        <v>0</v>
      </c>
      <c r="BA94" s="47">
        <f t="shared" si="76"/>
        <v>0</v>
      </c>
      <c r="BB94" s="47">
        <f t="shared" si="76"/>
        <v>0</v>
      </c>
      <c r="BC94" s="47">
        <f t="shared" si="76"/>
        <v>1</v>
      </c>
      <c r="BD94" s="47">
        <f t="shared" si="76"/>
        <v>0</v>
      </c>
      <c r="BE94" s="47">
        <f t="shared" si="76"/>
        <v>0</v>
      </c>
      <c r="BF94" s="47">
        <f t="shared" si="76"/>
        <v>0</v>
      </c>
      <c r="BG94" s="47">
        <f t="shared" si="76"/>
        <v>0</v>
      </c>
      <c r="BH94" s="47">
        <f t="shared" si="76"/>
        <v>1</v>
      </c>
      <c r="BI94" s="47">
        <f t="shared" si="52"/>
        <v>1</v>
      </c>
      <c r="BJ94" s="48">
        <v>0</v>
      </c>
      <c r="BK94" s="48">
        <v>0</v>
      </c>
      <c r="BL94" s="48">
        <f t="shared" si="73"/>
        <v>0</v>
      </c>
      <c r="BM94" s="47">
        <f t="shared" si="75"/>
        <v>0</v>
      </c>
      <c r="BN94" s="53">
        <f t="shared" si="54"/>
        <v>0</v>
      </c>
      <c r="BO94" s="53">
        <f t="shared" si="55"/>
        <v>0</v>
      </c>
      <c r="BP94" s="53">
        <f t="shared" si="56"/>
        <v>0</v>
      </c>
      <c r="BQ94" s="53">
        <f t="shared" si="57"/>
        <v>0</v>
      </c>
      <c r="BR94" s="53">
        <f t="shared" si="58"/>
        <v>0</v>
      </c>
      <c r="BS94" s="53">
        <f t="shared" si="59"/>
        <v>0</v>
      </c>
      <c r="BT94" s="53">
        <f t="shared" si="60"/>
        <v>0</v>
      </c>
      <c r="BU94" s="53">
        <f t="shared" si="61"/>
        <v>0</v>
      </c>
      <c r="BV94" s="53">
        <f t="shared" si="62"/>
        <v>0</v>
      </c>
      <c r="BW94" s="53">
        <f t="shared" si="63"/>
        <v>0</v>
      </c>
      <c r="BX94" s="53">
        <f t="shared" si="64"/>
        <v>0</v>
      </c>
      <c r="BY94" s="53">
        <f t="shared" si="65"/>
        <v>0</v>
      </c>
      <c r="BZ94" s="53">
        <f t="shared" si="66"/>
        <v>0</v>
      </c>
      <c r="CA94" s="53">
        <f t="shared" si="67"/>
        <v>0</v>
      </c>
      <c r="CB94" s="53">
        <f t="shared" si="68"/>
        <v>0</v>
      </c>
      <c r="CC94" s="53">
        <f t="shared" si="69"/>
        <v>0</v>
      </c>
      <c r="CD94" s="8">
        <f t="shared" si="70"/>
        <v>548.29764803367345</v>
      </c>
      <c r="CE94" s="8">
        <f t="shared" si="71"/>
        <v>2121.5556356683478</v>
      </c>
      <c r="CF94" s="8">
        <f t="shared" si="72"/>
        <v>86407.887331366248</v>
      </c>
    </row>
    <row r="95" spans="1:84">
      <c r="A95" s="7">
        <f>'Monthly Data'!A95</f>
        <v>43739</v>
      </c>
      <c r="B95" s="6">
        <f>'Monthly Data'!B95</f>
        <v>2019</v>
      </c>
      <c r="C95" s="6">
        <f t="shared" si="50"/>
        <v>10</v>
      </c>
      <c r="D95" s="8">
        <f>'Monthly Data'!D95</f>
        <v>8747393.621830821</v>
      </c>
      <c r="E95" s="1">
        <f>'Monthly Data'!E95</f>
        <v>605813.83793017792</v>
      </c>
      <c r="F95" s="8">
        <f>'Monthly Data'!F95</f>
        <v>9353207.4597609993</v>
      </c>
      <c r="G95" s="8">
        <f>'Monthly Data'!G95</f>
        <v>3461001.7663835487</v>
      </c>
      <c r="H95" s="1">
        <f>'Monthly Data'!H95</f>
        <v>270693.99467576476</v>
      </c>
      <c r="I95" s="8">
        <f>'Monthly Data'!I95</f>
        <v>3731695.7610593135</v>
      </c>
      <c r="J95" s="8">
        <f>'Monthly Data'!J95</f>
        <v>10416127.544557648</v>
      </c>
      <c r="K95" s="1">
        <f>'Monthly Data'!K95</f>
        <v>578682.55469858088</v>
      </c>
      <c r="L95" s="8">
        <f>'Monthly Data'!L95</f>
        <v>10994810.099256229</v>
      </c>
      <c r="M95" s="8">
        <f>'Monthly Data'!M95</f>
        <v>112570.42824011325</v>
      </c>
      <c r="N95" s="8">
        <f>'Monthly Data'!N95</f>
        <v>32913.391456526915</v>
      </c>
      <c r="O95" s="5">
        <f>'Monthly Data'!O95</f>
        <v>26140.640000000003</v>
      </c>
      <c r="P95" s="5">
        <f>'Monthly Data'!P95</f>
        <v>281.15999999999997</v>
      </c>
      <c r="Q95" s="8">
        <f>'Monthly Data'!Q95</f>
        <v>15811</v>
      </c>
      <c r="R95" s="8">
        <f>'Monthly Data'!R95</f>
        <v>1788</v>
      </c>
      <c r="S95" s="8">
        <f>'Monthly Data'!S95</f>
        <v>129</v>
      </c>
      <c r="T95" s="8">
        <f>'Monthly Data'!T95</f>
        <v>3261</v>
      </c>
      <c r="U95" s="8">
        <f>'Monthly Data'!U95</f>
        <v>30</v>
      </c>
      <c r="V95" s="45">
        <f>Weather!C215</f>
        <v>9.9741935483870972</v>
      </c>
      <c r="W95" s="46">
        <f>Weather!D215</f>
        <v>372.8</v>
      </c>
      <c r="X95" s="46">
        <f>Weather!E215</f>
        <v>0</v>
      </c>
      <c r="Y95" s="46">
        <f>Weather!F215</f>
        <v>312.60000000000002</v>
      </c>
      <c r="Z95" s="46">
        <f>Weather!G215</f>
        <v>1.8</v>
      </c>
      <c r="AA95" s="46">
        <f>Weather!H215</f>
        <v>252.6</v>
      </c>
      <c r="AB95" s="46">
        <f>Weather!I215</f>
        <v>3.8</v>
      </c>
      <c r="AC95" s="46">
        <f>Weather!J215</f>
        <v>192.6</v>
      </c>
      <c r="AD95" s="46">
        <f>Weather!K215</f>
        <v>5.8</v>
      </c>
      <c r="AE95" s="46">
        <f>Weather!L215</f>
        <v>134.69999999999999</v>
      </c>
      <c r="AF95" s="46">
        <f>Weather!M215</f>
        <v>9.9</v>
      </c>
      <c r="AG95" s="46">
        <f>Weather!N215</f>
        <v>81.099999999999994</v>
      </c>
      <c r="AH95" s="46">
        <f>Weather!O215</f>
        <v>18.3</v>
      </c>
      <c r="AI95" s="46">
        <f>Weather!P215</f>
        <v>41.7</v>
      </c>
      <c r="AJ95" s="46">
        <f>Weather!Q215</f>
        <v>40.9</v>
      </c>
      <c r="AK95" s="46">
        <f>Weather!R215</f>
        <v>14.9</v>
      </c>
      <c r="AL95" s="46">
        <f>Weather!S215</f>
        <v>76.099999999999994</v>
      </c>
      <c r="AM95" s="43">
        <f>Economic!C95</f>
        <v>747589.4</v>
      </c>
      <c r="AN95" s="43">
        <f>Economic!D95</f>
        <v>7425.4</v>
      </c>
      <c r="AO95" s="43">
        <f>Economic!E95</f>
        <v>7466.9</v>
      </c>
      <c r="AP95" s="43">
        <f>Economic!F95</f>
        <v>118.2</v>
      </c>
      <c r="AQ95" s="43">
        <f>Economic!G95</f>
        <v>119.9</v>
      </c>
      <c r="AR95" s="47">
        <f t="shared" si="49"/>
        <v>31</v>
      </c>
      <c r="AS95" s="47">
        <v>21</v>
      </c>
      <c r="AT95" s="47">
        <f t="shared" si="51"/>
        <v>94</v>
      </c>
      <c r="AU95" s="47">
        <f t="shared" si="76"/>
        <v>0</v>
      </c>
      <c r="AV95" s="47">
        <f t="shared" si="76"/>
        <v>0</v>
      </c>
      <c r="AW95" s="47">
        <f t="shared" si="76"/>
        <v>0</v>
      </c>
      <c r="AX95" s="47">
        <f t="shared" si="76"/>
        <v>0</v>
      </c>
      <c r="AY95" s="47">
        <f t="shared" si="76"/>
        <v>0</v>
      </c>
      <c r="AZ95" s="47">
        <f t="shared" si="76"/>
        <v>0</v>
      </c>
      <c r="BA95" s="47">
        <f t="shared" si="76"/>
        <v>0</v>
      </c>
      <c r="BB95" s="47">
        <f t="shared" si="76"/>
        <v>0</v>
      </c>
      <c r="BC95" s="47">
        <f t="shared" si="76"/>
        <v>0</v>
      </c>
      <c r="BD95" s="47">
        <f t="shared" si="76"/>
        <v>1</v>
      </c>
      <c r="BE95" s="47">
        <f t="shared" si="76"/>
        <v>0</v>
      </c>
      <c r="BF95" s="47">
        <f t="shared" si="76"/>
        <v>0</v>
      </c>
      <c r="BG95" s="47">
        <f t="shared" si="76"/>
        <v>0</v>
      </c>
      <c r="BH95" s="47">
        <f t="shared" si="76"/>
        <v>1</v>
      </c>
      <c r="BI95" s="47">
        <f t="shared" si="52"/>
        <v>1</v>
      </c>
      <c r="BJ95" s="48">
        <v>0</v>
      </c>
      <c r="BK95" s="48">
        <v>0</v>
      </c>
      <c r="BL95" s="48">
        <f t="shared" si="73"/>
        <v>0</v>
      </c>
      <c r="BM95" s="47">
        <f t="shared" si="75"/>
        <v>0</v>
      </c>
      <c r="BN95" s="53">
        <f t="shared" si="54"/>
        <v>0</v>
      </c>
      <c r="BO95" s="53">
        <f t="shared" si="55"/>
        <v>0</v>
      </c>
      <c r="BP95" s="53">
        <f t="shared" si="56"/>
        <v>0</v>
      </c>
      <c r="BQ95" s="53">
        <f t="shared" si="57"/>
        <v>0</v>
      </c>
      <c r="BR95" s="53">
        <f t="shared" si="58"/>
        <v>0</v>
      </c>
      <c r="BS95" s="53">
        <f t="shared" si="59"/>
        <v>0</v>
      </c>
      <c r="BT95" s="53">
        <f t="shared" si="60"/>
        <v>0</v>
      </c>
      <c r="BU95" s="53">
        <f t="shared" si="61"/>
        <v>0</v>
      </c>
      <c r="BV95" s="53">
        <f t="shared" si="62"/>
        <v>0</v>
      </c>
      <c r="BW95" s="53">
        <f t="shared" si="63"/>
        <v>0</v>
      </c>
      <c r="BX95" s="53">
        <f t="shared" si="64"/>
        <v>0</v>
      </c>
      <c r="BY95" s="53">
        <f t="shared" si="65"/>
        <v>0</v>
      </c>
      <c r="BZ95" s="53">
        <f t="shared" si="66"/>
        <v>0</v>
      </c>
      <c r="CA95" s="53">
        <f t="shared" si="67"/>
        <v>0</v>
      </c>
      <c r="CB95" s="53">
        <f t="shared" si="68"/>
        <v>0</v>
      </c>
      <c r="CC95" s="53">
        <f t="shared" si="69"/>
        <v>0</v>
      </c>
      <c r="CD95" s="8">
        <f t="shared" si="70"/>
        <v>591.56330780855092</v>
      </c>
      <c r="CE95" s="8">
        <f t="shared" si="71"/>
        <v>2087.0781661405558</v>
      </c>
      <c r="CF95" s="8">
        <f t="shared" si="72"/>
        <v>85231.086040745955</v>
      </c>
    </row>
    <row r="96" spans="1:84">
      <c r="A96" s="7">
        <f>'Monthly Data'!A96</f>
        <v>43770</v>
      </c>
      <c r="B96" s="6">
        <f>'Monthly Data'!B96</f>
        <v>2019</v>
      </c>
      <c r="C96" s="6">
        <f t="shared" si="50"/>
        <v>11</v>
      </c>
      <c r="D96" s="8">
        <f>'Monthly Data'!D96</f>
        <v>10760571.810268486</v>
      </c>
      <c r="E96" s="1">
        <f>'Monthly Data'!E96</f>
        <v>605813.83793017792</v>
      </c>
      <c r="F96" s="8">
        <f>'Monthly Data'!F96</f>
        <v>11366385.648198664</v>
      </c>
      <c r="G96" s="8">
        <f>'Monthly Data'!G96</f>
        <v>3839348.9308264251</v>
      </c>
      <c r="H96" s="1">
        <f>'Monthly Data'!H96</f>
        <v>270693.99467576476</v>
      </c>
      <c r="I96" s="8">
        <f>'Monthly Data'!I96</f>
        <v>4110042.9255021899</v>
      </c>
      <c r="J96" s="8">
        <f>'Monthly Data'!J96</f>
        <v>10847244.234261472</v>
      </c>
      <c r="K96" s="1">
        <f>'Monthly Data'!K96</f>
        <v>578682.55469858088</v>
      </c>
      <c r="L96" s="8">
        <f>'Monthly Data'!L96</f>
        <v>11425926.788960053</v>
      </c>
      <c r="M96" s="8">
        <f>'Monthly Data'!M96</f>
        <v>120377.98196841464</v>
      </c>
      <c r="N96" s="8">
        <f>'Monthly Data'!N96</f>
        <v>32060.80848710061</v>
      </c>
      <c r="O96" s="5">
        <f>'Monthly Data'!O96</f>
        <v>26288.269999999997</v>
      </c>
      <c r="P96" s="5">
        <f>'Monthly Data'!P96</f>
        <v>281.15999999999997</v>
      </c>
      <c r="Q96" s="8">
        <f>'Monthly Data'!Q96</f>
        <v>15859</v>
      </c>
      <c r="R96" s="8">
        <f>'Monthly Data'!R96</f>
        <v>1771</v>
      </c>
      <c r="S96" s="8">
        <f>'Monthly Data'!S96</f>
        <v>126</v>
      </c>
      <c r="T96" s="8">
        <f>'Monthly Data'!T96</f>
        <v>3261</v>
      </c>
      <c r="U96" s="8">
        <f>'Monthly Data'!U96</f>
        <v>30</v>
      </c>
      <c r="V96" s="45">
        <f>Weather!C216</f>
        <v>0.55999999999999994</v>
      </c>
      <c r="W96" s="46">
        <f>Weather!D216</f>
        <v>643.20000000000005</v>
      </c>
      <c r="X96" s="46">
        <f>Weather!E216</f>
        <v>0</v>
      </c>
      <c r="Y96" s="46">
        <f>Weather!F216</f>
        <v>583.20000000000005</v>
      </c>
      <c r="Z96" s="46">
        <f>Weather!G216</f>
        <v>0</v>
      </c>
      <c r="AA96" s="46">
        <f>Weather!H216</f>
        <v>523.20000000000005</v>
      </c>
      <c r="AB96" s="46">
        <f>Weather!I216</f>
        <v>0</v>
      </c>
      <c r="AC96" s="46">
        <f>Weather!J216</f>
        <v>463.2</v>
      </c>
      <c r="AD96" s="46">
        <f>Weather!K216</f>
        <v>0</v>
      </c>
      <c r="AE96" s="46">
        <f>Weather!L216</f>
        <v>403.2</v>
      </c>
      <c r="AF96" s="46">
        <f>Weather!M216</f>
        <v>0</v>
      </c>
      <c r="AG96" s="46">
        <f>Weather!N216</f>
        <v>343.2</v>
      </c>
      <c r="AH96" s="46">
        <f>Weather!O216</f>
        <v>0</v>
      </c>
      <c r="AI96" s="46">
        <f>Weather!P216</f>
        <v>283.2</v>
      </c>
      <c r="AJ96" s="46">
        <f>Weather!Q216</f>
        <v>0</v>
      </c>
      <c r="AK96" s="46">
        <f>Weather!R216</f>
        <v>223.2</v>
      </c>
      <c r="AL96" s="46">
        <f>Weather!S216</f>
        <v>0</v>
      </c>
      <c r="AM96" s="43">
        <f>Economic!C96</f>
        <v>747589.4</v>
      </c>
      <c r="AN96" s="43">
        <f>Economic!D96</f>
        <v>7438.5</v>
      </c>
      <c r="AO96" s="43">
        <f>Economic!E96</f>
        <v>7455</v>
      </c>
      <c r="AP96" s="43">
        <f>Economic!F96</f>
        <v>120.1</v>
      </c>
      <c r="AQ96" s="43">
        <f>Economic!G96</f>
        <v>119.9</v>
      </c>
      <c r="AR96" s="47">
        <f t="shared" si="49"/>
        <v>30</v>
      </c>
      <c r="AS96" s="47">
        <v>22</v>
      </c>
      <c r="AT96" s="47">
        <f t="shared" si="51"/>
        <v>95</v>
      </c>
      <c r="AU96" s="47">
        <f t="shared" si="76"/>
        <v>0</v>
      </c>
      <c r="AV96" s="47">
        <f t="shared" si="76"/>
        <v>0</v>
      </c>
      <c r="AW96" s="47">
        <f t="shared" si="76"/>
        <v>0</v>
      </c>
      <c r="AX96" s="47">
        <f t="shared" si="76"/>
        <v>0</v>
      </c>
      <c r="AY96" s="47">
        <f t="shared" si="76"/>
        <v>0</v>
      </c>
      <c r="AZ96" s="47">
        <f t="shared" si="76"/>
        <v>0</v>
      </c>
      <c r="BA96" s="47">
        <f t="shared" si="76"/>
        <v>0</v>
      </c>
      <c r="BB96" s="47">
        <f t="shared" si="76"/>
        <v>0</v>
      </c>
      <c r="BC96" s="47">
        <f t="shared" si="76"/>
        <v>0</v>
      </c>
      <c r="BD96" s="47">
        <f t="shared" si="76"/>
        <v>0</v>
      </c>
      <c r="BE96" s="47">
        <f t="shared" si="76"/>
        <v>1</v>
      </c>
      <c r="BF96" s="47">
        <f t="shared" si="76"/>
        <v>0</v>
      </c>
      <c r="BG96" s="47">
        <f t="shared" si="76"/>
        <v>0</v>
      </c>
      <c r="BH96" s="47">
        <f t="shared" si="76"/>
        <v>1</v>
      </c>
      <c r="BI96" s="47">
        <f t="shared" si="52"/>
        <v>1</v>
      </c>
      <c r="BJ96" s="48">
        <v>0</v>
      </c>
      <c r="BK96" s="48">
        <v>0</v>
      </c>
      <c r="BL96" s="48">
        <f t="shared" si="73"/>
        <v>0</v>
      </c>
      <c r="BM96" s="47">
        <f t="shared" si="75"/>
        <v>0</v>
      </c>
      <c r="BN96" s="53">
        <f t="shared" si="54"/>
        <v>0</v>
      </c>
      <c r="BO96" s="53">
        <f t="shared" si="55"/>
        <v>0</v>
      </c>
      <c r="BP96" s="53">
        <f t="shared" si="56"/>
        <v>0</v>
      </c>
      <c r="BQ96" s="53">
        <f t="shared" si="57"/>
        <v>0</v>
      </c>
      <c r="BR96" s="53">
        <f t="shared" si="58"/>
        <v>0</v>
      </c>
      <c r="BS96" s="53">
        <f t="shared" si="59"/>
        <v>0</v>
      </c>
      <c r="BT96" s="53">
        <f t="shared" si="60"/>
        <v>0</v>
      </c>
      <c r="BU96" s="53">
        <f t="shared" si="61"/>
        <v>0</v>
      </c>
      <c r="BV96" s="53">
        <f t="shared" si="62"/>
        <v>0</v>
      </c>
      <c r="BW96" s="53">
        <f t="shared" si="63"/>
        <v>0</v>
      </c>
      <c r="BX96" s="53">
        <f t="shared" si="64"/>
        <v>0</v>
      </c>
      <c r="BY96" s="53">
        <f t="shared" si="65"/>
        <v>0</v>
      </c>
      <c r="BZ96" s="53">
        <f t="shared" si="66"/>
        <v>0</v>
      </c>
      <c r="CA96" s="53">
        <f t="shared" si="67"/>
        <v>0</v>
      </c>
      <c r="CB96" s="53">
        <f t="shared" si="68"/>
        <v>0</v>
      </c>
      <c r="CC96" s="53">
        <f t="shared" si="69"/>
        <v>0</v>
      </c>
      <c r="CD96" s="8">
        <f t="shared" si="70"/>
        <v>716.71515531866226</v>
      </c>
      <c r="CE96" s="8">
        <f t="shared" si="71"/>
        <v>2320.7469935077302</v>
      </c>
      <c r="CF96" s="8">
        <f t="shared" si="72"/>
        <v>90681.958642540107</v>
      </c>
    </row>
    <row r="97" spans="1:84">
      <c r="A97" s="7">
        <f>'Monthly Data'!A97</f>
        <v>43800</v>
      </c>
      <c r="B97" s="6">
        <f>'Monthly Data'!B97</f>
        <v>2019</v>
      </c>
      <c r="C97" s="6">
        <f t="shared" si="50"/>
        <v>12</v>
      </c>
      <c r="D97" s="8">
        <f>'Monthly Data'!D97</f>
        <v>12817933.095966045</v>
      </c>
      <c r="E97" s="1">
        <f>'Monthly Data'!E97</f>
        <v>605813.83793017792</v>
      </c>
      <c r="F97" s="8">
        <f>'Monthly Data'!F97</f>
        <v>13423746.933896223</v>
      </c>
      <c r="G97" s="8">
        <f>'Monthly Data'!G97</f>
        <v>4227042.4814835032</v>
      </c>
      <c r="H97" s="1">
        <f>'Monthly Data'!H97</f>
        <v>270693.99467576476</v>
      </c>
      <c r="I97" s="8">
        <f>'Monthly Data'!I97</f>
        <v>4497736.4761592681</v>
      </c>
      <c r="J97" s="8">
        <f>'Monthly Data'!J97</f>
        <v>10361685.654034983</v>
      </c>
      <c r="K97" s="1">
        <f>'Monthly Data'!K97</f>
        <v>578682.55469858088</v>
      </c>
      <c r="L97" s="8">
        <f>'Monthly Data'!L97</f>
        <v>10940368.208733564</v>
      </c>
      <c r="M97" s="8">
        <f>'Monthly Data'!M97</f>
        <v>133510.49307751775</v>
      </c>
      <c r="N97" s="8">
        <f>'Monthly Data'!N97</f>
        <v>32602.377656945137</v>
      </c>
      <c r="O97" s="5">
        <f>'Monthly Data'!O97</f>
        <v>25377.779999999992</v>
      </c>
      <c r="P97" s="5">
        <f>'Monthly Data'!P97</f>
        <v>281.15999999999997</v>
      </c>
      <c r="Q97" s="8">
        <f>'Monthly Data'!Q97</f>
        <v>15922</v>
      </c>
      <c r="R97" s="8">
        <f>'Monthly Data'!R97</f>
        <v>1763</v>
      </c>
      <c r="S97" s="8">
        <f>'Monthly Data'!S97</f>
        <v>126</v>
      </c>
      <c r="T97" s="8">
        <f>'Monthly Data'!T97</f>
        <v>3261</v>
      </c>
      <c r="U97" s="8">
        <f>'Monthly Data'!U97</f>
        <v>30</v>
      </c>
      <c r="V97" s="45">
        <f>Weather!C217</f>
        <v>-0.80967741935483806</v>
      </c>
      <c r="W97" s="46">
        <f>Weather!D217</f>
        <v>707.1</v>
      </c>
      <c r="X97" s="46">
        <f>Weather!E217</f>
        <v>0</v>
      </c>
      <c r="Y97" s="46">
        <f>Weather!F217</f>
        <v>645.1</v>
      </c>
      <c r="Z97" s="46">
        <f>Weather!G217</f>
        <v>0</v>
      </c>
      <c r="AA97" s="46">
        <f>Weather!H217</f>
        <v>583.1</v>
      </c>
      <c r="AB97" s="46">
        <f>Weather!I217</f>
        <v>0</v>
      </c>
      <c r="AC97" s="46">
        <f>Weather!J217</f>
        <v>521.1</v>
      </c>
      <c r="AD97" s="46">
        <f>Weather!K217</f>
        <v>0</v>
      </c>
      <c r="AE97" s="46">
        <f>Weather!L217</f>
        <v>459.1</v>
      </c>
      <c r="AF97" s="46">
        <f>Weather!M217</f>
        <v>0</v>
      </c>
      <c r="AG97" s="46">
        <f>Weather!N217</f>
        <v>397.1</v>
      </c>
      <c r="AH97" s="46">
        <f>Weather!O217</f>
        <v>0</v>
      </c>
      <c r="AI97" s="46">
        <f>Weather!P217</f>
        <v>335.1</v>
      </c>
      <c r="AJ97" s="46">
        <f>Weather!Q217</f>
        <v>0</v>
      </c>
      <c r="AK97" s="46">
        <f>Weather!R217</f>
        <v>273.10000000000002</v>
      </c>
      <c r="AL97" s="46">
        <f>Weather!S217</f>
        <v>0</v>
      </c>
      <c r="AM97" s="43">
        <f>Economic!C97</f>
        <v>747589.4</v>
      </c>
      <c r="AN97" s="43">
        <f>Economic!D97</f>
        <v>7450.8</v>
      </c>
      <c r="AO97" s="43">
        <f>Economic!E97</f>
        <v>7459.6</v>
      </c>
      <c r="AP97" s="43">
        <f>Economic!F97</f>
        <v>123.9</v>
      </c>
      <c r="AQ97" s="43">
        <f>Economic!G97</f>
        <v>112.5</v>
      </c>
      <c r="AR97" s="47">
        <f t="shared" si="49"/>
        <v>31</v>
      </c>
      <c r="AS97" s="47">
        <v>19</v>
      </c>
      <c r="AT97" s="47">
        <f t="shared" si="51"/>
        <v>96</v>
      </c>
      <c r="AU97" s="47">
        <f t="shared" si="76"/>
        <v>0</v>
      </c>
      <c r="AV97" s="47">
        <f t="shared" si="76"/>
        <v>0</v>
      </c>
      <c r="AW97" s="47">
        <f t="shared" si="76"/>
        <v>0</v>
      </c>
      <c r="AX97" s="47">
        <f t="shared" si="76"/>
        <v>0</v>
      </c>
      <c r="AY97" s="47">
        <f t="shared" si="76"/>
        <v>0</v>
      </c>
      <c r="AZ97" s="47">
        <f t="shared" si="76"/>
        <v>0</v>
      </c>
      <c r="BA97" s="47">
        <f t="shared" si="76"/>
        <v>0</v>
      </c>
      <c r="BB97" s="47">
        <f t="shared" si="76"/>
        <v>0</v>
      </c>
      <c r="BC97" s="47">
        <f t="shared" si="76"/>
        <v>0</v>
      </c>
      <c r="BD97" s="47">
        <f t="shared" si="76"/>
        <v>0</v>
      </c>
      <c r="BE97" s="47">
        <f t="shared" si="76"/>
        <v>0</v>
      </c>
      <c r="BF97" s="47">
        <f t="shared" si="76"/>
        <v>1</v>
      </c>
      <c r="BG97" s="47">
        <f t="shared" si="76"/>
        <v>0</v>
      </c>
      <c r="BH97" s="47">
        <f t="shared" si="76"/>
        <v>0</v>
      </c>
      <c r="BI97" s="47">
        <f t="shared" si="52"/>
        <v>0</v>
      </c>
      <c r="BJ97" s="48">
        <v>0</v>
      </c>
      <c r="BK97" s="48">
        <v>0</v>
      </c>
      <c r="BL97" s="48">
        <f t="shared" si="73"/>
        <v>0</v>
      </c>
      <c r="BM97" s="47">
        <f t="shared" si="75"/>
        <v>0</v>
      </c>
      <c r="BN97" s="53">
        <f t="shared" si="54"/>
        <v>0</v>
      </c>
      <c r="BO97" s="53">
        <f t="shared" si="55"/>
        <v>0</v>
      </c>
      <c r="BP97" s="53">
        <f t="shared" si="56"/>
        <v>0</v>
      </c>
      <c r="BQ97" s="53">
        <f t="shared" si="57"/>
        <v>0</v>
      </c>
      <c r="BR97" s="53">
        <f t="shared" si="58"/>
        <v>0</v>
      </c>
      <c r="BS97" s="53">
        <f t="shared" si="59"/>
        <v>0</v>
      </c>
      <c r="BT97" s="53">
        <f t="shared" si="60"/>
        <v>0</v>
      </c>
      <c r="BU97" s="53">
        <f t="shared" si="61"/>
        <v>0</v>
      </c>
      <c r="BV97" s="53">
        <f t="shared" si="62"/>
        <v>0</v>
      </c>
      <c r="BW97" s="53">
        <f t="shared" si="63"/>
        <v>0</v>
      </c>
      <c r="BX97" s="53">
        <f t="shared" si="64"/>
        <v>0</v>
      </c>
      <c r="BY97" s="53">
        <f t="shared" si="65"/>
        <v>0</v>
      </c>
      <c r="BZ97" s="53">
        <f t="shared" si="66"/>
        <v>0</v>
      </c>
      <c r="CA97" s="53">
        <f t="shared" si="67"/>
        <v>0</v>
      </c>
      <c r="CB97" s="53">
        <f t="shared" si="68"/>
        <v>0</v>
      </c>
      <c r="CC97" s="53">
        <f t="shared" si="69"/>
        <v>0</v>
      </c>
      <c r="CD97" s="8">
        <f t="shared" si="70"/>
        <v>843.0942679246466</v>
      </c>
      <c r="CE97" s="8">
        <f t="shared" si="71"/>
        <v>2551.1834805214226</v>
      </c>
      <c r="CF97" s="8">
        <f t="shared" si="72"/>
        <v>86828.319116933053</v>
      </c>
    </row>
    <row r="98" spans="1:84">
      <c r="A98" s="7">
        <f>'Monthly Data'!A98</f>
        <v>43831</v>
      </c>
      <c r="B98" s="6">
        <f>'Monthly Data'!B98</f>
        <v>2020</v>
      </c>
      <c r="C98" s="6">
        <f t="shared" si="50"/>
        <v>1</v>
      </c>
      <c r="D98" s="8">
        <f>'Monthly Data'!D98</f>
        <v>12866456.17026085</v>
      </c>
      <c r="E98" s="1">
        <f>'Monthly Data'!E98</f>
        <v>604879.61295870331</v>
      </c>
      <c r="F98" s="8">
        <f>'Monthly Data'!F98</f>
        <v>13471335.783219554</v>
      </c>
      <c r="G98" s="8">
        <f>'Monthly Data'!G98</f>
        <v>4377026.2665486429</v>
      </c>
      <c r="H98" s="1">
        <f>'Monthly Data'!H98</f>
        <v>270054.97975969774</v>
      </c>
      <c r="I98" s="8">
        <f>'Monthly Data'!I98</f>
        <v>4647081.2463083407</v>
      </c>
      <c r="J98" s="8">
        <f>'Monthly Data'!J98</f>
        <v>10810342.446760129</v>
      </c>
      <c r="K98" s="1">
        <f>'Monthly Data'!K98</f>
        <v>635523.45476492029</v>
      </c>
      <c r="L98" s="8">
        <f>'Monthly Data'!L98</f>
        <v>11445865.90152505</v>
      </c>
      <c r="M98" s="8">
        <f>'Monthly Data'!M98</f>
        <v>129767.21785488386</v>
      </c>
      <c r="N98" s="8">
        <f>'Monthly Data'!N98</f>
        <v>33005.016610059582</v>
      </c>
      <c r="O98" s="5">
        <f>'Monthly Data'!O98</f>
        <v>25510.520000000004</v>
      </c>
      <c r="P98" s="5">
        <f>'Monthly Data'!P98</f>
        <v>285.85000000000002</v>
      </c>
      <c r="Q98" s="8">
        <f>'Monthly Data'!Q98</f>
        <v>16009</v>
      </c>
      <c r="R98" s="8">
        <f>'Monthly Data'!R98</f>
        <v>1779</v>
      </c>
      <c r="S98" s="8">
        <f>'Monthly Data'!S98</f>
        <v>126</v>
      </c>
      <c r="T98" s="8">
        <f>'Monthly Data'!T98</f>
        <v>3261</v>
      </c>
      <c r="U98" s="8">
        <f>'Monthly Data'!U98</f>
        <v>30</v>
      </c>
      <c r="V98" s="45">
        <f>Weather!C218</f>
        <v>-1.8</v>
      </c>
      <c r="W98" s="46">
        <f>Weather!D218</f>
        <v>737.8</v>
      </c>
      <c r="X98" s="46">
        <f>Weather!E218</f>
        <v>0</v>
      </c>
      <c r="Y98" s="46">
        <f>Weather!F218</f>
        <v>675.8</v>
      </c>
      <c r="Z98" s="46">
        <f>Weather!G218</f>
        <v>0</v>
      </c>
      <c r="AA98" s="46">
        <f>Weather!H218</f>
        <v>613.79999999999995</v>
      </c>
      <c r="AB98" s="46">
        <f>Weather!I218</f>
        <v>0</v>
      </c>
      <c r="AC98" s="46">
        <f>Weather!J218</f>
        <v>551.79999999999995</v>
      </c>
      <c r="AD98" s="46">
        <f>Weather!K218</f>
        <v>0</v>
      </c>
      <c r="AE98" s="46">
        <f>Weather!L218</f>
        <v>489.8</v>
      </c>
      <c r="AF98" s="46">
        <f>Weather!M218</f>
        <v>0</v>
      </c>
      <c r="AG98" s="46">
        <f>Weather!N218</f>
        <v>427.8</v>
      </c>
      <c r="AH98" s="46">
        <f>Weather!O218</f>
        <v>0</v>
      </c>
      <c r="AI98" s="46">
        <f>Weather!P218</f>
        <v>365.8</v>
      </c>
      <c r="AJ98" s="46">
        <f>Weather!Q218</f>
        <v>0</v>
      </c>
      <c r="AK98" s="46">
        <f>Weather!R218</f>
        <v>303.8</v>
      </c>
      <c r="AL98" s="46">
        <f>Weather!S218</f>
        <v>0</v>
      </c>
      <c r="AM98" s="43">
        <f>Economic!C98</f>
        <v>710048.9</v>
      </c>
      <c r="AN98" s="43">
        <f>Economic!D98</f>
        <v>7472.8</v>
      </c>
      <c r="AO98" s="43">
        <f>Economic!E98</f>
        <v>7437.3</v>
      </c>
      <c r="AP98" s="43">
        <f>Economic!F98</f>
        <v>125.2</v>
      </c>
      <c r="AQ98" s="43">
        <f>Economic!G98</f>
        <v>122.3</v>
      </c>
      <c r="AR98" s="47">
        <f t="shared" si="49"/>
        <v>31</v>
      </c>
      <c r="AS98" s="47">
        <v>22</v>
      </c>
      <c r="AT98" s="47">
        <f t="shared" si="51"/>
        <v>97</v>
      </c>
      <c r="AU98" s="47">
        <f t="shared" si="76"/>
        <v>1</v>
      </c>
      <c r="AV98" s="47">
        <f t="shared" si="76"/>
        <v>0</v>
      </c>
      <c r="AW98" s="47">
        <f t="shared" si="76"/>
        <v>0</v>
      </c>
      <c r="AX98" s="47">
        <f t="shared" si="76"/>
        <v>0</v>
      </c>
      <c r="AY98" s="47">
        <f t="shared" si="76"/>
        <v>0</v>
      </c>
      <c r="AZ98" s="47">
        <f t="shared" si="76"/>
        <v>0</v>
      </c>
      <c r="BA98" s="47">
        <f t="shared" si="76"/>
        <v>0</v>
      </c>
      <c r="BB98" s="47">
        <f t="shared" si="76"/>
        <v>0</v>
      </c>
      <c r="BC98" s="47">
        <f t="shared" si="76"/>
        <v>0</v>
      </c>
      <c r="BD98" s="47">
        <f t="shared" si="76"/>
        <v>0</v>
      </c>
      <c r="BE98" s="47">
        <f t="shared" si="76"/>
        <v>0</v>
      </c>
      <c r="BF98" s="47">
        <f t="shared" si="76"/>
        <v>0</v>
      </c>
      <c r="BG98" s="47">
        <f t="shared" si="76"/>
        <v>0</v>
      </c>
      <c r="BH98" s="47">
        <f t="shared" si="76"/>
        <v>0</v>
      </c>
      <c r="BI98" s="47">
        <f t="shared" si="52"/>
        <v>0</v>
      </c>
      <c r="BJ98" s="48">
        <v>0</v>
      </c>
      <c r="BK98" s="48">
        <v>0</v>
      </c>
      <c r="BL98" s="48">
        <f t="shared" si="73"/>
        <v>0</v>
      </c>
      <c r="BM98" s="47">
        <f t="shared" si="75"/>
        <v>0</v>
      </c>
      <c r="BN98" s="53">
        <f t="shared" ref="BN98:BN118" si="77">$BJ98*W98</f>
        <v>0</v>
      </c>
      <c r="BO98" s="53">
        <f t="shared" ref="BO98:BO118" si="78">$BJ98*X98</f>
        <v>0</v>
      </c>
      <c r="BP98" s="53">
        <f t="shared" ref="BP98:BP118" si="79">$BJ98*Y98</f>
        <v>0</v>
      </c>
      <c r="BQ98" s="53">
        <f t="shared" ref="BQ98:BQ118" si="80">$BJ98*Z98</f>
        <v>0</v>
      </c>
      <c r="BR98" s="53">
        <f t="shared" ref="BR98:BR118" si="81">$BJ98*AA98</f>
        <v>0</v>
      </c>
      <c r="BS98" s="53">
        <f t="shared" ref="BS98:BS118" si="82">$BJ98*AB98</f>
        <v>0</v>
      </c>
      <c r="BT98" s="53">
        <f t="shared" ref="BT98:BT118" si="83">$BJ98*AC98</f>
        <v>0</v>
      </c>
      <c r="BU98" s="53">
        <f t="shared" ref="BU98:BU118" si="84">$BJ98*AD98</f>
        <v>0</v>
      </c>
      <c r="BV98" s="53">
        <f t="shared" ref="BV98:BV118" si="85">$BJ98*AE98</f>
        <v>0</v>
      </c>
      <c r="BW98" s="53">
        <f t="shared" ref="BW98:BW118" si="86">$BJ98*AF98</f>
        <v>0</v>
      </c>
      <c r="BX98" s="53">
        <f t="shared" ref="BX98:BX118" si="87">$BJ98*AG98</f>
        <v>0</v>
      </c>
      <c r="BY98" s="53">
        <f t="shared" ref="BY98:BY118" si="88">$BJ98*AH98</f>
        <v>0</v>
      </c>
      <c r="BZ98" s="53">
        <f t="shared" ref="BZ98:BZ118" si="89">$BJ98*AI98</f>
        <v>0</v>
      </c>
      <c r="CA98" s="53">
        <f t="shared" ref="CA98:CA118" si="90">$BJ98*AJ98</f>
        <v>0</v>
      </c>
      <c r="CB98" s="53">
        <f t="shared" ref="CB98:CB118" si="91">$BJ98*AK98</f>
        <v>0</v>
      </c>
      <c r="CC98" s="53">
        <f t="shared" ref="CC98:CC118" si="92">$BJ98*AL98</f>
        <v>0</v>
      </c>
      <c r="CD98" s="8">
        <f t="shared" ref="CD98:CD118" si="93">F98/Q98</f>
        <v>841.48515105375441</v>
      </c>
      <c r="CE98" s="8">
        <f t="shared" ref="CE98:CE118" si="94">I98/R98</f>
        <v>2612.1873222643849</v>
      </c>
      <c r="CF98" s="8">
        <f t="shared" ref="CF98:CF118" si="95">L98/S98</f>
        <v>90840.205567659126</v>
      </c>
    </row>
    <row r="99" spans="1:84">
      <c r="A99" s="7">
        <f>'Monthly Data'!A99</f>
        <v>43862</v>
      </c>
      <c r="B99" s="6">
        <f>'Monthly Data'!B99</f>
        <v>2020</v>
      </c>
      <c r="C99" s="6">
        <f t="shared" si="50"/>
        <v>2</v>
      </c>
      <c r="D99" s="8">
        <f>'Monthly Data'!D99</f>
        <v>12122959.291194474</v>
      </c>
      <c r="E99" s="1">
        <f>'Monthly Data'!E99</f>
        <v>604879.61295870331</v>
      </c>
      <c r="F99" s="8">
        <f>'Monthly Data'!F99</f>
        <v>12727838.904153178</v>
      </c>
      <c r="G99" s="8">
        <f>'Monthly Data'!G99</f>
        <v>4137486.5177108715</v>
      </c>
      <c r="H99" s="1">
        <f>'Monthly Data'!H99</f>
        <v>270054.97975969774</v>
      </c>
      <c r="I99" s="8">
        <f>'Monthly Data'!I99</f>
        <v>4407541.4974705689</v>
      </c>
      <c r="J99" s="8">
        <f>'Monthly Data'!J99</f>
        <v>10409882.874438919</v>
      </c>
      <c r="K99" s="1">
        <f>'Monthly Data'!K99</f>
        <v>635523.45476492029</v>
      </c>
      <c r="L99" s="8">
        <f>'Monthly Data'!L99</f>
        <v>11045406.32920384</v>
      </c>
      <c r="M99" s="8">
        <f>'Monthly Data'!M99</f>
        <v>111611.75779915231</v>
      </c>
      <c r="N99" s="8">
        <f>'Monthly Data'!N99</f>
        <v>32945.981622905012</v>
      </c>
      <c r="O99" s="5">
        <f>'Monthly Data'!O99</f>
        <v>24748.480000000003</v>
      </c>
      <c r="P99" s="5">
        <f>'Monthly Data'!P99</f>
        <v>285.85000000000002</v>
      </c>
      <c r="Q99" s="8">
        <f>'Monthly Data'!Q99</f>
        <v>16023</v>
      </c>
      <c r="R99" s="8">
        <f>'Monthly Data'!R99</f>
        <v>1778</v>
      </c>
      <c r="S99" s="8">
        <f>'Monthly Data'!S99</f>
        <v>127</v>
      </c>
      <c r="T99" s="8">
        <f>'Monthly Data'!T99</f>
        <v>3261</v>
      </c>
      <c r="U99" s="8">
        <f>'Monthly Data'!U99</f>
        <v>30</v>
      </c>
      <c r="V99" s="45">
        <f>Weather!C219</f>
        <v>-3.4379310344827592</v>
      </c>
      <c r="W99" s="46">
        <f>Weather!D219</f>
        <v>737.7</v>
      </c>
      <c r="X99" s="46">
        <f>Weather!E219</f>
        <v>0</v>
      </c>
      <c r="Y99" s="46">
        <f>Weather!F219</f>
        <v>679.7</v>
      </c>
      <c r="Z99" s="46">
        <f>Weather!G219</f>
        <v>0</v>
      </c>
      <c r="AA99" s="46">
        <f>Weather!H219</f>
        <v>621.70000000000005</v>
      </c>
      <c r="AB99" s="46">
        <f>Weather!I219</f>
        <v>0</v>
      </c>
      <c r="AC99" s="46">
        <f>Weather!J219</f>
        <v>563.70000000000005</v>
      </c>
      <c r="AD99" s="46">
        <f>Weather!K219</f>
        <v>0</v>
      </c>
      <c r="AE99" s="46">
        <f>Weather!L219</f>
        <v>505.7</v>
      </c>
      <c r="AF99" s="46">
        <f>Weather!M219</f>
        <v>0</v>
      </c>
      <c r="AG99" s="46">
        <f>Weather!N219</f>
        <v>447.7</v>
      </c>
      <c r="AH99" s="46">
        <f>Weather!O219</f>
        <v>0</v>
      </c>
      <c r="AI99" s="46">
        <f>Weather!P219</f>
        <v>389.7</v>
      </c>
      <c r="AJ99" s="46">
        <f>Weather!Q219</f>
        <v>0</v>
      </c>
      <c r="AK99" s="46">
        <f>Weather!R219</f>
        <v>331.7</v>
      </c>
      <c r="AL99" s="46">
        <f>Weather!S219</f>
        <v>0</v>
      </c>
      <c r="AM99" s="43">
        <f>Economic!C99</f>
        <v>710048.9</v>
      </c>
      <c r="AN99" s="43">
        <f>Economic!D99</f>
        <v>7487.3</v>
      </c>
      <c r="AO99" s="43">
        <f>Economic!E99</f>
        <v>7414.9</v>
      </c>
      <c r="AP99" s="43">
        <f>Economic!F99</f>
        <v>128.69999999999999</v>
      </c>
      <c r="AQ99" s="43">
        <f>Economic!G99</f>
        <v>124.5</v>
      </c>
      <c r="AR99" s="47">
        <f t="shared" si="49"/>
        <v>29</v>
      </c>
      <c r="AS99" s="47">
        <v>19</v>
      </c>
      <c r="AT99" s="47">
        <f t="shared" si="51"/>
        <v>98</v>
      </c>
      <c r="AU99" s="47">
        <f t="shared" si="76"/>
        <v>0</v>
      </c>
      <c r="AV99" s="47">
        <f t="shared" si="76"/>
        <v>1</v>
      </c>
      <c r="AW99" s="47">
        <f t="shared" si="76"/>
        <v>0</v>
      </c>
      <c r="AX99" s="47">
        <f t="shared" si="76"/>
        <v>0</v>
      </c>
      <c r="AY99" s="47">
        <f t="shared" si="76"/>
        <v>0</v>
      </c>
      <c r="AZ99" s="47">
        <f t="shared" si="76"/>
        <v>0</v>
      </c>
      <c r="BA99" s="47">
        <f t="shared" si="76"/>
        <v>0</v>
      </c>
      <c r="BB99" s="47">
        <f t="shared" si="76"/>
        <v>0</v>
      </c>
      <c r="BC99" s="47">
        <f t="shared" si="76"/>
        <v>0</v>
      </c>
      <c r="BD99" s="47">
        <f t="shared" si="76"/>
        <v>0</v>
      </c>
      <c r="BE99" s="47">
        <f t="shared" si="76"/>
        <v>0</v>
      </c>
      <c r="BF99" s="47">
        <f t="shared" si="76"/>
        <v>0</v>
      </c>
      <c r="BG99" s="47">
        <f t="shared" si="76"/>
        <v>0</v>
      </c>
      <c r="BH99" s="47">
        <f t="shared" si="76"/>
        <v>0</v>
      </c>
      <c r="BI99" s="47">
        <f t="shared" si="52"/>
        <v>0</v>
      </c>
      <c r="BJ99" s="48">
        <v>0</v>
      </c>
      <c r="BK99" s="48">
        <v>0</v>
      </c>
      <c r="BL99" s="48">
        <f t="shared" si="73"/>
        <v>0</v>
      </c>
      <c r="BM99" s="47">
        <f t="shared" si="75"/>
        <v>0</v>
      </c>
      <c r="BN99" s="53">
        <f t="shared" si="77"/>
        <v>0</v>
      </c>
      <c r="BO99" s="53">
        <f t="shared" si="78"/>
        <v>0</v>
      </c>
      <c r="BP99" s="53">
        <f t="shared" si="79"/>
        <v>0</v>
      </c>
      <c r="BQ99" s="53">
        <f t="shared" si="80"/>
        <v>0</v>
      </c>
      <c r="BR99" s="53">
        <f t="shared" si="81"/>
        <v>0</v>
      </c>
      <c r="BS99" s="53">
        <f t="shared" si="82"/>
        <v>0</v>
      </c>
      <c r="BT99" s="53">
        <f t="shared" si="83"/>
        <v>0</v>
      </c>
      <c r="BU99" s="53">
        <f t="shared" si="84"/>
        <v>0</v>
      </c>
      <c r="BV99" s="53">
        <f t="shared" si="85"/>
        <v>0</v>
      </c>
      <c r="BW99" s="53">
        <f t="shared" si="86"/>
        <v>0</v>
      </c>
      <c r="BX99" s="53">
        <f t="shared" si="87"/>
        <v>0</v>
      </c>
      <c r="BY99" s="53">
        <f t="shared" si="88"/>
        <v>0</v>
      </c>
      <c r="BZ99" s="53">
        <f t="shared" si="89"/>
        <v>0</v>
      </c>
      <c r="CA99" s="53">
        <f t="shared" si="90"/>
        <v>0</v>
      </c>
      <c r="CB99" s="53">
        <f t="shared" si="91"/>
        <v>0</v>
      </c>
      <c r="CC99" s="53">
        <f t="shared" si="92"/>
        <v>0</v>
      </c>
      <c r="CD99" s="8">
        <f t="shared" si="93"/>
        <v>794.34805617881659</v>
      </c>
      <c r="CE99" s="8">
        <f t="shared" si="94"/>
        <v>2478.9322257989702</v>
      </c>
      <c r="CF99" s="8">
        <f t="shared" si="95"/>
        <v>86971.703379557803</v>
      </c>
    </row>
    <row r="100" spans="1:84">
      <c r="A100" s="7">
        <f>'Monthly Data'!A100</f>
        <v>43891</v>
      </c>
      <c r="B100" s="6">
        <f>'Monthly Data'!B100</f>
        <v>2020</v>
      </c>
      <c r="C100" s="6">
        <f t="shared" si="50"/>
        <v>3</v>
      </c>
      <c r="D100" s="8">
        <f>'Monthly Data'!D100</f>
        <v>11708936.147119425</v>
      </c>
      <c r="E100" s="1">
        <f>'Monthly Data'!E100</f>
        <v>604879.61295870331</v>
      </c>
      <c r="F100" s="8">
        <f>'Monthly Data'!F100</f>
        <v>12313815.760078128</v>
      </c>
      <c r="G100" s="8">
        <f>'Monthly Data'!G100</f>
        <v>3689100.3264955725</v>
      </c>
      <c r="H100" s="1">
        <f>'Monthly Data'!H100</f>
        <v>270054.97975969774</v>
      </c>
      <c r="I100" s="8">
        <f>'Monthly Data'!I100</f>
        <v>3959155.3062552703</v>
      </c>
      <c r="J100" s="8">
        <f>'Monthly Data'!J100</f>
        <v>9916764.6526984535</v>
      </c>
      <c r="K100" s="1">
        <f>'Monthly Data'!K100</f>
        <v>635523.45476492029</v>
      </c>
      <c r="L100" s="8">
        <f>'Monthly Data'!L100</f>
        <v>10552288.107463375</v>
      </c>
      <c r="M100" s="8">
        <f>'Monthly Data'!M100</f>
        <v>106442.85983284675</v>
      </c>
      <c r="N100" s="8">
        <f>'Monthly Data'!N100</f>
        <v>33092.897928915736</v>
      </c>
      <c r="O100" s="5">
        <f>'Monthly Data'!O100</f>
        <v>25540.920000000006</v>
      </c>
      <c r="P100" s="5">
        <f>'Monthly Data'!P100</f>
        <v>285.85000000000002</v>
      </c>
      <c r="Q100" s="8">
        <f>'Monthly Data'!Q100</f>
        <v>16030</v>
      </c>
      <c r="R100" s="8">
        <f>'Monthly Data'!R100</f>
        <v>1777</v>
      </c>
      <c r="S100" s="8">
        <f>'Monthly Data'!S100</f>
        <v>127</v>
      </c>
      <c r="T100" s="8">
        <f>'Monthly Data'!T100</f>
        <v>3261</v>
      </c>
      <c r="U100" s="8">
        <f>'Monthly Data'!U100</f>
        <v>30</v>
      </c>
      <c r="V100" s="45">
        <f>Weather!C220</f>
        <v>2.3193548387096774</v>
      </c>
      <c r="W100" s="46">
        <f>Weather!D220</f>
        <v>610.1</v>
      </c>
      <c r="X100" s="46">
        <f>Weather!E220</f>
        <v>0</v>
      </c>
      <c r="Y100" s="46">
        <f>Weather!F220</f>
        <v>548.1</v>
      </c>
      <c r="Z100" s="46">
        <f>Weather!G220</f>
        <v>0</v>
      </c>
      <c r="AA100" s="46">
        <f>Weather!H220</f>
        <v>486.1</v>
      </c>
      <c r="AB100" s="46">
        <f>Weather!I220</f>
        <v>0</v>
      </c>
      <c r="AC100" s="46">
        <f>Weather!J220</f>
        <v>424.1</v>
      </c>
      <c r="AD100" s="46">
        <f>Weather!K220</f>
        <v>0</v>
      </c>
      <c r="AE100" s="46">
        <f>Weather!L220</f>
        <v>362.1</v>
      </c>
      <c r="AF100" s="46">
        <f>Weather!M220</f>
        <v>0</v>
      </c>
      <c r="AG100" s="46">
        <f>Weather!N220</f>
        <v>300.10000000000002</v>
      </c>
      <c r="AH100" s="46">
        <f>Weather!O220</f>
        <v>0</v>
      </c>
      <c r="AI100" s="46">
        <f>Weather!P220</f>
        <v>241.3</v>
      </c>
      <c r="AJ100" s="46">
        <f>Weather!Q220</f>
        <v>3.2</v>
      </c>
      <c r="AK100" s="46">
        <f>Weather!R220</f>
        <v>183.3</v>
      </c>
      <c r="AL100" s="46">
        <f>Weather!S220</f>
        <v>7.2</v>
      </c>
      <c r="AM100" s="43">
        <f>Economic!C100</f>
        <v>710048.9</v>
      </c>
      <c r="AN100" s="43">
        <f>Economic!D100</f>
        <v>7361.1</v>
      </c>
      <c r="AO100" s="43">
        <f>Economic!E100</f>
        <v>7246.6</v>
      </c>
      <c r="AP100" s="43">
        <f>Economic!F100</f>
        <v>125.6</v>
      </c>
      <c r="AQ100" s="43">
        <f>Economic!G100</f>
        <v>122.5</v>
      </c>
      <c r="AR100" s="47">
        <f t="shared" si="49"/>
        <v>31</v>
      </c>
      <c r="AS100" s="47">
        <v>22</v>
      </c>
      <c r="AT100" s="47">
        <f t="shared" si="51"/>
        <v>99</v>
      </c>
      <c r="AU100" s="47">
        <f t="shared" si="76"/>
        <v>0</v>
      </c>
      <c r="AV100" s="47">
        <f t="shared" si="76"/>
        <v>0</v>
      </c>
      <c r="AW100" s="47">
        <f t="shared" si="76"/>
        <v>1</v>
      </c>
      <c r="AX100" s="47">
        <f t="shared" si="76"/>
        <v>0</v>
      </c>
      <c r="AY100" s="47">
        <f t="shared" si="76"/>
        <v>0</v>
      </c>
      <c r="AZ100" s="47">
        <f t="shared" si="76"/>
        <v>0</v>
      </c>
      <c r="BA100" s="47">
        <f t="shared" si="76"/>
        <v>0</v>
      </c>
      <c r="BB100" s="47">
        <f t="shared" si="76"/>
        <v>0</v>
      </c>
      <c r="BC100" s="47">
        <f t="shared" si="76"/>
        <v>0</v>
      </c>
      <c r="BD100" s="47">
        <f t="shared" si="76"/>
        <v>0</v>
      </c>
      <c r="BE100" s="47">
        <f t="shared" si="76"/>
        <v>0</v>
      </c>
      <c r="BF100" s="47">
        <f t="shared" si="76"/>
        <v>0</v>
      </c>
      <c r="BG100" s="47">
        <f t="shared" si="76"/>
        <v>1</v>
      </c>
      <c r="BH100" s="47">
        <f t="shared" si="76"/>
        <v>0</v>
      </c>
      <c r="BI100" s="47">
        <f t="shared" si="52"/>
        <v>1</v>
      </c>
      <c r="BJ100" s="48">
        <v>1</v>
      </c>
      <c r="BK100" s="51">
        <v>0.5</v>
      </c>
      <c r="BL100" s="51">
        <f t="shared" si="73"/>
        <v>0.5</v>
      </c>
      <c r="BM100" s="47">
        <f t="shared" si="75"/>
        <v>0</v>
      </c>
      <c r="BN100" s="53">
        <f t="shared" si="77"/>
        <v>610.1</v>
      </c>
      <c r="BO100" s="53">
        <f t="shared" si="78"/>
        <v>0</v>
      </c>
      <c r="BP100" s="53">
        <f t="shared" si="79"/>
        <v>548.1</v>
      </c>
      <c r="BQ100" s="53">
        <f t="shared" si="80"/>
        <v>0</v>
      </c>
      <c r="BR100" s="53">
        <f t="shared" si="81"/>
        <v>486.1</v>
      </c>
      <c r="BS100" s="53">
        <f t="shared" si="82"/>
        <v>0</v>
      </c>
      <c r="BT100" s="53">
        <f t="shared" si="83"/>
        <v>424.1</v>
      </c>
      <c r="BU100" s="53">
        <f t="shared" si="84"/>
        <v>0</v>
      </c>
      <c r="BV100" s="53">
        <f t="shared" si="85"/>
        <v>362.1</v>
      </c>
      <c r="BW100" s="53">
        <f t="shared" si="86"/>
        <v>0</v>
      </c>
      <c r="BX100" s="53">
        <f t="shared" si="87"/>
        <v>300.10000000000002</v>
      </c>
      <c r="BY100" s="53">
        <f t="shared" si="88"/>
        <v>0</v>
      </c>
      <c r="BZ100" s="53">
        <f t="shared" si="89"/>
        <v>241.3</v>
      </c>
      <c r="CA100" s="53">
        <f t="shared" si="90"/>
        <v>3.2</v>
      </c>
      <c r="CB100" s="53">
        <f t="shared" si="91"/>
        <v>183.3</v>
      </c>
      <c r="CC100" s="53">
        <f t="shared" si="92"/>
        <v>7.2</v>
      </c>
      <c r="CD100" s="8">
        <f t="shared" si="93"/>
        <v>768.17316032926567</v>
      </c>
      <c r="CE100" s="8">
        <f t="shared" si="94"/>
        <v>2227.9996095977885</v>
      </c>
      <c r="CF100" s="8">
        <f t="shared" si="95"/>
        <v>83088.882735932086</v>
      </c>
    </row>
    <row r="101" spans="1:84">
      <c r="A101" s="7">
        <f>'Monthly Data'!A101</f>
        <v>43922</v>
      </c>
      <c r="B101" s="6">
        <f>'Monthly Data'!B101</f>
        <v>2020</v>
      </c>
      <c r="C101" s="6">
        <f t="shared" si="50"/>
        <v>4</v>
      </c>
      <c r="D101" s="8">
        <f>'Monthly Data'!D101</f>
        <v>10594411.679266052</v>
      </c>
      <c r="E101" s="1">
        <f>'Monthly Data'!E101</f>
        <v>604879.61295870331</v>
      </c>
      <c r="F101" s="8">
        <f>'Monthly Data'!F101</f>
        <v>11199291.292224756</v>
      </c>
      <c r="G101" s="8">
        <f>'Monthly Data'!G101</f>
        <v>2848033.2428459735</v>
      </c>
      <c r="H101" s="1">
        <f>'Monthly Data'!H101</f>
        <v>270054.97975969774</v>
      </c>
      <c r="I101" s="8">
        <f>'Monthly Data'!I101</f>
        <v>3118088.2226056713</v>
      </c>
      <c r="J101" s="8">
        <f>'Monthly Data'!J101</f>
        <v>7038118.2699119393</v>
      </c>
      <c r="K101" s="1">
        <f>'Monthly Data'!K101</f>
        <v>635523.45476492029</v>
      </c>
      <c r="L101" s="8">
        <f>'Monthly Data'!L101</f>
        <v>7673641.7246768596</v>
      </c>
      <c r="M101" s="8">
        <f>'Monthly Data'!M101</f>
        <v>89747.398793209053</v>
      </c>
      <c r="N101" s="8">
        <f>'Monthly Data'!N101</f>
        <v>32983.935001957776</v>
      </c>
      <c r="O101" s="5">
        <f>'Monthly Data'!O101</f>
        <v>24483.24</v>
      </c>
      <c r="P101" s="5">
        <f>'Monthly Data'!P101</f>
        <v>285.85000000000002</v>
      </c>
      <c r="Q101" s="8">
        <f>'Monthly Data'!Q101</f>
        <v>16137</v>
      </c>
      <c r="R101" s="8">
        <f>'Monthly Data'!R101</f>
        <v>1778</v>
      </c>
      <c r="S101" s="8">
        <f>'Monthly Data'!S101</f>
        <v>129</v>
      </c>
      <c r="T101" s="8">
        <f>'Monthly Data'!T101</f>
        <v>3261</v>
      </c>
      <c r="U101" s="8">
        <f>'Monthly Data'!U101</f>
        <v>30</v>
      </c>
      <c r="V101" s="45">
        <f>Weather!C221</f>
        <v>4.7133333333333338</v>
      </c>
      <c r="W101" s="46">
        <f>Weather!D221</f>
        <v>518.6</v>
      </c>
      <c r="X101" s="46">
        <f>Weather!E221</f>
        <v>0</v>
      </c>
      <c r="Y101" s="46">
        <f>Weather!F221</f>
        <v>458.6</v>
      </c>
      <c r="Z101" s="46">
        <f>Weather!G221</f>
        <v>0</v>
      </c>
      <c r="AA101" s="46">
        <f>Weather!H221</f>
        <v>398.6</v>
      </c>
      <c r="AB101" s="46">
        <f>Weather!I221</f>
        <v>0</v>
      </c>
      <c r="AC101" s="46">
        <f>Weather!J221</f>
        <v>338.6</v>
      </c>
      <c r="AD101" s="46">
        <f>Weather!K221</f>
        <v>0</v>
      </c>
      <c r="AE101" s="46">
        <f>Weather!L221</f>
        <v>278.60000000000002</v>
      </c>
      <c r="AF101" s="46">
        <f>Weather!M221</f>
        <v>0</v>
      </c>
      <c r="AG101" s="46">
        <f>Weather!N221</f>
        <v>218.6</v>
      </c>
      <c r="AH101" s="46">
        <f>Weather!O221</f>
        <v>0</v>
      </c>
      <c r="AI101" s="46">
        <f>Weather!P221</f>
        <v>161.1</v>
      </c>
      <c r="AJ101" s="46">
        <f>Weather!Q221</f>
        <v>2.5</v>
      </c>
      <c r="AK101" s="46">
        <f>Weather!R221</f>
        <v>109.2</v>
      </c>
      <c r="AL101" s="46">
        <f>Weather!S221</f>
        <v>10.6</v>
      </c>
      <c r="AM101" s="43">
        <f>Economic!C101</f>
        <v>710048.9</v>
      </c>
      <c r="AN101" s="43">
        <f>Economic!D101</f>
        <v>6999.7</v>
      </c>
      <c r="AO101" s="43">
        <f>Economic!E101</f>
        <v>6905.7</v>
      </c>
      <c r="AP101" s="43">
        <f>Economic!F101</f>
        <v>119.4</v>
      </c>
      <c r="AQ101" s="43">
        <f>Economic!G101</f>
        <v>116.3</v>
      </c>
      <c r="AR101" s="47">
        <f t="shared" si="49"/>
        <v>30</v>
      </c>
      <c r="AS101" s="47">
        <v>21</v>
      </c>
      <c r="AT101" s="47">
        <f t="shared" si="51"/>
        <v>100</v>
      </c>
      <c r="AU101" s="47">
        <f t="shared" si="76"/>
        <v>0</v>
      </c>
      <c r="AV101" s="47">
        <f t="shared" si="76"/>
        <v>0</v>
      </c>
      <c r="AW101" s="47">
        <f t="shared" si="76"/>
        <v>0</v>
      </c>
      <c r="AX101" s="47">
        <f t="shared" si="76"/>
        <v>1</v>
      </c>
      <c r="AY101" s="47">
        <f t="shared" si="76"/>
        <v>0</v>
      </c>
      <c r="AZ101" s="47">
        <f t="shared" si="76"/>
        <v>0</v>
      </c>
      <c r="BA101" s="47">
        <f t="shared" si="76"/>
        <v>0</v>
      </c>
      <c r="BB101" s="47">
        <f t="shared" si="76"/>
        <v>0</v>
      </c>
      <c r="BC101" s="47">
        <f t="shared" si="76"/>
        <v>0</v>
      </c>
      <c r="BD101" s="47">
        <f t="shared" si="76"/>
        <v>0</v>
      </c>
      <c r="BE101" s="47">
        <f t="shared" si="76"/>
        <v>0</v>
      </c>
      <c r="BF101" s="47">
        <f t="shared" si="76"/>
        <v>0</v>
      </c>
      <c r="BG101" s="47">
        <f t="shared" si="76"/>
        <v>1</v>
      </c>
      <c r="BH101" s="47">
        <f t="shared" si="76"/>
        <v>0</v>
      </c>
      <c r="BI101" s="47">
        <f t="shared" si="52"/>
        <v>1</v>
      </c>
      <c r="BJ101" s="48">
        <v>1</v>
      </c>
      <c r="BK101" s="51">
        <v>1</v>
      </c>
      <c r="BL101" s="51">
        <f t="shared" si="73"/>
        <v>1</v>
      </c>
      <c r="BM101" s="47">
        <f t="shared" si="75"/>
        <v>0</v>
      </c>
      <c r="BN101" s="53">
        <f t="shared" si="77"/>
        <v>518.6</v>
      </c>
      <c r="BO101" s="53">
        <f t="shared" si="78"/>
        <v>0</v>
      </c>
      <c r="BP101" s="53">
        <f t="shared" si="79"/>
        <v>458.6</v>
      </c>
      <c r="BQ101" s="53">
        <f t="shared" si="80"/>
        <v>0</v>
      </c>
      <c r="BR101" s="53">
        <f t="shared" si="81"/>
        <v>398.6</v>
      </c>
      <c r="BS101" s="53">
        <f t="shared" si="82"/>
        <v>0</v>
      </c>
      <c r="BT101" s="53">
        <f t="shared" si="83"/>
        <v>338.6</v>
      </c>
      <c r="BU101" s="53">
        <f t="shared" si="84"/>
        <v>0</v>
      </c>
      <c r="BV101" s="53">
        <f t="shared" si="85"/>
        <v>278.60000000000002</v>
      </c>
      <c r="BW101" s="53">
        <f t="shared" si="86"/>
        <v>0</v>
      </c>
      <c r="BX101" s="53">
        <f t="shared" si="87"/>
        <v>218.6</v>
      </c>
      <c r="BY101" s="53">
        <f t="shared" si="88"/>
        <v>0</v>
      </c>
      <c r="BZ101" s="53">
        <f t="shared" si="89"/>
        <v>161.1</v>
      </c>
      <c r="CA101" s="53">
        <f t="shared" si="90"/>
        <v>2.5</v>
      </c>
      <c r="CB101" s="53">
        <f t="shared" si="91"/>
        <v>109.2</v>
      </c>
      <c r="CC101" s="53">
        <f t="shared" si="92"/>
        <v>10.6</v>
      </c>
      <c r="CD101" s="8">
        <f t="shared" si="93"/>
        <v>694.0132175884462</v>
      </c>
      <c r="CE101" s="8">
        <f t="shared" si="94"/>
        <v>1753.7054120391851</v>
      </c>
      <c r="CF101" s="8">
        <f t="shared" si="95"/>
        <v>59485.594764936897</v>
      </c>
    </row>
    <row r="102" spans="1:84">
      <c r="A102" s="7">
        <f>'Monthly Data'!A102</f>
        <v>43952</v>
      </c>
      <c r="B102" s="6">
        <f>'Monthly Data'!B102</f>
        <v>2020</v>
      </c>
      <c r="C102" s="6">
        <f t="shared" si="50"/>
        <v>5</v>
      </c>
      <c r="D102" s="8">
        <f>'Monthly Data'!D102</f>
        <v>10075897.739323296</v>
      </c>
      <c r="E102" s="1">
        <f>'Monthly Data'!E102</f>
        <v>604879.61295870331</v>
      </c>
      <c r="F102" s="8">
        <f>'Monthly Data'!F102</f>
        <v>10680777.352281999</v>
      </c>
      <c r="G102" s="8">
        <f>'Monthly Data'!G102</f>
        <v>2839173.9438523706</v>
      </c>
      <c r="H102" s="1">
        <f>'Monthly Data'!H102</f>
        <v>270054.97975969774</v>
      </c>
      <c r="I102" s="8">
        <f>'Monthly Data'!I102</f>
        <v>3109228.9236120684</v>
      </c>
      <c r="J102" s="8">
        <f>'Monthly Data'!J102</f>
        <v>7851278.3061691457</v>
      </c>
      <c r="K102" s="1">
        <f>'Monthly Data'!K102</f>
        <v>635523.45476492029</v>
      </c>
      <c r="L102" s="8">
        <f>'Monthly Data'!L102</f>
        <v>8486801.760934066</v>
      </c>
      <c r="M102" s="8">
        <f>'Monthly Data'!M102</f>
        <v>80962.821380882102</v>
      </c>
      <c r="N102" s="8">
        <f>'Monthly Data'!N102</f>
        <v>33054.944549862958</v>
      </c>
      <c r="O102" s="5">
        <f>'Monthly Data'!O102</f>
        <v>19142.870000000003</v>
      </c>
      <c r="P102" s="5">
        <f>'Monthly Data'!P102</f>
        <v>285.85000000000002</v>
      </c>
      <c r="Q102" s="8">
        <f>'Monthly Data'!Q102</f>
        <v>16100</v>
      </c>
      <c r="R102" s="8">
        <f>'Monthly Data'!R102</f>
        <v>1771</v>
      </c>
      <c r="S102" s="8">
        <f>'Monthly Data'!S102</f>
        <v>129</v>
      </c>
      <c r="T102" s="8">
        <f>'Monthly Data'!T102</f>
        <v>3261</v>
      </c>
      <c r="U102" s="8">
        <f>'Monthly Data'!U102</f>
        <v>30</v>
      </c>
      <c r="V102" s="45">
        <f>Weather!C222</f>
        <v>10.523117271562649</v>
      </c>
      <c r="W102" s="46">
        <f>Weather!D222</f>
        <v>360.1</v>
      </c>
      <c r="X102" s="46">
        <f>Weather!E222</f>
        <v>4.3</v>
      </c>
      <c r="Y102" s="46">
        <f>Weather!F222</f>
        <v>305.2</v>
      </c>
      <c r="Z102" s="46">
        <f>Weather!G222</f>
        <v>11.4</v>
      </c>
      <c r="AA102" s="46">
        <f>Weather!H222</f>
        <v>251.2</v>
      </c>
      <c r="AB102" s="46">
        <f>Weather!I222</f>
        <v>19.399999999999999</v>
      </c>
      <c r="AC102" s="46">
        <f>Weather!J222</f>
        <v>198.3</v>
      </c>
      <c r="AD102" s="46">
        <f>Weather!K222</f>
        <v>28.5</v>
      </c>
      <c r="AE102" s="46">
        <f>Weather!L222</f>
        <v>148.4</v>
      </c>
      <c r="AF102" s="46">
        <f>Weather!M222</f>
        <v>40.6</v>
      </c>
      <c r="AG102" s="46">
        <f>Weather!N222</f>
        <v>107.2</v>
      </c>
      <c r="AH102" s="46">
        <f>Weather!O222</f>
        <v>61.4</v>
      </c>
      <c r="AI102" s="46">
        <f>Weather!P222</f>
        <v>73.8</v>
      </c>
      <c r="AJ102" s="46">
        <f>Weather!Q222</f>
        <v>90</v>
      </c>
      <c r="AK102" s="46">
        <f>Weather!R222</f>
        <v>47.8</v>
      </c>
      <c r="AL102" s="46">
        <f>Weather!S222</f>
        <v>126</v>
      </c>
      <c r="AM102" s="43">
        <f>Economic!C102</f>
        <v>710048.9</v>
      </c>
      <c r="AN102" s="43">
        <f>Economic!D102</f>
        <v>6621.5</v>
      </c>
      <c r="AO102" s="43">
        <f>Economic!E102</f>
        <v>6577.9</v>
      </c>
      <c r="AP102" s="43">
        <f>Economic!F102</f>
        <v>112.7</v>
      </c>
      <c r="AQ102" s="43">
        <f>Economic!G102</f>
        <v>110.9</v>
      </c>
      <c r="AR102" s="47">
        <f t="shared" si="49"/>
        <v>31</v>
      </c>
      <c r="AS102" s="47">
        <v>20</v>
      </c>
      <c r="AT102" s="47">
        <f t="shared" si="51"/>
        <v>101</v>
      </c>
      <c r="AU102" s="47">
        <f t="shared" si="76"/>
        <v>0</v>
      </c>
      <c r="AV102" s="47">
        <f t="shared" si="76"/>
        <v>0</v>
      </c>
      <c r="AW102" s="47">
        <f t="shared" si="76"/>
        <v>0</v>
      </c>
      <c r="AX102" s="47">
        <f t="shared" si="76"/>
        <v>0</v>
      </c>
      <c r="AY102" s="47">
        <f t="shared" si="76"/>
        <v>1</v>
      </c>
      <c r="AZ102" s="47">
        <f t="shared" si="76"/>
        <v>0</v>
      </c>
      <c r="BA102" s="47">
        <f t="shared" si="76"/>
        <v>0</v>
      </c>
      <c r="BB102" s="47">
        <f t="shared" si="76"/>
        <v>0</v>
      </c>
      <c r="BC102" s="47">
        <f t="shared" si="76"/>
        <v>0</v>
      </c>
      <c r="BD102" s="47">
        <f t="shared" si="76"/>
        <v>0</v>
      </c>
      <c r="BE102" s="47">
        <f t="shared" si="76"/>
        <v>0</v>
      </c>
      <c r="BF102" s="47">
        <f t="shared" si="76"/>
        <v>0</v>
      </c>
      <c r="BG102" s="47">
        <f t="shared" si="76"/>
        <v>1</v>
      </c>
      <c r="BH102" s="47">
        <f t="shared" si="76"/>
        <v>0</v>
      </c>
      <c r="BI102" s="47">
        <f t="shared" si="52"/>
        <v>1</v>
      </c>
      <c r="BJ102" s="48">
        <v>1</v>
      </c>
      <c r="BK102" s="51">
        <v>1</v>
      </c>
      <c r="BL102" s="51">
        <f t="shared" si="73"/>
        <v>1</v>
      </c>
      <c r="BM102" s="47">
        <f t="shared" si="75"/>
        <v>0</v>
      </c>
      <c r="BN102" s="53">
        <f t="shared" si="77"/>
        <v>360.1</v>
      </c>
      <c r="BO102" s="53">
        <f t="shared" si="78"/>
        <v>4.3</v>
      </c>
      <c r="BP102" s="53">
        <f t="shared" si="79"/>
        <v>305.2</v>
      </c>
      <c r="BQ102" s="53">
        <f t="shared" si="80"/>
        <v>11.4</v>
      </c>
      <c r="BR102" s="53">
        <f t="shared" si="81"/>
        <v>251.2</v>
      </c>
      <c r="BS102" s="53">
        <f t="shared" si="82"/>
        <v>19.399999999999999</v>
      </c>
      <c r="BT102" s="53">
        <f t="shared" si="83"/>
        <v>198.3</v>
      </c>
      <c r="BU102" s="53">
        <f t="shared" si="84"/>
        <v>28.5</v>
      </c>
      <c r="BV102" s="53">
        <f t="shared" si="85"/>
        <v>148.4</v>
      </c>
      <c r="BW102" s="53">
        <f t="shared" si="86"/>
        <v>40.6</v>
      </c>
      <c r="BX102" s="53">
        <f t="shared" si="87"/>
        <v>107.2</v>
      </c>
      <c r="BY102" s="53">
        <f t="shared" si="88"/>
        <v>61.4</v>
      </c>
      <c r="BZ102" s="53">
        <f t="shared" si="89"/>
        <v>73.8</v>
      </c>
      <c r="CA102" s="53">
        <f t="shared" si="90"/>
        <v>90</v>
      </c>
      <c r="CB102" s="53">
        <f t="shared" si="91"/>
        <v>47.8</v>
      </c>
      <c r="CC102" s="53">
        <f t="shared" si="92"/>
        <v>126</v>
      </c>
      <c r="CD102" s="8">
        <f t="shared" si="93"/>
        <v>663.40232001751542</v>
      </c>
      <c r="CE102" s="8">
        <f t="shared" si="94"/>
        <v>1755.6346265454931</v>
      </c>
      <c r="CF102" s="8">
        <f t="shared" si="95"/>
        <v>65789.160937473382</v>
      </c>
    </row>
    <row r="103" spans="1:84">
      <c r="A103" s="7">
        <f>'Monthly Data'!A103</f>
        <v>43983</v>
      </c>
      <c r="B103" s="6">
        <f>'Monthly Data'!B103</f>
        <v>2020</v>
      </c>
      <c r="C103" s="6">
        <f t="shared" si="50"/>
        <v>6</v>
      </c>
      <c r="D103" s="8">
        <f>'Monthly Data'!D103</f>
        <v>9987467.2126085386</v>
      </c>
      <c r="E103" s="1">
        <f>'Monthly Data'!E103</f>
        <v>604879.61295870331</v>
      </c>
      <c r="F103" s="8">
        <f>'Monthly Data'!F103</f>
        <v>10592346.825567242</v>
      </c>
      <c r="G103" s="8">
        <f>'Monthly Data'!G103</f>
        <v>3055159.5702205976</v>
      </c>
      <c r="H103" s="1">
        <f>'Monthly Data'!H103</f>
        <v>270054.97975969774</v>
      </c>
      <c r="I103" s="8">
        <f>'Monthly Data'!I103</f>
        <v>3325214.5499802954</v>
      </c>
      <c r="J103" s="8">
        <f>'Monthly Data'!J103</f>
        <v>9093235.5826156083</v>
      </c>
      <c r="K103" s="1">
        <f>'Monthly Data'!K103</f>
        <v>635523.45476492029</v>
      </c>
      <c r="L103" s="8">
        <f>'Monthly Data'!L103</f>
        <v>9728759.0373805277</v>
      </c>
      <c r="M103" s="8">
        <f>'Monthly Data'!M103</f>
        <v>72347.566729917788</v>
      </c>
      <c r="N103" s="8">
        <f>'Monthly Data'!N103</f>
        <v>32983.935001957776</v>
      </c>
      <c r="O103" s="5">
        <f>'Monthly Data'!O103</f>
        <v>23132.000000000004</v>
      </c>
      <c r="P103" s="5">
        <f>'Monthly Data'!P103</f>
        <v>285.85000000000002</v>
      </c>
      <c r="Q103" s="8">
        <f>'Monthly Data'!Q103</f>
        <v>16160</v>
      </c>
      <c r="R103" s="8">
        <f>'Monthly Data'!R103</f>
        <v>1775</v>
      </c>
      <c r="S103" s="8">
        <f>'Monthly Data'!S103</f>
        <v>130</v>
      </c>
      <c r="T103" s="8">
        <f>'Monthly Data'!T103</f>
        <v>3261</v>
      </c>
      <c r="U103" s="8">
        <f>'Monthly Data'!U103</f>
        <v>30</v>
      </c>
      <c r="V103" s="45">
        <f>Weather!C223</f>
        <v>17.636666666666667</v>
      </c>
      <c r="W103" s="46">
        <f>Weather!D223</f>
        <v>138.69999999999999</v>
      </c>
      <c r="X103" s="46">
        <f>Weather!E223</f>
        <v>7.8</v>
      </c>
      <c r="Y103" s="46">
        <f>Weather!F223</f>
        <v>92.1</v>
      </c>
      <c r="Z103" s="46">
        <f>Weather!G223</f>
        <v>21.2</v>
      </c>
      <c r="AA103" s="46">
        <f>Weather!H223</f>
        <v>56.1</v>
      </c>
      <c r="AB103" s="46">
        <f>Weather!I223</f>
        <v>45.2</v>
      </c>
      <c r="AC103" s="46">
        <f>Weather!J223</f>
        <v>29.7</v>
      </c>
      <c r="AD103" s="46">
        <f>Weather!K223</f>
        <v>78.8</v>
      </c>
      <c r="AE103" s="46">
        <f>Weather!L223</f>
        <v>14.9</v>
      </c>
      <c r="AF103" s="46">
        <f>Weather!M223</f>
        <v>124</v>
      </c>
      <c r="AG103" s="46">
        <f>Weather!N223</f>
        <v>4.5999999999999996</v>
      </c>
      <c r="AH103" s="46">
        <f>Weather!O223</f>
        <v>173.7</v>
      </c>
      <c r="AI103" s="46">
        <f>Weather!P223</f>
        <v>0</v>
      </c>
      <c r="AJ103" s="46">
        <f>Weather!Q223</f>
        <v>229.1</v>
      </c>
      <c r="AK103" s="46">
        <f>Weather!R223</f>
        <v>0</v>
      </c>
      <c r="AL103" s="46">
        <f>Weather!S223</f>
        <v>289.10000000000002</v>
      </c>
      <c r="AM103" s="43">
        <f>Economic!C103</f>
        <v>710048.9</v>
      </c>
      <c r="AN103" s="43">
        <f>Economic!D103</f>
        <v>6497.3</v>
      </c>
      <c r="AO103" s="43">
        <f>Economic!E103</f>
        <v>6533.5</v>
      </c>
      <c r="AP103" s="43">
        <f>Economic!F103</f>
        <v>114</v>
      </c>
      <c r="AQ103" s="43">
        <f>Economic!G103</f>
        <v>113.9</v>
      </c>
      <c r="AR103" s="47">
        <f t="shared" si="49"/>
        <v>30</v>
      </c>
      <c r="AS103" s="47">
        <v>22</v>
      </c>
      <c r="AT103" s="47">
        <f t="shared" si="51"/>
        <v>102</v>
      </c>
      <c r="AU103" s="47">
        <f t="shared" si="76"/>
        <v>0</v>
      </c>
      <c r="AV103" s="47">
        <f t="shared" si="76"/>
        <v>0</v>
      </c>
      <c r="AW103" s="47">
        <f t="shared" si="76"/>
        <v>0</v>
      </c>
      <c r="AX103" s="47">
        <f t="shared" si="76"/>
        <v>0</v>
      </c>
      <c r="AY103" s="47">
        <f t="shared" si="76"/>
        <v>0</v>
      </c>
      <c r="AZ103" s="47">
        <f t="shared" si="76"/>
        <v>1</v>
      </c>
      <c r="BA103" s="47">
        <f t="shared" si="76"/>
        <v>0</v>
      </c>
      <c r="BB103" s="47">
        <f t="shared" si="76"/>
        <v>0</v>
      </c>
      <c r="BC103" s="47">
        <f t="shared" si="76"/>
        <v>0</v>
      </c>
      <c r="BD103" s="47">
        <f t="shared" si="76"/>
        <v>0</v>
      </c>
      <c r="BE103" s="47">
        <f t="shared" si="76"/>
        <v>0</v>
      </c>
      <c r="BF103" s="47">
        <f t="shared" si="76"/>
        <v>0</v>
      </c>
      <c r="BG103" s="47">
        <f t="shared" si="76"/>
        <v>0</v>
      </c>
      <c r="BH103" s="47">
        <f t="shared" si="76"/>
        <v>0</v>
      </c>
      <c r="BI103" s="47">
        <f t="shared" si="52"/>
        <v>0</v>
      </c>
      <c r="BJ103" s="48">
        <v>1</v>
      </c>
      <c r="BK103" s="51">
        <v>0.5</v>
      </c>
      <c r="BL103" s="51">
        <f t="shared" si="73"/>
        <v>0.5</v>
      </c>
      <c r="BM103" s="47">
        <f t="shared" si="75"/>
        <v>0</v>
      </c>
      <c r="BN103" s="53">
        <f t="shared" si="77"/>
        <v>138.69999999999999</v>
      </c>
      <c r="BO103" s="53">
        <f t="shared" si="78"/>
        <v>7.8</v>
      </c>
      <c r="BP103" s="53">
        <f t="shared" si="79"/>
        <v>92.1</v>
      </c>
      <c r="BQ103" s="53">
        <f t="shared" si="80"/>
        <v>21.2</v>
      </c>
      <c r="BR103" s="53">
        <f t="shared" si="81"/>
        <v>56.1</v>
      </c>
      <c r="BS103" s="53">
        <f t="shared" si="82"/>
        <v>45.2</v>
      </c>
      <c r="BT103" s="53">
        <f t="shared" si="83"/>
        <v>29.7</v>
      </c>
      <c r="BU103" s="53">
        <f t="shared" si="84"/>
        <v>78.8</v>
      </c>
      <c r="BV103" s="53">
        <f t="shared" si="85"/>
        <v>14.9</v>
      </c>
      <c r="BW103" s="53">
        <f t="shared" si="86"/>
        <v>124</v>
      </c>
      <c r="BX103" s="53">
        <f t="shared" si="87"/>
        <v>4.5999999999999996</v>
      </c>
      <c r="BY103" s="53">
        <f t="shared" si="88"/>
        <v>173.7</v>
      </c>
      <c r="BZ103" s="53">
        <f t="shared" si="89"/>
        <v>0</v>
      </c>
      <c r="CA103" s="53">
        <f t="shared" si="90"/>
        <v>229.1</v>
      </c>
      <c r="CB103" s="53">
        <f t="shared" si="91"/>
        <v>0</v>
      </c>
      <c r="CC103" s="53">
        <f t="shared" si="92"/>
        <v>289.10000000000002</v>
      </c>
      <c r="CD103" s="8">
        <f t="shared" si="93"/>
        <v>655.46700653262633</v>
      </c>
      <c r="CE103" s="8">
        <f t="shared" si="94"/>
        <v>1873.3603098480537</v>
      </c>
      <c r="CF103" s="8">
        <f t="shared" si="95"/>
        <v>74836.607979850218</v>
      </c>
    </row>
    <row r="104" spans="1:84">
      <c r="A104" s="7">
        <f>'Monthly Data'!A104</f>
        <v>44013</v>
      </c>
      <c r="B104" s="6">
        <f>'Monthly Data'!B104</f>
        <v>2020</v>
      </c>
      <c r="C104" s="6">
        <f t="shared" si="50"/>
        <v>7</v>
      </c>
      <c r="D104" s="8">
        <f>'Monthly Data'!D104</f>
        <v>13156024.823692113</v>
      </c>
      <c r="E104" s="1">
        <f>'Monthly Data'!E104</f>
        <v>604879.61295870331</v>
      </c>
      <c r="F104" s="8">
        <f>'Monthly Data'!F104</f>
        <v>13760904.436650816</v>
      </c>
      <c r="G104" s="8">
        <f>'Monthly Data'!G104</f>
        <v>3836853.5976870866</v>
      </c>
      <c r="H104" s="1">
        <f>'Monthly Data'!H104</f>
        <v>270054.97975969774</v>
      </c>
      <c r="I104" s="8">
        <f>'Monthly Data'!I104</f>
        <v>4106908.5774467844</v>
      </c>
      <c r="J104" s="8">
        <f>'Monthly Data'!J104</f>
        <v>10422144.205792543</v>
      </c>
      <c r="K104" s="1">
        <f>'Monthly Data'!K104</f>
        <v>635523.45476492029</v>
      </c>
      <c r="L104" s="8">
        <f>'Monthly Data'!L104</f>
        <v>11057667.660557464</v>
      </c>
      <c r="M104" s="8">
        <f>'Monthly Data'!M104</f>
        <v>77624.838920514434</v>
      </c>
      <c r="N104" s="8">
        <f>'Monthly Data'!N104</f>
        <v>33054.944549862958</v>
      </c>
      <c r="O104" s="5">
        <f>'Monthly Data'!O104</f>
        <v>23856.960000000006</v>
      </c>
      <c r="P104" s="5">
        <f>'Monthly Data'!P104</f>
        <v>285.85000000000002</v>
      </c>
      <c r="Q104" s="8">
        <f>'Monthly Data'!Q104</f>
        <v>16214</v>
      </c>
      <c r="R104" s="8">
        <f>'Monthly Data'!R104</f>
        <v>1773</v>
      </c>
      <c r="S104" s="8">
        <f>'Monthly Data'!S104</f>
        <v>130</v>
      </c>
      <c r="T104" s="8">
        <f>'Monthly Data'!T104</f>
        <v>3261</v>
      </c>
      <c r="U104" s="8">
        <f>'Monthly Data'!U104</f>
        <v>30</v>
      </c>
      <c r="V104" s="45">
        <f>Weather!C224</f>
        <v>22.496774193548394</v>
      </c>
      <c r="W104" s="46">
        <f>Weather!D224</f>
        <v>24.6</v>
      </c>
      <c r="X104" s="46">
        <f>Weather!E224</f>
        <v>40</v>
      </c>
      <c r="Y104" s="46">
        <f>Weather!F224</f>
        <v>2.8</v>
      </c>
      <c r="Z104" s="46">
        <f>Weather!G224</f>
        <v>80.2</v>
      </c>
      <c r="AA104" s="46">
        <f>Weather!H224</f>
        <v>0</v>
      </c>
      <c r="AB104" s="46">
        <f>Weather!I224</f>
        <v>139.4</v>
      </c>
      <c r="AC104" s="46">
        <f>Weather!J224</f>
        <v>0</v>
      </c>
      <c r="AD104" s="46">
        <f>Weather!K224</f>
        <v>201.4</v>
      </c>
      <c r="AE104" s="46">
        <f>Weather!L224</f>
        <v>0</v>
      </c>
      <c r="AF104" s="46">
        <f>Weather!M224</f>
        <v>263.39999999999998</v>
      </c>
      <c r="AG104" s="46">
        <f>Weather!N224</f>
        <v>0</v>
      </c>
      <c r="AH104" s="46">
        <f>Weather!O224</f>
        <v>325.39999999999998</v>
      </c>
      <c r="AI104" s="46">
        <f>Weather!P224</f>
        <v>0</v>
      </c>
      <c r="AJ104" s="46">
        <f>Weather!Q224</f>
        <v>387.4</v>
      </c>
      <c r="AK104" s="46">
        <f>Weather!R224</f>
        <v>0</v>
      </c>
      <c r="AL104" s="46">
        <f>Weather!S224</f>
        <v>449.4</v>
      </c>
      <c r="AM104" s="43">
        <f>Economic!C104</f>
        <v>710048.9</v>
      </c>
      <c r="AN104" s="43">
        <f>Economic!D104</f>
        <v>6655.5</v>
      </c>
      <c r="AO104" s="43">
        <f>Economic!E104</f>
        <v>6731.6</v>
      </c>
      <c r="AP104" s="43">
        <f>Economic!F104</f>
        <v>118</v>
      </c>
      <c r="AQ104" s="43">
        <f>Economic!G104</f>
        <v>121.1</v>
      </c>
      <c r="AR104" s="47">
        <f t="shared" si="49"/>
        <v>31</v>
      </c>
      <c r="AS104" s="47">
        <v>22</v>
      </c>
      <c r="AT104" s="47">
        <f t="shared" si="51"/>
        <v>103</v>
      </c>
      <c r="AU104" s="47">
        <f t="shared" si="76"/>
        <v>0</v>
      </c>
      <c r="AV104" s="47">
        <f t="shared" si="76"/>
        <v>0</v>
      </c>
      <c r="AW104" s="47">
        <f t="shared" si="76"/>
        <v>0</v>
      </c>
      <c r="AX104" s="47">
        <f t="shared" si="76"/>
        <v>0</v>
      </c>
      <c r="AY104" s="47">
        <f t="shared" si="76"/>
        <v>0</v>
      </c>
      <c r="AZ104" s="47">
        <f t="shared" si="76"/>
        <v>0</v>
      </c>
      <c r="BA104" s="47">
        <f t="shared" si="76"/>
        <v>1</v>
      </c>
      <c r="BB104" s="47">
        <f t="shared" si="76"/>
        <v>0</v>
      </c>
      <c r="BC104" s="47">
        <f t="shared" si="76"/>
        <v>0</v>
      </c>
      <c r="BD104" s="47">
        <f t="shared" si="76"/>
        <v>0</v>
      </c>
      <c r="BE104" s="47">
        <f t="shared" si="76"/>
        <v>0</v>
      </c>
      <c r="BF104" s="47">
        <f t="shared" si="76"/>
        <v>0</v>
      </c>
      <c r="BG104" s="47">
        <f t="shared" si="76"/>
        <v>0</v>
      </c>
      <c r="BH104" s="47">
        <f t="shared" si="76"/>
        <v>0</v>
      </c>
      <c r="BI104" s="47">
        <f t="shared" si="52"/>
        <v>0</v>
      </c>
      <c r="BJ104" s="48">
        <v>1</v>
      </c>
      <c r="BK104" s="51">
        <v>0.5</v>
      </c>
      <c r="BL104" s="51">
        <v>0</v>
      </c>
      <c r="BM104" s="47">
        <f t="shared" si="75"/>
        <v>0</v>
      </c>
      <c r="BN104" s="53">
        <f t="shared" si="77"/>
        <v>24.6</v>
      </c>
      <c r="BO104" s="53">
        <f t="shared" si="78"/>
        <v>40</v>
      </c>
      <c r="BP104" s="53">
        <f t="shared" si="79"/>
        <v>2.8</v>
      </c>
      <c r="BQ104" s="53">
        <f t="shared" si="80"/>
        <v>80.2</v>
      </c>
      <c r="BR104" s="53">
        <f t="shared" si="81"/>
        <v>0</v>
      </c>
      <c r="BS104" s="53">
        <f t="shared" si="82"/>
        <v>139.4</v>
      </c>
      <c r="BT104" s="53">
        <f t="shared" si="83"/>
        <v>0</v>
      </c>
      <c r="BU104" s="53">
        <f t="shared" si="84"/>
        <v>201.4</v>
      </c>
      <c r="BV104" s="53">
        <f t="shared" si="85"/>
        <v>0</v>
      </c>
      <c r="BW104" s="53">
        <f t="shared" si="86"/>
        <v>263.39999999999998</v>
      </c>
      <c r="BX104" s="53">
        <f t="shared" si="87"/>
        <v>0</v>
      </c>
      <c r="BY104" s="53">
        <f t="shared" si="88"/>
        <v>325.39999999999998</v>
      </c>
      <c r="BZ104" s="53">
        <f t="shared" si="89"/>
        <v>0</v>
      </c>
      <c r="CA104" s="53">
        <f t="shared" si="90"/>
        <v>387.4</v>
      </c>
      <c r="CB104" s="53">
        <f t="shared" si="91"/>
        <v>0</v>
      </c>
      <c r="CC104" s="53">
        <f t="shared" si="92"/>
        <v>449.4</v>
      </c>
      <c r="CD104" s="8">
        <f t="shared" si="93"/>
        <v>848.70509662333882</v>
      </c>
      <c r="CE104" s="8">
        <f t="shared" si="94"/>
        <v>2316.3612957962687</v>
      </c>
      <c r="CF104" s="8">
        <f t="shared" si="95"/>
        <v>85058.982004288177</v>
      </c>
    </row>
    <row r="105" spans="1:84">
      <c r="A105" s="7">
        <f>'Monthly Data'!A105</f>
        <v>44044</v>
      </c>
      <c r="B105" s="6">
        <f>'Monthly Data'!B105</f>
        <v>2020</v>
      </c>
      <c r="C105" s="6">
        <f t="shared" si="50"/>
        <v>8</v>
      </c>
      <c r="D105" s="8">
        <f>'Monthly Data'!D105</f>
        <v>11624511.125675922</v>
      </c>
      <c r="E105" s="1">
        <f>'Monthly Data'!E105</f>
        <v>604879.61295870331</v>
      </c>
      <c r="F105" s="8">
        <f>'Monthly Data'!F105</f>
        <v>12229390.738634625</v>
      </c>
      <c r="G105" s="8">
        <f>'Monthly Data'!G105</f>
        <v>3688140.2678477252</v>
      </c>
      <c r="H105" s="1">
        <f>'Monthly Data'!H105</f>
        <v>270054.97975969774</v>
      </c>
      <c r="I105" s="8">
        <f>'Monthly Data'!I105</f>
        <v>3958195.247607423</v>
      </c>
      <c r="J105" s="8">
        <f>'Monthly Data'!J105</f>
        <v>10192016.210357649</v>
      </c>
      <c r="K105" s="1">
        <f>'Monthly Data'!K105</f>
        <v>635523.45476492029</v>
      </c>
      <c r="L105" s="8">
        <f>'Monthly Data'!L105</f>
        <v>10827539.665122569</v>
      </c>
      <c r="M105" s="8">
        <f>'Monthly Data'!M105</f>
        <v>87754.916418180175</v>
      </c>
      <c r="N105" s="8">
        <f>'Monthly Data'!N105</f>
        <v>33019.439775910374</v>
      </c>
      <c r="O105" s="5">
        <f>'Monthly Data'!O105</f>
        <v>20204.010000000009</v>
      </c>
      <c r="P105" s="5">
        <f>'Monthly Data'!P105</f>
        <v>285.85000000000002</v>
      </c>
      <c r="Q105" s="8">
        <f>'Monthly Data'!Q105</f>
        <v>16218</v>
      </c>
      <c r="R105" s="8">
        <f>'Monthly Data'!R105</f>
        <v>1782</v>
      </c>
      <c r="S105" s="8">
        <f>'Monthly Data'!S105</f>
        <v>128</v>
      </c>
      <c r="T105" s="8">
        <f>'Monthly Data'!T105</f>
        <v>3261</v>
      </c>
      <c r="U105" s="8">
        <f>'Monthly Data'!U105</f>
        <v>30</v>
      </c>
      <c r="V105" s="45">
        <f>Weather!C225</f>
        <v>20.429837197666551</v>
      </c>
      <c r="W105" s="46">
        <f>Weather!D225</f>
        <v>64.400000000000006</v>
      </c>
      <c r="X105" s="46">
        <f>Weather!E225</f>
        <v>15.7</v>
      </c>
      <c r="Y105" s="46">
        <f>Weather!F225</f>
        <v>25</v>
      </c>
      <c r="Z105" s="46">
        <f>Weather!G225</f>
        <v>38.299999999999997</v>
      </c>
      <c r="AA105" s="46">
        <f>Weather!H225</f>
        <v>6</v>
      </c>
      <c r="AB105" s="46">
        <f>Weather!I225</f>
        <v>81.3</v>
      </c>
      <c r="AC105" s="46">
        <f>Weather!J225</f>
        <v>0.7</v>
      </c>
      <c r="AD105" s="46">
        <f>Weather!K225</f>
        <v>138</v>
      </c>
      <c r="AE105" s="46">
        <f>Weather!L225</f>
        <v>0</v>
      </c>
      <c r="AF105" s="46">
        <f>Weather!M225</f>
        <v>199.3</v>
      </c>
      <c r="AG105" s="46">
        <f>Weather!N225</f>
        <v>0</v>
      </c>
      <c r="AH105" s="46">
        <f>Weather!O225</f>
        <v>261.3</v>
      </c>
      <c r="AI105" s="46">
        <f>Weather!P225</f>
        <v>0</v>
      </c>
      <c r="AJ105" s="46">
        <f>Weather!Q225</f>
        <v>323.3</v>
      </c>
      <c r="AK105" s="46">
        <f>Weather!R225</f>
        <v>0</v>
      </c>
      <c r="AL105" s="46">
        <f>Weather!S225</f>
        <v>385.3</v>
      </c>
      <c r="AM105" s="43">
        <f>Economic!C105</f>
        <v>710048.9</v>
      </c>
      <c r="AN105" s="43">
        <f>Economic!D105</f>
        <v>6872.3</v>
      </c>
      <c r="AO105" s="43">
        <f>Economic!E105</f>
        <v>6953.8</v>
      </c>
      <c r="AP105" s="43">
        <f>Economic!F105</f>
        <v>119.2</v>
      </c>
      <c r="AQ105" s="43">
        <f>Economic!G105</f>
        <v>124.5</v>
      </c>
      <c r="AR105" s="47">
        <f t="shared" si="49"/>
        <v>31</v>
      </c>
      <c r="AS105" s="47">
        <v>20</v>
      </c>
      <c r="AT105" s="47">
        <f t="shared" si="51"/>
        <v>104</v>
      </c>
      <c r="AU105" s="47">
        <f t="shared" si="76"/>
        <v>0</v>
      </c>
      <c r="AV105" s="47">
        <f t="shared" si="76"/>
        <v>0</v>
      </c>
      <c r="AW105" s="47">
        <f t="shared" si="76"/>
        <v>0</v>
      </c>
      <c r="AX105" s="47">
        <f t="shared" si="76"/>
        <v>0</v>
      </c>
      <c r="AY105" s="47">
        <f t="shared" si="76"/>
        <v>0</v>
      </c>
      <c r="AZ105" s="47">
        <f t="shared" si="76"/>
        <v>0</v>
      </c>
      <c r="BA105" s="47">
        <f t="shared" si="76"/>
        <v>0</v>
      </c>
      <c r="BB105" s="47">
        <f t="shared" si="76"/>
        <v>1</v>
      </c>
      <c r="BC105" s="47">
        <f t="shared" si="76"/>
        <v>0</v>
      </c>
      <c r="BD105" s="47">
        <f t="shared" si="76"/>
        <v>0</v>
      </c>
      <c r="BE105" s="47">
        <f t="shared" si="76"/>
        <v>0</v>
      </c>
      <c r="BF105" s="47">
        <f t="shared" si="76"/>
        <v>0</v>
      </c>
      <c r="BG105" s="47">
        <f t="shared" si="76"/>
        <v>0</v>
      </c>
      <c r="BH105" s="47">
        <f t="shared" si="76"/>
        <v>0</v>
      </c>
      <c r="BI105" s="47">
        <f t="shared" si="52"/>
        <v>0</v>
      </c>
      <c r="BJ105" s="48">
        <v>1</v>
      </c>
      <c r="BK105" s="51">
        <v>0.5</v>
      </c>
      <c r="BL105" s="51">
        <v>0</v>
      </c>
      <c r="BM105" s="47">
        <f t="shared" si="75"/>
        <v>0</v>
      </c>
      <c r="BN105" s="53">
        <f t="shared" si="77"/>
        <v>64.400000000000006</v>
      </c>
      <c r="BO105" s="53">
        <f t="shared" si="78"/>
        <v>15.7</v>
      </c>
      <c r="BP105" s="53">
        <f t="shared" si="79"/>
        <v>25</v>
      </c>
      <c r="BQ105" s="53">
        <f t="shared" si="80"/>
        <v>38.299999999999997</v>
      </c>
      <c r="BR105" s="53">
        <f t="shared" si="81"/>
        <v>6</v>
      </c>
      <c r="BS105" s="53">
        <f t="shared" si="82"/>
        <v>81.3</v>
      </c>
      <c r="BT105" s="53">
        <f t="shared" si="83"/>
        <v>0.7</v>
      </c>
      <c r="BU105" s="53">
        <f t="shared" si="84"/>
        <v>138</v>
      </c>
      <c r="BV105" s="53">
        <f t="shared" si="85"/>
        <v>0</v>
      </c>
      <c r="BW105" s="53">
        <f t="shared" si="86"/>
        <v>199.3</v>
      </c>
      <c r="BX105" s="53">
        <f t="shared" si="87"/>
        <v>0</v>
      </c>
      <c r="BY105" s="53">
        <f t="shared" si="88"/>
        <v>261.3</v>
      </c>
      <c r="BZ105" s="53">
        <f t="shared" si="89"/>
        <v>0</v>
      </c>
      <c r="CA105" s="53">
        <f t="shared" si="90"/>
        <v>323.3</v>
      </c>
      <c r="CB105" s="53">
        <f t="shared" si="91"/>
        <v>0</v>
      </c>
      <c r="CC105" s="53">
        <f t="shared" si="92"/>
        <v>385.3</v>
      </c>
      <c r="CD105" s="8">
        <f t="shared" si="93"/>
        <v>754.06281530611818</v>
      </c>
      <c r="CE105" s="8">
        <f t="shared" si="94"/>
        <v>2221.2094543251533</v>
      </c>
      <c r="CF105" s="8">
        <f t="shared" si="95"/>
        <v>84590.153633770067</v>
      </c>
    </row>
    <row r="106" spans="1:84">
      <c r="A106" s="7">
        <f>'Monthly Data'!A106</f>
        <v>44075</v>
      </c>
      <c r="B106" s="6">
        <f>'Monthly Data'!B106</f>
        <v>2020</v>
      </c>
      <c r="C106" s="6">
        <f t="shared" si="50"/>
        <v>9</v>
      </c>
      <c r="D106" s="8">
        <f>'Monthly Data'!D106</f>
        <v>8863050.2273658421</v>
      </c>
      <c r="E106" s="1">
        <f>'Monthly Data'!E106</f>
        <v>604879.61295870331</v>
      </c>
      <c r="F106" s="8">
        <f>'Monthly Data'!F106</f>
        <v>9467929.8403245453</v>
      </c>
      <c r="G106" s="8">
        <f>'Monthly Data'!G106</f>
        <v>3202707.6551847798</v>
      </c>
      <c r="H106" s="1">
        <f>'Monthly Data'!H106</f>
        <v>270054.97975969774</v>
      </c>
      <c r="I106" s="8">
        <f>'Monthly Data'!I106</f>
        <v>3472762.6349444776</v>
      </c>
      <c r="J106" s="8">
        <f>'Monthly Data'!J106</f>
        <v>9646470.7241184711</v>
      </c>
      <c r="K106" s="1">
        <f>'Monthly Data'!K106</f>
        <v>635523.45476492029</v>
      </c>
      <c r="L106" s="8">
        <f>'Monthly Data'!L106</f>
        <v>10281994.178883392</v>
      </c>
      <c r="M106" s="8">
        <f>'Monthly Data'!M106</f>
        <v>97573.565856450121</v>
      </c>
      <c r="N106" s="8">
        <f>'Monthly Data'!N106</f>
        <v>32983.935001957776</v>
      </c>
      <c r="O106" s="5">
        <f>'Monthly Data'!O106</f>
        <v>19468.420000000002</v>
      </c>
      <c r="P106" s="5">
        <f>'Monthly Data'!P106</f>
        <v>285.85000000000002</v>
      </c>
      <c r="Q106" s="8">
        <f>'Monthly Data'!Q106</f>
        <v>16220</v>
      </c>
      <c r="R106" s="8">
        <f>'Monthly Data'!R106</f>
        <v>1789</v>
      </c>
      <c r="S106" s="8">
        <f>'Monthly Data'!S106</f>
        <v>124</v>
      </c>
      <c r="T106" s="8">
        <f>'Monthly Data'!T106</f>
        <v>3261</v>
      </c>
      <c r="U106" s="8">
        <f>'Monthly Data'!U106</f>
        <v>30</v>
      </c>
      <c r="V106" s="45">
        <f>Weather!C226</f>
        <v>15.946666666666665</v>
      </c>
      <c r="W106" s="46">
        <f>Weather!D226</f>
        <v>182</v>
      </c>
      <c r="X106" s="46">
        <f>Weather!E226</f>
        <v>0.4</v>
      </c>
      <c r="Y106" s="46">
        <f>Weather!F226</f>
        <v>128.5</v>
      </c>
      <c r="Z106" s="46">
        <f>Weather!G226</f>
        <v>6.9</v>
      </c>
      <c r="AA106" s="46">
        <f>Weather!H226</f>
        <v>84.6</v>
      </c>
      <c r="AB106" s="46">
        <f>Weather!I226</f>
        <v>23</v>
      </c>
      <c r="AC106" s="46">
        <f>Weather!J226</f>
        <v>47.2</v>
      </c>
      <c r="AD106" s="46">
        <f>Weather!K226</f>
        <v>45.6</v>
      </c>
      <c r="AE106" s="46">
        <f>Weather!L226</f>
        <v>21.7</v>
      </c>
      <c r="AF106" s="46">
        <f>Weather!M226</f>
        <v>80.099999999999994</v>
      </c>
      <c r="AG106" s="46">
        <f>Weather!N226</f>
        <v>8.1</v>
      </c>
      <c r="AH106" s="46">
        <f>Weather!O226</f>
        <v>126.5</v>
      </c>
      <c r="AI106" s="46">
        <f>Weather!P226</f>
        <v>2.4</v>
      </c>
      <c r="AJ106" s="46">
        <f>Weather!Q226</f>
        <v>180.8</v>
      </c>
      <c r="AK106" s="46">
        <f>Weather!R226</f>
        <v>0</v>
      </c>
      <c r="AL106" s="46">
        <f>Weather!S226</f>
        <v>238.4</v>
      </c>
      <c r="AM106" s="43">
        <f>Economic!C106</f>
        <v>710048.9</v>
      </c>
      <c r="AN106" s="43">
        <f>Economic!D106</f>
        <v>7020.1</v>
      </c>
      <c r="AO106" s="43">
        <f>Economic!E106</f>
        <v>7070.2</v>
      </c>
      <c r="AP106" s="43">
        <f>Economic!F106</f>
        <v>117.6</v>
      </c>
      <c r="AQ106" s="43">
        <f>Economic!G106</f>
        <v>121.8</v>
      </c>
      <c r="AR106" s="47">
        <f t="shared" si="49"/>
        <v>30</v>
      </c>
      <c r="AS106" s="47">
        <v>21</v>
      </c>
      <c r="AT106" s="47">
        <f t="shared" si="51"/>
        <v>105</v>
      </c>
      <c r="AU106" s="47">
        <f t="shared" si="76"/>
        <v>0</v>
      </c>
      <c r="AV106" s="47">
        <f t="shared" si="76"/>
        <v>0</v>
      </c>
      <c r="AW106" s="47">
        <f t="shared" si="76"/>
        <v>0</v>
      </c>
      <c r="AX106" s="47">
        <f t="shared" si="76"/>
        <v>0</v>
      </c>
      <c r="AY106" s="47">
        <f t="shared" si="76"/>
        <v>0</v>
      </c>
      <c r="AZ106" s="47">
        <f t="shared" si="76"/>
        <v>0</v>
      </c>
      <c r="BA106" s="47">
        <f t="shared" si="76"/>
        <v>0</v>
      </c>
      <c r="BB106" s="47">
        <f t="shared" si="76"/>
        <v>0</v>
      </c>
      <c r="BC106" s="47">
        <f t="shared" si="76"/>
        <v>1</v>
      </c>
      <c r="BD106" s="47">
        <f t="shared" si="76"/>
        <v>0</v>
      </c>
      <c r="BE106" s="47">
        <f t="shared" si="76"/>
        <v>0</v>
      </c>
      <c r="BF106" s="47">
        <f t="shared" si="76"/>
        <v>0</v>
      </c>
      <c r="BG106" s="47">
        <f t="shared" si="76"/>
        <v>0</v>
      </c>
      <c r="BH106" s="47">
        <f t="shared" si="76"/>
        <v>1</v>
      </c>
      <c r="BI106" s="47">
        <f t="shared" si="52"/>
        <v>1</v>
      </c>
      <c r="BJ106" s="48">
        <v>1</v>
      </c>
      <c r="BK106" s="51">
        <v>0.5</v>
      </c>
      <c r="BL106" s="51">
        <v>0</v>
      </c>
      <c r="BM106" s="47">
        <f t="shared" si="75"/>
        <v>0</v>
      </c>
      <c r="BN106" s="53">
        <f t="shared" si="77"/>
        <v>182</v>
      </c>
      <c r="BO106" s="53">
        <f t="shared" si="78"/>
        <v>0.4</v>
      </c>
      <c r="BP106" s="53">
        <f t="shared" si="79"/>
        <v>128.5</v>
      </c>
      <c r="BQ106" s="53">
        <f t="shared" si="80"/>
        <v>6.9</v>
      </c>
      <c r="BR106" s="53">
        <f t="shared" si="81"/>
        <v>84.6</v>
      </c>
      <c r="BS106" s="53">
        <f t="shared" si="82"/>
        <v>23</v>
      </c>
      <c r="BT106" s="53">
        <f t="shared" si="83"/>
        <v>47.2</v>
      </c>
      <c r="BU106" s="53">
        <f t="shared" si="84"/>
        <v>45.6</v>
      </c>
      <c r="BV106" s="53">
        <f t="shared" si="85"/>
        <v>21.7</v>
      </c>
      <c r="BW106" s="53">
        <f t="shared" si="86"/>
        <v>80.099999999999994</v>
      </c>
      <c r="BX106" s="53">
        <f t="shared" si="87"/>
        <v>8.1</v>
      </c>
      <c r="BY106" s="53">
        <f t="shared" si="88"/>
        <v>126.5</v>
      </c>
      <c r="BZ106" s="53">
        <f t="shared" si="89"/>
        <v>2.4</v>
      </c>
      <c r="CA106" s="53">
        <f t="shared" si="90"/>
        <v>180.8</v>
      </c>
      <c r="CB106" s="53">
        <f t="shared" si="91"/>
        <v>0</v>
      </c>
      <c r="CC106" s="53">
        <f t="shared" si="92"/>
        <v>238.4</v>
      </c>
      <c r="CD106" s="8">
        <f t="shared" si="93"/>
        <v>583.71947227648241</v>
      </c>
      <c r="CE106" s="8">
        <f t="shared" si="94"/>
        <v>1941.1753129930003</v>
      </c>
      <c r="CF106" s="8">
        <f t="shared" si="95"/>
        <v>82919.30789422091</v>
      </c>
    </row>
    <row r="107" spans="1:84">
      <c r="A107" s="7">
        <f>'Monthly Data'!A107</f>
        <v>44105</v>
      </c>
      <c r="B107" s="6">
        <f>'Monthly Data'!B107</f>
        <v>2020</v>
      </c>
      <c r="C107" s="6">
        <f t="shared" si="50"/>
        <v>10</v>
      </c>
      <c r="D107" s="8">
        <f>'Monthly Data'!D107</f>
        <v>9752297.8944030479</v>
      </c>
      <c r="E107" s="1">
        <f>'Monthly Data'!E107</f>
        <v>604879.61295870331</v>
      </c>
      <c r="F107" s="8">
        <f>'Monthly Data'!F107</f>
        <v>10357177.507361751</v>
      </c>
      <c r="G107" s="8">
        <f>'Monthly Data'!G107</f>
        <v>3288621.8524205163</v>
      </c>
      <c r="H107" s="1">
        <f>'Monthly Data'!H107</f>
        <v>270054.97975969774</v>
      </c>
      <c r="I107" s="8">
        <f>'Monthly Data'!I107</f>
        <v>3558676.8321802141</v>
      </c>
      <c r="J107" s="8">
        <f>'Monthly Data'!J107</f>
        <v>10119827.822303513</v>
      </c>
      <c r="K107" s="1">
        <f>'Monthly Data'!K107</f>
        <v>635523.45476492029</v>
      </c>
      <c r="L107" s="8">
        <f>'Monthly Data'!L107</f>
        <v>10755351.277068432</v>
      </c>
      <c r="M107" s="8">
        <f>'Monthly Data'!M107</f>
        <v>114448.17776572995</v>
      </c>
      <c r="N107" s="8">
        <f>'Monthly Data'!N107</f>
        <v>33054.944549862958</v>
      </c>
      <c r="O107" s="5">
        <f>'Monthly Data'!O107</f>
        <v>35104.030000000006</v>
      </c>
      <c r="P107" s="5">
        <f>'Monthly Data'!P107</f>
        <v>285.85000000000002</v>
      </c>
      <c r="Q107" s="8">
        <f>'Monthly Data'!Q107</f>
        <v>16288</v>
      </c>
      <c r="R107" s="8">
        <f>'Monthly Data'!R107</f>
        <v>1783</v>
      </c>
      <c r="S107" s="8">
        <f>'Monthly Data'!S107</f>
        <v>125</v>
      </c>
      <c r="T107" s="8">
        <f>'Monthly Data'!T107</f>
        <v>3261</v>
      </c>
      <c r="U107" s="8">
        <f>'Monthly Data'!U107</f>
        <v>30</v>
      </c>
      <c r="V107" s="45">
        <f>Weather!C227</f>
        <v>8.9709677419354801</v>
      </c>
      <c r="W107" s="46">
        <f>Weather!D227</f>
        <v>403.9</v>
      </c>
      <c r="X107" s="46">
        <f>Weather!E227</f>
        <v>0</v>
      </c>
      <c r="Y107" s="46">
        <f>Weather!F227</f>
        <v>341.9</v>
      </c>
      <c r="Z107" s="46">
        <f>Weather!G227</f>
        <v>0</v>
      </c>
      <c r="AA107" s="46">
        <f>Weather!H227</f>
        <v>279.89999999999998</v>
      </c>
      <c r="AB107" s="46">
        <f>Weather!I227</f>
        <v>0</v>
      </c>
      <c r="AC107" s="46">
        <f>Weather!J227</f>
        <v>218.1</v>
      </c>
      <c r="AD107" s="46">
        <f>Weather!K227</f>
        <v>0.2</v>
      </c>
      <c r="AE107" s="46">
        <f>Weather!L227</f>
        <v>159.30000000000001</v>
      </c>
      <c r="AF107" s="46">
        <f>Weather!M227</f>
        <v>3.4</v>
      </c>
      <c r="AG107" s="46">
        <f>Weather!N227</f>
        <v>108.1</v>
      </c>
      <c r="AH107" s="46">
        <f>Weather!O227</f>
        <v>14.2</v>
      </c>
      <c r="AI107" s="46">
        <f>Weather!P227</f>
        <v>67</v>
      </c>
      <c r="AJ107" s="46">
        <f>Weather!Q227</f>
        <v>35.1</v>
      </c>
      <c r="AK107" s="46">
        <f>Weather!R227</f>
        <v>35.799999999999997</v>
      </c>
      <c r="AL107" s="46">
        <f>Weather!S227</f>
        <v>65.900000000000006</v>
      </c>
      <c r="AM107" s="43">
        <f>Economic!C107</f>
        <v>710048.9</v>
      </c>
      <c r="AN107" s="43">
        <f>Economic!D107</f>
        <v>7125.4</v>
      </c>
      <c r="AO107" s="43">
        <f>Economic!E107</f>
        <v>7157.8</v>
      </c>
      <c r="AP107" s="43">
        <f>Economic!F107</f>
        <v>116.6</v>
      </c>
      <c r="AQ107" s="43">
        <f>Economic!G107</f>
        <v>119.5</v>
      </c>
      <c r="AR107" s="47">
        <f t="shared" si="49"/>
        <v>31</v>
      </c>
      <c r="AS107" s="47">
        <v>21</v>
      </c>
      <c r="AT107" s="47">
        <f t="shared" si="51"/>
        <v>106</v>
      </c>
      <c r="AU107" s="47">
        <f t="shared" si="76"/>
        <v>0</v>
      </c>
      <c r="AV107" s="47">
        <f t="shared" si="76"/>
        <v>0</v>
      </c>
      <c r="AW107" s="47">
        <f t="shared" si="76"/>
        <v>0</v>
      </c>
      <c r="AX107" s="47">
        <f t="shared" si="76"/>
        <v>0</v>
      </c>
      <c r="AY107" s="47">
        <f t="shared" si="76"/>
        <v>0</v>
      </c>
      <c r="AZ107" s="47">
        <f t="shared" si="76"/>
        <v>0</v>
      </c>
      <c r="BA107" s="47">
        <f t="shared" si="76"/>
        <v>0</v>
      </c>
      <c r="BB107" s="47">
        <f t="shared" si="76"/>
        <v>0</v>
      </c>
      <c r="BC107" s="47">
        <f t="shared" si="76"/>
        <v>0</v>
      </c>
      <c r="BD107" s="47">
        <f t="shared" si="76"/>
        <v>1</v>
      </c>
      <c r="BE107" s="47">
        <f t="shared" si="76"/>
        <v>0</v>
      </c>
      <c r="BF107" s="47">
        <f t="shared" si="76"/>
        <v>0</v>
      </c>
      <c r="BG107" s="47">
        <f t="shared" si="76"/>
        <v>0</v>
      </c>
      <c r="BH107" s="47">
        <f t="shared" si="76"/>
        <v>1</v>
      </c>
      <c r="BI107" s="47">
        <f t="shared" si="52"/>
        <v>1</v>
      </c>
      <c r="BJ107" s="48">
        <v>1</v>
      </c>
      <c r="BK107" s="51">
        <v>0.5</v>
      </c>
      <c r="BL107" s="51">
        <v>0</v>
      </c>
      <c r="BM107" s="47">
        <f t="shared" si="75"/>
        <v>0</v>
      </c>
      <c r="BN107" s="53">
        <f t="shared" si="77"/>
        <v>403.9</v>
      </c>
      <c r="BO107" s="53">
        <f t="shared" si="78"/>
        <v>0</v>
      </c>
      <c r="BP107" s="53">
        <f t="shared" si="79"/>
        <v>341.9</v>
      </c>
      <c r="BQ107" s="53">
        <f t="shared" si="80"/>
        <v>0</v>
      </c>
      <c r="BR107" s="53">
        <f t="shared" si="81"/>
        <v>279.89999999999998</v>
      </c>
      <c r="BS107" s="53">
        <f t="shared" si="82"/>
        <v>0</v>
      </c>
      <c r="BT107" s="53">
        <f t="shared" si="83"/>
        <v>218.1</v>
      </c>
      <c r="BU107" s="53">
        <f t="shared" si="84"/>
        <v>0.2</v>
      </c>
      <c r="BV107" s="53">
        <f t="shared" si="85"/>
        <v>159.30000000000001</v>
      </c>
      <c r="BW107" s="53">
        <f t="shared" si="86"/>
        <v>3.4</v>
      </c>
      <c r="BX107" s="53">
        <f t="shared" si="87"/>
        <v>108.1</v>
      </c>
      <c r="BY107" s="53">
        <f t="shared" si="88"/>
        <v>14.2</v>
      </c>
      <c r="BZ107" s="53">
        <f t="shared" si="89"/>
        <v>67</v>
      </c>
      <c r="CA107" s="53">
        <f t="shared" si="90"/>
        <v>35.1</v>
      </c>
      <c r="CB107" s="53">
        <f t="shared" si="91"/>
        <v>35.799999999999997</v>
      </c>
      <c r="CC107" s="53">
        <f t="shared" si="92"/>
        <v>65.900000000000006</v>
      </c>
      <c r="CD107" s="8">
        <f t="shared" si="93"/>
        <v>635.87779391955746</v>
      </c>
      <c r="CE107" s="8">
        <f t="shared" si="94"/>
        <v>1995.8927830511577</v>
      </c>
      <c r="CF107" s="8">
        <f t="shared" si="95"/>
        <v>86042.810216547456</v>
      </c>
    </row>
    <row r="108" spans="1:84">
      <c r="A108" s="7">
        <f>'Monthly Data'!A108</f>
        <v>44136</v>
      </c>
      <c r="B108" s="6">
        <f>'Monthly Data'!B108</f>
        <v>2020</v>
      </c>
      <c r="C108" s="6">
        <f t="shared" si="50"/>
        <v>11</v>
      </c>
      <c r="D108" s="8">
        <f>'Monthly Data'!D108</f>
        <v>10443762.540943094</v>
      </c>
      <c r="E108" s="1">
        <f>'Monthly Data'!E108</f>
        <v>604879.61295870331</v>
      </c>
      <c r="F108" s="8">
        <f>'Monthly Data'!F108</f>
        <v>11048642.153901797</v>
      </c>
      <c r="G108" s="8">
        <f>'Monthly Data'!G108</f>
        <v>3516537.53517573</v>
      </c>
      <c r="H108" s="1">
        <f>'Monthly Data'!H108</f>
        <v>270054.97975969774</v>
      </c>
      <c r="I108" s="8">
        <f>'Monthly Data'!I108</f>
        <v>3786592.5149354278</v>
      </c>
      <c r="J108" s="8">
        <f>'Monthly Data'!J108</f>
        <v>10208460.217914181</v>
      </c>
      <c r="K108" s="1">
        <f>'Monthly Data'!K108</f>
        <v>635523.45476492029</v>
      </c>
      <c r="L108" s="8">
        <f>'Monthly Data'!L108</f>
        <v>10843983.6726791</v>
      </c>
      <c r="M108" s="8">
        <f>'Monthly Data'!M108</f>
        <v>122385.96602511972</v>
      </c>
      <c r="N108" s="8">
        <f>'Monthly Data'!N108</f>
        <v>32983.935001957776</v>
      </c>
      <c r="O108" s="5">
        <f>'Monthly Data'!O108</f>
        <v>23704.02</v>
      </c>
      <c r="P108" s="5">
        <f>'Monthly Data'!P108</f>
        <v>285.85000000000002</v>
      </c>
      <c r="Q108" s="8">
        <f>'Monthly Data'!Q108</f>
        <v>16191</v>
      </c>
      <c r="R108" s="8">
        <f>'Monthly Data'!R108</f>
        <v>1772</v>
      </c>
      <c r="S108" s="8">
        <f>'Monthly Data'!S108</f>
        <v>123</v>
      </c>
      <c r="T108" s="8">
        <f>'Monthly Data'!T108</f>
        <v>3261</v>
      </c>
      <c r="U108" s="8">
        <f>'Monthly Data'!U108</f>
        <v>30</v>
      </c>
      <c r="V108" s="45">
        <f>Weather!C228</f>
        <v>7.7766666666666682</v>
      </c>
      <c r="W108" s="46">
        <f>Weather!D228</f>
        <v>426.7</v>
      </c>
      <c r="X108" s="46">
        <f>Weather!E228</f>
        <v>0</v>
      </c>
      <c r="Y108" s="46">
        <f>Weather!F228</f>
        <v>368.5</v>
      </c>
      <c r="Z108" s="46">
        <f>Weather!G228</f>
        <v>1.8</v>
      </c>
      <c r="AA108" s="46">
        <f>Weather!H228</f>
        <v>312.10000000000002</v>
      </c>
      <c r="AB108" s="46">
        <f>Weather!I228</f>
        <v>5.4</v>
      </c>
      <c r="AC108" s="46">
        <f>Weather!J228</f>
        <v>259.89999999999998</v>
      </c>
      <c r="AD108" s="46">
        <f>Weather!K228</f>
        <v>13.2</v>
      </c>
      <c r="AE108" s="46">
        <f>Weather!L228</f>
        <v>211.9</v>
      </c>
      <c r="AF108" s="46">
        <f>Weather!M228</f>
        <v>25.2</v>
      </c>
      <c r="AG108" s="46">
        <f>Weather!N228</f>
        <v>166.6</v>
      </c>
      <c r="AH108" s="46">
        <f>Weather!O228</f>
        <v>39.9</v>
      </c>
      <c r="AI108" s="46">
        <f>Weather!P228</f>
        <v>123.7</v>
      </c>
      <c r="AJ108" s="46">
        <f>Weather!Q228</f>
        <v>57</v>
      </c>
      <c r="AK108" s="46">
        <f>Weather!R228</f>
        <v>83.7</v>
      </c>
      <c r="AL108" s="46">
        <f>Weather!S228</f>
        <v>77</v>
      </c>
      <c r="AM108" s="43">
        <f>Economic!C108</f>
        <v>710048.9</v>
      </c>
      <c r="AN108" s="43">
        <f>Economic!D108</f>
        <v>7202.6</v>
      </c>
      <c r="AO108" s="43">
        <f>Economic!E108</f>
        <v>7216.9</v>
      </c>
      <c r="AP108" s="43">
        <f>Economic!F108</f>
        <v>114.8</v>
      </c>
      <c r="AQ108" s="43">
        <f>Economic!G108</f>
        <v>115.6</v>
      </c>
      <c r="AR108" s="47">
        <f t="shared" si="49"/>
        <v>30</v>
      </c>
      <c r="AS108" s="47">
        <v>21</v>
      </c>
      <c r="AT108" s="47">
        <f t="shared" si="51"/>
        <v>107</v>
      </c>
      <c r="AU108" s="47">
        <f t="shared" ref="AU108:BH116" si="96">AU96</f>
        <v>0</v>
      </c>
      <c r="AV108" s="47">
        <f t="shared" si="96"/>
        <v>0</v>
      </c>
      <c r="AW108" s="47">
        <f t="shared" si="96"/>
        <v>0</v>
      </c>
      <c r="AX108" s="47">
        <f t="shared" si="96"/>
        <v>0</v>
      </c>
      <c r="AY108" s="47">
        <f t="shared" si="96"/>
        <v>0</v>
      </c>
      <c r="AZ108" s="47">
        <f t="shared" si="96"/>
        <v>0</v>
      </c>
      <c r="BA108" s="47">
        <f t="shared" si="96"/>
        <v>0</v>
      </c>
      <c r="BB108" s="47">
        <f t="shared" si="96"/>
        <v>0</v>
      </c>
      <c r="BC108" s="47">
        <f t="shared" si="96"/>
        <v>0</v>
      </c>
      <c r="BD108" s="47">
        <f t="shared" si="96"/>
        <v>0</v>
      </c>
      <c r="BE108" s="47">
        <f t="shared" si="96"/>
        <v>1</v>
      </c>
      <c r="BF108" s="47">
        <f t="shared" si="96"/>
        <v>0</v>
      </c>
      <c r="BG108" s="47">
        <f t="shared" si="96"/>
        <v>0</v>
      </c>
      <c r="BH108" s="47">
        <f t="shared" si="96"/>
        <v>1</v>
      </c>
      <c r="BI108" s="47">
        <f t="shared" si="52"/>
        <v>1</v>
      </c>
      <c r="BJ108" s="48">
        <v>1</v>
      </c>
      <c r="BK108" s="51">
        <v>0.5</v>
      </c>
      <c r="BL108" s="51">
        <v>0</v>
      </c>
      <c r="BM108" s="47">
        <f t="shared" si="75"/>
        <v>0</v>
      </c>
      <c r="BN108" s="53">
        <f t="shared" si="77"/>
        <v>426.7</v>
      </c>
      <c r="BO108" s="53">
        <f t="shared" si="78"/>
        <v>0</v>
      </c>
      <c r="BP108" s="53">
        <f t="shared" si="79"/>
        <v>368.5</v>
      </c>
      <c r="BQ108" s="53">
        <f t="shared" si="80"/>
        <v>1.8</v>
      </c>
      <c r="BR108" s="53">
        <f t="shared" si="81"/>
        <v>312.10000000000002</v>
      </c>
      <c r="BS108" s="53">
        <f t="shared" si="82"/>
        <v>5.4</v>
      </c>
      <c r="BT108" s="53">
        <f t="shared" si="83"/>
        <v>259.89999999999998</v>
      </c>
      <c r="BU108" s="53">
        <f t="shared" si="84"/>
        <v>13.2</v>
      </c>
      <c r="BV108" s="53">
        <f t="shared" si="85"/>
        <v>211.9</v>
      </c>
      <c r="BW108" s="53">
        <f t="shared" si="86"/>
        <v>25.2</v>
      </c>
      <c r="BX108" s="53">
        <f t="shared" si="87"/>
        <v>166.6</v>
      </c>
      <c r="BY108" s="53">
        <f t="shared" si="88"/>
        <v>39.9</v>
      </c>
      <c r="BZ108" s="53">
        <f t="shared" si="89"/>
        <v>123.7</v>
      </c>
      <c r="CA108" s="53">
        <f t="shared" si="90"/>
        <v>57</v>
      </c>
      <c r="CB108" s="53">
        <f t="shared" si="91"/>
        <v>83.7</v>
      </c>
      <c r="CC108" s="53">
        <f t="shared" si="92"/>
        <v>77</v>
      </c>
      <c r="CD108" s="8">
        <f t="shared" si="93"/>
        <v>682.39405558037163</v>
      </c>
      <c r="CE108" s="8">
        <f t="shared" si="94"/>
        <v>2136.9032251328599</v>
      </c>
      <c r="CF108" s="8">
        <f t="shared" si="95"/>
        <v>88162.46888356992</v>
      </c>
    </row>
    <row r="109" spans="1:84">
      <c r="A109" s="7">
        <f>'Monthly Data'!A109</f>
        <v>44166</v>
      </c>
      <c r="B109" s="6">
        <f>'Monthly Data'!B109</f>
        <v>2020</v>
      </c>
      <c r="C109" s="6">
        <f t="shared" si="50"/>
        <v>12</v>
      </c>
      <c r="D109" s="8">
        <f>'Monthly Data'!D109</f>
        <v>13579930.831677185</v>
      </c>
      <c r="E109" s="1">
        <f>'Monthly Data'!E109</f>
        <v>604879.61295870331</v>
      </c>
      <c r="F109" s="8">
        <f>'Monthly Data'!F109</f>
        <v>14184810.444635889</v>
      </c>
      <c r="G109" s="8">
        <f>'Monthly Data'!G109</f>
        <v>4068467.9093758743</v>
      </c>
      <c r="H109" s="1">
        <f>'Monthly Data'!H109</f>
        <v>270054.97975969774</v>
      </c>
      <c r="I109" s="8">
        <f>'Monthly Data'!I109</f>
        <v>4338522.8891355721</v>
      </c>
      <c r="J109" s="8">
        <f>'Monthly Data'!J109</f>
        <v>10223304.079936288</v>
      </c>
      <c r="K109" s="1">
        <f>'Monthly Data'!K109</f>
        <v>635523.45476492029</v>
      </c>
      <c r="L109" s="8">
        <f>'Monthly Data'!L109</f>
        <v>10858827.53470121</v>
      </c>
      <c r="M109" s="8">
        <f>'Monthly Data'!M109</f>
        <v>133577.63717960304</v>
      </c>
      <c r="N109" s="8">
        <f>'Monthly Data'!N109</f>
        <v>33054.944549862958</v>
      </c>
      <c r="O109" s="5">
        <f>'Monthly Data'!O109</f>
        <v>24848.53000000001</v>
      </c>
      <c r="P109" s="5">
        <f>'Monthly Data'!P109</f>
        <v>285.85000000000002</v>
      </c>
      <c r="Q109" s="8">
        <f>'Monthly Data'!Q109</f>
        <v>16380</v>
      </c>
      <c r="R109" s="8">
        <f>'Monthly Data'!R109</f>
        <v>1793</v>
      </c>
      <c r="S109" s="8">
        <f>'Monthly Data'!S109</f>
        <v>124</v>
      </c>
      <c r="T109" s="8">
        <f>'Monthly Data'!T109</f>
        <v>3261</v>
      </c>
      <c r="U109" s="8">
        <f>'Monthly Data'!U109</f>
        <v>30</v>
      </c>
      <c r="V109" s="45">
        <f>Weather!C229</f>
        <v>-0.34139885746960846</v>
      </c>
      <c r="W109" s="46">
        <f>Weather!D229</f>
        <v>692.6</v>
      </c>
      <c r="X109" s="46">
        <f>Weather!E229</f>
        <v>0</v>
      </c>
      <c r="Y109" s="46">
        <f>Weather!F229</f>
        <v>630.6</v>
      </c>
      <c r="Z109" s="46">
        <f>Weather!G229</f>
        <v>0</v>
      </c>
      <c r="AA109" s="46">
        <f>Weather!H229</f>
        <v>568.6</v>
      </c>
      <c r="AB109" s="46">
        <f>Weather!I229</f>
        <v>0</v>
      </c>
      <c r="AC109" s="46">
        <f>Weather!J229</f>
        <v>506.6</v>
      </c>
      <c r="AD109" s="46">
        <f>Weather!K229</f>
        <v>0</v>
      </c>
      <c r="AE109" s="46">
        <f>Weather!L229</f>
        <v>444.6</v>
      </c>
      <c r="AF109" s="46">
        <f>Weather!M229</f>
        <v>0</v>
      </c>
      <c r="AG109" s="46">
        <f>Weather!N229</f>
        <v>382.6</v>
      </c>
      <c r="AH109" s="46">
        <f>Weather!O229</f>
        <v>0</v>
      </c>
      <c r="AI109" s="46">
        <f>Weather!P229</f>
        <v>320.60000000000002</v>
      </c>
      <c r="AJ109" s="46">
        <f>Weather!Q229</f>
        <v>0</v>
      </c>
      <c r="AK109" s="46">
        <f>Weather!R229</f>
        <v>258.60000000000002</v>
      </c>
      <c r="AL109" s="46">
        <f>Weather!S229</f>
        <v>0</v>
      </c>
      <c r="AM109" s="43">
        <f>Economic!C109</f>
        <v>710048.9</v>
      </c>
      <c r="AN109" s="43">
        <f>Economic!D109</f>
        <v>7226</v>
      </c>
      <c r="AO109" s="43">
        <f>Economic!E109</f>
        <v>7236.4</v>
      </c>
      <c r="AP109" s="43">
        <f>Economic!F109</f>
        <v>112.9</v>
      </c>
      <c r="AQ109" s="43">
        <f>Economic!G109</f>
        <v>112.2</v>
      </c>
      <c r="AR109" s="47">
        <f t="shared" si="49"/>
        <v>31</v>
      </c>
      <c r="AS109" s="47">
        <v>21</v>
      </c>
      <c r="AT109" s="47">
        <f t="shared" si="51"/>
        <v>108</v>
      </c>
      <c r="AU109" s="47">
        <f t="shared" si="96"/>
        <v>0</v>
      </c>
      <c r="AV109" s="47">
        <f t="shared" si="96"/>
        <v>0</v>
      </c>
      <c r="AW109" s="47">
        <f t="shared" si="96"/>
        <v>0</v>
      </c>
      <c r="AX109" s="47">
        <f t="shared" si="96"/>
        <v>0</v>
      </c>
      <c r="AY109" s="47">
        <f t="shared" si="96"/>
        <v>0</v>
      </c>
      <c r="AZ109" s="47">
        <f t="shared" si="96"/>
        <v>0</v>
      </c>
      <c r="BA109" s="47">
        <f t="shared" si="96"/>
        <v>0</v>
      </c>
      <c r="BB109" s="47">
        <f t="shared" si="96"/>
        <v>0</v>
      </c>
      <c r="BC109" s="47">
        <f t="shared" si="96"/>
        <v>0</v>
      </c>
      <c r="BD109" s="47">
        <f t="shared" si="96"/>
        <v>0</v>
      </c>
      <c r="BE109" s="47">
        <f t="shared" si="96"/>
        <v>0</v>
      </c>
      <c r="BF109" s="47">
        <f t="shared" si="96"/>
        <v>1</v>
      </c>
      <c r="BG109" s="47">
        <f t="shared" si="96"/>
        <v>0</v>
      </c>
      <c r="BH109" s="47">
        <f t="shared" si="96"/>
        <v>0</v>
      </c>
      <c r="BI109" s="47">
        <f t="shared" si="52"/>
        <v>0</v>
      </c>
      <c r="BJ109" s="48">
        <v>1</v>
      </c>
      <c r="BK109" s="51">
        <v>0.5</v>
      </c>
      <c r="BL109" s="51">
        <v>0</v>
      </c>
      <c r="BM109" s="47">
        <f t="shared" si="75"/>
        <v>0</v>
      </c>
      <c r="BN109" s="53">
        <f t="shared" si="77"/>
        <v>692.6</v>
      </c>
      <c r="BO109" s="53">
        <f t="shared" si="78"/>
        <v>0</v>
      </c>
      <c r="BP109" s="53">
        <f t="shared" si="79"/>
        <v>630.6</v>
      </c>
      <c r="BQ109" s="53">
        <f t="shared" si="80"/>
        <v>0</v>
      </c>
      <c r="BR109" s="53">
        <f t="shared" si="81"/>
        <v>568.6</v>
      </c>
      <c r="BS109" s="53">
        <f t="shared" si="82"/>
        <v>0</v>
      </c>
      <c r="BT109" s="53">
        <f t="shared" si="83"/>
        <v>506.6</v>
      </c>
      <c r="BU109" s="53">
        <f t="shared" si="84"/>
        <v>0</v>
      </c>
      <c r="BV109" s="53">
        <f t="shared" si="85"/>
        <v>444.6</v>
      </c>
      <c r="BW109" s="53">
        <f t="shared" si="86"/>
        <v>0</v>
      </c>
      <c r="BX109" s="53">
        <f t="shared" si="87"/>
        <v>382.6</v>
      </c>
      <c r="BY109" s="53">
        <f t="shared" si="88"/>
        <v>0</v>
      </c>
      <c r="BZ109" s="53">
        <f t="shared" si="89"/>
        <v>320.60000000000002</v>
      </c>
      <c r="CA109" s="53">
        <f t="shared" si="90"/>
        <v>0</v>
      </c>
      <c r="CB109" s="53">
        <f t="shared" si="91"/>
        <v>258.60000000000002</v>
      </c>
      <c r="CC109" s="53">
        <f t="shared" si="92"/>
        <v>0</v>
      </c>
      <c r="CD109" s="8">
        <f t="shared" si="93"/>
        <v>865.98354362856458</v>
      </c>
      <c r="CE109" s="8">
        <f t="shared" si="94"/>
        <v>2419.7004401202298</v>
      </c>
      <c r="CF109" s="8">
        <f t="shared" si="95"/>
        <v>87571.189795977494</v>
      </c>
    </row>
    <row r="110" spans="1:84">
      <c r="A110" s="7">
        <f>'Monthly Data'!A110</f>
        <v>44197</v>
      </c>
      <c r="B110" s="6">
        <f>'Monthly Data'!B110</f>
        <v>2021</v>
      </c>
      <c r="C110" s="6">
        <f t="shared" si="50"/>
        <v>1</v>
      </c>
      <c r="D110" s="8">
        <f>'Monthly Data'!D110</f>
        <v>14015137.930928187</v>
      </c>
      <c r="E110" s="1">
        <f>'Monthly Data'!E110</f>
        <v>508957.70487315691</v>
      </c>
      <c r="F110" s="8">
        <f>'Monthly Data'!F110</f>
        <v>14524095.635801345</v>
      </c>
      <c r="G110" s="8">
        <f>'Monthly Data'!G110</f>
        <v>4010206.7576686703</v>
      </c>
      <c r="H110" s="1">
        <f>'Monthly Data'!H110</f>
        <v>263029.56829784374</v>
      </c>
      <c r="I110" s="8">
        <f>'Monthly Data'!I110</f>
        <v>4273236.3259665137</v>
      </c>
      <c r="J110" s="8">
        <f>'Monthly Data'!J110</f>
        <v>10805859.095122466</v>
      </c>
      <c r="K110" s="1">
        <f>'Monthly Data'!K110</f>
        <v>632669.1067726824</v>
      </c>
      <c r="L110" s="8">
        <f>'Monthly Data'!L110</f>
        <v>11438528.201895148</v>
      </c>
      <c r="M110" s="8">
        <f>'Monthly Data'!M110</f>
        <v>129767.21785488386</v>
      </c>
      <c r="N110" s="8">
        <f>'Monthly Data'!N110</f>
        <v>33019.439775910374</v>
      </c>
      <c r="O110" s="5">
        <f>'Monthly Data'!O110</f>
        <v>24275.310000000005</v>
      </c>
      <c r="P110" s="5">
        <f>'Monthly Data'!P110</f>
        <v>285.85000000000002</v>
      </c>
      <c r="Q110" s="8">
        <f>'Monthly Data'!Q110</f>
        <v>16338</v>
      </c>
      <c r="R110" s="8">
        <f>'Monthly Data'!R110</f>
        <v>1783</v>
      </c>
      <c r="S110" s="8">
        <f>'Monthly Data'!S110</f>
        <v>124</v>
      </c>
      <c r="T110" s="8">
        <f>'Monthly Data'!T110</f>
        <v>3261</v>
      </c>
      <c r="U110" s="8">
        <f>'Monthly Data'!U110</f>
        <v>30</v>
      </c>
      <c r="V110" s="45">
        <f>Weather!C230</f>
        <v>-2.5387096774193547</v>
      </c>
      <c r="W110" s="46">
        <f>Weather!D230</f>
        <v>760.7</v>
      </c>
      <c r="X110" s="46">
        <f>Weather!E230</f>
        <v>0</v>
      </c>
      <c r="Y110" s="46">
        <f>Weather!F230</f>
        <v>698.7</v>
      </c>
      <c r="Z110" s="46">
        <f>Weather!G230</f>
        <v>0</v>
      </c>
      <c r="AA110" s="46">
        <f>Weather!H230</f>
        <v>636.70000000000005</v>
      </c>
      <c r="AB110" s="46">
        <f>Weather!I230</f>
        <v>0</v>
      </c>
      <c r="AC110" s="46">
        <f>Weather!J230</f>
        <v>574.70000000000005</v>
      </c>
      <c r="AD110" s="46">
        <f>Weather!K230</f>
        <v>0</v>
      </c>
      <c r="AE110" s="46">
        <f>Weather!L230</f>
        <v>512.70000000000005</v>
      </c>
      <c r="AF110" s="46">
        <f>Weather!M230</f>
        <v>0</v>
      </c>
      <c r="AG110" s="46">
        <f>Weather!N230</f>
        <v>450.7</v>
      </c>
      <c r="AH110" s="46">
        <f>Weather!O230</f>
        <v>0</v>
      </c>
      <c r="AI110" s="46">
        <f>Weather!P230</f>
        <v>388.7</v>
      </c>
      <c r="AJ110" s="46">
        <f>Weather!Q230</f>
        <v>0</v>
      </c>
      <c r="AK110" s="46">
        <f>Weather!R230</f>
        <v>326.7</v>
      </c>
      <c r="AL110" s="46">
        <f>Weather!S230</f>
        <v>0</v>
      </c>
      <c r="AM110" s="43">
        <f>Economic!C110</f>
        <v>740225.97825000004</v>
      </c>
      <c r="AN110" s="43">
        <f>Economic!D110</f>
        <v>7187.6</v>
      </c>
      <c r="AO110" s="43">
        <f>Economic!E110</f>
        <v>7159</v>
      </c>
      <c r="AP110" s="43">
        <f>Economic!F110</f>
        <v>108.4</v>
      </c>
      <c r="AQ110" s="43">
        <f>Economic!G110</f>
        <v>106.1</v>
      </c>
      <c r="AR110" s="47">
        <f t="shared" si="49"/>
        <v>31</v>
      </c>
      <c r="AS110" s="47">
        <v>20</v>
      </c>
      <c r="AT110" s="47">
        <f t="shared" si="51"/>
        <v>109</v>
      </c>
      <c r="AU110" s="47">
        <f t="shared" si="96"/>
        <v>1</v>
      </c>
      <c r="AV110" s="47">
        <f t="shared" si="96"/>
        <v>0</v>
      </c>
      <c r="AW110" s="47">
        <f t="shared" si="96"/>
        <v>0</v>
      </c>
      <c r="AX110" s="47">
        <f t="shared" si="96"/>
        <v>0</v>
      </c>
      <c r="AY110" s="47">
        <f t="shared" si="96"/>
        <v>0</v>
      </c>
      <c r="AZ110" s="47">
        <f t="shared" si="96"/>
        <v>0</v>
      </c>
      <c r="BA110" s="47">
        <f t="shared" si="96"/>
        <v>0</v>
      </c>
      <c r="BB110" s="47">
        <f t="shared" si="96"/>
        <v>0</v>
      </c>
      <c r="BC110" s="47">
        <f t="shared" si="96"/>
        <v>0</v>
      </c>
      <c r="BD110" s="47">
        <f t="shared" si="96"/>
        <v>0</v>
      </c>
      <c r="BE110" s="47">
        <f t="shared" si="96"/>
        <v>0</v>
      </c>
      <c r="BF110" s="47">
        <f t="shared" si="96"/>
        <v>0</v>
      </c>
      <c r="BG110" s="47">
        <f t="shared" si="96"/>
        <v>0</v>
      </c>
      <c r="BH110" s="47">
        <f t="shared" si="96"/>
        <v>0</v>
      </c>
      <c r="BI110" s="47">
        <f t="shared" si="52"/>
        <v>0</v>
      </c>
      <c r="BJ110" s="48">
        <v>1</v>
      </c>
      <c r="BK110" s="51">
        <v>0.5</v>
      </c>
      <c r="BL110" s="51">
        <v>0</v>
      </c>
      <c r="BM110" s="47">
        <f t="shared" si="75"/>
        <v>0</v>
      </c>
      <c r="BN110" s="53">
        <f t="shared" si="77"/>
        <v>760.7</v>
      </c>
      <c r="BO110" s="53">
        <f t="shared" si="78"/>
        <v>0</v>
      </c>
      <c r="BP110" s="53">
        <f t="shared" si="79"/>
        <v>698.7</v>
      </c>
      <c r="BQ110" s="53">
        <f t="shared" si="80"/>
        <v>0</v>
      </c>
      <c r="BR110" s="53">
        <f t="shared" si="81"/>
        <v>636.70000000000005</v>
      </c>
      <c r="BS110" s="53">
        <f t="shared" si="82"/>
        <v>0</v>
      </c>
      <c r="BT110" s="53">
        <f t="shared" si="83"/>
        <v>574.70000000000005</v>
      </c>
      <c r="BU110" s="53">
        <f t="shared" si="84"/>
        <v>0</v>
      </c>
      <c r="BV110" s="53">
        <f t="shared" si="85"/>
        <v>512.70000000000005</v>
      </c>
      <c r="BW110" s="53">
        <f t="shared" si="86"/>
        <v>0</v>
      </c>
      <c r="BX110" s="53">
        <f t="shared" si="87"/>
        <v>450.7</v>
      </c>
      <c r="BY110" s="53">
        <f t="shared" si="88"/>
        <v>0</v>
      </c>
      <c r="BZ110" s="53">
        <f t="shared" si="89"/>
        <v>388.7</v>
      </c>
      <c r="CA110" s="53">
        <f t="shared" si="90"/>
        <v>0</v>
      </c>
      <c r="CB110" s="53">
        <f t="shared" si="91"/>
        <v>326.7</v>
      </c>
      <c r="CC110" s="53">
        <f t="shared" si="92"/>
        <v>0</v>
      </c>
      <c r="CD110" s="8">
        <f t="shared" si="93"/>
        <v>888.97635180568886</v>
      </c>
      <c r="CE110" s="8">
        <f t="shared" si="94"/>
        <v>2396.6552585342197</v>
      </c>
      <c r="CF110" s="8">
        <f t="shared" si="95"/>
        <v>92246.195176573776</v>
      </c>
    </row>
    <row r="111" spans="1:84">
      <c r="A111" s="7">
        <f>'Monthly Data'!A111</f>
        <v>44228</v>
      </c>
      <c r="B111" s="6">
        <f>'Monthly Data'!B111</f>
        <v>2021</v>
      </c>
      <c r="C111" s="6">
        <f t="shared" si="50"/>
        <v>2</v>
      </c>
      <c r="D111" s="8">
        <f>'Monthly Data'!D111</f>
        <v>13340787.779683679</v>
      </c>
      <c r="E111" s="1">
        <f>'Monthly Data'!E111</f>
        <v>508957.70487315691</v>
      </c>
      <c r="F111" s="8">
        <f>'Monthly Data'!F111</f>
        <v>13849745.484556837</v>
      </c>
      <c r="G111" s="8">
        <f>'Monthly Data'!G111</f>
        <v>3893947.1031557391</v>
      </c>
      <c r="H111" s="1">
        <f>'Monthly Data'!H111</f>
        <v>263029.56829784374</v>
      </c>
      <c r="I111" s="8">
        <f>'Monthly Data'!I111</f>
        <v>4156976.6714535831</v>
      </c>
      <c r="J111" s="8">
        <f>'Monthly Data'!J111</f>
        <v>10132845.567464894</v>
      </c>
      <c r="K111" s="1">
        <f>'Monthly Data'!K111</f>
        <v>632669.1067726824</v>
      </c>
      <c r="L111" s="8">
        <f>'Monthly Data'!L111</f>
        <v>10765514.674237575</v>
      </c>
      <c r="M111" s="8">
        <f>'Monthly Data'!M111</f>
        <v>107960.31790135409</v>
      </c>
      <c r="N111" s="8">
        <f>'Monthly Data'!N111</f>
        <v>32905.317288205617</v>
      </c>
      <c r="O111" s="5">
        <f>'Monthly Data'!O111</f>
        <v>23412.6</v>
      </c>
      <c r="P111" s="5">
        <f>'Monthly Data'!P111</f>
        <v>285.85000000000002</v>
      </c>
      <c r="Q111" s="8">
        <f>'Monthly Data'!Q111</f>
        <v>16339</v>
      </c>
      <c r="R111" s="8">
        <f>'Monthly Data'!R111</f>
        <v>1789</v>
      </c>
      <c r="S111" s="8">
        <f>'Monthly Data'!S111</f>
        <v>125</v>
      </c>
      <c r="T111" s="8">
        <f>'Monthly Data'!T111</f>
        <v>3261</v>
      </c>
      <c r="U111" s="8">
        <f>'Monthly Data'!U111</f>
        <v>30</v>
      </c>
      <c r="V111" s="45">
        <f>Weather!C231</f>
        <v>-4.8428571428571416</v>
      </c>
      <c r="W111" s="46">
        <f>Weather!D231</f>
        <v>751.6</v>
      </c>
      <c r="X111" s="46">
        <f>Weather!E231</f>
        <v>0</v>
      </c>
      <c r="Y111" s="46">
        <f>Weather!F231</f>
        <v>695.6</v>
      </c>
      <c r="Z111" s="46">
        <f>Weather!G231</f>
        <v>0</v>
      </c>
      <c r="AA111" s="46">
        <f>Weather!H231</f>
        <v>639.6</v>
      </c>
      <c r="AB111" s="46">
        <f>Weather!I231</f>
        <v>0</v>
      </c>
      <c r="AC111" s="46">
        <f>Weather!J231</f>
        <v>583.6</v>
      </c>
      <c r="AD111" s="46">
        <f>Weather!K231</f>
        <v>0</v>
      </c>
      <c r="AE111" s="46">
        <f>Weather!L231</f>
        <v>527.6</v>
      </c>
      <c r="AF111" s="46">
        <f>Weather!M231</f>
        <v>0</v>
      </c>
      <c r="AG111" s="46">
        <f>Weather!N231</f>
        <v>471.6</v>
      </c>
      <c r="AH111" s="46">
        <f>Weather!O231</f>
        <v>0</v>
      </c>
      <c r="AI111" s="46">
        <f>Weather!P231</f>
        <v>415.6</v>
      </c>
      <c r="AJ111" s="46">
        <f>Weather!Q231</f>
        <v>0</v>
      </c>
      <c r="AK111" s="46">
        <f>Weather!R231</f>
        <v>359.6</v>
      </c>
      <c r="AL111" s="46">
        <f>Weather!S231</f>
        <v>0</v>
      </c>
      <c r="AM111" s="43">
        <f>Economic!C111</f>
        <v>740225.97825000004</v>
      </c>
      <c r="AN111" s="43">
        <f>Economic!D111</f>
        <v>7170.1</v>
      </c>
      <c r="AO111" s="43">
        <f>Economic!E111</f>
        <v>7107.3</v>
      </c>
      <c r="AP111" s="43">
        <f>Economic!F111</f>
        <v>108</v>
      </c>
      <c r="AQ111" s="43">
        <f>Economic!G111</f>
        <v>104.6</v>
      </c>
      <c r="AR111" s="47">
        <f t="shared" si="49"/>
        <v>28</v>
      </c>
      <c r="AS111" s="47">
        <v>19</v>
      </c>
      <c r="AT111" s="47">
        <f t="shared" si="51"/>
        <v>110</v>
      </c>
      <c r="AU111" s="47">
        <f t="shared" si="96"/>
        <v>0</v>
      </c>
      <c r="AV111" s="47">
        <f t="shared" si="96"/>
        <v>1</v>
      </c>
      <c r="AW111" s="47">
        <f t="shared" si="96"/>
        <v>0</v>
      </c>
      <c r="AX111" s="47">
        <f t="shared" si="96"/>
        <v>0</v>
      </c>
      <c r="AY111" s="47">
        <f t="shared" si="96"/>
        <v>0</v>
      </c>
      <c r="AZ111" s="47">
        <f t="shared" si="96"/>
        <v>0</v>
      </c>
      <c r="BA111" s="47">
        <f t="shared" si="96"/>
        <v>0</v>
      </c>
      <c r="BB111" s="47">
        <f t="shared" si="96"/>
        <v>0</v>
      </c>
      <c r="BC111" s="47">
        <f t="shared" si="96"/>
        <v>0</v>
      </c>
      <c r="BD111" s="47">
        <f t="shared" si="96"/>
        <v>0</v>
      </c>
      <c r="BE111" s="47">
        <f t="shared" si="96"/>
        <v>0</v>
      </c>
      <c r="BF111" s="47">
        <f t="shared" si="96"/>
        <v>0</v>
      </c>
      <c r="BG111" s="47">
        <f t="shared" si="96"/>
        <v>0</v>
      </c>
      <c r="BH111" s="47">
        <f t="shared" si="96"/>
        <v>0</v>
      </c>
      <c r="BI111" s="47">
        <f t="shared" si="52"/>
        <v>0</v>
      </c>
      <c r="BJ111" s="48">
        <v>1</v>
      </c>
      <c r="BK111" s="51">
        <v>0.5</v>
      </c>
      <c r="BL111" s="51">
        <v>0</v>
      </c>
      <c r="BM111" s="47">
        <f t="shared" si="75"/>
        <v>0</v>
      </c>
      <c r="BN111" s="53">
        <f t="shared" si="77"/>
        <v>751.6</v>
      </c>
      <c r="BO111" s="53">
        <f t="shared" si="78"/>
        <v>0</v>
      </c>
      <c r="BP111" s="53">
        <f t="shared" si="79"/>
        <v>695.6</v>
      </c>
      <c r="BQ111" s="53">
        <f t="shared" si="80"/>
        <v>0</v>
      </c>
      <c r="BR111" s="53">
        <f t="shared" si="81"/>
        <v>639.6</v>
      </c>
      <c r="BS111" s="53">
        <f t="shared" si="82"/>
        <v>0</v>
      </c>
      <c r="BT111" s="53">
        <f t="shared" si="83"/>
        <v>583.6</v>
      </c>
      <c r="BU111" s="53">
        <f t="shared" si="84"/>
        <v>0</v>
      </c>
      <c r="BV111" s="53">
        <f t="shared" si="85"/>
        <v>527.6</v>
      </c>
      <c r="BW111" s="53">
        <f t="shared" si="86"/>
        <v>0</v>
      </c>
      <c r="BX111" s="53">
        <f t="shared" si="87"/>
        <v>471.6</v>
      </c>
      <c r="BY111" s="53">
        <f t="shared" si="88"/>
        <v>0</v>
      </c>
      <c r="BZ111" s="53">
        <f t="shared" si="89"/>
        <v>415.6</v>
      </c>
      <c r="CA111" s="53">
        <f t="shared" si="90"/>
        <v>0</v>
      </c>
      <c r="CB111" s="53">
        <f t="shared" si="91"/>
        <v>359.6</v>
      </c>
      <c r="CC111" s="53">
        <f t="shared" si="92"/>
        <v>0</v>
      </c>
      <c r="CD111" s="8">
        <f t="shared" si="93"/>
        <v>847.6495186092684</v>
      </c>
      <c r="CE111" s="8">
        <f t="shared" si="94"/>
        <v>2323.6314541383917</v>
      </c>
      <c r="CF111" s="8">
        <f t="shared" si="95"/>
        <v>86124.117393900597</v>
      </c>
    </row>
    <row r="112" spans="1:84">
      <c r="A112" s="7">
        <f>'Monthly Data'!A112</f>
        <v>44256</v>
      </c>
      <c r="B112" s="6">
        <f>'Monthly Data'!B112</f>
        <v>2021</v>
      </c>
      <c r="C112" s="6">
        <f t="shared" si="50"/>
        <v>3</v>
      </c>
      <c r="D112" s="8">
        <f>'Monthly Data'!D112</f>
        <v>12296411.319618419</v>
      </c>
      <c r="E112" s="1">
        <f>'Monthly Data'!E112</f>
        <v>508957.70487315691</v>
      </c>
      <c r="F112" s="8">
        <f>'Monthly Data'!F112</f>
        <v>12805369.024491576</v>
      </c>
      <c r="G112" s="8">
        <f>'Monthly Data'!G112</f>
        <v>4041550.7949551763</v>
      </c>
      <c r="H112" s="1">
        <f>'Monthly Data'!H112</f>
        <v>263029.56829784374</v>
      </c>
      <c r="I112" s="8">
        <f>'Monthly Data'!I112</f>
        <v>4304580.3632530198</v>
      </c>
      <c r="J112" s="8">
        <f>'Monthly Data'!J112</f>
        <v>10662203.03156714</v>
      </c>
      <c r="K112" s="1">
        <f>'Monthly Data'!K112</f>
        <v>632669.1067726824</v>
      </c>
      <c r="L112" s="8">
        <f>'Monthly Data'!L112</f>
        <v>11294872.138339821</v>
      </c>
      <c r="M112" s="8">
        <f>'Monthly Data'!M112</f>
        <v>106864.65182847332</v>
      </c>
      <c r="N112" s="8">
        <f>'Monthly Data'!N112</f>
        <v>33133.562263615131</v>
      </c>
      <c r="O112" s="5">
        <f>'Monthly Data'!O112</f>
        <v>23983.440000000002</v>
      </c>
      <c r="P112" s="5">
        <f>'Monthly Data'!P112</f>
        <v>285.85000000000002</v>
      </c>
      <c r="Q112" s="8">
        <f>'Monthly Data'!Q112</f>
        <v>16380</v>
      </c>
      <c r="R112" s="8">
        <f>'Monthly Data'!R112</f>
        <v>1804</v>
      </c>
      <c r="S112" s="8">
        <f>'Monthly Data'!S112</f>
        <v>125</v>
      </c>
      <c r="T112" s="8">
        <f>'Monthly Data'!T112</f>
        <v>3261</v>
      </c>
      <c r="U112" s="8">
        <f>'Monthly Data'!U112</f>
        <v>30</v>
      </c>
      <c r="V112" s="45">
        <f>Weather!C232</f>
        <v>3.1322580645161291</v>
      </c>
      <c r="W112" s="46">
        <f>Weather!D232</f>
        <v>584.9</v>
      </c>
      <c r="X112" s="46">
        <f>Weather!E232</f>
        <v>0</v>
      </c>
      <c r="Y112" s="46">
        <f>Weather!F232</f>
        <v>522.9</v>
      </c>
      <c r="Z112" s="46">
        <f>Weather!G232</f>
        <v>0</v>
      </c>
      <c r="AA112" s="46">
        <f>Weather!H232</f>
        <v>460.9</v>
      </c>
      <c r="AB112" s="46">
        <f>Weather!I232</f>
        <v>0</v>
      </c>
      <c r="AC112" s="46">
        <f>Weather!J232</f>
        <v>398.9</v>
      </c>
      <c r="AD112" s="46">
        <f>Weather!K232</f>
        <v>0</v>
      </c>
      <c r="AE112" s="46">
        <f>Weather!L232</f>
        <v>339.3</v>
      </c>
      <c r="AF112" s="46">
        <f>Weather!M232</f>
        <v>2.4</v>
      </c>
      <c r="AG112" s="46">
        <f>Weather!N232</f>
        <v>281.3</v>
      </c>
      <c r="AH112" s="46">
        <f>Weather!O232</f>
        <v>6.4</v>
      </c>
      <c r="AI112" s="46">
        <f>Weather!P232</f>
        <v>226.8</v>
      </c>
      <c r="AJ112" s="46">
        <f>Weather!Q232</f>
        <v>13.9</v>
      </c>
      <c r="AK112" s="46">
        <f>Weather!R232</f>
        <v>178.7</v>
      </c>
      <c r="AL112" s="46">
        <f>Weather!S232</f>
        <v>27.8</v>
      </c>
      <c r="AM112" s="43">
        <f>Economic!C112</f>
        <v>740225.97825000004</v>
      </c>
      <c r="AN112" s="43">
        <f>Economic!D112</f>
        <v>7213.1</v>
      </c>
      <c r="AO112" s="43">
        <f>Economic!E112</f>
        <v>7105.6</v>
      </c>
      <c r="AP112" s="43">
        <f>Economic!F112</f>
        <v>109.5</v>
      </c>
      <c r="AQ112" s="43">
        <f>Economic!G112</f>
        <v>107.1</v>
      </c>
      <c r="AR112" s="47">
        <f t="shared" si="49"/>
        <v>31</v>
      </c>
      <c r="AS112" s="47">
        <v>23</v>
      </c>
      <c r="AT112" s="47">
        <f t="shared" si="51"/>
        <v>111</v>
      </c>
      <c r="AU112" s="47">
        <f t="shared" si="96"/>
        <v>0</v>
      </c>
      <c r="AV112" s="47">
        <f t="shared" si="96"/>
        <v>0</v>
      </c>
      <c r="AW112" s="47">
        <f t="shared" si="96"/>
        <v>1</v>
      </c>
      <c r="AX112" s="47">
        <f t="shared" si="96"/>
        <v>0</v>
      </c>
      <c r="AY112" s="47">
        <f t="shared" si="96"/>
        <v>0</v>
      </c>
      <c r="AZ112" s="47">
        <f t="shared" si="96"/>
        <v>0</v>
      </c>
      <c r="BA112" s="47">
        <f t="shared" si="96"/>
        <v>0</v>
      </c>
      <c r="BB112" s="47">
        <f t="shared" si="96"/>
        <v>0</v>
      </c>
      <c r="BC112" s="47">
        <f t="shared" si="96"/>
        <v>0</v>
      </c>
      <c r="BD112" s="47">
        <f t="shared" si="96"/>
        <v>0</v>
      </c>
      <c r="BE112" s="47">
        <f t="shared" si="96"/>
        <v>0</v>
      </c>
      <c r="BF112" s="47">
        <f t="shared" si="96"/>
        <v>0</v>
      </c>
      <c r="BG112" s="47">
        <f t="shared" si="96"/>
        <v>1</v>
      </c>
      <c r="BH112" s="47">
        <f t="shared" si="96"/>
        <v>0</v>
      </c>
      <c r="BI112" s="47">
        <f t="shared" si="52"/>
        <v>1</v>
      </c>
      <c r="BJ112" s="48">
        <v>1</v>
      </c>
      <c r="BK112" s="51">
        <v>0.5</v>
      </c>
      <c r="BL112" s="51">
        <v>0</v>
      </c>
      <c r="BM112" s="47">
        <f t="shared" si="75"/>
        <v>0</v>
      </c>
      <c r="BN112" s="53">
        <f t="shared" si="77"/>
        <v>584.9</v>
      </c>
      <c r="BO112" s="53">
        <f t="shared" si="78"/>
        <v>0</v>
      </c>
      <c r="BP112" s="53">
        <f t="shared" si="79"/>
        <v>522.9</v>
      </c>
      <c r="BQ112" s="53">
        <f t="shared" si="80"/>
        <v>0</v>
      </c>
      <c r="BR112" s="53">
        <f t="shared" si="81"/>
        <v>460.9</v>
      </c>
      <c r="BS112" s="53">
        <f t="shared" si="82"/>
        <v>0</v>
      </c>
      <c r="BT112" s="53">
        <f t="shared" si="83"/>
        <v>398.9</v>
      </c>
      <c r="BU112" s="53">
        <f t="shared" si="84"/>
        <v>0</v>
      </c>
      <c r="BV112" s="53">
        <f t="shared" si="85"/>
        <v>339.3</v>
      </c>
      <c r="BW112" s="53">
        <f t="shared" si="86"/>
        <v>2.4</v>
      </c>
      <c r="BX112" s="53">
        <f t="shared" si="87"/>
        <v>281.3</v>
      </c>
      <c r="BY112" s="53">
        <f t="shared" si="88"/>
        <v>6.4</v>
      </c>
      <c r="BZ112" s="53">
        <f t="shared" si="89"/>
        <v>226.8</v>
      </c>
      <c r="CA112" s="53">
        <f t="shared" si="90"/>
        <v>13.9</v>
      </c>
      <c r="CB112" s="53">
        <f t="shared" si="91"/>
        <v>178.7</v>
      </c>
      <c r="CC112" s="53">
        <f t="shared" si="92"/>
        <v>27.8</v>
      </c>
      <c r="CD112" s="8">
        <f t="shared" si="93"/>
        <v>781.76856071377142</v>
      </c>
      <c r="CE112" s="8">
        <f t="shared" si="94"/>
        <v>2386.1310217588803</v>
      </c>
      <c r="CF112" s="8">
        <f t="shared" si="95"/>
        <v>90358.977106718565</v>
      </c>
    </row>
    <row r="113" spans="1:84">
      <c r="A113" s="7">
        <f>'Monthly Data'!A113</f>
        <v>44287</v>
      </c>
      <c r="B113" s="6">
        <f>'Monthly Data'!B113</f>
        <v>2021</v>
      </c>
      <c r="C113" s="6">
        <f t="shared" si="50"/>
        <v>4</v>
      </c>
      <c r="D113" s="8">
        <f>'Monthly Data'!D113</f>
        <v>10170203.826944141</v>
      </c>
      <c r="E113" s="1">
        <f>'Monthly Data'!E113</f>
        <v>508957.70487315691</v>
      </c>
      <c r="F113" s="8">
        <f>'Monthly Data'!F113</f>
        <v>10679161.531817298</v>
      </c>
      <c r="G113" s="8">
        <f>'Monthly Data'!G113</f>
        <v>3230840.8949029865</v>
      </c>
      <c r="H113" s="1">
        <f>'Monthly Data'!H113</f>
        <v>263029.56829784374</v>
      </c>
      <c r="I113" s="8">
        <f>'Monthly Data'!I113</f>
        <v>3493870.4632008304</v>
      </c>
      <c r="J113" s="8">
        <f>'Monthly Data'!J113</f>
        <v>9596030.5637827348</v>
      </c>
      <c r="K113" s="1">
        <f>'Monthly Data'!K113</f>
        <v>632669.1067726824</v>
      </c>
      <c r="L113" s="8">
        <f>'Monthly Data'!L113</f>
        <v>10228699.670555416</v>
      </c>
      <c r="M113" s="8">
        <f>'Monthly Data'!M113</f>
        <v>89761.229701916629</v>
      </c>
      <c r="N113" s="8">
        <f>'Monthly Data'!N113</f>
        <v>32983.935001957769</v>
      </c>
      <c r="O113" s="5">
        <f>'Monthly Data'!O113</f>
        <v>23731.940000000002</v>
      </c>
      <c r="P113" s="5">
        <f>'Monthly Data'!P113</f>
        <v>285.85000000000002</v>
      </c>
      <c r="Q113" s="8">
        <f>'Monthly Data'!Q113</f>
        <v>16373</v>
      </c>
      <c r="R113" s="8">
        <f>'Monthly Data'!R113</f>
        <v>1810</v>
      </c>
      <c r="S113" s="8">
        <f>'Monthly Data'!S113</f>
        <v>117</v>
      </c>
      <c r="T113" s="8">
        <f>'Monthly Data'!T113</f>
        <v>3261</v>
      </c>
      <c r="U113" s="8">
        <f>'Monthly Data'!U113</f>
        <v>30</v>
      </c>
      <c r="V113" s="45">
        <f>Weather!C233</f>
        <v>7.5066666666666659</v>
      </c>
      <c r="W113" s="46">
        <f>Weather!D233</f>
        <v>434.8</v>
      </c>
      <c r="X113" s="46">
        <f>Weather!E233</f>
        <v>0</v>
      </c>
      <c r="Y113" s="46">
        <f>Weather!F233</f>
        <v>374.8</v>
      </c>
      <c r="Z113" s="46">
        <f>Weather!G233</f>
        <v>0</v>
      </c>
      <c r="AA113" s="46">
        <f>Weather!H233</f>
        <v>315.10000000000002</v>
      </c>
      <c r="AB113" s="46">
        <f>Weather!I233</f>
        <v>0.3</v>
      </c>
      <c r="AC113" s="46">
        <f>Weather!J233</f>
        <v>258.60000000000002</v>
      </c>
      <c r="AD113" s="46">
        <f>Weather!K233</f>
        <v>3.8</v>
      </c>
      <c r="AE113" s="46">
        <f>Weather!L233</f>
        <v>205.6</v>
      </c>
      <c r="AF113" s="46">
        <f>Weather!M233</f>
        <v>10.8</v>
      </c>
      <c r="AG113" s="46">
        <f>Weather!N233</f>
        <v>155.4</v>
      </c>
      <c r="AH113" s="46">
        <f>Weather!O233</f>
        <v>20.6</v>
      </c>
      <c r="AI113" s="46">
        <f>Weather!P233</f>
        <v>110.2</v>
      </c>
      <c r="AJ113" s="46">
        <f>Weather!Q233</f>
        <v>35.4</v>
      </c>
      <c r="AK113" s="46">
        <f>Weather!R233</f>
        <v>71.900000000000006</v>
      </c>
      <c r="AL113" s="46">
        <f>Weather!S233</f>
        <v>57.1</v>
      </c>
      <c r="AM113" s="43">
        <f>Economic!C113</f>
        <v>740225.97825000004</v>
      </c>
      <c r="AN113" s="43">
        <f>Economic!D113</f>
        <v>7256.5</v>
      </c>
      <c r="AO113" s="43">
        <f>Economic!E113</f>
        <v>7163.1</v>
      </c>
      <c r="AP113" s="43">
        <f>Economic!F113</f>
        <v>111.2</v>
      </c>
      <c r="AQ113" s="43">
        <f>Economic!G113</f>
        <v>108.4</v>
      </c>
      <c r="AR113" s="47">
        <f t="shared" si="49"/>
        <v>30</v>
      </c>
      <c r="AS113" s="47">
        <v>21</v>
      </c>
      <c r="AT113" s="47">
        <f t="shared" si="51"/>
        <v>112</v>
      </c>
      <c r="AU113" s="47">
        <f t="shared" si="96"/>
        <v>0</v>
      </c>
      <c r="AV113" s="47">
        <f t="shared" si="96"/>
        <v>0</v>
      </c>
      <c r="AW113" s="47">
        <f t="shared" si="96"/>
        <v>0</v>
      </c>
      <c r="AX113" s="47">
        <f t="shared" si="96"/>
        <v>1</v>
      </c>
      <c r="AY113" s="47">
        <f t="shared" si="96"/>
        <v>0</v>
      </c>
      <c r="AZ113" s="47">
        <f t="shared" si="96"/>
        <v>0</v>
      </c>
      <c r="BA113" s="47">
        <f t="shared" si="96"/>
        <v>0</v>
      </c>
      <c r="BB113" s="47">
        <f t="shared" si="96"/>
        <v>0</v>
      </c>
      <c r="BC113" s="47">
        <f t="shared" si="96"/>
        <v>0</v>
      </c>
      <c r="BD113" s="47">
        <f t="shared" si="96"/>
        <v>0</v>
      </c>
      <c r="BE113" s="47">
        <f t="shared" si="96"/>
        <v>0</v>
      </c>
      <c r="BF113" s="47">
        <f t="shared" si="96"/>
        <v>0</v>
      </c>
      <c r="BG113" s="47">
        <f t="shared" si="96"/>
        <v>1</v>
      </c>
      <c r="BH113" s="47">
        <f t="shared" si="96"/>
        <v>0</v>
      </c>
      <c r="BI113" s="47">
        <f t="shared" si="52"/>
        <v>1</v>
      </c>
      <c r="BJ113" s="48">
        <v>1</v>
      </c>
      <c r="BK113" s="51">
        <v>0.5</v>
      </c>
      <c r="BL113" s="51">
        <v>0</v>
      </c>
      <c r="BM113" s="47">
        <f t="shared" si="75"/>
        <v>0</v>
      </c>
      <c r="BN113" s="53">
        <f t="shared" si="77"/>
        <v>434.8</v>
      </c>
      <c r="BO113" s="53">
        <f t="shared" si="78"/>
        <v>0</v>
      </c>
      <c r="BP113" s="53">
        <f t="shared" si="79"/>
        <v>374.8</v>
      </c>
      <c r="BQ113" s="53">
        <f t="shared" si="80"/>
        <v>0</v>
      </c>
      <c r="BR113" s="53">
        <f t="shared" si="81"/>
        <v>315.10000000000002</v>
      </c>
      <c r="BS113" s="53">
        <f t="shared" si="82"/>
        <v>0.3</v>
      </c>
      <c r="BT113" s="53">
        <f t="shared" si="83"/>
        <v>258.60000000000002</v>
      </c>
      <c r="BU113" s="53">
        <f t="shared" si="84"/>
        <v>3.8</v>
      </c>
      <c r="BV113" s="53">
        <f t="shared" si="85"/>
        <v>205.6</v>
      </c>
      <c r="BW113" s="53">
        <f t="shared" si="86"/>
        <v>10.8</v>
      </c>
      <c r="BX113" s="53">
        <f t="shared" si="87"/>
        <v>155.4</v>
      </c>
      <c r="BY113" s="53">
        <f t="shared" si="88"/>
        <v>20.6</v>
      </c>
      <c r="BZ113" s="53">
        <f t="shared" si="89"/>
        <v>110.2</v>
      </c>
      <c r="CA113" s="53">
        <f t="shared" si="90"/>
        <v>35.4</v>
      </c>
      <c r="CB113" s="53">
        <f t="shared" si="91"/>
        <v>71.900000000000006</v>
      </c>
      <c r="CC113" s="53">
        <f t="shared" si="92"/>
        <v>57.1</v>
      </c>
      <c r="CD113" s="8">
        <f t="shared" si="93"/>
        <v>652.2421994635863</v>
      </c>
      <c r="CE113" s="8">
        <f t="shared" si="94"/>
        <v>1930.3151730391328</v>
      </c>
      <c r="CF113" s="8">
        <f t="shared" si="95"/>
        <v>87424.78350902065</v>
      </c>
    </row>
    <row r="114" spans="1:84">
      <c r="A114" s="7">
        <f>'Monthly Data'!A114</f>
        <v>44317</v>
      </c>
      <c r="B114" s="6">
        <f>'Monthly Data'!B114</f>
        <v>2021</v>
      </c>
      <c r="C114" s="6">
        <f t="shared" si="50"/>
        <v>5</v>
      </c>
      <c r="D114" s="8">
        <f>'Monthly Data'!D114</f>
        <v>9703321.1027398072</v>
      </c>
      <c r="E114" s="1">
        <f>'Monthly Data'!E114</f>
        <v>508957.70487315691</v>
      </c>
      <c r="F114" s="8">
        <f>'Monthly Data'!F114</f>
        <v>10212278.807612965</v>
      </c>
      <c r="G114" s="8">
        <f>'Monthly Data'!G114</f>
        <v>3180341.9648168492</v>
      </c>
      <c r="H114" s="1">
        <f>'Monthly Data'!H114</f>
        <v>263029.56829784374</v>
      </c>
      <c r="I114" s="8">
        <f>'Monthly Data'!I114</f>
        <v>3443371.5331146931</v>
      </c>
      <c r="J114" s="8">
        <f>'Monthly Data'!J114</f>
        <v>9497213.5604260471</v>
      </c>
      <c r="K114" s="1">
        <f>'Monthly Data'!K114</f>
        <v>632669.1067726824</v>
      </c>
      <c r="L114" s="8">
        <f>'Monthly Data'!L114</f>
        <v>10129882.667198729</v>
      </c>
      <c r="M114" s="8">
        <f>'Monthly Data'!M114</f>
        <v>80962.821380882102</v>
      </c>
      <c r="N114" s="8">
        <f>'Monthly Data'!N114</f>
        <v>33054.944549862965</v>
      </c>
      <c r="O114" s="5">
        <f>'Monthly Data'!O114</f>
        <v>23387.250000000004</v>
      </c>
      <c r="P114" s="5">
        <f>'Monthly Data'!P114</f>
        <v>285.85000000000002</v>
      </c>
      <c r="Q114" s="8">
        <f>'Monthly Data'!Q114</f>
        <v>16291</v>
      </c>
      <c r="R114" s="8">
        <f>'Monthly Data'!R114</f>
        <v>1798</v>
      </c>
      <c r="S114" s="8">
        <f>'Monthly Data'!S114</f>
        <v>125</v>
      </c>
      <c r="T114" s="8">
        <f>'Monthly Data'!T114</f>
        <v>3261</v>
      </c>
      <c r="U114" s="8">
        <f>'Monthly Data'!U114</f>
        <v>30</v>
      </c>
      <c r="V114" s="45">
        <f>Weather!C234</f>
        <v>11.870967741935486</v>
      </c>
      <c r="W114" s="46">
        <f>Weather!D234</f>
        <v>316.7</v>
      </c>
      <c r="X114" s="46">
        <f>Weather!E234</f>
        <v>2.7</v>
      </c>
      <c r="Y114" s="46">
        <f>Weather!F234</f>
        <v>260.39999999999998</v>
      </c>
      <c r="Z114" s="46">
        <f>Weather!G234</f>
        <v>8.4</v>
      </c>
      <c r="AA114" s="46">
        <f>Weather!H234</f>
        <v>206</v>
      </c>
      <c r="AB114" s="46">
        <f>Weather!I234</f>
        <v>16</v>
      </c>
      <c r="AC114" s="46">
        <f>Weather!J234</f>
        <v>154.19999999999999</v>
      </c>
      <c r="AD114" s="46">
        <f>Weather!K234</f>
        <v>26.2</v>
      </c>
      <c r="AE114" s="46">
        <f>Weather!L234</f>
        <v>108.6</v>
      </c>
      <c r="AF114" s="46">
        <f>Weather!M234</f>
        <v>42.6</v>
      </c>
      <c r="AG114" s="46">
        <f>Weather!N234</f>
        <v>69.2</v>
      </c>
      <c r="AH114" s="46">
        <f>Weather!O234</f>
        <v>65.2</v>
      </c>
      <c r="AI114" s="46">
        <f>Weather!P234</f>
        <v>35.299999999999997</v>
      </c>
      <c r="AJ114" s="46">
        <f>Weather!Q234</f>
        <v>93.3</v>
      </c>
      <c r="AK114" s="46">
        <f>Weather!R234</f>
        <v>13</v>
      </c>
      <c r="AL114" s="46">
        <f>Weather!S234</f>
        <v>133</v>
      </c>
      <c r="AM114" s="43">
        <f>Economic!C114</f>
        <v>740225.97825000004</v>
      </c>
      <c r="AN114" s="43">
        <f>Economic!D114</f>
        <v>7255.8</v>
      </c>
      <c r="AO114" s="43">
        <f>Economic!E114</f>
        <v>7211.3</v>
      </c>
      <c r="AP114" s="43">
        <f>Economic!F114</f>
        <v>112.9</v>
      </c>
      <c r="AQ114" s="43">
        <f>Economic!G114</f>
        <v>111</v>
      </c>
      <c r="AR114" s="47">
        <f t="shared" si="49"/>
        <v>31</v>
      </c>
      <c r="AS114" s="47">
        <v>20</v>
      </c>
      <c r="AT114" s="47">
        <f t="shared" si="51"/>
        <v>113</v>
      </c>
      <c r="AU114" s="47">
        <f t="shared" si="96"/>
        <v>0</v>
      </c>
      <c r="AV114" s="47">
        <f t="shared" si="96"/>
        <v>0</v>
      </c>
      <c r="AW114" s="47">
        <f t="shared" si="96"/>
        <v>0</v>
      </c>
      <c r="AX114" s="47">
        <f t="shared" si="96"/>
        <v>0</v>
      </c>
      <c r="AY114" s="47">
        <f t="shared" si="96"/>
        <v>1</v>
      </c>
      <c r="AZ114" s="47">
        <f t="shared" si="96"/>
        <v>0</v>
      </c>
      <c r="BA114" s="47">
        <f t="shared" si="96"/>
        <v>0</v>
      </c>
      <c r="BB114" s="47">
        <f t="shared" si="96"/>
        <v>0</v>
      </c>
      <c r="BC114" s="47">
        <f t="shared" si="96"/>
        <v>0</v>
      </c>
      <c r="BD114" s="47">
        <f t="shared" si="96"/>
        <v>0</v>
      </c>
      <c r="BE114" s="47">
        <f t="shared" si="96"/>
        <v>0</v>
      </c>
      <c r="BF114" s="47">
        <f t="shared" si="96"/>
        <v>0</v>
      </c>
      <c r="BG114" s="47">
        <f t="shared" si="96"/>
        <v>1</v>
      </c>
      <c r="BH114" s="47">
        <f t="shared" si="96"/>
        <v>0</v>
      </c>
      <c r="BI114" s="47">
        <f t="shared" si="52"/>
        <v>1</v>
      </c>
      <c r="BJ114" s="48">
        <v>1</v>
      </c>
      <c r="BK114" s="51">
        <v>0.5</v>
      </c>
      <c r="BL114" s="51">
        <v>0</v>
      </c>
      <c r="BM114" s="47">
        <f t="shared" si="75"/>
        <v>0</v>
      </c>
      <c r="BN114" s="53">
        <f t="shared" si="77"/>
        <v>316.7</v>
      </c>
      <c r="BO114" s="53">
        <f t="shared" si="78"/>
        <v>2.7</v>
      </c>
      <c r="BP114" s="53">
        <f t="shared" si="79"/>
        <v>260.39999999999998</v>
      </c>
      <c r="BQ114" s="53">
        <f t="shared" si="80"/>
        <v>8.4</v>
      </c>
      <c r="BR114" s="53">
        <f t="shared" si="81"/>
        <v>206</v>
      </c>
      <c r="BS114" s="53">
        <f t="shared" si="82"/>
        <v>16</v>
      </c>
      <c r="BT114" s="53">
        <f t="shared" si="83"/>
        <v>154.19999999999999</v>
      </c>
      <c r="BU114" s="53">
        <f t="shared" si="84"/>
        <v>26.2</v>
      </c>
      <c r="BV114" s="53">
        <f t="shared" si="85"/>
        <v>108.6</v>
      </c>
      <c r="BW114" s="53">
        <f t="shared" si="86"/>
        <v>42.6</v>
      </c>
      <c r="BX114" s="53">
        <f t="shared" si="87"/>
        <v>69.2</v>
      </c>
      <c r="BY114" s="53">
        <f t="shared" si="88"/>
        <v>65.2</v>
      </c>
      <c r="BZ114" s="53">
        <f t="shared" si="89"/>
        <v>35.299999999999997</v>
      </c>
      <c r="CA114" s="53">
        <f t="shared" si="90"/>
        <v>93.3</v>
      </c>
      <c r="CB114" s="53">
        <f t="shared" si="91"/>
        <v>13</v>
      </c>
      <c r="CC114" s="53">
        <f t="shared" si="92"/>
        <v>133</v>
      </c>
      <c r="CD114" s="8">
        <f t="shared" si="93"/>
        <v>626.86629474022254</v>
      </c>
      <c r="CE114" s="8">
        <f t="shared" si="94"/>
        <v>1915.112087383033</v>
      </c>
      <c r="CF114" s="8">
        <f t="shared" si="95"/>
        <v>81039.061337589825</v>
      </c>
    </row>
    <row r="115" spans="1:84">
      <c r="A115" s="7">
        <f>'Monthly Data'!A115</f>
        <v>44348</v>
      </c>
      <c r="B115" s="6">
        <f>'Monthly Data'!B115</f>
        <v>2021</v>
      </c>
      <c r="C115" s="6">
        <f t="shared" si="50"/>
        <v>6</v>
      </c>
      <c r="D115" s="8">
        <f>'Monthly Data'!D115</f>
        <v>10757791.641526507</v>
      </c>
      <c r="E115" s="1">
        <f>'Monthly Data'!E115</f>
        <v>508957.70487315691</v>
      </c>
      <c r="F115" s="8">
        <f>'Monthly Data'!F115</f>
        <v>11266749.346399665</v>
      </c>
      <c r="G115" s="8">
        <f>'Monthly Data'!G115</f>
        <v>3536902.6744333198</v>
      </c>
      <c r="H115" s="1">
        <f>'Monthly Data'!H115</f>
        <v>263029.56829784374</v>
      </c>
      <c r="I115" s="8">
        <f>'Monthly Data'!I115</f>
        <v>3799932.2427311637</v>
      </c>
      <c r="J115" s="8">
        <f>'Monthly Data'!J115</f>
        <v>10041214.17232381</v>
      </c>
      <c r="K115" s="1">
        <f>'Monthly Data'!K115</f>
        <v>632669.1067726824</v>
      </c>
      <c r="L115" s="8">
        <f>'Monthly Data'!L115</f>
        <v>10673883.279096492</v>
      </c>
      <c r="M115" s="8">
        <f>'Monthly Data'!M115</f>
        <v>72347.566729917788</v>
      </c>
      <c r="N115" s="8">
        <f>'Monthly Data'!N115</f>
        <v>32983.935001957783</v>
      </c>
      <c r="O115" s="5">
        <f>'Monthly Data'!O115</f>
        <v>24116.44</v>
      </c>
      <c r="P115" s="5">
        <f>'Monthly Data'!P115</f>
        <v>285.85000000000002</v>
      </c>
      <c r="Q115" s="8">
        <f>'Monthly Data'!Q115</f>
        <v>16505</v>
      </c>
      <c r="R115" s="8">
        <f>'Monthly Data'!R115</f>
        <v>1818</v>
      </c>
      <c r="S115" s="8">
        <f>'Monthly Data'!S115</f>
        <v>127</v>
      </c>
      <c r="T115" s="8">
        <f>'Monthly Data'!T115</f>
        <v>3261</v>
      </c>
      <c r="U115" s="8">
        <f>'Monthly Data'!U115</f>
        <v>30</v>
      </c>
      <c r="V115" s="45">
        <f>Weather!C235</f>
        <v>20.009999999999998</v>
      </c>
      <c r="W115" s="46">
        <f>Weather!D235</f>
        <v>81.400000000000006</v>
      </c>
      <c r="X115" s="46">
        <f>Weather!E235</f>
        <v>21.7</v>
      </c>
      <c r="Y115" s="46">
        <f>Weather!F235</f>
        <v>47.6</v>
      </c>
      <c r="Z115" s="46">
        <f>Weather!G235</f>
        <v>47.9</v>
      </c>
      <c r="AA115" s="46">
        <f>Weather!H235</f>
        <v>22.7</v>
      </c>
      <c r="AB115" s="46">
        <f>Weather!I235</f>
        <v>83</v>
      </c>
      <c r="AC115" s="46">
        <f>Weather!J235</f>
        <v>7.3</v>
      </c>
      <c r="AD115" s="46">
        <f>Weather!K235</f>
        <v>127.6</v>
      </c>
      <c r="AE115" s="46">
        <f>Weather!L235</f>
        <v>1.6</v>
      </c>
      <c r="AF115" s="46">
        <f>Weather!M235</f>
        <v>181.9</v>
      </c>
      <c r="AG115" s="46">
        <f>Weather!N235</f>
        <v>0</v>
      </c>
      <c r="AH115" s="46">
        <f>Weather!O235</f>
        <v>240.3</v>
      </c>
      <c r="AI115" s="46">
        <f>Weather!P235</f>
        <v>0</v>
      </c>
      <c r="AJ115" s="46">
        <f>Weather!Q235</f>
        <v>300.3</v>
      </c>
      <c r="AK115" s="46">
        <f>Weather!R235</f>
        <v>0</v>
      </c>
      <c r="AL115" s="46">
        <f>Weather!S235</f>
        <v>360.3</v>
      </c>
      <c r="AM115" s="43">
        <f>Economic!C115</f>
        <v>740225.97825000004</v>
      </c>
      <c r="AN115" s="43">
        <f>Economic!D115</f>
        <v>7233.3</v>
      </c>
      <c r="AO115" s="43">
        <f>Economic!E115</f>
        <v>7273.4</v>
      </c>
      <c r="AP115" s="43">
        <f>Economic!F115</f>
        <v>113</v>
      </c>
      <c r="AQ115" s="43">
        <f>Economic!G115</f>
        <v>113</v>
      </c>
      <c r="AR115" s="47">
        <f>AR67</f>
        <v>30</v>
      </c>
      <c r="AS115" s="47">
        <v>22</v>
      </c>
      <c r="AT115" s="47">
        <f t="shared" si="51"/>
        <v>114</v>
      </c>
      <c r="AU115" s="47">
        <f t="shared" si="96"/>
        <v>0</v>
      </c>
      <c r="AV115" s="47">
        <f t="shared" si="96"/>
        <v>0</v>
      </c>
      <c r="AW115" s="47">
        <f t="shared" si="96"/>
        <v>0</v>
      </c>
      <c r="AX115" s="47">
        <f t="shared" si="96"/>
        <v>0</v>
      </c>
      <c r="AY115" s="47">
        <f t="shared" si="96"/>
        <v>0</v>
      </c>
      <c r="AZ115" s="47">
        <f t="shared" si="96"/>
        <v>1</v>
      </c>
      <c r="BA115" s="47">
        <f t="shared" si="96"/>
        <v>0</v>
      </c>
      <c r="BB115" s="47">
        <f t="shared" si="96"/>
        <v>0</v>
      </c>
      <c r="BC115" s="47">
        <f t="shared" si="96"/>
        <v>0</v>
      </c>
      <c r="BD115" s="47">
        <f t="shared" si="96"/>
        <v>0</v>
      </c>
      <c r="BE115" s="47">
        <f t="shared" si="96"/>
        <v>0</v>
      </c>
      <c r="BF115" s="47">
        <f t="shared" si="96"/>
        <v>0</v>
      </c>
      <c r="BG115" s="47">
        <f t="shared" si="96"/>
        <v>0</v>
      </c>
      <c r="BH115" s="47">
        <f t="shared" si="96"/>
        <v>0</v>
      </c>
      <c r="BI115" s="47">
        <f t="shared" si="52"/>
        <v>0</v>
      </c>
      <c r="BJ115" s="48">
        <v>1</v>
      </c>
      <c r="BK115" s="51">
        <v>0.5</v>
      </c>
      <c r="BL115" s="51">
        <v>0</v>
      </c>
      <c r="BM115" s="47">
        <f t="shared" si="75"/>
        <v>0</v>
      </c>
      <c r="BN115" s="53">
        <f t="shared" si="77"/>
        <v>81.400000000000006</v>
      </c>
      <c r="BO115" s="53">
        <f t="shared" si="78"/>
        <v>21.7</v>
      </c>
      <c r="BP115" s="53">
        <f t="shared" si="79"/>
        <v>47.6</v>
      </c>
      <c r="BQ115" s="53">
        <f t="shared" si="80"/>
        <v>47.9</v>
      </c>
      <c r="BR115" s="53">
        <f t="shared" si="81"/>
        <v>22.7</v>
      </c>
      <c r="BS115" s="53">
        <f t="shared" si="82"/>
        <v>83</v>
      </c>
      <c r="BT115" s="53">
        <f t="shared" si="83"/>
        <v>7.3</v>
      </c>
      <c r="BU115" s="53">
        <f t="shared" si="84"/>
        <v>127.6</v>
      </c>
      <c r="BV115" s="53">
        <f t="shared" si="85"/>
        <v>1.6</v>
      </c>
      <c r="BW115" s="53">
        <f t="shared" si="86"/>
        <v>181.9</v>
      </c>
      <c r="BX115" s="53">
        <f t="shared" si="87"/>
        <v>0</v>
      </c>
      <c r="BY115" s="53">
        <f t="shared" si="88"/>
        <v>240.3</v>
      </c>
      <c r="BZ115" s="53">
        <f t="shared" si="89"/>
        <v>0</v>
      </c>
      <c r="CA115" s="53">
        <f t="shared" si="90"/>
        <v>300.3</v>
      </c>
      <c r="CB115" s="53">
        <f t="shared" si="91"/>
        <v>0</v>
      </c>
      <c r="CC115" s="53">
        <f t="shared" si="92"/>
        <v>360.3</v>
      </c>
      <c r="CD115" s="8">
        <f t="shared" si="93"/>
        <v>682.626437225063</v>
      </c>
      <c r="CE115" s="8">
        <f t="shared" si="94"/>
        <v>2090.1717506772079</v>
      </c>
      <c r="CF115" s="8">
        <f t="shared" si="95"/>
        <v>84046.325032255845</v>
      </c>
    </row>
    <row r="116" spans="1:84">
      <c r="A116" s="7">
        <f>'Monthly Data'!A116</f>
        <v>44378</v>
      </c>
      <c r="B116" s="6">
        <f>'Monthly Data'!B116</f>
        <v>2021</v>
      </c>
      <c r="C116" s="6">
        <f t="shared" si="50"/>
        <v>7</v>
      </c>
      <c r="D116" s="8">
        <f>'Monthly Data'!D116</f>
        <v>11134010.184669029</v>
      </c>
      <c r="E116" s="1">
        <f>'Monthly Data'!E116</f>
        <v>508957.70487315691</v>
      </c>
      <c r="F116" s="8">
        <f>'Monthly Data'!F116</f>
        <v>11642967.889542187</v>
      </c>
      <c r="G116" s="8">
        <f>'Monthly Data'!G116</f>
        <v>3740276.8111922354</v>
      </c>
      <c r="H116" s="1">
        <f>'Monthly Data'!H116</f>
        <v>263029.56829784374</v>
      </c>
      <c r="I116" s="8">
        <f>'Monthly Data'!I116</f>
        <v>4003306.3794900794</v>
      </c>
      <c r="J116" s="8">
        <f>'Monthly Data'!J116</f>
        <v>9874828.2031405903</v>
      </c>
      <c r="K116" s="1">
        <f>'Monthly Data'!K116</f>
        <v>632669.1067726824</v>
      </c>
      <c r="L116" s="8">
        <f>'Monthly Data'!L116</f>
        <v>10507497.309913272</v>
      </c>
      <c r="M116" s="8">
        <f>'Monthly Data'!M116</f>
        <v>77624.838920514434</v>
      </c>
      <c r="N116" s="8">
        <f>'Monthly Data'!N116</f>
        <v>33054.944549862958</v>
      </c>
      <c r="O116" s="5">
        <f>'Monthly Data'!O116</f>
        <v>25743.349999999995</v>
      </c>
      <c r="P116" s="5">
        <f>'Monthly Data'!P116</f>
        <v>285.85000000000002</v>
      </c>
      <c r="Q116" s="8">
        <f>'Monthly Data'!Q116</f>
        <v>16448</v>
      </c>
      <c r="R116" s="8">
        <f>'Monthly Data'!R116</f>
        <v>1805</v>
      </c>
      <c r="S116" s="8">
        <f>'Monthly Data'!S116</f>
        <v>127</v>
      </c>
      <c r="T116" s="8">
        <f>'Monthly Data'!T116</f>
        <v>3261</v>
      </c>
      <c r="U116" s="8">
        <f>'Monthly Data'!U116</f>
        <v>30</v>
      </c>
      <c r="V116" s="45">
        <f>Weather!C236</f>
        <v>19.581181787691683</v>
      </c>
      <c r="W116" s="46">
        <f>Weather!D236</f>
        <v>87.8</v>
      </c>
      <c r="X116" s="46">
        <f>Weather!E236</f>
        <v>12.8</v>
      </c>
      <c r="Y116" s="46">
        <f>Weather!F236</f>
        <v>44</v>
      </c>
      <c r="Z116" s="46">
        <f>Weather!G236</f>
        <v>31</v>
      </c>
      <c r="AA116" s="46">
        <f>Weather!H236</f>
        <v>14.2</v>
      </c>
      <c r="AB116" s="46">
        <f>Weather!I236</f>
        <v>63.2</v>
      </c>
      <c r="AC116" s="46">
        <f>Weather!J236</f>
        <v>2.2999999999999998</v>
      </c>
      <c r="AD116" s="46">
        <f>Weather!K236</f>
        <v>113.3</v>
      </c>
      <c r="AE116" s="46">
        <f>Weather!L236</f>
        <v>0</v>
      </c>
      <c r="AF116" s="46">
        <f>Weather!M236</f>
        <v>173</v>
      </c>
      <c r="AG116" s="46">
        <f>Weather!N236</f>
        <v>0</v>
      </c>
      <c r="AH116" s="46">
        <f>Weather!O236</f>
        <v>235</v>
      </c>
      <c r="AI116" s="46">
        <f>Weather!P236</f>
        <v>0</v>
      </c>
      <c r="AJ116" s="46">
        <f>Weather!Q236</f>
        <v>297</v>
      </c>
      <c r="AK116" s="46">
        <f>Weather!R236</f>
        <v>0</v>
      </c>
      <c r="AL116" s="46">
        <f>Weather!S236</f>
        <v>359</v>
      </c>
      <c r="AM116" s="43">
        <f>Economic!C116</f>
        <v>740225.97825000004</v>
      </c>
      <c r="AN116" s="43">
        <f>Economic!D116</f>
        <v>7285.9</v>
      </c>
      <c r="AO116" s="43">
        <f>Economic!E116</f>
        <v>7372.5</v>
      </c>
      <c r="AP116" s="43">
        <f>Economic!F116</f>
        <v>115.5</v>
      </c>
      <c r="AQ116" s="43">
        <f>Economic!G116</f>
        <v>118.7</v>
      </c>
      <c r="AR116" s="47">
        <f>AR68</f>
        <v>31</v>
      </c>
      <c r="AS116" s="47">
        <v>21</v>
      </c>
      <c r="AT116" s="47">
        <f t="shared" si="51"/>
        <v>115</v>
      </c>
      <c r="AU116" s="47">
        <f t="shared" si="96"/>
        <v>0</v>
      </c>
      <c r="AV116" s="47">
        <f t="shared" si="96"/>
        <v>0</v>
      </c>
      <c r="AW116" s="47">
        <f t="shared" si="96"/>
        <v>0</v>
      </c>
      <c r="AX116" s="47">
        <f t="shared" si="96"/>
        <v>0</v>
      </c>
      <c r="AY116" s="47">
        <f t="shared" si="96"/>
        <v>0</v>
      </c>
      <c r="AZ116" s="47">
        <f t="shared" si="96"/>
        <v>0</v>
      </c>
      <c r="BA116" s="47">
        <f t="shared" si="96"/>
        <v>1</v>
      </c>
      <c r="BB116" s="47">
        <f t="shared" si="96"/>
        <v>0</v>
      </c>
      <c r="BC116" s="47">
        <f t="shared" si="96"/>
        <v>0</v>
      </c>
      <c r="BD116" s="47">
        <f t="shared" si="96"/>
        <v>0</v>
      </c>
      <c r="BE116" s="47">
        <f t="shared" si="96"/>
        <v>0</v>
      </c>
      <c r="BF116" s="47">
        <f t="shared" si="96"/>
        <v>0</v>
      </c>
      <c r="BG116" s="47">
        <f t="shared" si="96"/>
        <v>0</v>
      </c>
      <c r="BH116" s="47">
        <f t="shared" si="96"/>
        <v>0</v>
      </c>
      <c r="BI116" s="47">
        <f t="shared" si="52"/>
        <v>0</v>
      </c>
      <c r="BJ116" s="48">
        <v>1</v>
      </c>
      <c r="BK116" s="51">
        <v>0.5</v>
      </c>
      <c r="BL116" s="51">
        <v>0</v>
      </c>
      <c r="BM116" s="47">
        <f t="shared" si="75"/>
        <v>0</v>
      </c>
      <c r="BN116" s="53">
        <f t="shared" si="77"/>
        <v>87.8</v>
      </c>
      <c r="BO116" s="53">
        <f t="shared" si="78"/>
        <v>12.8</v>
      </c>
      <c r="BP116" s="53">
        <f t="shared" si="79"/>
        <v>44</v>
      </c>
      <c r="BQ116" s="53">
        <f t="shared" si="80"/>
        <v>31</v>
      </c>
      <c r="BR116" s="53">
        <f t="shared" si="81"/>
        <v>14.2</v>
      </c>
      <c r="BS116" s="53">
        <f t="shared" si="82"/>
        <v>63.2</v>
      </c>
      <c r="BT116" s="53">
        <f t="shared" si="83"/>
        <v>2.2999999999999998</v>
      </c>
      <c r="BU116" s="53">
        <f t="shared" si="84"/>
        <v>113.3</v>
      </c>
      <c r="BV116" s="53">
        <f t="shared" si="85"/>
        <v>0</v>
      </c>
      <c r="BW116" s="53">
        <f t="shared" si="86"/>
        <v>173</v>
      </c>
      <c r="BX116" s="53">
        <f t="shared" si="87"/>
        <v>0</v>
      </c>
      <c r="BY116" s="53">
        <f t="shared" si="88"/>
        <v>235</v>
      </c>
      <c r="BZ116" s="53">
        <f t="shared" si="89"/>
        <v>0</v>
      </c>
      <c r="CA116" s="53">
        <f t="shared" si="90"/>
        <v>297</v>
      </c>
      <c r="CB116" s="53">
        <f t="shared" si="91"/>
        <v>0</v>
      </c>
      <c r="CC116" s="53">
        <f t="shared" si="92"/>
        <v>359</v>
      </c>
      <c r="CD116" s="8">
        <f t="shared" si="93"/>
        <v>707.86526565796373</v>
      </c>
      <c r="CE116" s="8">
        <f t="shared" si="94"/>
        <v>2217.8982711856397</v>
      </c>
      <c r="CF116" s="8">
        <f t="shared" si="95"/>
        <v>82736.199290655684</v>
      </c>
    </row>
    <row r="117" spans="1:84">
      <c r="A117" s="7">
        <f>'Monthly Data'!A117</f>
        <v>44409</v>
      </c>
      <c r="B117" s="6">
        <f>'Monthly Data'!B117</f>
        <v>2021</v>
      </c>
      <c r="C117" s="6">
        <f t="shared" ref="C117:C118" si="97">MONTH(A117)</f>
        <v>8</v>
      </c>
      <c r="D117" s="8">
        <f>'Monthly Data'!D117</f>
        <v>12880559.88235075</v>
      </c>
      <c r="E117" s="1">
        <f>'Monthly Data'!E117</f>
        <v>508957.70487315691</v>
      </c>
      <c r="F117" s="8">
        <f>'Monthly Data'!F117</f>
        <v>13389517.587223908</v>
      </c>
      <c r="G117" s="8">
        <f>'Monthly Data'!G117</f>
        <v>4156720.2886211914</v>
      </c>
      <c r="H117" s="1">
        <f>'Monthly Data'!H117</f>
        <v>263029.56829784374</v>
      </c>
      <c r="I117" s="8">
        <f>'Monthly Data'!I117</f>
        <v>4419749.8569190353</v>
      </c>
      <c r="J117" s="8">
        <f>'Monthly Data'!J117</f>
        <v>11025591.695461798</v>
      </c>
      <c r="K117" s="1">
        <f>'Monthly Data'!K117</f>
        <v>632669.1067726824</v>
      </c>
      <c r="L117" s="8">
        <f>'Monthly Data'!L117</f>
        <v>11658260.80223448</v>
      </c>
      <c r="M117" s="8">
        <f>'Monthly Data'!M117</f>
        <v>88013.206831119533</v>
      </c>
      <c r="N117" s="8">
        <f>'Monthly Data'!N117</f>
        <v>33019.439775910367</v>
      </c>
      <c r="O117" s="5">
        <f>'Monthly Data'!O117</f>
        <v>26672.799999999996</v>
      </c>
      <c r="P117" s="5">
        <f>'Monthly Data'!P117</f>
        <v>285.85000000000002</v>
      </c>
      <c r="Q117" s="8">
        <f>'Monthly Data'!Q117</f>
        <v>16442</v>
      </c>
      <c r="R117" s="8">
        <f>'Monthly Data'!R117</f>
        <v>1811</v>
      </c>
      <c r="S117" s="8">
        <f>'Monthly Data'!S117</f>
        <v>135</v>
      </c>
      <c r="T117" s="8">
        <f>'Monthly Data'!T117</f>
        <v>3261</v>
      </c>
      <c r="U117" s="8">
        <f>'Monthly Data'!U117</f>
        <v>30</v>
      </c>
      <c r="V117" s="45">
        <f>Weather!C237</f>
        <v>22.120428091512398</v>
      </c>
      <c r="W117" s="46">
        <f>Weather!D237</f>
        <v>35.6</v>
      </c>
      <c r="X117" s="46">
        <f>Weather!E237</f>
        <v>39.299999999999997</v>
      </c>
      <c r="Y117" s="46">
        <f>Weather!F237</f>
        <v>13.5</v>
      </c>
      <c r="Z117" s="46">
        <f>Weather!G237</f>
        <v>79.2</v>
      </c>
      <c r="AA117" s="46">
        <f>Weather!H237</f>
        <v>3.5</v>
      </c>
      <c r="AB117" s="46">
        <f>Weather!I237</f>
        <v>131.19999999999999</v>
      </c>
      <c r="AC117" s="46">
        <f>Weather!J237</f>
        <v>0.2</v>
      </c>
      <c r="AD117" s="46">
        <f>Weather!K237</f>
        <v>189.9</v>
      </c>
      <c r="AE117" s="46">
        <f>Weather!L237</f>
        <v>0</v>
      </c>
      <c r="AF117" s="46">
        <f>Weather!M237</f>
        <v>251.7</v>
      </c>
      <c r="AG117" s="46">
        <f>Weather!N237</f>
        <v>0</v>
      </c>
      <c r="AH117" s="46">
        <f>Weather!O237</f>
        <v>313.7</v>
      </c>
      <c r="AI117" s="46">
        <f>Weather!P237</f>
        <v>0</v>
      </c>
      <c r="AJ117" s="46">
        <f>Weather!Q237</f>
        <v>375.7</v>
      </c>
      <c r="AK117" s="46">
        <f>Weather!R237</f>
        <v>0</v>
      </c>
      <c r="AL117" s="46">
        <f>Weather!S237</f>
        <v>437.7</v>
      </c>
      <c r="AM117" s="43">
        <f>Economic!C117</f>
        <v>740225.97825000004</v>
      </c>
      <c r="AN117" s="43">
        <f>Economic!D117</f>
        <v>7366.7</v>
      </c>
      <c r="AO117" s="43">
        <f>Economic!E117</f>
        <v>7458.5</v>
      </c>
      <c r="AP117" s="43">
        <f>Economic!F117</f>
        <v>114.5</v>
      </c>
      <c r="AQ117" s="43">
        <f>Economic!G117</f>
        <v>119.6</v>
      </c>
      <c r="AR117" s="47">
        <f>AR69</f>
        <v>31</v>
      </c>
      <c r="AS117" s="47">
        <v>20</v>
      </c>
      <c r="AT117" s="47">
        <f t="shared" si="51"/>
        <v>116</v>
      </c>
      <c r="AU117" s="47">
        <f t="shared" ref="AU117:BH117" si="98">AU105</f>
        <v>0</v>
      </c>
      <c r="AV117" s="47">
        <f t="shared" si="98"/>
        <v>0</v>
      </c>
      <c r="AW117" s="47">
        <f t="shared" si="98"/>
        <v>0</v>
      </c>
      <c r="AX117" s="47">
        <f t="shared" si="98"/>
        <v>0</v>
      </c>
      <c r="AY117" s="47">
        <f t="shared" si="98"/>
        <v>0</v>
      </c>
      <c r="AZ117" s="47">
        <f t="shared" si="98"/>
        <v>0</v>
      </c>
      <c r="BA117" s="47">
        <f t="shared" si="98"/>
        <v>0</v>
      </c>
      <c r="BB117" s="47">
        <f t="shared" si="98"/>
        <v>1</v>
      </c>
      <c r="BC117" s="47">
        <f t="shared" si="98"/>
        <v>0</v>
      </c>
      <c r="BD117" s="47">
        <f t="shared" si="98"/>
        <v>0</v>
      </c>
      <c r="BE117" s="47">
        <f t="shared" si="98"/>
        <v>0</v>
      </c>
      <c r="BF117" s="47">
        <f t="shared" si="98"/>
        <v>0</v>
      </c>
      <c r="BG117" s="47">
        <f t="shared" si="98"/>
        <v>0</v>
      </c>
      <c r="BH117" s="47">
        <f t="shared" si="98"/>
        <v>0</v>
      </c>
      <c r="BI117" s="47">
        <f t="shared" ref="BI117:BI118" si="99">BG117+BH117</f>
        <v>0</v>
      </c>
      <c r="BJ117" s="48">
        <v>1</v>
      </c>
      <c r="BK117" s="51">
        <v>0.5</v>
      </c>
      <c r="BL117" s="51">
        <v>0</v>
      </c>
      <c r="BM117" s="47">
        <f t="shared" si="75"/>
        <v>0</v>
      </c>
      <c r="BN117" s="53">
        <f t="shared" si="77"/>
        <v>35.6</v>
      </c>
      <c r="BO117" s="53">
        <f t="shared" si="78"/>
        <v>39.299999999999997</v>
      </c>
      <c r="BP117" s="53">
        <f t="shared" si="79"/>
        <v>13.5</v>
      </c>
      <c r="BQ117" s="53">
        <f t="shared" si="80"/>
        <v>79.2</v>
      </c>
      <c r="BR117" s="53">
        <f t="shared" si="81"/>
        <v>3.5</v>
      </c>
      <c r="BS117" s="53">
        <f t="shared" si="82"/>
        <v>131.19999999999999</v>
      </c>
      <c r="BT117" s="53">
        <f t="shared" si="83"/>
        <v>0.2</v>
      </c>
      <c r="BU117" s="53">
        <f t="shared" si="84"/>
        <v>189.9</v>
      </c>
      <c r="BV117" s="53">
        <f t="shared" si="85"/>
        <v>0</v>
      </c>
      <c r="BW117" s="53">
        <f t="shared" si="86"/>
        <v>251.7</v>
      </c>
      <c r="BX117" s="53">
        <f t="shared" si="87"/>
        <v>0</v>
      </c>
      <c r="BY117" s="53">
        <f t="shared" si="88"/>
        <v>313.7</v>
      </c>
      <c r="BZ117" s="53">
        <f t="shared" si="89"/>
        <v>0</v>
      </c>
      <c r="CA117" s="53">
        <f t="shared" si="90"/>
        <v>375.7</v>
      </c>
      <c r="CB117" s="53">
        <f t="shared" si="91"/>
        <v>0</v>
      </c>
      <c r="CC117" s="53">
        <f t="shared" si="92"/>
        <v>437.7</v>
      </c>
      <c r="CD117" s="8">
        <f t="shared" si="93"/>
        <v>814.34847264468488</v>
      </c>
      <c r="CE117" s="8">
        <f t="shared" si="94"/>
        <v>2440.5024058084127</v>
      </c>
      <c r="CF117" s="8">
        <f t="shared" si="95"/>
        <v>86357.487423959115</v>
      </c>
    </row>
    <row r="118" spans="1:84">
      <c r="A118" s="7">
        <f>'Monthly Data'!A118</f>
        <v>44440</v>
      </c>
      <c r="B118" s="6">
        <f>'Monthly Data'!B118</f>
        <v>2021</v>
      </c>
      <c r="C118" s="6">
        <f t="shared" si="97"/>
        <v>9</v>
      </c>
      <c r="D118" s="8">
        <f>'Monthly Data'!D118</f>
        <v>9119363.7730794698</v>
      </c>
      <c r="E118" s="1">
        <f>'Monthly Data'!E118</f>
        <v>508957.70487315691</v>
      </c>
      <c r="F118" s="8">
        <f>'Monthly Data'!F118</f>
        <v>9628321.4779526275</v>
      </c>
      <c r="G118" s="8">
        <f>'Monthly Data'!G118</f>
        <v>3445349.1255803164</v>
      </c>
      <c r="H118" s="1">
        <f>'Monthly Data'!H118</f>
        <v>263029.56829784374</v>
      </c>
      <c r="I118" s="8">
        <f>'Monthly Data'!I118</f>
        <v>3708378.6938781603</v>
      </c>
      <c r="J118" s="8">
        <f>'Monthly Data'!J118</f>
        <v>9685483.4125192203</v>
      </c>
      <c r="K118" s="1">
        <f>'Monthly Data'!K118</f>
        <v>632669.1067726824</v>
      </c>
      <c r="L118" s="8">
        <f>'Monthly Data'!L118</f>
        <v>10318152.519291902</v>
      </c>
      <c r="M118" s="8">
        <f>'Monthly Data'!M118</f>
        <v>97840.178960473087</v>
      </c>
      <c r="N118" s="8">
        <f>'Monthly Data'!N118</f>
        <v>32983.935001957783</v>
      </c>
      <c r="O118" s="5">
        <f>'Monthly Data'!O118</f>
        <v>26563.649999999998</v>
      </c>
      <c r="P118" s="5">
        <f>'Monthly Data'!P118</f>
        <v>285.85000000000002</v>
      </c>
      <c r="Q118" s="8">
        <f>'Monthly Data'!Q118</f>
        <v>16499</v>
      </c>
      <c r="R118" s="8">
        <f>'Monthly Data'!R118</f>
        <v>1810</v>
      </c>
      <c r="S118" s="8">
        <f>'Monthly Data'!S118</f>
        <v>122</v>
      </c>
      <c r="T118" s="8">
        <f>'Monthly Data'!T118</f>
        <v>3261</v>
      </c>
      <c r="U118" s="8">
        <f>'Monthly Data'!U118</f>
        <v>30</v>
      </c>
      <c r="V118" s="45">
        <f>Weather!C238</f>
        <v>16.866666666666664</v>
      </c>
      <c r="W118" s="46">
        <f>Weather!D238</f>
        <v>154</v>
      </c>
      <c r="X118" s="46">
        <f>Weather!E238</f>
        <v>0</v>
      </c>
      <c r="Y118" s="46">
        <f>Weather!F238</f>
        <v>97.9</v>
      </c>
      <c r="Z118" s="46">
        <f>Weather!G238</f>
        <v>3.9</v>
      </c>
      <c r="AA118" s="46">
        <f>Weather!H238</f>
        <v>52.9</v>
      </c>
      <c r="AB118" s="46">
        <f>Weather!I238</f>
        <v>18.899999999999999</v>
      </c>
      <c r="AC118" s="46">
        <f>Weather!J238</f>
        <v>21.9</v>
      </c>
      <c r="AD118" s="46">
        <f>Weather!K238</f>
        <v>47.9</v>
      </c>
      <c r="AE118" s="46">
        <f>Weather!L238</f>
        <v>6.1</v>
      </c>
      <c r="AF118" s="46">
        <f>Weather!M238</f>
        <v>92.1</v>
      </c>
      <c r="AG118" s="46">
        <f>Weather!N238</f>
        <v>0.7</v>
      </c>
      <c r="AH118" s="46">
        <f>Weather!O238</f>
        <v>146.69999999999999</v>
      </c>
      <c r="AI118" s="46">
        <f>Weather!P238</f>
        <v>0</v>
      </c>
      <c r="AJ118" s="46">
        <f>Weather!Q238</f>
        <v>206</v>
      </c>
      <c r="AK118" s="46">
        <f>Weather!R238</f>
        <v>0</v>
      </c>
      <c r="AL118" s="46">
        <f>Weather!S238</f>
        <v>266</v>
      </c>
      <c r="AM118" s="43">
        <f>Economic!C118</f>
        <v>740225.97825000004</v>
      </c>
      <c r="AN118" s="43">
        <f>Economic!D118</f>
        <v>7433</v>
      </c>
      <c r="AO118" s="43">
        <f>Economic!E118</f>
        <v>7485</v>
      </c>
      <c r="AP118" s="43">
        <f>Economic!F118</f>
        <v>116.6</v>
      </c>
      <c r="AQ118" s="43">
        <f>Economic!G118</f>
        <v>120.5</v>
      </c>
      <c r="AR118" s="47">
        <f>AR70</f>
        <v>30</v>
      </c>
      <c r="AS118" s="47">
        <v>20</v>
      </c>
      <c r="AT118" s="47">
        <f t="shared" si="51"/>
        <v>117</v>
      </c>
      <c r="AU118" s="47">
        <f t="shared" ref="AU118:BH118" si="100">AU106</f>
        <v>0</v>
      </c>
      <c r="AV118" s="47">
        <f t="shared" si="100"/>
        <v>0</v>
      </c>
      <c r="AW118" s="47">
        <f t="shared" si="100"/>
        <v>0</v>
      </c>
      <c r="AX118" s="47">
        <f t="shared" si="100"/>
        <v>0</v>
      </c>
      <c r="AY118" s="47">
        <f t="shared" si="100"/>
        <v>0</v>
      </c>
      <c r="AZ118" s="47">
        <f t="shared" si="100"/>
        <v>0</v>
      </c>
      <c r="BA118" s="47">
        <f t="shared" si="100"/>
        <v>0</v>
      </c>
      <c r="BB118" s="47">
        <f t="shared" si="100"/>
        <v>0</v>
      </c>
      <c r="BC118" s="47">
        <f t="shared" si="100"/>
        <v>1</v>
      </c>
      <c r="BD118" s="47">
        <f t="shared" si="100"/>
        <v>0</v>
      </c>
      <c r="BE118" s="47">
        <f t="shared" si="100"/>
        <v>0</v>
      </c>
      <c r="BF118" s="47">
        <f t="shared" si="100"/>
        <v>0</v>
      </c>
      <c r="BG118" s="47">
        <f t="shared" si="100"/>
        <v>0</v>
      </c>
      <c r="BH118" s="47">
        <f t="shared" si="100"/>
        <v>1</v>
      </c>
      <c r="BI118" s="47">
        <f t="shared" si="99"/>
        <v>1</v>
      </c>
      <c r="BJ118" s="48">
        <v>1</v>
      </c>
      <c r="BK118" s="51">
        <v>0.5</v>
      </c>
      <c r="BL118" s="51">
        <v>0</v>
      </c>
      <c r="BM118" s="47">
        <f t="shared" si="75"/>
        <v>0</v>
      </c>
      <c r="BN118" s="53">
        <f t="shared" si="77"/>
        <v>154</v>
      </c>
      <c r="BO118" s="53">
        <f t="shared" si="78"/>
        <v>0</v>
      </c>
      <c r="BP118" s="53">
        <f t="shared" si="79"/>
        <v>97.9</v>
      </c>
      <c r="BQ118" s="53">
        <f t="shared" si="80"/>
        <v>3.9</v>
      </c>
      <c r="BR118" s="53">
        <f t="shared" si="81"/>
        <v>52.9</v>
      </c>
      <c r="BS118" s="53">
        <f t="shared" si="82"/>
        <v>18.899999999999999</v>
      </c>
      <c r="BT118" s="53">
        <f t="shared" si="83"/>
        <v>21.9</v>
      </c>
      <c r="BU118" s="53">
        <f t="shared" si="84"/>
        <v>47.9</v>
      </c>
      <c r="BV118" s="53">
        <f t="shared" si="85"/>
        <v>6.1</v>
      </c>
      <c r="BW118" s="53">
        <f t="shared" si="86"/>
        <v>92.1</v>
      </c>
      <c r="BX118" s="53">
        <f t="shared" si="87"/>
        <v>0.7</v>
      </c>
      <c r="BY118" s="53">
        <f t="shared" si="88"/>
        <v>146.69999999999999</v>
      </c>
      <c r="BZ118" s="53">
        <f t="shared" si="89"/>
        <v>0</v>
      </c>
      <c r="CA118" s="53">
        <f t="shared" si="90"/>
        <v>206</v>
      </c>
      <c r="CB118" s="53">
        <f t="shared" si="91"/>
        <v>0</v>
      </c>
      <c r="CC118" s="53">
        <f t="shared" si="92"/>
        <v>266</v>
      </c>
      <c r="CD118" s="8">
        <f t="shared" si="93"/>
        <v>583.57000290639598</v>
      </c>
      <c r="CE118" s="8">
        <f t="shared" si="94"/>
        <v>2048.8280076674919</v>
      </c>
      <c r="CF118" s="8">
        <f t="shared" si="95"/>
        <v>84575.02064993362</v>
      </c>
    </row>
    <row r="119" spans="1:84">
      <c r="A119" s="7">
        <f>'Monthly Data'!A119</f>
        <v>44470</v>
      </c>
      <c r="B119" s="6">
        <f>'Monthly Data'!B119</f>
        <v>2021</v>
      </c>
      <c r="C119" s="6">
        <f t="shared" ref="C119:C121" si="101">MONTH(A119)</f>
        <v>10</v>
      </c>
      <c r="D119" s="8">
        <f>'Monthly Data'!D119</f>
        <v>9406750.7694920097</v>
      </c>
      <c r="E119" s="1">
        <f>'Monthly Data'!E119</f>
        <v>508957.70487315691</v>
      </c>
      <c r="F119" s="8">
        <f>'Monthly Data'!F119</f>
        <v>9915708.4743651673</v>
      </c>
      <c r="G119" s="8">
        <f>'Monthly Data'!G119</f>
        <v>3428168.1397582926</v>
      </c>
      <c r="H119" s="1">
        <f>'Monthly Data'!H119</f>
        <v>263029.56829784374</v>
      </c>
      <c r="I119" s="8">
        <f>'Monthly Data'!I119</f>
        <v>3691197.7080561365</v>
      </c>
      <c r="J119" s="8">
        <f>'Monthly Data'!J119</f>
        <v>10420909.217033997</v>
      </c>
      <c r="K119" s="1">
        <f>'Monthly Data'!K119</f>
        <v>632669.1067726824</v>
      </c>
      <c r="L119" s="8">
        <f>'Monthly Data'!L119</f>
        <v>11053578.323806679</v>
      </c>
      <c r="M119" s="8">
        <f>'Monthly Data'!M119</f>
        <v>114457.07443550897</v>
      </c>
      <c r="N119" s="8">
        <f>'Monthly Data'!N119</f>
        <v>33054.944549862943</v>
      </c>
      <c r="O119" s="5">
        <f>'Monthly Data'!O119</f>
        <v>25179.219999999998</v>
      </c>
      <c r="P119" s="5">
        <f>'Monthly Data'!P119</f>
        <v>285.85000000000002</v>
      </c>
      <c r="Q119" s="8">
        <f>'Monthly Data'!Q119</f>
        <v>16380</v>
      </c>
      <c r="R119" s="8">
        <f>'Monthly Data'!R119</f>
        <v>1802</v>
      </c>
      <c r="S119" s="8">
        <f>'Monthly Data'!S119</f>
        <v>122</v>
      </c>
      <c r="T119" s="8">
        <f>'Monthly Data'!T119</f>
        <v>3261</v>
      </c>
      <c r="U119" s="8">
        <f>'Monthly Data'!U119</f>
        <v>30</v>
      </c>
      <c r="V119" s="45">
        <f>Weather!C239</f>
        <v>14.029032258064516</v>
      </c>
      <c r="W119" s="46">
        <f>Weather!D239</f>
        <v>247.5</v>
      </c>
      <c r="X119" s="46">
        <f>Weather!E239</f>
        <v>0.4</v>
      </c>
      <c r="Y119" s="46">
        <f>Weather!F239</f>
        <v>188.9</v>
      </c>
      <c r="Z119" s="46">
        <f>Weather!G239</f>
        <v>3.8</v>
      </c>
      <c r="AA119" s="46">
        <f>Weather!H239</f>
        <v>137.30000000000001</v>
      </c>
      <c r="AB119" s="46">
        <f>Weather!I239</f>
        <v>14.2</v>
      </c>
      <c r="AC119" s="46">
        <f>Weather!J239</f>
        <v>96.4</v>
      </c>
      <c r="AD119" s="46">
        <f>Weather!K239</f>
        <v>35.299999999999997</v>
      </c>
      <c r="AE119" s="46">
        <f>Weather!L239</f>
        <v>65.900000000000006</v>
      </c>
      <c r="AF119" s="46">
        <f>Weather!M239</f>
        <v>66.8</v>
      </c>
      <c r="AG119" s="46">
        <f>Weather!N239</f>
        <v>40</v>
      </c>
      <c r="AH119" s="46">
        <f>Weather!O239</f>
        <v>102.9</v>
      </c>
      <c r="AI119" s="46">
        <f>Weather!P239</f>
        <v>18.7</v>
      </c>
      <c r="AJ119" s="46">
        <f>Weather!Q239</f>
        <v>143.6</v>
      </c>
      <c r="AK119" s="46">
        <f>Weather!R239</f>
        <v>4.3</v>
      </c>
      <c r="AL119" s="46">
        <f>Weather!S239</f>
        <v>191.2</v>
      </c>
      <c r="AM119" s="43">
        <f>Economic!C119</f>
        <v>740225.97825000004</v>
      </c>
      <c r="AN119" s="43">
        <f>Economic!D119</f>
        <v>7487.5</v>
      </c>
      <c r="AO119" s="43">
        <f>Economic!E119</f>
        <v>7514.2</v>
      </c>
      <c r="AP119" s="43">
        <f>Economic!F119</f>
        <v>118</v>
      </c>
      <c r="AQ119" s="43">
        <f>Economic!G119</f>
        <v>121</v>
      </c>
      <c r="AR119" s="47">
        <f t="shared" ref="AR119:AR121" si="102">AR71</f>
        <v>31</v>
      </c>
      <c r="AS119" s="47">
        <v>20</v>
      </c>
      <c r="AT119" s="47">
        <f t="shared" si="51"/>
        <v>118</v>
      </c>
      <c r="AU119" s="47">
        <f t="shared" ref="AU119:BH119" si="103">AU107</f>
        <v>0</v>
      </c>
      <c r="AV119" s="47">
        <f t="shared" si="103"/>
        <v>0</v>
      </c>
      <c r="AW119" s="47">
        <f t="shared" si="103"/>
        <v>0</v>
      </c>
      <c r="AX119" s="47">
        <f t="shared" si="103"/>
        <v>0</v>
      </c>
      <c r="AY119" s="47">
        <f t="shared" si="103"/>
        <v>0</v>
      </c>
      <c r="AZ119" s="47">
        <f t="shared" si="103"/>
        <v>0</v>
      </c>
      <c r="BA119" s="47">
        <f t="shared" si="103"/>
        <v>0</v>
      </c>
      <c r="BB119" s="47">
        <f t="shared" si="103"/>
        <v>0</v>
      </c>
      <c r="BC119" s="47">
        <f t="shared" si="103"/>
        <v>0</v>
      </c>
      <c r="BD119" s="47">
        <f t="shared" si="103"/>
        <v>1</v>
      </c>
      <c r="BE119" s="47">
        <f t="shared" si="103"/>
        <v>0</v>
      </c>
      <c r="BF119" s="47">
        <f t="shared" si="103"/>
        <v>0</v>
      </c>
      <c r="BG119" s="47">
        <f t="shared" si="103"/>
        <v>0</v>
      </c>
      <c r="BH119" s="47">
        <f t="shared" si="103"/>
        <v>1</v>
      </c>
      <c r="BI119" s="47">
        <f t="shared" ref="BI119:BI121" si="104">BG119+BH119</f>
        <v>1</v>
      </c>
      <c r="BJ119" s="48">
        <v>1</v>
      </c>
      <c r="BK119" s="51">
        <v>0.5</v>
      </c>
      <c r="BL119" s="51">
        <v>0</v>
      </c>
      <c r="BM119" s="47">
        <f t="shared" si="75"/>
        <v>0</v>
      </c>
      <c r="BN119" s="53">
        <f t="shared" ref="BN119:BN121" si="105">$BJ119*W119</f>
        <v>247.5</v>
      </c>
      <c r="BO119" s="53">
        <f t="shared" ref="BO119:BO121" si="106">$BJ119*X119</f>
        <v>0.4</v>
      </c>
      <c r="BP119" s="53">
        <f t="shared" ref="BP119:BP121" si="107">$BJ119*Y119</f>
        <v>188.9</v>
      </c>
      <c r="BQ119" s="53">
        <f t="shared" ref="BQ119:BQ121" si="108">$BJ119*Z119</f>
        <v>3.8</v>
      </c>
      <c r="BR119" s="53">
        <f t="shared" ref="BR119:BR121" si="109">$BJ119*AA119</f>
        <v>137.30000000000001</v>
      </c>
      <c r="BS119" s="53">
        <f t="shared" ref="BS119:BS121" si="110">$BJ119*AB119</f>
        <v>14.2</v>
      </c>
      <c r="BT119" s="53">
        <f t="shared" ref="BT119:BT121" si="111">$BJ119*AC119</f>
        <v>96.4</v>
      </c>
      <c r="BU119" s="53">
        <f t="shared" ref="BU119:BU121" si="112">$BJ119*AD119</f>
        <v>35.299999999999997</v>
      </c>
      <c r="BV119" s="53">
        <f t="shared" ref="BV119:BV121" si="113">$BJ119*AE119</f>
        <v>65.900000000000006</v>
      </c>
      <c r="BW119" s="53">
        <f t="shared" ref="BW119:BW121" si="114">$BJ119*AF119</f>
        <v>66.8</v>
      </c>
      <c r="BX119" s="53">
        <f t="shared" ref="BX119:BX121" si="115">$BJ119*AG119</f>
        <v>40</v>
      </c>
      <c r="BY119" s="53">
        <f t="shared" ref="BY119:BY121" si="116">$BJ119*AH119</f>
        <v>102.9</v>
      </c>
      <c r="BZ119" s="53">
        <f t="shared" ref="BZ119:BZ121" si="117">$BJ119*AI119</f>
        <v>18.7</v>
      </c>
      <c r="CA119" s="53">
        <f t="shared" ref="CA119:CA121" si="118">$BJ119*AJ119</f>
        <v>143.6</v>
      </c>
      <c r="CB119" s="53">
        <f t="shared" ref="CB119:CB121" si="119">$BJ119*AK119</f>
        <v>4.3</v>
      </c>
      <c r="CC119" s="53">
        <f t="shared" ref="CC119:CC121" si="120">$BJ119*AL119</f>
        <v>191.2</v>
      </c>
      <c r="CD119" s="8">
        <f t="shared" ref="CD119:CD121" si="121">F119/Q119</f>
        <v>605.35460771460123</v>
      </c>
      <c r="CE119" s="8">
        <f t="shared" ref="CE119:CE121" si="122">I119/R119</f>
        <v>2048.3894051365905</v>
      </c>
      <c r="CF119" s="8">
        <f t="shared" ref="CF119:CF121" si="123">L119/S119</f>
        <v>90603.101014808839</v>
      </c>
    </row>
    <row r="120" spans="1:84">
      <c r="A120" s="7">
        <f>'Monthly Data'!A120</f>
        <v>44501</v>
      </c>
      <c r="B120" s="6">
        <f>'Monthly Data'!B120</f>
        <v>2021</v>
      </c>
      <c r="C120" s="6">
        <f t="shared" si="101"/>
        <v>11</v>
      </c>
      <c r="D120" s="8">
        <f>'Monthly Data'!D120</f>
        <v>10917126.859799722</v>
      </c>
      <c r="E120" s="1">
        <f>'Monthly Data'!E120</f>
        <v>508957.70487315691</v>
      </c>
      <c r="F120" s="8">
        <f>'Monthly Data'!F120</f>
        <v>11426084.56467288</v>
      </c>
      <c r="G120" s="8">
        <f>'Monthly Data'!G120</f>
        <v>3722801.5077559878</v>
      </c>
      <c r="H120" s="1">
        <f>'Monthly Data'!H120</f>
        <v>263029.56829784374</v>
      </c>
      <c r="I120" s="8">
        <f>'Monthly Data'!I120</f>
        <v>3985831.0760538317</v>
      </c>
      <c r="J120" s="8">
        <f>'Monthly Data'!J120</f>
        <v>10386529.823676176</v>
      </c>
      <c r="K120" s="1">
        <f>'Monthly Data'!K120</f>
        <v>632669.1067726824</v>
      </c>
      <c r="L120" s="8">
        <f>'Monthly Data'!L120</f>
        <v>11019198.930448858</v>
      </c>
      <c r="M120" s="8">
        <f>'Monthly Data'!M120</f>
        <v>122385.96602511972</v>
      </c>
      <c r="N120" s="8">
        <f>'Monthly Data'!N120</f>
        <v>32983.935001957776</v>
      </c>
      <c r="O120" s="5">
        <f>'Monthly Data'!O120</f>
        <v>25109.870000000006</v>
      </c>
      <c r="P120" s="5">
        <f>'Monthly Data'!P120</f>
        <v>285.85000000000002</v>
      </c>
      <c r="Q120" s="8">
        <f>'Monthly Data'!Q120</f>
        <v>16634</v>
      </c>
      <c r="R120" s="8">
        <f>'Monthly Data'!R120</f>
        <v>1818</v>
      </c>
      <c r="S120" s="8">
        <f>'Monthly Data'!S120</f>
        <v>122</v>
      </c>
      <c r="T120" s="8">
        <f>'Monthly Data'!T120</f>
        <v>3261</v>
      </c>
      <c r="U120" s="8">
        <f>'Monthly Data'!U120</f>
        <v>30</v>
      </c>
      <c r="V120" s="45">
        <f>Weather!C240</f>
        <v>4.2499999999999991</v>
      </c>
      <c r="W120" s="46">
        <f>Weather!D240</f>
        <v>532.5</v>
      </c>
      <c r="X120" s="46">
        <f>Weather!E240</f>
        <v>0</v>
      </c>
      <c r="Y120" s="46">
        <f>Weather!F240</f>
        <v>472.5</v>
      </c>
      <c r="Z120" s="46">
        <f>Weather!G240</f>
        <v>0</v>
      </c>
      <c r="AA120" s="46">
        <f>Weather!H240</f>
        <v>412.5</v>
      </c>
      <c r="AB120" s="46">
        <f>Weather!I240</f>
        <v>0</v>
      </c>
      <c r="AC120" s="46">
        <f>Weather!J240</f>
        <v>352.5</v>
      </c>
      <c r="AD120" s="46">
        <f>Weather!K240</f>
        <v>0</v>
      </c>
      <c r="AE120" s="46">
        <f>Weather!L240</f>
        <v>292.60000000000002</v>
      </c>
      <c r="AF120" s="46">
        <f>Weather!M240</f>
        <v>0.1</v>
      </c>
      <c r="AG120" s="46">
        <f>Weather!N240</f>
        <v>234.6</v>
      </c>
      <c r="AH120" s="46">
        <f>Weather!O240</f>
        <v>2.1</v>
      </c>
      <c r="AI120" s="46">
        <f>Weather!P240</f>
        <v>177.6</v>
      </c>
      <c r="AJ120" s="46">
        <f>Weather!Q240</f>
        <v>5.0999999999999996</v>
      </c>
      <c r="AK120" s="46">
        <f>Weather!R240</f>
        <v>122.3</v>
      </c>
      <c r="AL120" s="46">
        <f>Weather!S240</f>
        <v>9.8000000000000007</v>
      </c>
      <c r="AM120" s="43">
        <f>Economic!C120</f>
        <v>740225.97825000004</v>
      </c>
      <c r="AN120" s="43">
        <f>Economic!D120</f>
        <v>7538.6</v>
      </c>
      <c r="AO120" s="43">
        <f>Economic!E120</f>
        <v>7552.6</v>
      </c>
      <c r="AP120" s="43">
        <f>Economic!F120</f>
        <v>120</v>
      </c>
      <c r="AQ120" s="43">
        <f>Economic!G120</f>
        <v>121.4</v>
      </c>
      <c r="AR120" s="47">
        <f t="shared" si="102"/>
        <v>30</v>
      </c>
      <c r="AS120" s="47">
        <v>22</v>
      </c>
      <c r="AT120" s="47">
        <f t="shared" ref="AT120:AT121" si="124">1+AT119</f>
        <v>119</v>
      </c>
      <c r="AU120" s="47">
        <f t="shared" ref="AU120:BH120" si="125">AU108</f>
        <v>0</v>
      </c>
      <c r="AV120" s="47">
        <f t="shared" si="125"/>
        <v>0</v>
      </c>
      <c r="AW120" s="47">
        <f t="shared" si="125"/>
        <v>0</v>
      </c>
      <c r="AX120" s="47">
        <f t="shared" si="125"/>
        <v>0</v>
      </c>
      <c r="AY120" s="47">
        <f t="shared" si="125"/>
        <v>0</v>
      </c>
      <c r="AZ120" s="47">
        <f t="shared" si="125"/>
        <v>0</v>
      </c>
      <c r="BA120" s="47">
        <f t="shared" si="125"/>
        <v>0</v>
      </c>
      <c r="BB120" s="47">
        <f t="shared" si="125"/>
        <v>0</v>
      </c>
      <c r="BC120" s="47">
        <f t="shared" si="125"/>
        <v>0</v>
      </c>
      <c r="BD120" s="47">
        <f t="shared" si="125"/>
        <v>0</v>
      </c>
      <c r="BE120" s="47">
        <f t="shared" si="125"/>
        <v>1</v>
      </c>
      <c r="BF120" s="47">
        <f t="shared" si="125"/>
        <v>0</v>
      </c>
      <c r="BG120" s="47">
        <f t="shared" si="125"/>
        <v>0</v>
      </c>
      <c r="BH120" s="47">
        <f t="shared" si="125"/>
        <v>1</v>
      </c>
      <c r="BI120" s="47">
        <f t="shared" si="104"/>
        <v>1</v>
      </c>
      <c r="BJ120" s="48">
        <v>1</v>
      </c>
      <c r="BK120" s="51">
        <v>0.5</v>
      </c>
      <c r="BL120" s="51">
        <v>0</v>
      </c>
      <c r="BM120" s="47">
        <f t="shared" si="75"/>
        <v>0</v>
      </c>
      <c r="BN120" s="53">
        <f t="shared" si="105"/>
        <v>532.5</v>
      </c>
      <c r="BO120" s="53">
        <f t="shared" si="106"/>
        <v>0</v>
      </c>
      <c r="BP120" s="53">
        <f t="shared" si="107"/>
        <v>472.5</v>
      </c>
      <c r="BQ120" s="53">
        <f t="shared" si="108"/>
        <v>0</v>
      </c>
      <c r="BR120" s="53">
        <f t="shared" si="109"/>
        <v>412.5</v>
      </c>
      <c r="BS120" s="53">
        <f t="shared" si="110"/>
        <v>0</v>
      </c>
      <c r="BT120" s="53">
        <f t="shared" si="111"/>
        <v>352.5</v>
      </c>
      <c r="BU120" s="53">
        <f t="shared" si="112"/>
        <v>0</v>
      </c>
      <c r="BV120" s="53">
        <f t="shared" si="113"/>
        <v>292.60000000000002</v>
      </c>
      <c r="BW120" s="53">
        <f t="shared" si="114"/>
        <v>0.1</v>
      </c>
      <c r="BX120" s="53">
        <f t="shared" si="115"/>
        <v>234.6</v>
      </c>
      <c r="BY120" s="53">
        <f t="shared" si="116"/>
        <v>2.1</v>
      </c>
      <c r="BZ120" s="53">
        <f t="shared" si="117"/>
        <v>177.6</v>
      </c>
      <c r="CA120" s="53">
        <f t="shared" si="118"/>
        <v>5.0999999999999996</v>
      </c>
      <c r="CB120" s="53">
        <f t="shared" si="119"/>
        <v>122.3</v>
      </c>
      <c r="CC120" s="53">
        <f t="shared" si="120"/>
        <v>9.8000000000000007</v>
      </c>
      <c r="CD120" s="8">
        <f t="shared" si="121"/>
        <v>686.91142026409045</v>
      </c>
      <c r="CE120" s="8">
        <f t="shared" si="122"/>
        <v>2192.4263344630535</v>
      </c>
      <c r="CF120" s="8">
        <f t="shared" si="123"/>
        <v>90321.302708597199</v>
      </c>
    </row>
    <row r="121" spans="1:84">
      <c r="A121" s="7">
        <f>'Monthly Data'!A121</f>
        <v>44531</v>
      </c>
      <c r="B121" s="6">
        <f>'Monthly Data'!B121</f>
        <v>2021</v>
      </c>
      <c r="C121" s="6">
        <f t="shared" si="101"/>
        <v>12</v>
      </c>
      <c r="D121" s="8">
        <f>'Monthly Data'!D121</f>
        <v>13249874.344815632</v>
      </c>
      <c r="E121" s="1">
        <f>'Monthly Data'!E121</f>
        <v>508957.70487315691</v>
      </c>
      <c r="F121" s="8">
        <f>'Monthly Data'!F121</f>
        <v>13758832.04968879</v>
      </c>
      <c r="G121" s="8">
        <f>'Monthly Data'!G121</f>
        <v>4156764.1076745745</v>
      </c>
      <c r="H121" s="1">
        <f>'Monthly Data'!H121</f>
        <v>263029.56829784374</v>
      </c>
      <c r="I121" s="8">
        <f>'Monthly Data'!I121</f>
        <v>4419793.6759724179</v>
      </c>
      <c r="J121" s="8">
        <f>'Monthly Data'!J121</f>
        <v>10216089.590354502</v>
      </c>
      <c r="K121" s="1">
        <f>'Monthly Data'!K121</f>
        <v>632669.1067726824</v>
      </c>
      <c r="L121" s="8">
        <f>'Monthly Data'!L121</f>
        <v>10848758.697127184</v>
      </c>
      <c r="M121" s="8">
        <f>'Monthly Data'!M121</f>
        <v>133577.63717960304</v>
      </c>
      <c r="N121" s="8">
        <f>'Monthly Data'!N121</f>
        <v>33054.94454986295</v>
      </c>
      <c r="O121" s="5">
        <f>'Monthly Data'!O121</f>
        <v>24600.28</v>
      </c>
      <c r="P121" s="5">
        <f>'Monthly Data'!P121</f>
        <v>285.85000000000002</v>
      </c>
      <c r="Q121" s="8">
        <f>'Monthly Data'!Q121</f>
        <v>16428</v>
      </c>
      <c r="R121" s="8">
        <f>'Monthly Data'!R121</f>
        <v>1818</v>
      </c>
      <c r="S121" s="8">
        <f>'Monthly Data'!S121</f>
        <v>122</v>
      </c>
      <c r="T121" s="8">
        <f>'Monthly Data'!T121</f>
        <v>3261</v>
      </c>
      <c r="U121" s="8">
        <f>'Monthly Data'!U121</f>
        <v>30</v>
      </c>
      <c r="V121" s="45">
        <f>Weather!C241</f>
        <v>1.0241935483870963</v>
      </c>
      <c r="W121" s="46">
        <f>Weather!D241</f>
        <v>650.29999999999995</v>
      </c>
      <c r="X121" s="46">
        <f>Weather!E241</f>
        <v>0</v>
      </c>
      <c r="Y121" s="46">
        <f>Weather!F241</f>
        <v>588.29999999999995</v>
      </c>
      <c r="Z121" s="46">
        <f>Weather!G241</f>
        <v>0</v>
      </c>
      <c r="AA121" s="46">
        <f>Weather!H241</f>
        <v>526.29999999999995</v>
      </c>
      <c r="AB121" s="46">
        <f>Weather!I241</f>
        <v>0</v>
      </c>
      <c r="AC121" s="46">
        <f>Weather!J241</f>
        <v>464.3</v>
      </c>
      <c r="AD121" s="46">
        <f>Weather!K241</f>
        <v>0</v>
      </c>
      <c r="AE121" s="46">
        <f>Weather!L241</f>
        <v>402.3</v>
      </c>
      <c r="AF121" s="46">
        <f>Weather!M241</f>
        <v>0</v>
      </c>
      <c r="AG121" s="46">
        <f>Weather!N241</f>
        <v>340.3</v>
      </c>
      <c r="AH121" s="46">
        <f>Weather!O241</f>
        <v>0</v>
      </c>
      <c r="AI121" s="46">
        <f>Weather!P241</f>
        <v>279.5</v>
      </c>
      <c r="AJ121" s="46">
        <f>Weather!Q241</f>
        <v>1.2</v>
      </c>
      <c r="AK121" s="46">
        <f>Weather!R241</f>
        <v>220</v>
      </c>
      <c r="AL121" s="46">
        <f>Weather!S241</f>
        <v>3.7</v>
      </c>
      <c r="AM121" s="43">
        <f>Economic!C121</f>
        <v>740225.97825000004</v>
      </c>
      <c r="AN121" s="43">
        <f>Economic!D121</f>
        <v>7585.1</v>
      </c>
      <c r="AO121" s="43">
        <f>Economic!E121</f>
        <v>7601.7</v>
      </c>
      <c r="AP121" s="43">
        <f>Economic!F121</f>
        <v>117.8</v>
      </c>
      <c r="AQ121" s="43">
        <f>Economic!G121</f>
        <v>117.3</v>
      </c>
      <c r="AR121" s="47">
        <f t="shared" si="102"/>
        <v>31</v>
      </c>
      <c r="AS121" s="47">
        <v>21</v>
      </c>
      <c r="AT121" s="47">
        <f t="shared" si="124"/>
        <v>120</v>
      </c>
      <c r="AU121" s="47">
        <f t="shared" ref="AU121:BH121" si="126">AU109</f>
        <v>0</v>
      </c>
      <c r="AV121" s="47">
        <f t="shared" si="126"/>
        <v>0</v>
      </c>
      <c r="AW121" s="47">
        <f t="shared" si="126"/>
        <v>0</v>
      </c>
      <c r="AX121" s="47">
        <f t="shared" si="126"/>
        <v>0</v>
      </c>
      <c r="AY121" s="47">
        <f t="shared" si="126"/>
        <v>0</v>
      </c>
      <c r="AZ121" s="47">
        <f t="shared" si="126"/>
        <v>0</v>
      </c>
      <c r="BA121" s="47">
        <f t="shared" si="126"/>
        <v>0</v>
      </c>
      <c r="BB121" s="47">
        <f t="shared" si="126"/>
        <v>0</v>
      </c>
      <c r="BC121" s="47">
        <f t="shared" si="126"/>
        <v>0</v>
      </c>
      <c r="BD121" s="47">
        <f t="shared" si="126"/>
        <v>0</v>
      </c>
      <c r="BE121" s="47">
        <f t="shared" si="126"/>
        <v>0</v>
      </c>
      <c r="BF121" s="47">
        <f t="shared" si="126"/>
        <v>1</v>
      </c>
      <c r="BG121" s="47">
        <f t="shared" si="126"/>
        <v>0</v>
      </c>
      <c r="BH121" s="47">
        <f t="shared" si="126"/>
        <v>0</v>
      </c>
      <c r="BI121" s="47">
        <f t="shared" si="104"/>
        <v>0</v>
      </c>
      <c r="BJ121" s="48">
        <v>1</v>
      </c>
      <c r="BK121" s="51">
        <v>0.5</v>
      </c>
      <c r="BL121" s="51">
        <v>0</v>
      </c>
      <c r="BM121" s="47">
        <f t="shared" si="75"/>
        <v>0</v>
      </c>
      <c r="BN121" s="53">
        <f t="shared" si="105"/>
        <v>650.29999999999995</v>
      </c>
      <c r="BO121" s="53">
        <f t="shared" si="106"/>
        <v>0</v>
      </c>
      <c r="BP121" s="53">
        <f t="shared" si="107"/>
        <v>588.29999999999995</v>
      </c>
      <c r="BQ121" s="53">
        <f t="shared" si="108"/>
        <v>0</v>
      </c>
      <c r="BR121" s="53">
        <f t="shared" si="109"/>
        <v>526.29999999999995</v>
      </c>
      <c r="BS121" s="53">
        <f t="shared" si="110"/>
        <v>0</v>
      </c>
      <c r="BT121" s="53">
        <f t="shared" si="111"/>
        <v>464.3</v>
      </c>
      <c r="BU121" s="53">
        <f t="shared" si="112"/>
        <v>0</v>
      </c>
      <c r="BV121" s="53">
        <f t="shared" si="113"/>
        <v>402.3</v>
      </c>
      <c r="BW121" s="53">
        <f t="shared" si="114"/>
        <v>0</v>
      </c>
      <c r="BX121" s="53">
        <f t="shared" si="115"/>
        <v>340.3</v>
      </c>
      <c r="BY121" s="53">
        <f t="shared" si="116"/>
        <v>0</v>
      </c>
      <c r="BZ121" s="53">
        <f t="shared" si="117"/>
        <v>279.5</v>
      </c>
      <c r="CA121" s="53">
        <f t="shared" si="118"/>
        <v>1.2</v>
      </c>
      <c r="CB121" s="53">
        <f t="shared" si="119"/>
        <v>220</v>
      </c>
      <c r="CC121" s="53">
        <f t="shared" si="120"/>
        <v>3.7</v>
      </c>
      <c r="CD121" s="8">
        <f t="shared" si="121"/>
        <v>837.52325600735264</v>
      </c>
      <c r="CE121" s="8">
        <f t="shared" si="122"/>
        <v>2431.1296347483049</v>
      </c>
      <c r="CF121" s="8">
        <f t="shared" si="123"/>
        <v>88924.251615796587</v>
      </c>
    </row>
    <row r="122" spans="1:84">
      <c r="A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/>
      <c r="P122" s="9"/>
      <c r="Q122" s="8"/>
      <c r="R122" s="8"/>
      <c r="S122" s="8"/>
      <c r="T122" s="8"/>
      <c r="U122" s="8"/>
    </row>
    <row r="123" spans="1:84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/>
      <c r="P123" s="9"/>
      <c r="Q123" s="8"/>
      <c r="R123" s="8"/>
      <c r="S123" s="8"/>
      <c r="T123" s="8"/>
      <c r="U123" s="8"/>
    </row>
    <row r="124" spans="1:84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/>
      <c r="P124" s="9"/>
      <c r="Q124" s="8"/>
      <c r="R124" s="8"/>
      <c r="S124" s="8"/>
      <c r="T124" s="8"/>
      <c r="U124" s="8"/>
    </row>
    <row r="125" spans="1:84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/>
      <c r="P125" s="9"/>
      <c r="Q125" s="8"/>
      <c r="R125" s="8"/>
      <c r="S125" s="8"/>
      <c r="T125" s="8"/>
      <c r="U125" s="8"/>
    </row>
    <row r="126" spans="1:84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/>
      <c r="P126" s="9"/>
      <c r="Q126" s="8"/>
      <c r="R126" s="8"/>
      <c r="S126" s="8"/>
      <c r="T126" s="8"/>
      <c r="U126" s="8"/>
    </row>
    <row r="127" spans="1:84">
      <c r="M127" s="1"/>
      <c r="O127" s="9"/>
      <c r="P127" s="9"/>
    </row>
    <row r="128" spans="1:84">
      <c r="M128" s="1"/>
      <c r="O128" s="9"/>
      <c r="P128" s="9"/>
    </row>
    <row r="129" spans="13:16">
      <c r="M129" s="1"/>
      <c r="O129" s="9"/>
      <c r="P129" s="9"/>
    </row>
    <row r="130" spans="13:16">
      <c r="M130" s="1"/>
      <c r="O130" s="9"/>
      <c r="P130" s="9"/>
    </row>
    <row r="131" spans="13:16">
      <c r="M131" s="1"/>
      <c r="O131" s="9"/>
      <c r="P131" s="9"/>
    </row>
    <row r="132" spans="13:16">
      <c r="M132" s="1"/>
      <c r="O132" s="9"/>
      <c r="P132" s="9"/>
    </row>
    <row r="133" spans="13:16">
      <c r="M133" s="1"/>
      <c r="O133" s="9"/>
      <c r="P133" s="9"/>
    </row>
    <row r="134" spans="13:16">
      <c r="O134" s="9"/>
      <c r="P134" s="9"/>
    </row>
    <row r="135" spans="13:16">
      <c r="O135" s="9"/>
      <c r="P135" s="9"/>
    </row>
    <row r="136" spans="13:16">
      <c r="O136" s="9"/>
      <c r="P136" s="9"/>
    </row>
    <row r="137" spans="13:16">
      <c r="O137" s="9"/>
      <c r="P137" s="9"/>
    </row>
    <row r="138" spans="13:16">
      <c r="O138" s="9"/>
      <c r="P138" s="9"/>
    </row>
    <row r="139" spans="13:16">
      <c r="O139" s="9"/>
      <c r="P139" s="9"/>
    </row>
    <row r="140" spans="13:16">
      <c r="O140" s="9"/>
      <c r="P140" s="9"/>
    </row>
    <row r="141" spans="13:16">
      <c r="O141" s="9"/>
      <c r="P141" s="9"/>
    </row>
    <row r="142" spans="13:16">
      <c r="O142" s="9"/>
      <c r="P142" s="9"/>
    </row>
    <row r="143" spans="13:16">
      <c r="O143" s="9"/>
      <c r="P143" s="9"/>
    </row>
    <row r="144" spans="13:16">
      <c r="O144" s="9"/>
      <c r="P144" s="9"/>
    </row>
    <row r="145" spans="15:16">
      <c r="O145" s="9"/>
      <c r="P145" s="9"/>
    </row>
    <row r="146" spans="15:16">
      <c r="O146" s="9"/>
      <c r="P146" s="9"/>
    </row>
    <row r="147" spans="15:16">
      <c r="O147" s="9"/>
      <c r="P147" s="9"/>
    </row>
    <row r="148" spans="15:16">
      <c r="O148" s="9"/>
      <c r="P148" s="9"/>
    </row>
    <row r="149" spans="15:16">
      <c r="O149" s="9"/>
      <c r="P149" s="9"/>
    </row>
    <row r="150" spans="15:16">
      <c r="O150" s="9"/>
      <c r="P150" s="9"/>
    </row>
    <row r="151" spans="15:16">
      <c r="O151" s="9"/>
      <c r="P151" s="9"/>
    </row>
    <row r="152" spans="15:16">
      <c r="O152" s="9"/>
      <c r="P152" s="9"/>
    </row>
    <row r="153" spans="15:16">
      <c r="O153" s="9"/>
      <c r="P153" s="9"/>
    </row>
    <row r="154" spans="15:16">
      <c r="O154" s="9"/>
      <c r="P154" s="9"/>
    </row>
    <row r="155" spans="15:16">
      <c r="O155" s="9"/>
      <c r="P155" s="9"/>
    </row>
    <row r="156" spans="15:16">
      <c r="O156" s="9"/>
      <c r="P156" s="9"/>
    </row>
    <row r="157" spans="15:16">
      <c r="O157" s="9"/>
      <c r="P157" s="9"/>
    </row>
    <row r="158" spans="15:16">
      <c r="O158" s="9"/>
      <c r="P158" s="9"/>
    </row>
    <row r="159" spans="15:16">
      <c r="O159" s="9"/>
      <c r="P159" s="9"/>
    </row>
    <row r="160" spans="15:16">
      <c r="O160" s="9"/>
      <c r="P160" s="9"/>
    </row>
    <row r="161" spans="15:16">
      <c r="O161" s="9"/>
      <c r="P161" s="9"/>
    </row>
    <row r="162" spans="15:16">
      <c r="O162" s="9"/>
      <c r="P162" s="9"/>
    </row>
    <row r="163" spans="15:16">
      <c r="O163" s="9"/>
      <c r="P163" s="9"/>
    </row>
    <row r="164" spans="15:16">
      <c r="O164" s="9"/>
      <c r="P164" s="9"/>
    </row>
    <row r="165" spans="15:16">
      <c r="O165" s="9"/>
      <c r="P165" s="9"/>
    </row>
    <row r="166" spans="15:16">
      <c r="O166" s="9"/>
      <c r="P166" s="9"/>
    </row>
    <row r="167" spans="15:16">
      <c r="O167" s="9"/>
      <c r="P167" s="9"/>
    </row>
    <row r="168" spans="15:16">
      <c r="O168" s="9"/>
      <c r="P168" s="9"/>
    </row>
    <row r="169" spans="15:16">
      <c r="O169" s="9"/>
      <c r="P169" s="9"/>
    </row>
    <row r="170" spans="15:16">
      <c r="O170" s="9"/>
      <c r="P170" s="9"/>
    </row>
    <row r="171" spans="15:16">
      <c r="O171" s="9"/>
      <c r="P171" s="9"/>
    </row>
    <row r="172" spans="15:16">
      <c r="O172" s="9"/>
      <c r="P172" s="9"/>
    </row>
    <row r="173" spans="15:16">
      <c r="O173" s="9"/>
      <c r="P173" s="9"/>
    </row>
    <row r="174" spans="15:16">
      <c r="O174" s="9"/>
      <c r="P174" s="9"/>
    </row>
    <row r="175" spans="15:16">
      <c r="O175" s="9"/>
      <c r="P175" s="9"/>
    </row>
    <row r="176" spans="15:16">
      <c r="O176" s="9"/>
      <c r="P176" s="9"/>
    </row>
    <row r="177" spans="15:16">
      <c r="O177" s="9"/>
      <c r="P177" s="9"/>
    </row>
    <row r="178" spans="15:16">
      <c r="O178" s="9"/>
      <c r="P178" s="9"/>
    </row>
    <row r="179" spans="15:16">
      <c r="O179" s="9"/>
      <c r="P179" s="9"/>
    </row>
    <row r="180" spans="15:16">
      <c r="O180" s="9"/>
      <c r="P180" s="9"/>
    </row>
    <row r="181" spans="15:16">
      <c r="O181" s="9"/>
      <c r="P181" s="9"/>
    </row>
    <row r="182" spans="15:16">
      <c r="O182" s="9"/>
      <c r="P182" s="9"/>
    </row>
    <row r="183" spans="15:16">
      <c r="O183" s="9"/>
      <c r="P183" s="9"/>
    </row>
    <row r="184" spans="15:16">
      <c r="O184" s="9"/>
      <c r="P184" s="9"/>
    </row>
    <row r="185" spans="15:16">
      <c r="O185" s="9"/>
      <c r="P185" s="9"/>
    </row>
    <row r="186" spans="15:16">
      <c r="O186" s="9"/>
      <c r="P186" s="9"/>
    </row>
    <row r="187" spans="15:16">
      <c r="O187" s="9"/>
      <c r="P187" s="9"/>
    </row>
    <row r="188" spans="15:16">
      <c r="O188" s="9"/>
      <c r="P188" s="9"/>
    </row>
    <row r="189" spans="15:16">
      <c r="O189" s="9"/>
      <c r="P189" s="9"/>
    </row>
    <row r="190" spans="15:16">
      <c r="O190" s="9"/>
      <c r="P190" s="9"/>
    </row>
    <row r="191" spans="15:16">
      <c r="O191" s="9"/>
      <c r="P191" s="9"/>
    </row>
    <row r="192" spans="15:16">
      <c r="O192" s="9"/>
      <c r="P192" s="9"/>
    </row>
    <row r="193" spans="15:16">
      <c r="O193" s="9"/>
      <c r="P193" s="9"/>
    </row>
    <row r="194" spans="15:16">
      <c r="O194" s="9"/>
      <c r="P194" s="9"/>
    </row>
    <row r="195" spans="15:16">
      <c r="O195" s="9"/>
      <c r="P195" s="9"/>
    </row>
    <row r="196" spans="15:16">
      <c r="O196" s="9"/>
      <c r="P196" s="9"/>
    </row>
    <row r="197" spans="15:16">
      <c r="O197" s="9"/>
      <c r="P197" s="9"/>
    </row>
    <row r="198" spans="15:16">
      <c r="O198" s="9"/>
      <c r="P198" s="9"/>
    </row>
    <row r="199" spans="15:16">
      <c r="O199" s="9"/>
      <c r="P199" s="9"/>
    </row>
    <row r="200" spans="15:16">
      <c r="O200" s="9"/>
      <c r="P200" s="9"/>
    </row>
    <row r="201" spans="15:16">
      <c r="O201" s="9"/>
      <c r="P201" s="9"/>
    </row>
    <row r="202" spans="15:16">
      <c r="O202" s="9"/>
      <c r="P202" s="9"/>
    </row>
    <row r="203" spans="15:16">
      <c r="O203" s="9"/>
      <c r="P203" s="9"/>
    </row>
    <row r="204" spans="15:16">
      <c r="O204" s="9"/>
      <c r="P204" s="9"/>
    </row>
    <row r="205" spans="15:16">
      <c r="O205" s="9"/>
      <c r="P205" s="9"/>
    </row>
    <row r="206" spans="15:16">
      <c r="O206" s="9"/>
      <c r="P206" s="9"/>
    </row>
    <row r="207" spans="15:16">
      <c r="O207" s="9"/>
      <c r="P207" s="9"/>
    </row>
    <row r="208" spans="15:16">
      <c r="O208" s="9"/>
      <c r="P208" s="9"/>
    </row>
    <row r="209" spans="15:16">
      <c r="O209" s="9"/>
      <c r="P209" s="9"/>
    </row>
    <row r="210" spans="15:16">
      <c r="O210" s="9"/>
      <c r="P210" s="9"/>
    </row>
    <row r="211" spans="15:16">
      <c r="O211" s="9"/>
      <c r="P211" s="9"/>
    </row>
    <row r="212" spans="15:16">
      <c r="O212" s="9"/>
      <c r="P212" s="9"/>
    </row>
    <row r="213" spans="15:16">
      <c r="O213" s="9"/>
      <c r="P213" s="9"/>
    </row>
    <row r="214" spans="15:16">
      <c r="O214" s="9"/>
      <c r="P214" s="9"/>
    </row>
    <row r="215" spans="15:16">
      <c r="O215" s="9"/>
      <c r="P215" s="9"/>
    </row>
    <row r="216" spans="15:16">
      <c r="O216" s="9"/>
      <c r="P216" s="9"/>
    </row>
    <row r="217" spans="15:16">
      <c r="O217" s="9"/>
      <c r="P217" s="9"/>
    </row>
    <row r="218" spans="15:16">
      <c r="O218" s="9"/>
      <c r="P218" s="9"/>
    </row>
    <row r="219" spans="15:16">
      <c r="O219" s="9"/>
      <c r="P219" s="9"/>
    </row>
    <row r="220" spans="15:16">
      <c r="O220" s="9"/>
      <c r="P220" s="9"/>
    </row>
    <row r="221" spans="15:16">
      <c r="O221" s="9"/>
      <c r="P221" s="9"/>
    </row>
    <row r="222" spans="15:16">
      <c r="O222" s="9"/>
      <c r="P222" s="9"/>
    </row>
    <row r="223" spans="15:16">
      <c r="O223" s="9"/>
      <c r="P223" s="9"/>
    </row>
    <row r="224" spans="15:16">
      <c r="O224" s="9"/>
      <c r="P224" s="9"/>
    </row>
    <row r="225" spans="15:16">
      <c r="O225" s="9"/>
      <c r="P225" s="9"/>
    </row>
    <row r="226" spans="15:16">
      <c r="O226" s="9"/>
      <c r="P226" s="9"/>
    </row>
    <row r="227" spans="15:16">
      <c r="O227" s="9"/>
      <c r="P227" s="9"/>
    </row>
    <row r="228" spans="15:16">
      <c r="O228" s="9"/>
      <c r="P228" s="9"/>
    </row>
    <row r="229" spans="15:16">
      <c r="O229" s="9"/>
      <c r="P229" s="9"/>
    </row>
    <row r="230" spans="15:16">
      <c r="O230" s="9"/>
      <c r="P230" s="9"/>
    </row>
    <row r="231" spans="15:16">
      <c r="O231" s="9"/>
      <c r="P231" s="9"/>
    </row>
    <row r="232" spans="15:16">
      <c r="O232" s="9"/>
      <c r="P232" s="9"/>
    </row>
    <row r="233" spans="15:16">
      <c r="O233" s="9"/>
      <c r="P233" s="9"/>
    </row>
    <row r="234" spans="15:16">
      <c r="O234" s="9"/>
      <c r="P234" s="9"/>
    </row>
    <row r="235" spans="15:16">
      <c r="O235" s="9"/>
      <c r="P235" s="9"/>
    </row>
    <row r="236" spans="15:16">
      <c r="O236" s="9"/>
      <c r="P236" s="9"/>
    </row>
    <row r="237" spans="15:16">
      <c r="O237" s="9"/>
      <c r="P237" s="9"/>
    </row>
    <row r="238" spans="15:16">
      <c r="O238" s="9"/>
      <c r="P238" s="9"/>
    </row>
    <row r="239" spans="15:16">
      <c r="O239" s="9"/>
      <c r="P239" s="9"/>
    </row>
    <row r="240" spans="15:16">
      <c r="O240" s="9"/>
      <c r="P240" s="9"/>
    </row>
    <row r="241" spans="15:16">
      <c r="O241" s="9"/>
      <c r="P241" s="9"/>
    </row>
    <row r="242" spans="15:16">
      <c r="O242" s="9"/>
      <c r="P242" s="9"/>
    </row>
    <row r="243" spans="15:16">
      <c r="O243" s="9"/>
      <c r="P243" s="9"/>
    </row>
    <row r="244" spans="15:16">
      <c r="O244" s="9"/>
      <c r="P244" s="9"/>
    </row>
    <row r="245" spans="15:16">
      <c r="O245" s="9"/>
      <c r="P245" s="9"/>
    </row>
    <row r="246" spans="15:16">
      <c r="O246" s="9"/>
      <c r="P246" s="9"/>
    </row>
    <row r="247" spans="15:16">
      <c r="O247" s="9"/>
      <c r="P247" s="9"/>
    </row>
    <row r="248" spans="15:16">
      <c r="O248" s="9"/>
      <c r="P248" s="9"/>
    </row>
    <row r="249" spans="15:16">
      <c r="O249" s="9"/>
      <c r="P249" s="9"/>
    </row>
    <row r="250" spans="15:16">
      <c r="O250" s="9"/>
      <c r="P250" s="9"/>
    </row>
    <row r="251" spans="15:16">
      <c r="O251" s="9"/>
      <c r="P251" s="9"/>
    </row>
    <row r="252" spans="15:16">
      <c r="O252" s="9"/>
      <c r="P252" s="9"/>
    </row>
    <row r="253" spans="15:16">
      <c r="O253" s="9"/>
      <c r="P253" s="9"/>
    </row>
    <row r="254" spans="15:16">
      <c r="O254" s="9"/>
      <c r="P254" s="9"/>
    </row>
    <row r="255" spans="15:16">
      <c r="O255" s="9"/>
      <c r="P255" s="9"/>
    </row>
    <row r="256" spans="15:16">
      <c r="O256" s="9"/>
      <c r="P256" s="9"/>
    </row>
    <row r="257" spans="15:16">
      <c r="O257" s="9"/>
      <c r="P257" s="9"/>
    </row>
    <row r="258" spans="15:16">
      <c r="O258" s="9"/>
      <c r="P258" s="9"/>
    </row>
    <row r="259" spans="15:16">
      <c r="O259" s="9"/>
      <c r="P259" s="9"/>
    </row>
    <row r="260" spans="15:16">
      <c r="O260" s="9"/>
      <c r="P260" s="9"/>
    </row>
    <row r="261" spans="15:16">
      <c r="O261" s="9"/>
      <c r="P261" s="9"/>
    </row>
    <row r="262" spans="15:16">
      <c r="O262" s="9"/>
      <c r="P262" s="9"/>
    </row>
    <row r="263" spans="15:16">
      <c r="O263" s="9"/>
      <c r="P263" s="9"/>
    </row>
    <row r="264" spans="15:16">
      <c r="O264" s="9"/>
      <c r="P264" s="9"/>
    </row>
    <row r="265" spans="15:16">
      <c r="O265" s="9"/>
      <c r="P265" s="9"/>
    </row>
    <row r="266" spans="15:16">
      <c r="O266" s="9"/>
      <c r="P266" s="9"/>
    </row>
    <row r="267" spans="15:16">
      <c r="O267" s="9"/>
      <c r="P267" s="9"/>
    </row>
    <row r="268" spans="15:16">
      <c r="O268" s="9"/>
      <c r="P268" s="9"/>
    </row>
    <row r="269" spans="15:16">
      <c r="O269" s="9"/>
    </row>
    <row r="270" spans="15:16">
      <c r="O270" s="9"/>
    </row>
    <row r="271" spans="15:16">
      <c r="O271" s="9"/>
    </row>
    <row r="272" spans="15:16">
      <c r="O272" s="9"/>
    </row>
    <row r="273" spans="15:15">
      <c r="O273" s="9"/>
    </row>
    <row r="274" spans="15:15">
      <c r="O274" s="9"/>
    </row>
    <row r="275" spans="15:15">
      <c r="O275" s="9"/>
    </row>
    <row r="276" spans="15:15">
      <c r="O276" s="9"/>
    </row>
    <row r="277" spans="15:15">
      <c r="O277" s="9"/>
    </row>
    <row r="278" spans="15:15">
      <c r="O278" s="9"/>
    </row>
    <row r="279" spans="15:15">
      <c r="O279" s="9"/>
    </row>
    <row r="280" spans="15:15">
      <c r="O280" s="9"/>
    </row>
    <row r="281" spans="15:15">
      <c r="O281" s="9"/>
    </row>
    <row r="282" spans="15:15">
      <c r="O282" s="9"/>
    </row>
    <row r="283" spans="15:15">
      <c r="O283" s="9"/>
    </row>
    <row r="284" spans="15:15">
      <c r="O284" s="9"/>
    </row>
    <row r="285" spans="15:15">
      <c r="O285" s="9"/>
    </row>
    <row r="286" spans="15:15">
      <c r="O286" s="9"/>
    </row>
    <row r="287" spans="15:15">
      <c r="O287" s="9"/>
    </row>
    <row r="288" spans="15:15">
      <c r="O288" s="9"/>
    </row>
    <row r="289" spans="15:15">
      <c r="O289" s="9"/>
    </row>
    <row r="290" spans="15:15">
      <c r="O290" s="9"/>
    </row>
    <row r="291" spans="15:15">
      <c r="O291" s="9"/>
    </row>
    <row r="292" spans="15:15">
      <c r="O292" s="9"/>
    </row>
    <row r="293" spans="15:15">
      <c r="O293" s="9"/>
    </row>
    <row r="294" spans="15:15">
      <c r="O294" s="9"/>
    </row>
    <row r="295" spans="15:15">
      <c r="O295" s="9"/>
    </row>
    <row r="296" spans="15:15">
      <c r="O296" s="9"/>
    </row>
    <row r="297" spans="15:15">
      <c r="O297" s="9"/>
    </row>
    <row r="298" spans="15:15">
      <c r="O298" s="9"/>
    </row>
    <row r="299" spans="15:15">
      <c r="O299" s="9"/>
    </row>
    <row r="300" spans="15:15">
      <c r="O300" s="9"/>
    </row>
    <row r="301" spans="15:15">
      <c r="O301" s="9"/>
    </row>
    <row r="302" spans="15:15">
      <c r="O302" s="9"/>
    </row>
    <row r="303" spans="15:15">
      <c r="O303" s="9"/>
    </row>
    <row r="304" spans="15:15">
      <c r="O304" s="9"/>
    </row>
    <row r="305" spans="15:15">
      <c r="O305" s="9"/>
    </row>
    <row r="306" spans="15:15">
      <c r="O306" s="9"/>
    </row>
    <row r="307" spans="15:15">
      <c r="O307" s="9"/>
    </row>
    <row r="308" spans="15:15">
      <c r="O308" s="9"/>
    </row>
    <row r="309" spans="15:15">
      <c r="O309" s="9"/>
    </row>
    <row r="310" spans="15:15">
      <c r="O310" s="9"/>
    </row>
    <row r="311" spans="15:15">
      <c r="O311" s="9"/>
    </row>
    <row r="312" spans="15:15">
      <c r="O312" s="9"/>
    </row>
    <row r="313" spans="15:15">
      <c r="O313" s="9"/>
    </row>
    <row r="314" spans="15:15">
      <c r="O314" s="9"/>
    </row>
    <row r="315" spans="15:15">
      <c r="O315" s="9"/>
    </row>
    <row r="316" spans="15:15">
      <c r="O316" s="9"/>
    </row>
    <row r="317" spans="15:15">
      <c r="O317" s="9"/>
    </row>
    <row r="318" spans="15:15">
      <c r="O318" s="9"/>
    </row>
    <row r="319" spans="15:15">
      <c r="O319" s="9"/>
    </row>
    <row r="320" spans="15:15">
      <c r="O320" s="9"/>
    </row>
    <row r="321" spans="15:15">
      <c r="O321" s="9"/>
    </row>
    <row r="322" spans="15:15">
      <c r="O322" s="9"/>
    </row>
    <row r="323" spans="15:15">
      <c r="O323" s="9"/>
    </row>
    <row r="324" spans="15:15">
      <c r="O324" s="9"/>
    </row>
    <row r="325" spans="15:15">
      <c r="O325" s="9"/>
    </row>
    <row r="326" spans="15:15">
      <c r="O326" s="9"/>
    </row>
    <row r="327" spans="15:15">
      <c r="O327" s="9"/>
    </row>
    <row r="328" spans="15:15">
      <c r="O328" s="9"/>
    </row>
    <row r="329" spans="15:15">
      <c r="O329" s="9"/>
    </row>
    <row r="330" spans="15:15">
      <c r="O330" s="9"/>
    </row>
    <row r="331" spans="15:15">
      <c r="O331" s="9"/>
    </row>
    <row r="332" spans="15:15">
      <c r="O332" s="9"/>
    </row>
    <row r="333" spans="15:15">
      <c r="O333" s="9"/>
    </row>
    <row r="334" spans="15:15">
      <c r="O334" s="9"/>
    </row>
    <row r="335" spans="15:15">
      <c r="O335" s="9"/>
    </row>
    <row r="336" spans="15:15">
      <c r="O336" s="9"/>
    </row>
    <row r="337" spans="15:15">
      <c r="O337" s="9"/>
    </row>
    <row r="338" spans="15:15">
      <c r="O338" s="9"/>
    </row>
    <row r="339" spans="15:15">
      <c r="O339" s="9"/>
    </row>
    <row r="340" spans="15:15">
      <c r="O340" s="9"/>
    </row>
    <row r="341" spans="15:15">
      <c r="O341" s="9"/>
    </row>
    <row r="342" spans="15:15">
      <c r="O342" s="9"/>
    </row>
    <row r="343" spans="15:15">
      <c r="O343" s="9"/>
    </row>
    <row r="344" spans="15:15">
      <c r="O344" s="9"/>
    </row>
    <row r="345" spans="15:15">
      <c r="O345" s="9"/>
    </row>
    <row r="346" spans="15:15">
      <c r="O346" s="9"/>
    </row>
    <row r="347" spans="15:15">
      <c r="O347" s="9"/>
    </row>
    <row r="348" spans="15:15">
      <c r="O348" s="9"/>
    </row>
    <row r="349" spans="15:15">
      <c r="O349" s="9"/>
    </row>
    <row r="350" spans="15:15">
      <c r="O350" s="9"/>
    </row>
    <row r="351" spans="15:15">
      <c r="O351" s="9"/>
    </row>
    <row r="352" spans="15:15">
      <c r="O352" s="9"/>
    </row>
    <row r="353" spans="15:15">
      <c r="O353" s="9"/>
    </row>
    <row r="354" spans="15:15">
      <c r="O354" s="9"/>
    </row>
    <row r="355" spans="15:15">
      <c r="O355" s="9"/>
    </row>
    <row r="356" spans="15:15">
      <c r="O356" s="9"/>
    </row>
    <row r="357" spans="15:15">
      <c r="O357" s="9"/>
    </row>
    <row r="358" spans="15:15">
      <c r="O358" s="9"/>
    </row>
    <row r="359" spans="15:15">
      <c r="O359" s="9"/>
    </row>
    <row r="360" spans="15:15">
      <c r="O360" s="9"/>
    </row>
    <row r="361" spans="15:15">
      <c r="O361" s="9"/>
    </row>
    <row r="362" spans="15:15">
      <c r="O362" s="9"/>
    </row>
    <row r="363" spans="15:15">
      <c r="O363" s="9"/>
    </row>
    <row r="364" spans="15:15">
      <c r="O364" s="9"/>
    </row>
    <row r="365" spans="15:15">
      <c r="O365" s="9"/>
    </row>
    <row r="366" spans="15:15">
      <c r="O366" s="9"/>
    </row>
    <row r="367" spans="15:15">
      <c r="O367" s="9"/>
    </row>
    <row r="368" spans="15:15">
      <c r="O368" s="9"/>
    </row>
    <row r="369" spans="15:15">
      <c r="O369" s="9"/>
    </row>
    <row r="370" spans="15:15">
      <c r="O370" s="9"/>
    </row>
    <row r="371" spans="15:15">
      <c r="O37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topLeftCell="A55" workbookViewId="0">
      <selection activeCell="D86" sqref="D86:I88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>
      <c r="M2" s="357" t="s">
        <v>251</v>
      </c>
      <c r="N2" s="357"/>
      <c r="O2" s="357"/>
      <c r="P2" s="357"/>
      <c r="Q2" s="357"/>
      <c r="R2" s="357"/>
      <c r="S2" s="357"/>
    </row>
    <row r="3" spans="2:19" ht="24" customHeight="1">
      <c r="B3" s="59" t="s">
        <v>242</v>
      </c>
      <c r="C3" s="59" t="s">
        <v>243</v>
      </c>
      <c r="D3" s="60" t="s">
        <v>89</v>
      </c>
      <c r="E3" s="60" t="s">
        <v>238</v>
      </c>
      <c r="F3" s="60" t="s">
        <v>239</v>
      </c>
      <c r="G3" s="60" t="s">
        <v>240</v>
      </c>
      <c r="H3" s="60" t="s">
        <v>241</v>
      </c>
      <c r="I3" s="60"/>
      <c r="L3" s="60"/>
      <c r="M3" s="60" t="str">
        <f t="shared" ref="M3:R3" si="0">C3</f>
        <v>Persistence Year</v>
      </c>
      <c r="N3" s="60" t="str">
        <f t="shared" si="0"/>
        <v>Residential</v>
      </c>
      <c r="O3" s="60" t="str">
        <f t="shared" si="0"/>
        <v>GS&lt;50 kW</v>
      </c>
      <c r="P3" s="60" t="str">
        <f t="shared" si="0"/>
        <v>GS&gt;50 kW</v>
      </c>
      <c r="Q3" s="60" t="str">
        <f t="shared" si="0"/>
        <v>Streetlights</v>
      </c>
      <c r="R3" s="60" t="str">
        <f t="shared" si="0"/>
        <v>Unmetered Scattered Load</v>
      </c>
      <c r="S3" s="38" t="s">
        <v>146</v>
      </c>
    </row>
    <row r="5" spans="2:19">
      <c r="B5">
        <v>2012</v>
      </c>
      <c r="C5">
        <v>2012</v>
      </c>
      <c r="D5" s="8">
        <v>182798.36813494764</v>
      </c>
      <c r="E5" s="8">
        <v>637416.22134672385</v>
      </c>
      <c r="F5" s="8">
        <v>900164.43934726948</v>
      </c>
      <c r="G5" s="8"/>
      <c r="I5" s="1">
        <f>SUM(D5:H5)</f>
        <v>1720379.0288289408</v>
      </c>
      <c r="M5">
        <v>2012</v>
      </c>
      <c r="N5" s="30">
        <f t="shared" ref="N5:N16" si="1">SUMIFS(D:D,$C:$C,$M5)-SUMIFS(D:D,$B:$B,$M5,$C:$C,$M5)/2</f>
        <v>91399.18406747382</v>
      </c>
      <c r="O5" s="30">
        <f t="shared" ref="O5:O16" si="2">SUMIFS(E:E,$C:$C,$M5)-SUMIFS(E:E,$B:$B,$M5,$C:$C,$M5)/2</f>
        <v>318708.11067336192</v>
      </c>
      <c r="P5" s="30">
        <f t="shared" ref="P5:P16" si="3">SUMIFS(F:F,$C:$C,$M5)-SUMIFS(F:F,$B:$B,$M5,$C:$C,$M5)/2</f>
        <v>450082.21967363474</v>
      </c>
      <c r="Q5" s="30">
        <f t="shared" ref="Q5:Q16" si="4">SUMIFS(G:G,$C:$C,$M5)-SUMIFS(G:G,$B:$B,$M5,$C:$C,$M5)/2</f>
        <v>0</v>
      </c>
      <c r="R5" s="30">
        <f t="shared" ref="R5:R16" si="5">SUMIFS(H:H,$C:$C,$M5)-SUMIFS(H:H,$B:$B,$M5,$C:$C,$M5)/2</f>
        <v>0</v>
      </c>
      <c r="S5" s="30">
        <f t="shared" ref="S5:S16" si="6">SUMIFS(I:I,$C:$C,$M5)-SUMIFS(I:I,$B:$B,$M5,$C:$C,$M5)/2</f>
        <v>860189.51441447041</v>
      </c>
    </row>
    <row r="6" spans="2:19">
      <c r="B6">
        <v>2012</v>
      </c>
      <c r="C6">
        <v>2013</v>
      </c>
      <c r="D6" s="8">
        <v>182798.36818072401</v>
      </c>
      <c r="E6" s="8">
        <v>629827.47439789714</v>
      </c>
      <c r="F6" s="8">
        <v>885001.99869017152</v>
      </c>
      <c r="G6" s="8"/>
      <c r="I6" s="1">
        <f t="shared" ref="I6:I69" si="7">SUM(D6:H6)</f>
        <v>1697627.8412687927</v>
      </c>
      <c r="M6">
        <f t="shared" ref="M6:M16" si="8">M5+1</f>
        <v>2013</v>
      </c>
      <c r="N6" s="30">
        <f t="shared" si="1"/>
        <v>275682.3715457517</v>
      </c>
      <c r="O6" s="30">
        <f t="shared" si="2"/>
        <v>1034472.7711019369</v>
      </c>
      <c r="P6" s="30">
        <f t="shared" si="3"/>
        <v>1203803.7166887426</v>
      </c>
      <c r="Q6" s="30">
        <f t="shared" si="4"/>
        <v>0</v>
      </c>
      <c r="R6" s="30">
        <f t="shared" si="5"/>
        <v>0</v>
      </c>
      <c r="S6" s="30">
        <f t="shared" si="6"/>
        <v>2513958.8593364311</v>
      </c>
    </row>
    <row r="7" spans="2:19">
      <c r="B7">
        <v>2012</v>
      </c>
      <c r="C7">
        <v>2014</v>
      </c>
      <c r="D7" s="8">
        <v>182798.36818072401</v>
      </c>
      <c r="E7" s="8">
        <v>629297.01234217582</v>
      </c>
      <c r="F7" s="8">
        <v>883979.9589133769</v>
      </c>
      <c r="G7" s="8"/>
      <c r="I7" s="1">
        <f t="shared" si="7"/>
        <v>1696075.3394362768</v>
      </c>
      <c r="M7">
        <f t="shared" si="8"/>
        <v>2014</v>
      </c>
      <c r="N7" s="30">
        <f t="shared" si="1"/>
        <v>684035.39877995697</v>
      </c>
      <c r="O7" s="30">
        <f t="shared" si="2"/>
        <v>2039315.5157642043</v>
      </c>
      <c r="P7" s="30">
        <f t="shared" si="3"/>
        <v>1774172.9888768329</v>
      </c>
      <c r="Q7" s="30">
        <f t="shared" si="4"/>
        <v>0</v>
      </c>
      <c r="R7" s="30">
        <f t="shared" si="5"/>
        <v>0</v>
      </c>
      <c r="S7" s="30">
        <f t="shared" si="6"/>
        <v>4497523.9034209941</v>
      </c>
    </row>
    <row r="8" spans="2:19">
      <c r="B8">
        <v>2012</v>
      </c>
      <c r="C8">
        <v>2015</v>
      </c>
      <c r="D8" s="8">
        <v>181956.93527149782</v>
      </c>
      <c r="E8" s="8">
        <v>553022.66172791412</v>
      </c>
      <c r="F8" s="8">
        <v>860030.09265142737</v>
      </c>
      <c r="G8" s="8"/>
      <c r="I8" s="1">
        <f t="shared" si="7"/>
        <v>1595009.6896508392</v>
      </c>
      <c r="M8">
        <f t="shared" si="8"/>
        <v>2015</v>
      </c>
      <c r="N8" s="30">
        <f t="shared" si="1"/>
        <v>1232498.9568600547</v>
      </c>
      <c r="O8" s="30">
        <f t="shared" si="2"/>
        <v>2861281.7595750992</v>
      </c>
      <c r="P8" s="30">
        <f t="shared" si="3"/>
        <v>2416176.7425917615</v>
      </c>
      <c r="Q8" s="30">
        <f t="shared" si="4"/>
        <v>0</v>
      </c>
      <c r="R8" s="30">
        <f t="shared" si="5"/>
        <v>0</v>
      </c>
      <c r="S8" s="30">
        <f t="shared" si="6"/>
        <v>6509957.459026916</v>
      </c>
    </row>
    <row r="9" spans="2:19">
      <c r="B9">
        <v>2012</v>
      </c>
      <c r="C9">
        <v>2016</v>
      </c>
      <c r="D9" s="8">
        <v>161602.94655746734</v>
      </c>
      <c r="E9" s="8">
        <v>553022.66172791412</v>
      </c>
      <c r="F9" s="8">
        <v>842175.09265142737</v>
      </c>
      <c r="G9" s="8"/>
      <c r="I9" s="1">
        <f t="shared" si="7"/>
        <v>1556800.7009368087</v>
      </c>
      <c r="M9">
        <f t="shared" si="8"/>
        <v>2016</v>
      </c>
      <c r="N9" s="30">
        <f t="shared" si="1"/>
        <v>2380443.4985395758</v>
      </c>
      <c r="O9" s="30">
        <f t="shared" si="2"/>
        <v>2961943.0378775019</v>
      </c>
      <c r="P9" s="30">
        <f t="shared" si="3"/>
        <v>3069717.8755852287</v>
      </c>
      <c r="Q9" s="30">
        <f t="shared" si="4"/>
        <v>0</v>
      </c>
      <c r="R9" s="30">
        <f t="shared" si="5"/>
        <v>0</v>
      </c>
      <c r="S9" s="30">
        <f t="shared" si="6"/>
        <v>8412104.4120023064</v>
      </c>
    </row>
    <row r="10" spans="2:19">
      <c r="B10">
        <v>2012</v>
      </c>
      <c r="C10">
        <v>2017</v>
      </c>
      <c r="D10" s="8">
        <v>121505.36898959364</v>
      </c>
      <c r="E10" s="8">
        <v>457162.83560447826</v>
      </c>
      <c r="F10" s="8">
        <v>840366.6992402192</v>
      </c>
      <c r="G10" s="8"/>
      <c r="I10" s="1">
        <f t="shared" si="7"/>
        <v>1419034.9038342913</v>
      </c>
      <c r="M10">
        <f t="shared" si="8"/>
        <v>2017</v>
      </c>
      <c r="N10" s="30">
        <f t="shared" si="1"/>
        <v>5089987.7237613462</v>
      </c>
      <c r="O10" s="30">
        <f t="shared" si="2"/>
        <v>2995907.492629664</v>
      </c>
      <c r="P10" s="30">
        <f t="shared" si="3"/>
        <v>4343071.9883193905</v>
      </c>
      <c r="Q10" s="30">
        <f t="shared" si="4"/>
        <v>691627.5</v>
      </c>
      <c r="R10" s="30">
        <f t="shared" si="5"/>
        <v>0</v>
      </c>
      <c r="S10" s="30">
        <f t="shared" si="6"/>
        <v>13120594.704710398</v>
      </c>
    </row>
    <row r="11" spans="2:19">
      <c r="B11">
        <v>2012</v>
      </c>
      <c r="C11">
        <v>2018</v>
      </c>
      <c r="D11" s="8">
        <v>101166.14940672874</v>
      </c>
      <c r="E11" s="8">
        <v>452433.01127994357</v>
      </c>
      <c r="F11" s="8">
        <v>831253.75978529104</v>
      </c>
      <c r="G11" s="8"/>
      <c r="I11" s="1">
        <f t="shared" si="7"/>
        <v>1384852.9204719635</v>
      </c>
      <c r="M11">
        <f t="shared" si="8"/>
        <v>2018</v>
      </c>
      <c r="N11" s="30">
        <f t="shared" si="1"/>
        <v>6903258.3815914569</v>
      </c>
      <c r="O11" s="30">
        <f t="shared" si="2"/>
        <v>3158722.0054270336</v>
      </c>
      <c r="P11" s="30">
        <f t="shared" si="3"/>
        <v>5774540.3136973642</v>
      </c>
      <c r="Q11" s="30">
        <f t="shared" si="4"/>
        <v>1402801.4905402288</v>
      </c>
      <c r="R11" s="30">
        <f t="shared" si="5"/>
        <v>0</v>
      </c>
      <c r="S11" s="30">
        <f t="shared" si="6"/>
        <v>17239322.191256084</v>
      </c>
    </row>
    <row r="12" spans="2:19">
      <c r="B12">
        <v>2012</v>
      </c>
      <c r="C12">
        <v>2019</v>
      </c>
      <c r="D12" s="8">
        <v>100336.37840540743</v>
      </c>
      <c r="E12" s="8">
        <v>452433.01127994357</v>
      </c>
      <c r="F12" s="8">
        <v>831253.75978529104</v>
      </c>
      <c r="G12" s="8"/>
      <c r="I12" s="1">
        <f t="shared" si="7"/>
        <v>1384023.1494706422</v>
      </c>
      <c r="M12">
        <f t="shared" si="8"/>
        <v>2019</v>
      </c>
      <c r="N12" s="30">
        <f t="shared" si="1"/>
        <v>7269766.0551621346</v>
      </c>
      <c r="O12" s="30">
        <f t="shared" si="2"/>
        <v>3248327.9361091773</v>
      </c>
      <c r="P12" s="30">
        <f t="shared" si="3"/>
        <v>6944190.6563829705</v>
      </c>
      <c r="Q12" s="30">
        <f t="shared" si="4"/>
        <v>1402801.4905402288</v>
      </c>
      <c r="R12" s="30">
        <f t="shared" si="5"/>
        <v>0</v>
      </c>
      <c r="S12" s="30">
        <f t="shared" si="6"/>
        <v>18865086.138194509</v>
      </c>
    </row>
    <row r="13" spans="2:19">
      <c r="B13">
        <v>2012</v>
      </c>
      <c r="C13">
        <v>2020</v>
      </c>
      <c r="D13" s="8">
        <v>91876.378405407435</v>
      </c>
      <c r="E13" s="8">
        <v>426996.13132541295</v>
      </c>
      <c r="F13" s="8">
        <v>782244.59347323887</v>
      </c>
      <c r="G13" s="8"/>
      <c r="I13" s="1">
        <f t="shared" si="7"/>
        <v>1301117.1032040592</v>
      </c>
      <c r="M13">
        <f t="shared" si="8"/>
        <v>2020</v>
      </c>
      <c r="N13" s="30">
        <f t="shared" si="1"/>
        <v>7258555.3555044392</v>
      </c>
      <c r="O13" s="30">
        <f t="shared" si="2"/>
        <v>3240659.7571163727</v>
      </c>
      <c r="P13" s="30">
        <f t="shared" si="3"/>
        <v>7626281.4571790434</v>
      </c>
      <c r="Q13" s="30">
        <f t="shared" si="4"/>
        <v>1402801.4905402288</v>
      </c>
      <c r="R13" s="30">
        <f t="shared" si="5"/>
        <v>0</v>
      </c>
      <c r="S13" s="30">
        <f t="shared" si="6"/>
        <v>19528298.060340084</v>
      </c>
    </row>
    <row r="14" spans="2:19">
      <c r="B14">
        <v>2012</v>
      </c>
      <c r="C14">
        <v>2021</v>
      </c>
      <c r="D14" s="8">
        <v>73137.78480473299</v>
      </c>
      <c r="E14" s="8">
        <v>254516.59443401813</v>
      </c>
      <c r="F14" s="8">
        <v>449928.74640212354</v>
      </c>
      <c r="G14" s="8"/>
      <c r="I14" s="1">
        <f t="shared" si="7"/>
        <v>777583.12564087473</v>
      </c>
      <c r="M14">
        <f t="shared" si="8"/>
        <v>2021</v>
      </c>
      <c r="N14" s="30">
        <f>SUMIFS(D:D,$C:$C,$M14)-SUMIFS(D:D,$B:$B,$M14,$C:$C,$M14)/2</f>
        <v>6107492.4584778827</v>
      </c>
      <c r="O14" s="30">
        <f t="shared" si="2"/>
        <v>3156354.8195741251</v>
      </c>
      <c r="P14" s="30">
        <f t="shared" si="3"/>
        <v>7592029.2812721888</v>
      </c>
      <c r="Q14" s="30">
        <f t="shared" si="4"/>
        <v>1402801.4905402288</v>
      </c>
      <c r="R14" s="30">
        <f t="shared" si="5"/>
        <v>0</v>
      </c>
      <c r="S14" s="30">
        <f t="shared" si="6"/>
        <v>18258678.049864426</v>
      </c>
    </row>
    <row r="15" spans="2:19">
      <c r="B15">
        <v>2012</v>
      </c>
      <c r="C15">
        <v>2022</v>
      </c>
      <c r="D15" s="8">
        <v>66606.317419600513</v>
      </c>
      <c r="E15" s="8">
        <v>245904.25538821146</v>
      </c>
      <c r="F15" s="8">
        <v>433335.3765632828</v>
      </c>
      <c r="G15" s="8"/>
      <c r="I15" s="1">
        <f t="shared" si="7"/>
        <v>745845.94937109482</v>
      </c>
      <c r="M15">
        <f t="shared" si="8"/>
        <v>2022</v>
      </c>
      <c r="N15" s="30">
        <f t="shared" si="1"/>
        <v>6099968.9477044763</v>
      </c>
      <c r="O15" s="30">
        <f t="shared" si="2"/>
        <v>3165620.7316619302</v>
      </c>
      <c r="P15" s="30">
        <f t="shared" si="3"/>
        <v>7682018.598359637</v>
      </c>
      <c r="Q15" s="30">
        <f t="shared" si="4"/>
        <v>1388448.5447707593</v>
      </c>
      <c r="R15" s="30">
        <f t="shared" si="5"/>
        <v>0</v>
      </c>
      <c r="S15" s="30">
        <f t="shared" si="6"/>
        <v>18336056.822496802</v>
      </c>
    </row>
    <row r="16" spans="2:19">
      <c r="B16">
        <v>2012</v>
      </c>
      <c r="C16">
        <v>2023</v>
      </c>
      <c r="D16" s="8">
        <v>65592.001613036904</v>
      </c>
      <c r="E16" s="8">
        <v>241574.70492073282</v>
      </c>
      <c r="F16" s="8">
        <v>433335.3765632828</v>
      </c>
      <c r="G16" s="8"/>
      <c r="I16" s="1">
        <f t="shared" si="7"/>
        <v>740502.08309705253</v>
      </c>
      <c r="M16">
        <f t="shared" si="8"/>
        <v>2023</v>
      </c>
      <c r="N16" s="30">
        <f t="shared" si="1"/>
        <v>6018185.7930549709</v>
      </c>
      <c r="O16" s="30">
        <f t="shared" si="2"/>
        <v>3064989.4979821672</v>
      </c>
      <c r="P16" s="30">
        <f t="shared" si="3"/>
        <v>7575792.3741318611</v>
      </c>
      <c r="Q16" s="30">
        <f t="shared" si="4"/>
        <v>1388448.5447707593</v>
      </c>
      <c r="R16" s="30">
        <f t="shared" si="5"/>
        <v>0</v>
      </c>
      <c r="S16" s="30">
        <f t="shared" si="6"/>
        <v>18047416.209939759</v>
      </c>
    </row>
    <row r="17" spans="2:9">
      <c r="D17" s="8"/>
      <c r="E17" s="8"/>
      <c r="F17" s="8"/>
      <c r="G17" s="8"/>
      <c r="I17" s="1"/>
    </row>
    <row r="18" spans="2:9">
      <c r="B18">
        <v>2013</v>
      </c>
      <c r="C18">
        <v>2013</v>
      </c>
      <c r="D18" s="8">
        <v>185768.00673005526</v>
      </c>
      <c r="E18" s="8">
        <v>809290.59340807935</v>
      </c>
      <c r="F18" s="8">
        <v>637603.43599714234</v>
      </c>
      <c r="G18" s="8"/>
      <c r="I18" s="1">
        <f t="shared" si="7"/>
        <v>1632662.0361352768</v>
      </c>
    </row>
    <row r="19" spans="2:9">
      <c r="B19">
        <v>2013</v>
      </c>
      <c r="C19">
        <v>2014</v>
      </c>
      <c r="D19" s="8">
        <v>185584.95890901034</v>
      </c>
      <c r="E19" s="8">
        <v>802720.73473321495</v>
      </c>
      <c r="F19" s="8">
        <v>626889.99812974897</v>
      </c>
      <c r="G19" s="8"/>
      <c r="I19" s="1">
        <f t="shared" si="7"/>
        <v>1615195.6917719743</v>
      </c>
    </row>
    <row r="20" spans="2:9">
      <c r="B20">
        <v>2013</v>
      </c>
      <c r="C20">
        <v>2015</v>
      </c>
      <c r="D20" s="8">
        <v>177580.03957744085</v>
      </c>
      <c r="E20" s="8">
        <v>799187.41797466238</v>
      </c>
      <c r="F20" s="8">
        <v>624924.95657283894</v>
      </c>
      <c r="G20" s="8"/>
      <c r="I20" s="1">
        <f t="shared" si="7"/>
        <v>1601692.4141249422</v>
      </c>
    </row>
    <row r="21" spans="2:9">
      <c r="B21">
        <v>2013</v>
      </c>
      <c r="C21">
        <v>2016</v>
      </c>
      <c r="D21" s="8">
        <v>170630.64539053896</v>
      </c>
      <c r="E21" s="8">
        <v>700542.89409111103</v>
      </c>
      <c r="F21" s="8">
        <v>624924.95657283894</v>
      </c>
      <c r="G21" s="8"/>
      <c r="I21" s="1">
        <f t="shared" si="7"/>
        <v>1496098.4960544889</v>
      </c>
    </row>
    <row r="22" spans="2:9">
      <c r="B22">
        <v>2013</v>
      </c>
      <c r="C22">
        <v>2017</v>
      </c>
      <c r="D22" s="8">
        <v>152850.27773268899</v>
      </c>
      <c r="E22" s="8">
        <v>613144.35412408924</v>
      </c>
      <c r="F22" s="8">
        <v>612414.75282750127</v>
      </c>
      <c r="G22" s="8"/>
      <c r="I22" s="1">
        <f t="shared" si="7"/>
        <v>1378409.3846842796</v>
      </c>
    </row>
    <row r="23" spans="2:9">
      <c r="B23">
        <v>2013</v>
      </c>
      <c r="C23">
        <v>2018</v>
      </c>
      <c r="D23" s="8">
        <v>140810.95602466186</v>
      </c>
      <c r="E23" s="8">
        <v>609054.93942597951</v>
      </c>
      <c r="F23" s="8">
        <v>606060.50109612453</v>
      </c>
      <c r="G23" s="8"/>
      <c r="I23" s="1">
        <f t="shared" si="7"/>
        <v>1355926.3965467659</v>
      </c>
    </row>
    <row r="24" spans="2:9">
      <c r="B24">
        <v>2013</v>
      </c>
      <c r="C24">
        <v>2019</v>
      </c>
      <c r="D24" s="8">
        <v>139608.33189441284</v>
      </c>
      <c r="E24" s="8">
        <v>609054.93942597951</v>
      </c>
      <c r="F24" s="8">
        <v>606060.50109612453</v>
      </c>
      <c r="G24" s="8"/>
      <c r="I24" s="1">
        <f t="shared" si="7"/>
        <v>1354723.7724165169</v>
      </c>
    </row>
    <row r="25" spans="2:9">
      <c r="B25">
        <v>2013</v>
      </c>
      <c r="C25">
        <v>2020</v>
      </c>
      <c r="D25" s="8">
        <v>138728.49003650268</v>
      </c>
      <c r="E25" s="8">
        <v>607696.2288016649</v>
      </c>
      <c r="F25" s="8">
        <v>603949.29693260905</v>
      </c>
      <c r="G25" s="8"/>
      <c r="I25" s="1">
        <f t="shared" si="7"/>
        <v>1350374.0157707767</v>
      </c>
    </row>
    <row r="26" spans="2:9">
      <c r="B26">
        <v>2013</v>
      </c>
      <c r="C26">
        <v>2021</v>
      </c>
      <c r="D26" s="8">
        <v>126541.32391899246</v>
      </c>
      <c r="E26" s="8">
        <v>606701.77813365753</v>
      </c>
      <c r="F26" s="8">
        <v>602404.09050444327</v>
      </c>
      <c r="G26" s="8"/>
      <c r="I26" s="1">
        <f t="shared" si="7"/>
        <v>1335647.1925570932</v>
      </c>
    </row>
    <row r="27" spans="2:9">
      <c r="B27">
        <v>2013</v>
      </c>
      <c r="C27">
        <v>2022</v>
      </c>
      <c r="D27" s="8">
        <v>126541.32391899246</v>
      </c>
      <c r="E27" s="8">
        <v>576890.94364907034</v>
      </c>
      <c r="F27" s="8">
        <v>556083.14713691582</v>
      </c>
      <c r="G27" s="8"/>
      <c r="I27" s="1">
        <f t="shared" si="7"/>
        <v>1259515.4147049785</v>
      </c>
    </row>
    <row r="28" spans="2:9">
      <c r="B28">
        <v>2013</v>
      </c>
      <c r="C28">
        <v>2023</v>
      </c>
      <c r="D28" s="8">
        <v>83759.904249916915</v>
      </c>
      <c r="E28" s="8">
        <v>518135.34573599545</v>
      </c>
      <c r="F28" s="8">
        <v>481172.9847225736</v>
      </c>
      <c r="G28" s="8"/>
      <c r="I28" s="1">
        <f t="shared" si="7"/>
        <v>1083068.2347084859</v>
      </c>
    </row>
    <row r="29" spans="2:9">
      <c r="D29" s="8"/>
      <c r="E29" s="8"/>
      <c r="F29" s="8"/>
      <c r="G29" s="8"/>
      <c r="I29" s="1"/>
    </row>
    <row r="30" spans="2:9">
      <c r="B30">
        <v>2014</v>
      </c>
      <c r="C30">
        <v>2014</v>
      </c>
      <c r="D30" s="8">
        <v>631304.1433804452</v>
      </c>
      <c r="E30" s="8">
        <v>1214595.5373776266</v>
      </c>
      <c r="F30" s="8">
        <v>526606.06366741424</v>
      </c>
      <c r="G30" s="8"/>
      <c r="I30" s="1">
        <f t="shared" si="7"/>
        <v>2372505.7444254858</v>
      </c>
    </row>
    <row r="31" spans="2:9">
      <c r="B31">
        <v>2014</v>
      </c>
      <c r="C31">
        <v>2015</v>
      </c>
      <c r="D31" s="8">
        <v>578637.45456912112</v>
      </c>
      <c r="E31" s="8">
        <v>1210974.4636271079</v>
      </c>
      <c r="F31" s="8">
        <v>526057.57868140191</v>
      </c>
      <c r="G31" s="8"/>
      <c r="I31" s="1">
        <f t="shared" si="7"/>
        <v>2315669.4968776312</v>
      </c>
    </row>
    <row r="32" spans="2:9">
      <c r="B32">
        <v>2014</v>
      </c>
      <c r="C32">
        <v>2016</v>
      </c>
      <c r="D32" s="8">
        <v>547051.6928007328</v>
      </c>
      <c r="E32" s="8">
        <v>886424.09773851628</v>
      </c>
      <c r="F32" s="8">
        <v>526057.57868140191</v>
      </c>
      <c r="G32" s="8"/>
      <c r="I32" s="1">
        <f t="shared" si="7"/>
        <v>1959533.369220651</v>
      </c>
    </row>
    <row r="33" spans="2:9">
      <c r="B33">
        <v>2014</v>
      </c>
      <c r="C33">
        <v>2017</v>
      </c>
      <c r="D33" s="8">
        <v>545095.16637071758</v>
      </c>
      <c r="E33" s="8">
        <v>822732.1863809292</v>
      </c>
      <c r="F33" s="8">
        <v>519764.44264269725</v>
      </c>
      <c r="G33" s="8"/>
      <c r="I33" s="1">
        <f t="shared" si="7"/>
        <v>1887591.7953943438</v>
      </c>
    </row>
    <row r="34" spans="2:9">
      <c r="B34">
        <v>2014</v>
      </c>
      <c r="C34">
        <v>2018</v>
      </c>
      <c r="D34" s="8">
        <v>527221.37010389916</v>
      </c>
      <c r="E34" s="8">
        <v>822732.1863809292</v>
      </c>
      <c r="F34" s="8">
        <v>323943.73247602687</v>
      </c>
      <c r="G34" s="8"/>
      <c r="I34" s="1">
        <f t="shared" si="7"/>
        <v>1673897.288960855</v>
      </c>
    </row>
    <row r="35" spans="2:9">
      <c r="B35">
        <v>2014</v>
      </c>
      <c r="C35">
        <v>2019</v>
      </c>
      <c r="D35" s="8">
        <v>508443.92741661629</v>
      </c>
      <c r="E35" s="8">
        <v>822732.1863809292</v>
      </c>
      <c r="F35" s="8">
        <v>323943.73247602687</v>
      </c>
      <c r="G35" s="8"/>
      <c r="I35" s="1">
        <f t="shared" si="7"/>
        <v>1655119.8462735722</v>
      </c>
    </row>
    <row r="36" spans="2:9">
      <c r="B36">
        <v>2014</v>
      </c>
      <c r="C36">
        <v>2020</v>
      </c>
      <c r="D36" s="8">
        <v>506523.36374168954</v>
      </c>
      <c r="E36" s="8">
        <v>818037.9072876533</v>
      </c>
      <c r="F36" s="8">
        <v>316943.13428995089</v>
      </c>
      <c r="G36" s="8"/>
      <c r="I36" s="1">
        <f t="shared" si="7"/>
        <v>1641504.4053192937</v>
      </c>
    </row>
    <row r="37" spans="2:9">
      <c r="B37">
        <v>2014</v>
      </c>
      <c r="C37">
        <v>2021</v>
      </c>
      <c r="D37" s="8">
        <v>501621.73473134846</v>
      </c>
      <c r="E37" s="8">
        <v>818037.9072876533</v>
      </c>
      <c r="F37" s="8">
        <v>316943.13428995089</v>
      </c>
      <c r="G37" s="8"/>
      <c r="I37" s="1">
        <f t="shared" si="7"/>
        <v>1636602.7763089526</v>
      </c>
    </row>
    <row r="38" spans="2:9">
      <c r="B38">
        <v>2014</v>
      </c>
      <c r="C38">
        <v>2022</v>
      </c>
      <c r="D38" s="8">
        <v>484115.07609716267</v>
      </c>
      <c r="E38" s="8">
        <v>816974.61764683505</v>
      </c>
      <c r="F38" s="8">
        <v>315357.44596957625</v>
      </c>
      <c r="G38" s="8"/>
      <c r="I38" s="1">
        <f t="shared" si="7"/>
        <v>1616447.139713574</v>
      </c>
    </row>
    <row r="39" spans="2:9">
      <c r="B39">
        <v>2014</v>
      </c>
      <c r="C39">
        <v>2023</v>
      </c>
      <c r="D39" s="8">
        <v>450894.06954337214</v>
      </c>
      <c r="E39" s="8">
        <v>796840.54887639591</v>
      </c>
      <c r="F39" s="8">
        <v>285331.42439907225</v>
      </c>
      <c r="G39" s="8"/>
      <c r="I39" s="1">
        <f t="shared" si="7"/>
        <v>1533066.0428188404</v>
      </c>
    </row>
    <row r="40" spans="2:9">
      <c r="D40" s="8"/>
      <c r="E40" s="8"/>
      <c r="F40" s="8"/>
      <c r="G40" s="8"/>
      <c r="I40" s="1"/>
    </row>
    <row r="41" spans="2:9">
      <c r="B41">
        <v>2015</v>
      </c>
      <c r="C41">
        <v>2015</v>
      </c>
      <c r="D41" s="8">
        <v>588649.05488399032</v>
      </c>
      <c r="E41" s="8">
        <v>596194.43249082926</v>
      </c>
      <c r="F41" s="8">
        <v>810328.22937218589</v>
      </c>
      <c r="G41" s="8"/>
      <c r="I41" s="1">
        <f t="shared" si="7"/>
        <v>1995171.7167470055</v>
      </c>
    </row>
    <row r="42" spans="2:9">
      <c r="B42">
        <v>2015</v>
      </c>
      <c r="C42">
        <v>2016</v>
      </c>
      <c r="D42" s="8">
        <v>578989.81832256762</v>
      </c>
      <c r="E42" s="8">
        <v>569603.09528286057</v>
      </c>
      <c r="F42" s="8">
        <v>810328.22937218589</v>
      </c>
      <c r="G42" s="8"/>
      <c r="I42" s="1">
        <f t="shared" si="7"/>
        <v>1958921.1429776142</v>
      </c>
    </row>
    <row r="43" spans="2:9">
      <c r="B43">
        <v>2015</v>
      </c>
      <c r="C43">
        <v>2017</v>
      </c>
      <c r="D43" s="8">
        <v>578377.51123180834</v>
      </c>
      <c r="E43" s="8">
        <v>540951.08276346303</v>
      </c>
      <c r="F43" s="8">
        <v>810328.5871257229</v>
      </c>
      <c r="G43" s="8"/>
      <c r="I43" s="1">
        <f t="shared" si="7"/>
        <v>1929657.181120994</v>
      </c>
    </row>
    <row r="44" spans="2:9">
      <c r="B44">
        <v>2015</v>
      </c>
      <c r="C44">
        <v>2018</v>
      </c>
      <c r="D44" s="8">
        <v>577660.79559471598</v>
      </c>
      <c r="E44" s="8">
        <v>553114.81494703074</v>
      </c>
      <c r="F44" s="8">
        <v>823424.8549421553</v>
      </c>
      <c r="G44" s="8"/>
      <c r="I44" s="1">
        <f t="shared" si="7"/>
        <v>1954200.465483902</v>
      </c>
    </row>
    <row r="45" spans="2:9">
      <c r="B45">
        <v>2015</v>
      </c>
      <c r="C45">
        <v>2019</v>
      </c>
      <c r="D45" s="8">
        <v>572253.95823375299</v>
      </c>
      <c r="E45" s="8">
        <v>553114.81494703074</v>
      </c>
      <c r="F45" s="8">
        <v>823424.8549421553</v>
      </c>
      <c r="G45" s="8"/>
      <c r="I45" s="1">
        <f t="shared" si="7"/>
        <v>1948793.628122939</v>
      </c>
    </row>
    <row r="46" spans="2:9">
      <c r="B46">
        <v>2015</v>
      </c>
      <c r="C46">
        <v>2020</v>
      </c>
      <c r="D46" s="8">
        <v>566149.33176084189</v>
      </c>
      <c r="E46" s="8">
        <v>553114.81494703074</v>
      </c>
      <c r="F46" s="8">
        <v>823424.8549421553</v>
      </c>
      <c r="G46" s="8"/>
      <c r="I46" s="1">
        <f t="shared" si="7"/>
        <v>1942689.0016500279</v>
      </c>
    </row>
    <row r="47" spans="2:9">
      <c r="B47">
        <v>2015</v>
      </c>
      <c r="C47">
        <v>2021</v>
      </c>
      <c r="D47" s="8">
        <v>565513.44343991904</v>
      </c>
      <c r="E47" s="8">
        <v>552293.92234919639</v>
      </c>
      <c r="F47" s="8">
        <v>817674.90384076512</v>
      </c>
      <c r="G47" s="8"/>
      <c r="I47" s="1">
        <f t="shared" si="7"/>
        <v>1935482.2696298806</v>
      </c>
    </row>
    <row r="48" spans="2:9">
      <c r="B48">
        <v>2015</v>
      </c>
      <c r="C48">
        <v>2022</v>
      </c>
      <c r="D48" s="8">
        <v>565332.19379898789</v>
      </c>
      <c r="E48" s="8">
        <v>552293.95977884997</v>
      </c>
      <c r="F48" s="8">
        <v>817674.94413997279</v>
      </c>
      <c r="G48" s="8"/>
      <c r="I48" s="1">
        <f t="shared" si="7"/>
        <v>1935301.0977178107</v>
      </c>
    </row>
    <row r="49" spans="2:9">
      <c r="B49">
        <v>2015</v>
      </c>
      <c r="C49">
        <v>2023</v>
      </c>
      <c r="D49" s="8">
        <v>560739.16424652818</v>
      </c>
      <c r="E49" s="8">
        <v>551304.01074113278</v>
      </c>
      <c r="F49" s="8">
        <v>816609.10040657676</v>
      </c>
      <c r="G49" s="8"/>
      <c r="I49" s="1">
        <f t="shared" si="7"/>
        <v>1928652.2753942376</v>
      </c>
    </row>
    <row r="50" spans="2:9">
      <c r="D50" s="8"/>
      <c r="E50" s="8"/>
      <c r="F50" s="8"/>
      <c r="G50" s="8"/>
      <c r="I50" s="1"/>
    </row>
    <row r="51" spans="2:9">
      <c r="B51">
        <v>2016</v>
      </c>
      <c r="C51">
        <v>2016</v>
      </c>
      <c r="D51" s="8">
        <v>1844336.790936538</v>
      </c>
      <c r="E51" s="8">
        <v>504700.57807419926</v>
      </c>
      <c r="F51" s="8">
        <v>532464.03661474865</v>
      </c>
      <c r="G51" s="8"/>
      <c r="I51" s="1">
        <f t="shared" si="7"/>
        <v>2881501.4056254858</v>
      </c>
    </row>
    <row r="52" spans="2:9">
      <c r="B52">
        <v>2016</v>
      </c>
      <c r="C52">
        <v>2017</v>
      </c>
      <c r="D52" s="8">
        <v>1527194.790936538</v>
      </c>
      <c r="E52" s="8">
        <v>504299.53375670407</v>
      </c>
      <c r="F52" s="8">
        <v>532464.09788400168</v>
      </c>
      <c r="G52" s="8"/>
      <c r="I52" s="1">
        <f t="shared" si="7"/>
        <v>2563958.4225772438</v>
      </c>
    </row>
    <row r="53" spans="2:9">
      <c r="B53">
        <v>2016</v>
      </c>
      <c r="C53">
        <v>2018</v>
      </c>
      <c r="D53" s="8">
        <v>1527194.790936538</v>
      </c>
      <c r="E53" s="8">
        <v>504299.53375670407</v>
      </c>
      <c r="F53" s="8">
        <v>532464.09788400168</v>
      </c>
      <c r="G53" s="8"/>
      <c r="I53" s="1">
        <f t="shared" si="7"/>
        <v>2563958.4225772438</v>
      </c>
    </row>
    <row r="54" spans="2:9">
      <c r="B54">
        <v>2016</v>
      </c>
      <c r="C54">
        <v>2019</v>
      </c>
      <c r="D54" s="8">
        <v>1527194.790936538</v>
      </c>
      <c r="E54" s="8">
        <v>483103.04217275861</v>
      </c>
      <c r="F54" s="8">
        <v>532464.09788400168</v>
      </c>
      <c r="G54" s="8"/>
      <c r="I54" s="1">
        <f t="shared" si="7"/>
        <v>2542761.9309932981</v>
      </c>
    </row>
    <row r="55" spans="2:9">
      <c r="B55">
        <v>2016</v>
      </c>
      <c r="C55">
        <v>2020</v>
      </c>
      <c r="D55" s="8">
        <v>1527194.790936538</v>
      </c>
      <c r="E55" s="8">
        <v>467573.62555873307</v>
      </c>
      <c r="F55" s="8">
        <v>532464.09788400168</v>
      </c>
      <c r="G55" s="8"/>
      <c r="I55" s="1">
        <f t="shared" si="7"/>
        <v>2527232.5143792727</v>
      </c>
    </row>
    <row r="56" spans="2:9">
      <c r="B56">
        <v>2016</v>
      </c>
      <c r="C56">
        <v>2021</v>
      </c>
      <c r="D56" s="8">
        <v>1527194.790936538</v>
      </c>
      <c r="E56" s="8">
        <v>454530.31768611551</v>
      </c>
      <c r="F56" s="8">
        <v>511490.33122371323</v>
      </c>
      <c r="G56" s="8"/>
      <c r="I56" s="1">
        <f t="shared" si="7"/>
        <v>2493215.4398463666</v>
      </c>
    </row>
    <row r="57" spans="2:9">
      <c r="B57">
        <v>2016</v>
      </c>
      <c r="C57">
        <v>2022</v>
      </c>
      <c r="D57" s="8">
        <v>1527194.898870779</v>
      </c>
      <c r="E57" s="8">
        <v>454530.42997970682</v>
      </c>
      <c r="F57" s="8">
        <v>511490.51179290656</v>
      </c>
      <c r="G57" s="8"/>
      <c r="I57" s="1">
        <f t="shared" si="7"/>
        <v>2493215.8406433924</v>
      </c>
    </row>
    <row r="58" spans="2:9">
      <c r="B58">
        <v>2016</v>
      </c>
      <c r="C58">
        <v>2023</v>
      </c>
      <c r="D58" s="8">
        <v>1527021.5158031639</v>
      </c>
      <c r="E58" s="8">
        <v>454530.42997970682</v>
      </c>
      <c r="F58" s="8">
        <v>511490.51179290656</v>
      </c>
      <c r="G58" s="8"/>
      <c r="I58" s="1">
        <f t="shared" si="7"/>
        <v>2493042.4575757775</v>
      </c>
    </row>
    <row r="59" spans="2:9">
      <c r="D59" s="8"/>
      <c r="E59" s="8"/>
      <c r="F59" s="8"/>
      <c r="G59" s="8"/>
      <c r="I59" s="1"/>
    </row>
    <row r="60" spans="2:9">
      <c r="B60">
        <v>2017</v>
      </c>
      <c r="C60">
        <v>2017</v>
      </c>
      <c r="D60" s="8">
        <v>4329929.2170000002</v>
      </c>
      <c r="E60" s="8">
        <v>115235</v>
      </c>
      <c r="F60" s="8">
        <v>2055466.8171984977</v>
      </c>
      <c r="G60" s="8">
        <v>1383255</v>
      </c>
      <c r="I60" s="1">
        <f t="shared" si="7"/>
        <v>7883886.0341984984</v>
      </c>
    </row>
    <row r="61" spans="2:9">
      <c r="B61">
        <v>2017</v>
      </c>
      <c r="C61">
        <v>2018</v>
      </c>
      <c r="D61" s="8">
        <v>3636991.3790358477</v>
      </c>
      <c r="E61" s="8">
        <v>115480.18339522612</v>
      </c>
      <c r="F61" s="8">
        <v>2084495.8729413291</v>
      </c>
      <c r="G61" s="8">
        <v>1402801.4905402288</v>
      </c>
      <c r="I61" s="1">
        <f t="shared" si="7"/>
        <v>7239768.9259126317</v>
      </c>
    </row>
    <row r="62" spans="2:9">
      <c r="B62">
        <v>2017</v>
      </c>
      <c r="C62">
        <v>2019</v>
      </c>
      <c r="D62" s="8">
        <v>3636991.3790358477</v>
      </c>
      <c r="E62" s="8">
        <v>110507.85528205858</v>
      </c>
      <c r="F62" s="8">
        <v>2084437.2010544967</v>
      </c>
      <c r="G62" s="8">
        <v>1402801.4905402288</v>
      </c>
      <c r="I62" s="1">
        <f t="shared" si="7"/>
        <v>7234737.9259126317</v>
      </c>
    </row>
    <row r="63" spans="2:9">
      <c r="B63">
        <v>2017</v>
      </c>
      <c r="C63">
        <v>2020</v>
      </c>
      <c r="D63" s="8">
        <v>3636991.3790358477</v>
      </c>
      <c r="E63" s="8">
        <v>110507.85528205858</v>
      </c>
      <c r="F63" s="8">
        <v>2084437.2010544967</v>
      </c>
      <c r="G63" s="8">
        <v>1402801.4905402288</v>
      </c>
      <c r="I63" s="1">
        <f t="shared" si="7"/>
        <v>7234737.9259126317</v>
      </c>
    </row>
    <row r="64" spans="2:9">
      <c r="B64">
        <v>2017</v>
      </c>
      <c r="C64">
        <v>2021</v>
      </c>
      <c r="D64" s="8">
        <v>2506081.3790358477</v>
      </c>
      <c r="E64" s="8">
        <v>110507.85528205858</v>
      </c>
      <c r="F64" s="8">
        <v>2084437.2010544967</v>
      </c>
      <c r="G64" s="8">
        <v>1402801.4905402288</v>
      </c>
      <c r="I64" s="1">
        <f t="shared" si="7"/>
        <v>6103827.9259126317</v>
      </c>
    </row>
    <row r="65" spans="2:9">
      <c r="B65">
        <v>2017</v>
      </c>
      <c r="C65">
        <v>2022</v>
      </c>
      <c r="D65" s="8">
        <v>2506116.2528303531</v>
      </c>
      <c r="E65" s="8">
        <v>87707.755117392197</v>
      </c>
      <c r="F65" s="8">
        <v>2062854.318617993</v>
      </c>
      <c r="G65" s="8">
        <v>1388448.5447707593</v>
      </c>
      <c r="I65" s="1">
        <f t="shared" si="7"/>
        <v>6045126.8713364983</v>
      </c>
    </row>
    <row r="66" spans="2:9">
      <c r="B66">
        <v>2017</v>
      </c>
      <c r="C66">
        <v>2023</v>
      </c>
      <c r="D66" s="8">
        <v>2506116.2528303526</v>
      </c>
      <c r="E66" s="8">
        <v>71289.453059636173</v>
      </c>
      <c r="F66" s="8">
        <v>2062660.5878869572</v>
      </c>
      <c r="G66" s="8">
        <v>1388448.5447707593</v>
      </c>
      <c r="I66" s="1">
        <f t="shared" si="7"/>
        <v>6028514.8385477057</v>
      </c>
    </row>
    <row r="67" spans="2:9">
      <c r="D67" s="8"/>
      <c r="E67" s="8"/>
      <c r="F67" s="8"/>
      <c r="G67" s="8"/>
      <c r="I67" s="1"/>
    </row>
    <row r="68" spans="2:9">
      <c r="B68">
        <v>2018</v>
      </c>
      <c r="C68">
        <v>2018</v>
      </c>
      <c r="D68" s="8">
        <v>784425.88097813143</v>
      </c>
      <c r="E68" s="8">
        <v>203214.67248244124</v>
      </c>
      <c r="F68" s="8">
        <v>1145794.989144874</v>
      </c>
      <c r="G68" s="8"/>
      <c r="I68" s="1">
        <f t="shared" si="7"/>
        <v>2133435.5426054467</v>
      </c>
    </row>
    <row r="69" spans="2:9">
      <c r="B69">
        <v>2018</v>
      </c>
      <c r="C69">
        <v>2019</v>
      </c>
      <c r="D69" s="8">
        <v>778399.28923955967</v>
      </c>
      <c r="E69" s="8">
        <v>195853.60662047693</v>
      </c>
      <c r="F69" s="8">
        <v>1145794.989144874</v>
      </c>
      <c r="G69" s="8"/>
      <c r="I69" s="1">
        <f t="shared" si="7"/>
        <v>2120047.8850049106</v>
      </c>
    </row>
    <row r="70" spans="2:9">
      <c r="B70">
        <v>2018</v>
      </c>
      <c r="C70">
        <v>2020</v>
      </c>
      <c r="D70" s="8">
        <v>778015.62158761255</v>
      </c>
      <c r="E70" s="8">
        <v>180522.61478823921</v>
      </c>
      <c r="F70" s="8">
        <v>1140128.913602591</v>
      </c>
      <c r="G70" s="8"/>
      <c r="I70" s="1">
        <f t="shared" ref="I70:I93" si="9">SUM(D70:H70)</f>
        <v>2098667.149978443</v>
      </c>
    </row>
    <row r="71" spans="2:9">
      <c r="B71">
        <v>2018</v>
      </c>
      <c r="C71">
        <v>2021</v>
      </c>
      <c r="D71" s="8">
        <v>777631.95372344845</v>
      </c>
      <c r="E71" s="8">
        <v>180402.46649296282</v>
      </c>
      <c r="F71" s="8">
        <v>1140128.913602591</v>
      </c>
      <c r="G71" s="8"/>
      <c r="I71" s="1">
        <f t="shared" si="9"/>
        <v>2098163.3338190024</v>
      </c>
    </row>
    <row r="72" spans="2:9">
      <c r="B72">
        <v>2018</v>
      </c>
      <c r="C72">
        <v>2022</v>
      </c>
      <c r="D72" s="8">
        <v>777598.78899448738</v>
      </c>
      <c r="E72" s="8">
        <v>180402.46649296282</v>
      </c>
      <c r="F72" s="8">
        <v>1140128.913602591</v>
      </c>
      <c r="G72" s="8"/>
      <c r="I72" s="1">
        <f t="shared" si="9"/>
        <v>2098130.169090041</v>
      </c>
    </row>
    <row r="73" spans="2:9">
      <c r="B73">
        <v>2018</v>
      </c>
      <c r="C73">
        <v>2023</v>
      </c>
      <c r="D73" s="8">
        <v>777598.78899448738</v>
      </c>
      <c r="E73" s="8">
        <v>180398.70105966539</v>
      </c>
      <c r="F73" s="8">
        <v>1140098.4478240937</v>
      </c>
      <c r="G73" s="8"/>
      <c r="I73" s="1">
        <f t="shared" si="9"/>
        <v>2098095.9378782464</v>
      </c>
    </row>
    <row r="74" spans="2:9">
      <c r="D74" s="8"/>
      <c r="E74" s="8"/>
      <c r="F74" s="8"/>
      <c r="G74" s="8"/>
      <c r="I74" s="1"/>
    </row>
    <row r="75" spans="2:9">
      <c r="B75">
        <v>2019</v>
      </c>
      <c r="C75">
        <v>2019</v>
      </c>
      <c r="D75" s="8">
        <v>13076</v>
      </c>
      <c r="E75" s="8">
        <v>43056.960000000006</v>
      </c>
      <c r="F75" s="8">
        <v>1193623.04</v>
      </c>
      <c r="G75" s="8"/>
      <c r="I75" s="1">
        <f t="shared" si="9"/>
        <v>1249756</v>
      </c>
    </row>
    <row r="76" spans="2:9">
      <c r="B76">
        <v>2019</v>
      </c>
      <c r="C76">
        <v>2020</v>
      </c>
      <c r="D76" s="8">
        <v>13076</v>
      </c>
      <c r="E76" s="8">
        <v>41244.404125579429</v>
      </c>
      <c r="F76" s="8">
        <v>1193623.04</v>
      </c>
      <c r="G76" s="8"/>
      <c r="I76" s="1">
        <f t="shared" si="9"/>
        <v>1247943.4441255794</v>
      </c>
    </row>
    <row r="77" spans="2:9">
      <c r="B77">
        <v>2019</v>
      </c>
      <c r="C77">
        <v>2021</v>
      </c>
      <c r="D77" s="8">
        <v>13076</v>
      </c>
      <c r="E77" s="8">
        <v>37503.894676780365</v>
      </c>
      <c r="F77" s="8">
        <v>1193343.0331705818</v>
      </c>
      <c r="G77" s="8"/>
      <c r="I77" s="1">
        <f t="shared" si="9"/>
        <v>1243922.9278473621</v>
      </c>
    </row>
    <row r="78" spans="2:9">
      <c r="B78">
        <v>2019</v>
      </c>
      <c r="C78">
        <v>2022</v>
      </c>
      <c r="D78" s="8">
        <v>13076</v>
      </c>
      <c r="E78" s="8">
        <v>37474.30989891143</v>
      </c>
      <c r="F78" s="8">
        <v>1193343.0331705818</v>
      </c>
      <c r="G78" s="8"/>
      <c r="I78" s="1">
        <f t="shared" si="9"/>
        <v>1243893.3430694933</v>
      </c>
    </row>
    <row r="79" spans="2:9">
      <c r="B79">
        <v>2019</v>
      </c>
      <c r="C79">
        <v>2023</v>
      </c>
      <c r="D79" s="8">
        <v>13076</v>
      </c>
      <c r="E79" s="8">
        <v>37474.30989891143</v>
      </c>
      <c r="F79" s="8">
        <v>1193343.0331705818</v>
      </c>
      <c r="G79" s="8"/>
      <c r="I79" s="1">
        <f t="shared" si="9"/>
        <v>1243893.3430694933</v>
      </c>
    </row>
    <row r="80" spans="2:9">
      <c r="D80" s="8"/>
      <c r="E80" s="8"/>
      <c r="F80" s="8"/>
      <c r="G80" s="8"/>
      <c r="I80" s="1"/>
    </row>
    <row r="81" spans="2:9">
      <c r="B81">
        <v>2020</v>
      </c>
      <c r="C81">
        <v>2020</v>
      </c>
      <c r="D81" s="8">
        <v>0</v>
      </c>
      <c r="E81" s="8">
        <v>69932.350000000006</v>
      </c>
      <c r="F81" s="8">
        <v>298132.65000000002</v>
      </c>
      <c r="G81" s="8"/>
      <c r="I81" s="1">
        <f t="shared" si="9"/>
        <v>368065</v>
      </c>
    </row>
    <row r="82" spans="2:9">
      <c r="B82">
        <v>2020</v>
      </c>
      <c r="C82">
        <v>2021</v>
      </c>
      <c r="D82" s="8">
        <v>0</v>
      </c>
      <c r="E82" s="8">
        <v>69932.350000000006</v>
      </c>
      <c r="F82" s="8">
        <v>298132.65000000002</v>
      </c>
      <c r="G82" s="8"/>
      <c r="I82" s="1">
        <f t="shared" si="9"/>
        <v>368065</v>
      </c>
    </row>
    <row r="83" spans="2:9">
      <c r="B83">
        <v>2020</v>
      </c>
      <c r="C83">
        <v>2022</v>
      </c>
      <c r="D83" s="8">
        <v>0</v>
      </c>
      <c r="E83" s="8">
        <v>69586.527246625003</v>
      </c>
      <c r="F83" s="8">
        <v>296658.35299876973</v>
      </c>
      <c r="G83" s="8"/>
      <c r="I83" s="1">
        <f t="shared" si="9"/>
        <v>366244.88024539471</v>
      </c>
    </row>
    <row r="84" spans="2:9">
      <c r="B84">
        <v>2020</v>
      </c>
      <c r="C84">
        <v>2023</v>
      </c>
      <c r="D84" s="8">
        <v>0</v>
      </c>
      <c r="E84" s="8">
        <v>69586.527246625003</v>
      </c>
      <c r="F84" s="8">
        <v>296658.35299876973</v>
      </c>
      <c r="G84" s="8"/>
      <c r="I84" s="1">
        <f t="shared" si="9"/>
        <v>366244.88024539471</v>
      </c>
    </row>
    <row r="85" spans="2:9">
      <c r="I85" s="1"/>
    </row>
    <row r="86" spans="2:9">
      <c r="B86">
        <v>2021</v>
      </c>
      <c r="C86">
        <v>2021</v>
      </c>
      <c r="D86" s="354">
        <f>'CDM Adjustment'!L25</f>
        <v>33388.09577411331</v>
      </c>
      <c r="E86" s="354">
        <f>'CDM Adjustment'!L26</f>
        <v>143855.46646336513</v>
      </c>
      <c r="F86" s="354">
        <f>'CDM Adjustment'!L27</f>
        <v>355092.55436704721</v>
      </c>
      <c r="G86" s="355"/>
      <c r="H86" s="355"/>
      <c r="I86" s="356">
        <f t="shared" si="9"/>
        <v>532336.1166045256</v>
      </c>
    </row>
    <row r="87" spans="2:9">
      <c r="B87">
        <v>2021</v>
      </c>
      <c r="C87">
        <v>2022</v>
      </c>
      <c r="D87" s="356">
        <f t="shared" ref="D87:F88" si="10">D86</f>
        <v>33388.09577411331</v>
      </c>
      <c r="E87" s="356">
        <f t="shared" si="10"/>
        <v>143855.46646336513</v>
      </c>
      <c r="F87" s="356">
        <f t="shared" si="10"/>
        <v>355092.55436704721</v>
      </c>
      <c r="G87" s="355"/>
      <c r="H87" s="355"/>
      <c r="I87" s="356">
        <f t="shared" si="9"/>
        <v>532336.1166045256</v>
      </c>
    </row>
    <row r="88" spans="2:9">
      <c r="B88">
        <v>2021</v>
      </c>
      <c r="C88">
        <v>2023</v>
      </c>
      <c r="D88" s="356">
        <f t="shared" si="10"/>
        <v>33388.09577411331</v>
      </c>
      <c r="E88" s="356">
        <f t="shared" si="10"/>
        <v>143855.46646336513</v>
      </c>
      <c r="F88" s="356">
        <f t="shared" si="10"/>
        <v>355092.55436704721</v>
      </c>
      <c r="G88" s="355"/>
      <c r="H88" s="355"/>
      <c r="I88" s="356">
        <f t="shared" si="9"/>
        <v>532336.1166045256</v>
      </c>
    </row>
    <row r="89" spans="2:9">
      <c r="I89" s="1"/>
    </row>
    <row r="90" spans="2:9">
      <c r="B90" s="182">
        <v>2022</v>
      </c>
      <c r="C90" s="182">
        <v>2023</v>
      </c>
      <c r="I90" s="1">
        <f t="shared" si="9"/>
        <v>0</v>
      </c>
    </row>
    <row r="91" spans="2:9">
      <c r="B91" s="182">
        <v>2022</v>
      </c>
      <c r="C91" s="182">
        <v>2024</v>
      </c>
      <c r="I91" s="1">
        <f t="shared" si="9"/>
        <v>0</v>
      </c>
    </row>
    <row r="92" spans="2:9">
      <c r="B92" s="182"/>
      <c r="C92" s="182"/>
      <c r="I92" s="1"/>
    </row>
    <row r="93" spans="2:9">
      <c r="B93" s="182">
        <v>2023</v>
      </c>
      <c r="C93" s="182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41"/>
  <sheetViews>
    <sheetView workbookViewId="0">
      <pane xSplit="2" ySplit="1" topLeftCell="C188" activePane="bottomRight" state="frozen"/>
      <selection activeCell="Q163" sqref="Q163"/>
      <selection pane="topRight" activeCell="Q163" sqref="Q163"/>
      <selection pane="bottomLeft" activeCell="Q163" sqref="Q163"/>
      <selection pane="bottomRight" activeCell="C241" sqref="C241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0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38" t="s">
        <v>185</v>
      </c>
      <c r="EG1" t="str">
        <f>Dataset!D1</f>
        <v>ReskWh</v>
      </c>
      <c r="EH1" t="str">
        <f>Dataset!G1</f>
        <v>GSlt50kWh</v>
      </c>
      <c r="EI1" t="str">
        <f>Dataset!J1</f>
        <v>GSgt50kWh</v>
      </c>
      <c r="EU1" s="38" t="s">
        <v>141</v>
      </c>
      <c r="EV1" s="38" t="s">
        <v>143</v>
      </c>
      <c r="EW1" s="38" t="s">
        <v>145</v>
      </c>
    </row>
    <row r="2" spans="1:153">
      <c r="A2">
        <v>2002</v>
      </c>
      <c r="B2">
        <v>1</v>
      </c>
      <c r="C2" s="11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1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1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2" t="str">
        <f>D1</f>
        <v>HDD22</v>
      </c>
      <c r="Y4" s="13" t="s">
        <v>38</v>
      </c>
      <c r="Z4" s="13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3" t="s">
        <v>49</v>
      </c>
      <c r="AK4" s="14"/>
      <c r="AL4" s="12" t="str">
        <f>F1</f>
        <v>HDD20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3" t="s">
        <v>44</v>
      </c>
      <c r="AT4" s="13" t="s">
        <v>45</v>
      </c>
      <c r="AU4" s="13" t="s">
        <v>46</v>
      </c>
      <c r="AV4" s="13" t="s">
        <v>47</v>
      </c>
      <c r="AW4" s="13" t="s">
        <v>48</v>
      </c>
      <c r="AX4" s="13" t="s">
        <v>49</v>
      </c>
      <c r="AY4" s="14"/>
      <c r="AZ4" s="12" t="str">
        <f>H1</f>
        <v>HDD18</v>
      </c>
      <c r="BA4" s="13" t="s">
        <v>38</v>
      </c>
      <c r="BB4" s="13" t="s">
        <v>39</v>
      </c>
      <c r="BC4" s="13" t="s">
        <v>40</v>
      </c>
      <c r="BD4" s="13" t="s">
        <v>41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4"/>
      <c r="BN4" s="12" t="str">
        <f>J1</f>
        <v>HDD16</v>
      </c>
      <c r="BO4" s="13" t="s">
        <v>38</v>
      </c>
      <c r="BP4" s="13" t="s">
        <v>39</v>
      </c>
      <c r="BQ4" s="13" t="s">
        <v>40</v>
      </c>
      <c r="BR4" s="13" t="s">
        <v>41</v>
      </c>
      <c r="BS4" s="13" t="s">
        <v>42</v>
      </c>
      <c r="BT4" s="13" t="s">
        <v>43</v>
      </c>
      <c r="BU4" s="13" t="s">
        <v>44</v>
      </c>
      <c r="BV4" s="13" t="s">
        <v>45</v>
      </c>
      <c r="BW4" s="13" t="s">
        <v>46</v>
      </c>
      <c r="BX4" s="13" t="s">
        <v>47</v>
      </c>
      <c r="BY4" s="13" t="s">
        <v>48</v>
      </c>
      <c r="BZ4" s="13" t="s">
        <v>49</v>
      </c>
      <c r="CA4" s="14"/>
      <c r="CB4" s="12" t="str">
        <f>L1</f>
        <v>HDD14</v>
      </c>
      <c r="CC4" s="13" t="s">
        <v>38</v>
      </c>
      <c r="CD4" s="13" t="s">
        <v>39</v>
      </c>
      <c r="CE4" s="13" t="s">
        <v>40</v>
      </c>
      <c r="CF4" s="13" t="s">
        <v>41</v>
      </c>
      <c r="CG4" s="13" t="s">
        <v>42</v>
      </c>
      <c r="CH4" s="13" t="s">
        <v>43</v>
      </c>
      <c r="CI4" s="13" t="s">
        <v>44</v>
      </c>
      <c r="CJ4" s="13" t="s">
        <v>45</v>
      </c>
      <c r="CK4" s="13" t="s">
        <v>46</v>
      </c>
      <c r="CL4" s="13" t="s">
        <v>47</v>
      </c>
      <c r="CM4" s="13" t="s">
        <v>48</v>
      </c>
      <c r="CN4" s="13" t="s">
        <v>49</v>
      </c>
      <c r="CO4" s="14"/>
      <c r="CP4" s="12" t="str">
        <f>N1</f>
        <v>HDD12</v>
      </c>
      <c r="CQ4" s="13" t="s">
        <v>38</v>
      </c>
      <c r="CR4" s="13" t="s">
        <v>39</v>
      </c>
      <c r="CS4" s="13" t="s">
        <v>40</v>
      </c>
      <c r="CT4" s="13" t="s">
        <v>41</v>
      </c>
      <c r="CU4" s="13" t="s">
        <v>42</v>
      </c>
      <c r="CV4" s="13" t="s">
        <v>43</v>
      </c>
      <c r="CW4" s="13" t="s">
        <v>44</v>
      </c>
      <c r="CX4" s="13" t="s">
        <v>45</v>
      </c>
      <c r="CY4" s="13" t="s">
        <v>46</v>
      </c>
      <c r="CZ4" s="13" t="s">
        <v>47</v>
      </c>
      <c r="DA4" s="13" t="s">
        <v>48</v>
      </c>
      <c r="DB4" s="13" t="s">
        <v>49</v>
      </c>
      <c r="DC4" s="14"/>
      <c r="DD4" s="12" t="str">
        <f>P1</f>
        <v>HDD10</v>
      </c>
      <c r="DE4" s="13" t="s">
        <v>38</v>
      </c>
      <c r="DF4" s="13" t="s">
        <v>39</v>
      </c>
      <c r="DG4" s="13" t="s">
        <v>40</v>
      </c>
      <c r="DH4" s="13" t="s">
        <v>41</v>
      </c>
      <c r="DI4" s="13" t="s">
        <v>42</v>
      </c>
      <c r="DJ4" s="13" t="s">
        <v>43</v>
      </c>
      <c r="DK4" s="13" t="s">
        <v>44</v>
      </c>
      <c r="DL4" s="13" t="s">
        <v>45</v>
      </c>
      <c r="DM4" s="13" t="s">
        <v>46</v>
      </c>
      <c r="DN4" s="13" t="s">
        <v>47</v>
      </c>
      <c r="DO4" s="13" t="s">
        <v>48</v>
      </c>
      <c r="DP4" s="13" t="s">
        <v>49</v>
      </c>
      <c r="DQ4" s="14"/>
      <c r="DR4" s="12" t="str">
        <f>R1</f>
        <v>HDD8</v>
      </c>
      <c r="DS4" s="13" t="s">
        <v>38</v>
      </c>
      <c r="DT4" s="13" t="s">
        <v>39</v>
      </c>
      <c r="DU4" s="13" t="s">
        <v>40</v>
      </c>
      <c r="DV4" s="13" t="s">
        <v>41</v>
      </c>
      <c r="DW4" s="13" t="s">
        <v>42</v>
      </c>
      <c r="DX4" s="13" t="s">
        <v>43</v>
      </c>
      <c r="DY4" s="13" t="s">
        <v>44</v>
      </c>
      <c r="DZ4" s="13" t="s">
        <v>45</v>
      </c>
      <c r="EA4" s="13" t="s">
        <v>46</v>
      </c>
      <c r="EB4" s="13" t="s">
        <v>47</v>
      </c>
      <c r="EC4" s="13" t="s">
        <v>48</v>
      </c>
      <c r="ED4" s="13" t="s">
        <v>49</v>
      </c>
      <c r="EE4" s="14"/>
    </row>
    <row r="5" spans="1:153">
      <c r="A5">
        <v>2002</v>
      </c>
      <c r="B5">
        <v>4</v>
      </c>
      <c r="C5" s="11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4">
        <v>2002</v>
      </c>
      <c r="Y5" s="14">
        <f ca="1">OFFSET($D$2,(ROW()-5)*12+COLUMN()-25,0)</f>
        <v>694.2</v>
      </c>
      <c r="Z5" s="14">
        <f t="shared" ref="Z5:AJ5" ca="1" si="0">OFFSET($D$2,(ROW()-5)*12+COLUMN()-25,0)</f>
        <v>654.9</v>
      </c>
      <c r="AA5" s="14">
        <f t="shared" ca="1" si="0"/>
        <v>695.5</v>
      </c>
      <c r="AB5" s="14">
        <f t="shared" ca="1" si="0"/>
        <v>453.7</v>
      </c>
      <c r="AC5" s="14">
        <f t="shared" ca="1" si="0"/>
        <v>358.2</v>
      </c>
      <c r="AD5" s="14">
        <f t="shared" ca="1" si="0"/>
        <v>135.6</v>
      </c>
      <c r="AE5" s="14">
        <f t="shared" ca="1" si="0"/>
        <v>41.1</v>
      </c>
      <c r="AF5" s="14">
        <f t="shared" ca="1" si="0"/>
        <v>57.4</v>
      </c>
      <c r="AG5" s="14">
        <f t="shared" ca="1" si="0"/>
        <v>95.3</v>
      </c>
      <c r="AH5" s="14">
        <f t="shared" ca="1" si="0"/>
        <v>421.8</v>
      </c>
      <c r="AI5" s="14">
        <f t="shared" ca="1" si="0"/>
        <v>570.29999999999995</v>
      </c>
      <c r="AJ5" s="14">
        <f t="shared" ca="1" si="0"/>
        <v>737.7</v>
      </c>
      <c r="AK5" s="14"/>
      <c r="AL5" s="14">
        <v>2002</v>
      </c>
      <c r="AM5" s="14">
        <f t="shared" ref="AM5:AX24" ca="1" si="1">OFFSET($F$2,(ROW()-5)*12+COLUMN()-39,0)</f>
        <v>632.20000000000005</v>
      </c>
      <c r="AN5" s="14">
        <f t="shared" ca="1" si="1"/>
        <v>598.9</v>
      </c>
      <c r="AO5" s="14">
        <f t="shared" ca="1" si="1"/>
        <v>633.5</v>
      </c>
      <c r="AP5" s="14">
        <f t="shared" ca="1" si="1"/>
        <v>397</v>
      </c>
      <c r="AQ5" s="14">
        <f t="shared" ca="1" si="1"/>
        <v>296.2</v>
      </c>
      <c r="AR5" s="14">
        <f t="shared" ca="1" si="1"/>
        <v>92.7</v>
      </c>
      <c r="AS5" s="14">
        <f t="shared" ca="1" si="1"/>
        <v>16.399999999999999</v>
      </c>
      <c r="AT5" s="14">
        <f t="shared" ca="1" si="1"/>
        <v>23.4</v>
      </c>
      <c r="AU5" s="14">
        <f t="shared" ca="1" si="1"/>
        <v>60.2</v>
      </c>
      <c r="AV5" s="14">
        <f t="shared" ca="1" si="1"/>
        <v>362.3</v>
      </c>
      <c r="AW5" s="14">
        <f t="shared" ca="1" si="1"/>
        <v>510.3</v>
      </c>
      <c r="AX5" s="14">
        <f t="shared" ca="1" si="1"/>
        <v>675.7</v>
      </c>
      <c r="AY5" s="15"/>
      <c r="AZ5" s="14">
        <v>2002</v>
      </c>
      <c r="BA5" s="14">
        <f t="shared" ref="BA5:BL20" ca="1" si="2">OFFSET($H$2,(ROW()-5)*12+COLUMN()-53,0)</f>
        <v>570.20000000000005</v>
      </c>
      <c r="BB5" s="14">
        <f t="shared" ca="1" si="2"/>
        <v>542.9</v>
      </c>
      <c r="BC5" s="14">
        <f t="shared" ca="1" si="2"/>
        <v>571.5</v>
      </c>
      <c r="BD5" s="14">
        <f t="shared" ca="1" si="2"/>
        <v>342.7</v>
      </c>
      <c r="BE5" s="14">
        <f t="shared" ca="1" si="2"/>
        <v>236.5</v>
      </c>
      <c r="BF5" s="14">
        <f t="shared" ca="1" si="2"/>
        <v>59.7</v>
      </c>
      <c r="BG5" s="14">
        <f t="shared" ca="1" si="2"/>
        <v>3.8</v>
      </c>
      <c r="BH5" s="14">
        <f t="shared" ca="1" si="2"/>
        <v>5</v>
      </c>
      <c r="BI5" s="14">
        <f t="shared" ca="1" si="2"/>
        <v>30.3</v>
      </c>
      <c r="BJ5" s="14">
        <f t="shared" ca="1" si="2"/>
        <v>304.39999999999998</v>
      </c>
      <c r="BK5" s="14">
        <f t="shared" ca="1" si="2"/>
        <v>450.3</v>
      </c>
      <c r="BL5" s="14">
        <f t="shared" ca="1" si="2"/>
        <v>613.70000000000005</v>
      </c>
      <c r="BM5" s="15">
        <f t="shared" ref="BM5:BM26" ca="1" si="3">SUM(BA5:BL5)</f>
        <v>3731.0000000000009</v>
      </c>
      <c r="BN5" s="14">
        <v>2002</v>
      </c>
      <c r="BO5" s="14">
        <f t="shared" ref="BO5:BZ20" ca="1" si="4">OFFSET($J$2,(ROW()-5)*12+COLUMN()-67,0)</f>
        <v>508.2</v>
      </c>
      <c r="BP5" s="14">
        <f t="shared" ca="1" si="4"/>
        <v>486.9</v>
      </c>
      <c r="BQ5" s="14">
        <f t="shared" ca="1" si="4"/>
        <v>509.5</v>
      </c>
      <c r="BR5" s="14">
        <f t="shared" ca="1" si="4"/>
        <v>290.10000000000002</v>
      </c>
      <c r="BS5" s="14">
        <f t="shared" ca="1" si="4"/>
        <v>182.5</v>
      </c>
      <c r="BT5" s="14">
        <f t="shared" ca="1" si="4"/>
        <v>33.5</v>
      </c>
      <c r="BU5" s="14">
        <f t="shared" ca="1" si="4"/>
        <v>0.3</v>
      </c>
      <c r="BV5" s="14">
        <f t="shared" ca="1" si="4"/>
        <v>0</v>
      </c>
      <c r="BW5" s="14">
        <f t="shared" ca="1" si="4"/>
        <v>11.1</v>
      </c>
      <c r="BX5" s="14">
        <f t="shared" ca="1" si="4"/>
        <v>248.4</v>
      </c>
      <c r="BY5" s="14">
        <f t="shared" ca="1" si="4"/>
        <v>390.3</v>
      </c>
      <c r="BZ5" s="14">
        <f t="shared" ca="1" si="4"/>
        <v>551.70000000000005</v>
      </c>
      <c r="CA5" s="14"/>
      <c r="CB5" s="14">
        <v>2002</v>
      </c>
      <c r="CC5" s="14">
        <f t="shared" ref="CC5:CN20" ca="1" si="5">OFFSET($L$2,(ROW()-5)*12+COLUMN()-81,0)</f>
        <v>446.2</v>
      </c>
      <c r="CD5" s="14">
        <f t="shared" ca="1" si="5"/>
        <v>430.9</v>
      </c>
      <c r="CE5" s="14">
        <f t="shared" ca="1" si="5"/>
        <v>447.5</v>
      </c>
      <c r="CF5" s="14">
        <f t="shared" ca="1" si="5"/>
        <v>242.1</v>
      </c>
      <c r="CG5" s="14">
        <f t="shared" ca="1" si="5"/>
        <v>132.19999999999999</v>
      </c>
      <c r="CH5" s="14">
        <f t="shared" ca="1" si="5"/>
        <v>15.4</v>
      </c>
      <c r="CI5" s="14">
        <f t="shared" ca="1" si="5"/>
        <v>0</v>
      </c>
      <c r="CJ5" s="14">
        <f t="shared" ca="1" si="5"/>
        <v>0</v>
      </c>
      <c r="CK5" s="14">
        <f t="shared" ca="1" si="5"/>
        <v>1.2</v>
      </c>
      <c r="CL5" s="14">
        <f t="shared" ca="1" si="5"/>
        <v>193.3</v>
      </c>
      <c r="CM5" s="14">
        <f t="shared" ca="1" si="5"/>
        <v>331.5</v>
      </c>
      <c r="CN5" s="14">
        <f t="shared" ca="1" si="5"/>
        <v>489.7</v>
      </c>
      <c r="CO5" s="14"/>
      <c r="CP5" s="14">
        <v>2002</v>
      </c>
      <c r="CQ5" s="14">
        <f t="shared" ref="CQ5:DB20" ca="1" si="6">OFFSET($N$2,(ROW()-5)*12+COLUMN()-95,0)</f>
        <v>384.2</v>
      </c>
      <c r="CR5" s="14">
        <f t="shared" ca="1" si="6"/>
        <v>374.9</v>
      </c>
      <c r="CS5" s="14">
        <f t="shared" ca="1" si="6"/>
        <v>385.5</v>
      </c>
      <c r="CT5" s="14">
        <f t="shared" ca="1" si="6"/>
        <v>194.1</v>
      </c>
      <c r="CU5" s="14">
        <f t="shared" ca="1" si="6"/>
        <v>90.5</v>
      </c>
      <c r="CV5" s="14">
        <f t="shared" ca="1" si="6"/>
        <v>5.6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144.30000000000001</v>
      </c>
      <c r="DA5" s="14">
        <f t="shared" ca="1" si="6"/>
        <v>274.89999999999998</v>
      </c>
      <c r="DB5" s="14">
        <f t="shared" ca="1" si="6"/>
        <v>427.7</v>
      </c>
      <c r="DC5" s="14"/>
      <c r="DD5" s="14">
        <v>2002</v>
      </c>
      <c r="DE5" s="14">
        <f ca="1">OFFSET($P$2,(ROW()-5)*12+COLUMN()-109,0)</f>
        <v>322.2</v>
      </c>
      <c r="DF5" s="14">
        <f t="shared" ref="DF5:DP5" ca="1" si="7">OFFSET($P$2,(ROW()-5)*12+COLUMN()-109,0)</f>
        <v>318.89999999999998</v>
      </c>
      <c r="DG5" s="14">
        <f t="shared" ca="1" si="7"/>
        <v>324.2</v>
      </c>
      <c r="DH5" s="14">
        <f t="shared" ca="1" si="7"/>
        <v>148</v>
      </c>
      <c r="DI5" s="14">
        <f t="shared" ca="1" si="7"/>
        <v>55.8</v>
      </c>
      <c r="DJ5" s="14">
        <f t="shared" ca="1" si="7"/>
        <v>1.3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100.9</v>
      </c>
      <c r="DO5" s="14">
        <f t="shared" ca="1" si="7"/>
        <v>218.9</v>
      </c>
      <c r="DP5" s="14">
        <f t="shared" ca="1" si="7"/>
        <v>365.7</v>
      </c>
      <c r="DQ5" s="14"/>
      <c r="DR5" s="14">
        <v>2002</v>
      </c>
      <c r="DS5" s="14">
        <f ca="1">OFFSET($R$2,(ROW()-5)*12+COLUMN()-123,0)</f>
        <v>260.2</v>
      </c>
      <c r="DT5" s="14">
        <f t="shared" ref="DT5:ED5" ca="1" si="8">OFFSET($R$2,(ROW()-5)*12+COLUMN()-123,0)</f>
        <v>264.3</v>
      </c>
      <c r="DU5" s="14">
        <f t="shared" ca="1" si="8"/>
        <v>264.2</v>
      </c>
      <c r="DV5" s="14">
        <f t="shared" ca="1" si="8"/>
        <v>105.6</v>
      </c>
      <c r="DW5" s="14">
        <f t="shared" ca="1" si="8"/>
        <v>24.7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62.7</v>
      </c>
      <c r="EC5" s="14">
        <f t="shared" ca="1" si="8"/>
        <v>163.69999999999999</v>
      </c>
      <c r="ED5" s="14">
        <f t="shared" ca="1" si="8"/>
        <v>303.7</v>
      </c>
      <c r="EE5" s="14"/>
    </row>
    <row r="6" spans="1:153">
      <c r="A6">
        <v>2002</v>
      </c>
      <c r="B6">
        <v>5</v>
      </c>
      <c r="C6" s="11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4">
        <f t="shared" ref="X6:X26" si="9">1+X5</f>
        <v>2003</v>
      </c>
      <c r="Y6" s="14">
        <f t="shared" ref="Y6:AJ24" ca="1" si="10">OFFSET($D$2,(ROW()-5)*12+COLUMN()-25,0)</f>
        <v>929.3</v>
      </c>
      <c r="Z6" s="14">
        <f t="shared" ca="1" si="10"/>
        <v>855.3</v>
      </c>
      <c r="AA6" s="14">
        <f t="shared" ca="1" si="10"/>
        <v>735</v>
      </c>
      <c r="AB6" s="14">
        <f t="shared" ca="1" si="10"/>
        <v>542.20000000000005</v>
      </c>
      <c r="AC6" s="14">
        <f t="shared" ca="1" si="10"/>
        <v>355.3</v>
      </c>
      <c r="AD6" s="14">
        <f t="shared" ca="1" si="10"/>
        <v>169.8</v>
      </c>
      <c r="AE6" s="14">
        <f t="shared" ca="1" si="10"/>
        <v>58</v>
      </c>
      <c r="AF6" s="14">
        <f t="shared" ca="1" si="10"/>
        <v>48.1</v>
      </c>
      <c r="AG6" s="14">
        <f t="shared" ca="1" si="10"/>
        <v>158.30000000000001</v>
      </c>
      <c r="AH6" s="14">
        <f t="shared" ca="1" si="10"/>
        <v>394.3</v>
      </c>
      <c r="AI6" s="14">
        <f t="shared" ca="1" si="10"/>
        <v>506.9</v>
      </c>
      <c r="AJ6" s="14">
        <f t="shared" ca="1" si="10"/>
        <v>705.8</v>
      </c>
      <c r="AK6" s="14"/>
      <c r="AL6" s="14">
        <f t="shared" ref="AL6:AL26" si="11">1+AL5</f>
        <v>2003</v>
      </c>
      <c r="AM6" s="14">
        <f t="shared" ca="1" si="1"/>
        <v>867.3</v>
      </c>
      <c r="AN6" s="14">
        <f t="shared" ca="1" si="1"/>
        <v>799.3</v>
      </c>
      <c r="AO6" s="14">
        <f t="shared" ca="1" si="1"/>
        <v>673</v>
      </c>
      <c r="AP6" s="14">
        <f t="shared" ca="1" si="1"/>
        <v>484.2</v>
      </c>
      <c r="AQ6" s="14">
        <f t="shared" ca="1" si="1"/>
        <v>293.3</v>
      </c>
      <c r="AR6" s="14">
        <f t="shared" ca="1" si="1"/>
        <v>116.8</v>
      </c>
      <c r="AS6" s="14">
        <f t="shared" ca="1" si="1"/>
        <v>23.2</v>
      </c>
      <c r="AT6" s="14">
        <f t="shared" ca="1" si="1"/>
        <v>17.7</v>
      </c>
      <c r="AU6" s="14">
        <f t="shared" ca="1" si="1"/>
        <v>103.6</v>
      </c>
      <c r="AV6" s="14">
        <f t="shared" ca="1" si="1"/>
        <v>332.3</v>
      </c>
      <c r="AW6" s="14">
        <f t="shared" ca="1" si="1"/>
        <v>446.9</v>
      </c>
      <c r="AX6" s="14">
        <f t="shared" ca="1" si="1"/>
        <v>643.79999999999995</v>
      </c>
      <c r="AY6" s="15"/>
      <c r="AZ6" s="14">
        <f t="shared" ref="AZ6:AZ26" si="12">1+AZ5</f>
        <v>2003</v>
      </c>
      <c r="BA6" s="14">
        <f t="shared" ca="1" si="2"/>
        <v>805.3</v>
      </c>
      <c r="BB6" s="14">
        <f t="shared" ca="1" si="2"/>
        <v>743.3</v>
      </c>
      <c r="BC6" s="14">
        <f t="shared" ca="1" si="2"/>
        <v>611</v>
      </c>
      <c r="BD6" s="14">
        <f t="shared" ca="1" si="2"/>
        <v>426.4</v>
      </c>
      <c r="BE6" s="14">
        <f t="shared" ca="1" si="2"/>
        <v>231.3</v>
      </c>
      <c r="BF6" s="14">
        <f t="shared" ca="1" si="2"/>
        <v>70.900000000000006</v>
      </c>
      <c r="BG6" s="14">
        <f t="shared" ca="1" si="2"/>
        <v>4.3</v>
      </c>
      <c r="BH6" s="14">
        <f t="shared" ca="1" si="2"/>
        <v>3.9</v>
      </c>
      <c r="BI6" s="14">
        <f t="shared" ca="1" si="2"/>
        <v>56.5</v>
      </c>
      <c r="BJ6" s="14">
        <f t="shared" ca="1" si="2"/>
        <v>270.3</v>
      </c>
      <c r="BK6" s="14">
        <f t="shared" ca="1" si="2"/>
        <v>386.9</v>
      </c>
      <c r="BL6" s="14">
        <f t="shared" ca="1" si="2"/>
        <v>581.79999999999995</v>
      </c>
      <c r="BM6" s="15">
        <f t="shared" ca="1" si="3"/>
        <v>4191.9000000000005</v>
      </c>
      <c r="BN6" s="14">
        <f t="shared" ref="BN6:BN26" si="13">1+BN5</f>
        <v>2003</v>
      </c>
      <c r="BO6" s="14">
        <f t="shared" ca="1" si="4"/>
        <v>743.3</v>
      </c>
      <c r="BP6" s="14">
        <f t="shared" ca="1" si="4"/>
        <v>687.3</v>
      </c>
      <c r="BQ6" s="14">
        <f t="shared" ca="1" si="4"/>
        <v>549</v>
      </c>
      <c r="BR6" s="14">
        <f t="shared" ca="1" si="4"/>
        <v>370.5</v>
      </c>
      <c r="BS6" s="14">
        <f t="shared" ca="1" si="4"/>
        <v>170.3</v>
      </c>
      <c r="BT6" s="14">
        <f t="shared" ca="1" si="4"/>
        <v>34.200000000000003</v>
      </c>
      <c r="BU6" s="14">
        <f t="shared" ca="1" si="4"/>
        <v>0.3</v>
      </c>
      <c r="BV6" s="14">
        <f t="shared" ca="1" si="4"/>
        <v>0</v>
      </c>
      <c r="BW6" s="14">
        <f t="shared" ca="1" si="4"/>
        <v>27.5</v>
      </c>
      <c r="BX6" s="14">
        <f t="shared" ca="1" si="4"/>
        <v>211.8</v>
      </c>
      <c r="BY6" s="14">
        <f t="shared" ca="1" si="4"/>
        <v>326.89999999999998</v>
      </c>
      <c r="BZ6" s="14">
        <f t="shared" ca="1" si="4"/>
        <v>519.79999999999995</v>
      </c>
      <c r="CA6" s="14"/>
      <c r="CB6" s="14">
        <f t="shared" ref="CB6:CB26" si="14">1+CB5</f>
        <v>2003</v>
      </c>
      <c r="CC6" s="14">
        <f t="shared" ca="1" si="5"/>
        <v>681.3</v>
      </c>
      <c r="CD6" s="14">
        <f t="shared" ca="1" si="5"/>
        <v>631.29999999999995</v>
      </c>
      <c r="CE6" s="14">
        <f t="shared" ca="1" si="5"/>
        <v>487</v>
      </c>
      <c r="CF6" s="14">
        <f t="shared" ca="1" si="5"/>
        <v>316.5</v>
      </c>
      <c r="CG6" s="14">
        <f t="shared" ca="1" si="5"/>
        <v>113.2</v>
      </c>
      <c r="CH6" s="14">
        <f t="shared" ca="1" si="5"/>
        <v>11.7</v>
      </c>
      <c r="CI6" s="14">
        <f t="shared" ca="1" si="5"/>
        <v>0</v>
      </c>
      <c r="CJ6" s="14">
        <f t="shared" ca="1" si="5"/>
        <v>0</v>
      </c>
      <c r="CK6" s="14">
        <f t="shared" ca="1" si="5"/>
        <v>13.4</v>
      </c>
      <c r="CL6" s="14">
        <f t="shared" ca="1" si="5"/>
        <v>158.30000000000001</v>
      </c>
      <c r="CM6" s="14">
        <f t="shared" ca="1" si="5"/>
        <v>266.89999999999998</v>
      </c>
      <c r="CN6" s="14">
        <f t="shared" ca="1" si="5"/>
        <v>457.8</v>
      </c>
      <c r="CO6" s="14"/>
      <c r="CP6" s="14">
        <f t="shared" ref="CP6:CP26" si="15">1+CP5</f>
        <v>2003</v>
      </c>
      <c r="CQ6" s="14">
        <f t="shared" ca="1" si="6"/>
        <v>619.29999999999995</v>
      </c>
      <c r="CR6" s="14">
        <f t="shared" ca="1" si="6"/>
        <v>575.29999999999995</v>
      </c>
      <c r="CS6" s="14">
        <f t="shared" ca="1" si="6"/>
        <v>425</v>
      </c>
      <c r="CT6" s="14">
        <f t="shared" ca="1" si="6"/>
        <v>263</v>
      </c>
      <c r="CU6" s="14">
        <f t="shared" ca="1" si="6"/>
        <v>64.7</v>
      </c>
      <c r="CV6" s="14">
        <f t="shared" ca="1" si="6"/>
        <v>1.9</v>
      </c>
      <c r="CW6" s="14">
        <f t="shared" ca="1" si="6"/>
        <v>0</v>
      </c>
      <c r="CX6" s="14">
        <f t="shared" ca="1" si="6"/>
        <v>0</v>
      </c>
      <c r="CY6" s="14">
        <f t="shared" ca="1" si="6"/>
        <v>5</v>
      </c>
      <c r="CZ6" s="14">
        <f t="shared" ca="1" si="6"/>
        <v>109.7</v>
      </c>
      <c r="DA6" s="14">
        <f t="shared" ca="1" si="6"/>
        <v>206.9</v>
      </c>
      <c r="DB6" s="14">
        <f t="shared" ca="1" si="6"/>
        <v>395.8</v>
      </c>
      <c r="DC6" s="14"/>
      <c r="DD6" s="14">
        <f t="shared" ref="DD6:DD26" si="16">1+DD5</f>
        <v>2003</v>
      </c>
      <c r="DE6" s="14">
        <f t="shared" ref="DE6:DP24" ca="1" si="17">OFFSET($P$2,(ROW()-5)*12+COLUMN()-109,0)</f>
        <v>557.29999999999995</v>
      </c>
      <c r="DF6" s="14">
        <f t="shared" ca="1" si="17"/>
        <v>519.29999999999995</v>
      </c>
      <c r="DG6" s="14">
        <f t="shared" ca="1" si="17"/>
        <v>363.9</v>
      </c>
      <c r="DH6" s="14">
        <f t="shared" ca="1" si="17"/>
        <v>214.9</v>
      </c>
      <c r="DI6" s="14">
        <f t="shared" ca="1" si="17"/>
        <v>29.4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1.2</v>
      </c>
      <c r="DN6" s="14">
        <f t="shared" ca="1" si="17"/>
        <v>66.900000000000006</v>
      </c>
      <c r="DO6" s="14">
        <f t="shared" ca="1" si="17"/>
        <v>148.4</v>
      </c>
      <c r="DP6" s="14">
        <f t="shared" ca="1" si="17"/>
        <v>333.8</v>
      </c>
      <c r="DQ6" s="14"/>
      <c r="DR6" s="14">
        <f t="shared" ref="DR6:DR26" si="18">1+DR5</f>
        <v>2003</v>
      </c>
      <c r="DS6" s="14">
        <f t="shared" ref="DS6:ED24" ca="1" si="19">OFFSET($R$2,(ROW()-5)*12+COLUMN()-123,0)</f>
        <v>495.3</v>
      </c>
      <c r="DT6" s="14">
        <f t="shared" ca="1" si="19"/>
        <v>463.3</v>
      </c>
      <c r="DU6" s="14">
        <f t="shared" ca="1" si="19"/>
        <v>305.8</v>
      </c>
      <c r="DV6" s="14">
        <f t="shared" ca="1" si="19"/>
        <v>168.9</v>
      </c>
      <c r="DW6" s="14">
        <f t="shared" ca="1" si="19"/>
        <v>8.6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31.6</v>
      </c>
      <c r="EC6" s="14">
        <f t="shared" ca="1" si="19"/>
        <v>99.3</v>
      </c>
      <c r="ED6" s="14">
        <f t="shared" ca="1" si="19"/>
        <v>271.8</v>
      </c>
      <c r="EE6" s="14"/>
    </row>
    <row r="7" spans="1:153">
      <c r="A7">
        <v>2002</v>
      </c>
      <c r="B7">
        <v>6</v>
      </c>
      <c r="C7" s="11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4">
        <f t="shared" si="9"/>
        <v>2004</v>
      </c>
      <c r="Y7" s="14">
        <f t="shared" ca="1" si="10"/>
        <v>989.2</v>
      </c>
      <c r="Z7" s="14">
        <f t="shared" ca="1" si="10"/>
        <v>768.2</v>
      </c>
      <c r="AA7" s="14">
        <f t="shared" ca="1" si="10"/>
        <v>649</v>
      </c>
      <c r="AB7" s="14">
        <f t="shared" ca="1" si="10"/>
        <v>491.4</v>
      </c>
      <c r="AC7" s="14">
        <f t="shared" ca="1" si="10"/>
        <v>322.3</v>
      </c>
      <c r="AD7" s="14">
        <f t="shared" ca="1" si="10"/>
        <v>165.2</v>
      </c>
      <c r="AE7" s="14">
        <f t="shared" ca="1" si="10"/>
        <v>83.3</v>
      </c>
      <c r="AF7" s="14">
        <f t="shared" ca="1" si="10"/>
        <v>105.1</v>
      </c>
      <c r="AG7" s="14">
        <f t="shared" ca="1" si="10"/>
        <v>127.5</v>
      </c>
      <c r="AH7" s="14">
        <f t="shared" ca="1" si="10"/>
        <v>346.6</v>
      </c>
      <c r="AI7" s="14">
        <f t="shared" ca="1" si="10"/>
        <v>514.79999999999995</v>
      </c>
      <c r="AJ7" s="14">
        <f t="shared" ca="1" si="10"/>
        <v>788.1</v>
      </c>
      <c r="AK7" s="14"/>
      <c r="AL7" s="14">
        <f t="shared" si="11"/>
        <v>2004</v>
      </c>
      <c r="AM7" s="14">
        <f t="shared" ca="1" si="1"/>
        <v>927.2</v>
      </c>
      <c r="AN7" s="14">
        <f t="shared" ca="1" si="1"/>
        <v>710.2</v>
      </c>
      <c r="AO7" s="14">
        <f t="shared" ca="1" si="1"/>
        <v>587</v>
      </c>
      <c r="AP7" s="14">
        <f t="shared" ca="1" si="1"/>
        <v>431.4</v>
      </c>
      <c r="AQ7" s="14">
        <f t="shared" ca="1" si="1"/>
        <v>261.60000000000002</v>
      </c>
      <c r="AR7" s="14">
        <f t="shared" ca="1" si="1"/>
        <v>110.4</v>
      </c>
      <c r="AS7" s="14">
        <f t="shared" ca="1" si="1"/>
        <v>41.8</v>
      </c>
      <c r="AT7" s="14">
        <f t="shared" ca="1" si="1"/>
        <v>59.7</v>
      </c>
      <c r="AU7" s="14">
        <f t="shared" ca="1" si="1"/>
        <v>82.3</v>
      </c>
      <c r="AV7" s="14">
        <f t="shared" ca="1" si="1"/>
        <v>284.60000000000002</v>
      </c>
      <c r="AW7" s="14">
        <f t="shared" ca="1" si="1"/>
        <v>454.8</v>
      </c>
      <c r="AX7" s="14">
        <f t="shared" ca="1" si="1"/>
        <v>726.1</v>
      </c>
      <c r="AY7" s="15"/>
      <c r="AZ7" s="14">
        <f t="shared" si="12"/>
        <v>2004</v>
      </c>
      <c r="BA7" s="14">
        <f t="shared" ca="1" si="2"/>
        <v>865.2</v>
      </c>
      <c r="BB7" s="14">
        <f t="shared" ca="1" si="2"/>
        <v>652.20000000000005</v>
      </c>
      <c r="BC7" s="14">
        <f t="shared" ca="1" si="2"/>
        <v>525</v>
      </c>
      <c r="BD7" s="14">
        <f t="shared" ca="1" si="2"/>
        <v>371.4</v>
      </c>
      <c r="BE7" s="14">
        <f t="shared" ca="1" si="2"/>
        <v>205.5</v>
      </c>
      <c r="BF7" s="14">
        <f t="shared" ca="1" si="2"/>
        <v>64.2</v>
      </c>
      <c r="BG7" s="14">
        <f t="shared" ca="1" si="2"/>
        <v>14</v>
      </c>
      <c r="BH7" s="14">
        <f t="shared" ca="1" si="2"/>
        <v>22.9</v>
      </c>
      <c r="BI7" s="14">
        <f t="shared" ca="1" si="2"/>
        <v>49.7</v>
      </c>
      <c r="BJ7" s="14">
        <f t="shared" ca="1" si="2"/>
        <v>223.9</v>
      </c>
      <c r="BK7" s="14">
        <f t="shared" ca="1" si="2"/>
        <v>394.8</v>
      </c>
      <c r="BL7" s="14">
        <f t="shared" ca="1" si="2"/>
        <v>664.1</v>
      </c>
      <c r="BM7" s="15">
        <f t="shared" ca="1" si="3"/>
        <v>4052.9</v>
      </c>
      <c r="BN7" s="14">
        <f t="shared" si="13"/>
        <v>2004</v>
      </c>
      <c r="BO7" s="14">
        <f t="shared" ca="1" si="4"/>
        <v>803.2</v>
      </c>
      <c r="BP7" s="14">
        <f t="shared" ca="1" si="4"/>
        <v>594.20000000000005</v>
      </c>
      <c r="BQ7" s="14">
        <f t="shared" ca="1" si="4"/>
        <v>463</v>
      </c>
      <c r="BR7" s="14">
        <f t="shared" ca="1" si="4"/>
        <v>311.5</v>
      </c>
      <c r="BS7" s="14">
        <f t="shared" ca="1" si="4"/>
        <v>152.4</v>
      </c>
      <c r="BT7" s="14">
        <f t="shared" ca="1" si="4"/>
        <v>33.799999999999997</v>
      </c>
      <c r="BU7" s="14">
        <f t="shared" ca="1" si="4"/>
        <v>1.4</v>
      </c>
      <c r="BV7" s="14">
        <f t="shared" ca="1" si="4"/>
        <v>2.5</v>
      </c>
      <c r="BW7" s="14">
        <f t="shared" ca="1" si="4"/>
        <v>28.1</v>
      </c>
      <c r="BX7" s="14">
        <f t="shared" ca="1" si="4"/>
        <v>166.6</v>
      </c>
      <c r="BY7" s="14">
        <f t="shared" ca="1" si="4"/>
        <v>334.8</v>
      </c>
      <c r="BZ7" s="14">
        <f t="shared" ca="1" si="4"/>
        <v>602.1</v>
      </c>
      <c r="CA7" s="14"/>
      <c r="CB7" s="14">
        <f t="shared" si="14"/>
        <v>2004</v>
      </c>
      <c r="CC7" s="14">
        <f t="shared" ca="1" si="5"/>
        <v>741.2</v>
      </c>
      <c r="CD7" s="14">
        <f t="shared" ca="1" si="5"/>
        <v>536.20000000000005</v>
      </c>
      <c r="CE7" s="14">
        <f t="shared" ca="1" si="5"/>
        <v>401</v>
      </c>
      <c r="CF7" s="14">
        <f t="shared" ca="1" si="5"/>
        <v>255</v>
      </c>
      <c r="CG7" s="14">
        <f t="shared" ca="1" si="5"/>
        <v>104</v>
      </c>
      <c r="CH7" s="14">
        <f t="shared" ca="1" si="5"/>
        <v>14.5</v>
      </c>
      <c r="CI7" s="14">
        <f t="shared" ca="1" si="5"/>
        <v>0</v>
      </c>
      <c r="CJ7" s="14">
        <f t="shared" ca="1" si="5"/>
        <v>0</v>
      </c>
      <c r="CK7" s="14">
        <f t="shared" ca="1" si="5"/>
        <v>13.7</v>
      </c>
      <c r="CL7" s="14">
        <f t="shared" ca="1" si="5"/>
        <v>114.2</v>
      </c>
      <c r="CM7" s="14">
        <f t="shared" ca="1" si="5"/>
        <v>274.8</v>
      </c>
      <c r="CN7" s="14">
        <f t="shared" ca="1" si="5"/>
        <v>540.1</v>
      </c>
      <c r="CO7" s="14"/>
      <c r="CP7" s="14">
        <f t="shared" si="15"/>
        <v>2004</v>
      </c>
      <c r="CQ7" s="14">
        <f t="shared" ca="1" si="6"/>
        <v>679.2</v>
      </c>
      <c r="CR7" s="14">
        <f t="shared" ca="1" si="6"/>
        <v>478.2</v>
      </c>
      <c r="CS7" s="14">
        <f t="shared" ca="1" si="6"/>
        <v>339</v>
      </c>
      <c r="CT7" s="14">
        <f t="shared" ca="1" si="6"/>
        <v>202.5</v>
      </c>
      <c r="CU7" s="14">
        <f t="shared" ca="1" si="6"/>
        <v>65.599999999999994</v>
      </c>
      <c r="CV7" s="14">
        <f t="shared" ca="1" si="6"/>
        <v>3.7</v>
      </c>
      <c r="CW7" s="14">
        <f t="shared" ca="1" si="6"/>
        <v>0</v>
      </c>
      <c r="CX7" s="14">
        <f t="shared" ca="1" si="6"/>
        <v>0</v>
      </c>
      <c r="CY7" s="14">
        <f t="shared" ca="1" si="6"/>
        <v>4.5999999999999996</v>
      </c>
      <c r="CZ7" s="14">
        <f t="shared" ca="1" si="6"/>
        <v>65.8</v>
      </c>
      <c r="DA7" s="14">
        <f t="shared" ca="1" si="6"/>
        <v>214.8</v>
      </c>
      <c r="DB7" s="14">
        <f t="shared" ca="1" si="6"/>
        <v>478.1</v>
      </c>
      <c r="DC7" s="14"/>
      <c r="DD7" s="14">
        <f t="shared" si="16"/>
        <v>2004</v>
      </c>
      <c r="DE7" s="14">
        <f t="shared" ca="1" si="17"/>
        <v>617.20000000000005</v>
      </c>
      <c r="DF7" s="14">
        <f t="shared" ca="1" si="17"/>
        <v>420.2</v>
      </c>
      <c r="DG7" s="14">
        <f t="shared" ca="1" si="17"/>
        <v>277.8</v>
      </c>
      <c r="DH7" s="14">
        <f t="shared" ca="1" si="17"/>
        <v>152.5</v>
      </c>
      <c r="DI7" s="14">
        <f t="shared" ca="1" si="17"/>
        <v>37.1</v>
      </c>
      <c r="DJ7" s="14">
        <f t="shared" ca="1" si="17"/>
        <v>0.2</v>
      </c>
      <c r="DK7" s="14">
        <f t="shared" ca="1" si="17"/>
        <v>0</v>
      </c>
      <c r="DL7" s="14">
        <f t="shared" ca="1" si="17"/>
        <v>0</v>
      </c>
      <c r="DM7" s="14">
        <f t="shared" ca="1" si="17"/>
        <v>0.2</v>
      </c>
      <c r="DN7" s="14">
        <f t="shared" ca="1" si="17"/>
        <v>27.6</v>
      </c>
      <c r="DO7" s="14">
        <f t="shared" ca="1" si="17"/>
        <v>155.5</v>
      </c>
      <c r="DP7" s="14">
        <f t="shared" ca="1" si="17"/>
        <v>416.1</v>
      </c>
      <c r="DQ7" s="14"/>
      <c r="DR7" s="14">
        <f t="shared" si="18"/>
        <v>2004</v>
      </c>
      <c r="DS7" s="14">
        <f t="shared" ca="1" si="19"/>
        <v>555.20000000000005</v>
      </c>
      <c r="DT7" s="14">
        <f t="shared" ca="1" si="19"/>
        <v>362.2</v>
      </c>
      <c r="DU7" s="14">
        <f t="shared" ca="1" si="19"/>
        <v>221.3</v>
      </c>
      <c r="DV7" s="14">
        <f t="shared" ca="1" si="19"/>
        <v>108.6</v>
      </c>
      <c r="DW7" s="14">
        <f t="shared" ca="1" si="19"/>
        <v>18.8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8.4</v>
      </c>
      <c r="EC7" s="14">
        <f t="shared" ca="1" si="19"/>
        <v>102.3</v>
      </c>
      <c r="ED7" s="14">
        <f t="shared" ca="1" si="19"/>
        <v>354.1</v>
      </c>
      <c r="EE7" s="14"/>
    </row>
    <row r="8" spans="1:153">
      <c r="A8">
        <v>2002</v>
      </c>
      <c r="B8">
        <v>7</v>
      </c>
      <c r="C8" s="11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4">
        <f t="shared" si="9"/>
        <v>2005</v>
      </c>
      <c r="Y8" s="14">
        <f t="shared" ca="1" si="10"/>
        <v>904.6</v>
      </c>
      <c r="Z8" s="14">
        <f t="shared" ca="1" si="10"/>
        <v>739.9</v>
      </c>
      <c r="AA8" s="14">
        <f t="shared" ca="1" si="10"/>
        <v>770.4</v>
      </c>
      <c r="AB8" s="14">
        <f t="shared" ca="1" si="10"/>
        <v>477.1</v>
      </c>
      <c r="AC8" s="14">
        <f t="shared" ca="1" si="10"/>
        <v>356.9</v>
      </c>
      <c r="AD8" s="14">
        <f t="shared" ca="1" si="10"/>
        <v>71.7</v>
      </c>
      <c r="AE8" s="14">
        <f t="shared" ca="1" si="10"/>
        <v>37.6</v>
      </c>
      <c r="AF8" s="14">
        <f t="shared" ca="1" si="10"/>
        <v>45.8</v>
      </c>
      <c r="AG8" s="14">
        <f t="shared" ca="1" si="10"/>
        <v>106.4</v>
      </c>
      <c r="AH8" s="14">
        <f t="shared" ca="1" si="10"/>
        <v>322.3</v>
      </c>
      <c r="AI8" s="14">
        <f t="shared" ca="1" si="10"/>
        <v>512.5</v>
      </c>
      <c r="AJ8" s="14">
        <f t="shared" ca="1" si="10"/>
        <v>782.5</v>
      </c>
      <c r="AK8" s="14"/>
      <c r="AL8" s="14">
        <f t="shared" si="11"/>
        <v>2005</v>
      </c>
      <c r="AM8" s="14">
        <f t="shared" ca="1" si="1"/>
        <v>842.6</v>
      </c>
      <c r="AN8" s="14">
        <f t="shared" ca="1" si="1"/>
        <v>683.9</v>
      </c>
      <c r="AO8" s="14">
        <f t="shared" ca="1" si="1"/>
        <v>708.4</v>
      </c>
      <c r="AP8" s="14">
        <f t="shared" ca="1" si="1"/>
        <v>417.1</v>
      </c>
      <c r="AQ8" s="14">
        <f t="shared" ca="1" si="1"/>
        <v>294.89999999999998</v>
      </c>
      <c r="AR8" s="14">
        <f t="shared" ca="1" si="1"/>
        <v>40.5</v>
      </c>
      <c r="AS8" s="14">
        <f t="shared" ca="1" si="1"/>
        <v>11.6</v>
      </c>
      <c r="AT8" s="14">
        <f t="shared" ca="1" si="1"/>
        <v>14.7</v>
      </c>
      <c r="AU8" s="14">
        <f t="shared" ca="1" si="1"/>
        <v>64.099999999999994</v>
      </c>
      <c r="AV8" s="14">
        <f t="shared" ca="1" si="1"/>
        <v>266.5</v>
      </c>
      <c r="AW8" s="14">
        <f t="shared" ca="1" si="1"/>
        <v>452.5</v>
      </c>
      <c r="AX8" s="14">
        <f t="shared" ca="1" si="1"/>
        <v>720.5</v>
      </c>
      <c r="AY8" s="15"/>
      <c r="AZ8" s="14">
        <f t="shared" si="12"/>
        <v>2005</v>
      </c>
      <c r="BA8" s="14">
        <f t="shared" ca="1" si="2"/>
        <v>780.6</v>
      </c>
      <c r="BB8" s="14">
        <f t="shared" ca="1" si="2"/>
        <v>627.9</v>
      </c>
      <c r="BC8" s="14">
        <f t="shared" ca="1" si="2"/>
        <v>646.4</v>
      </c>
      <c r="BD8" s="14">
        <f t="shared" ca="1" si="2"/>
        <v>358.2</v>
      </c>
      <c r="BE8" s="14">
        <f t="shared" ca="1" si="2"/>
        <v>234.3</v>
      </c>
      <c r="BF8" s="14">
        <f t="shared" ca="1" si="2"/>
        <v>18.5</v>
      </c>
      <c r="BG8" s="14">
        <f t="shared" ca="1" si="2"/>
        <v>1.6</v>
      </c>
      <c r="BH8" s="14">
        <f t="shared" ca="1" si="2"/>
        <v>3.7</v>
      </c>
      <c r="BI8" s="14">
        <f t="shared" ca="1" si="2"/>
        <v>30.2</v>
      </c>
      <c r="BJ8" s="14">
        <f t="shared" ca="1" si="2"/>
        <v>214.8</v>
      </c>
      <c r="BK8" s="14">
        <f t="shared" ca="1" si="2"/>
        <v>392.5</v>
      </c>
      <c r="BL8" s="14">
        <f t="shared" ca="1" si="2"/>
        <v>658.5</v>
      </c>
      <c r="BM8" s="15">
        <f t="shared" ca="1" si="3"/>
        <v>3967.2</v>
      </c>
      <c r="BN8" s="14">
        <f t="shared" si="13"/>
        <v>2005</v>
      </c>
      <c r="BO8" s="14">
        <f t="shared" ca="1" si="4"/>
        <v>718.6</v>
      </c>
      <c r="BP8" s="14">
        <f t="shared" ca="1" si="4"/>
        <v>571.9</v>
      </c>
      <c r="BQ8" s="14">
        <f t="shared" ca="1" si="4"/>
        <v>584.4</v>
      </c>
      <c r="BR8" s="14">
        <f t="shared" ca="1" si="4"/>
        <v>300.2</v>
      </c>
      <c r="BS8" s="14">
        <f t="shared" ca="1" si="4"/>
        <v>174.6</v>
      </c>
      <c r="BT8" s="14">
        <f t="shared" ca="1" si="4"/>
        <v>4.4000000000000004</v>
      </c>
      <c r="BU8" s="14">
        <f t="shared" ca="1" si="4"/>
        <v>0</v>
      </c>
      <c r="BV8" s="14">
        <f t="shared" ca="1" si="4"/>
        <v>0</v>
      </c>
      <c r="BW8" s="14">
        <f t="shared" ca="1" si="4"/>
        <v>11.9</v>
      </c>
      <c r="BX8" s="14">
        <f t="shared" ca="1" si="4"/>
        <v>164.8</v>
      </c>
      <c r="BY8" s="14">
        <f t="shared" ca="1" si="4"/>
        <v>332.5</v>
      </c>
      <c r="BZ8" s="14">
        <f t="shared" ca="1" si="4"/>
        <v>596.5</v>
      </c>
      <c r="CA8" s="14"/>
      <c r="CB8" s="14">
        <f t="shared" si="14"/>
        <v>2005</v>
      </c>
      <c r="CC8" s="14">
        <f t="shared" ca="1" si="5"/>
        <v>656.6</v>
      </c>
      <c r="CD8" s="14">
        <f t="shared" ca="1" si="5"/>
        <v>515.9</v>
      </c>
      <c r="CE8" s="14">
        <f t="shared" ca="1" si="5"/>
        <v>522.4</v>
      </c>
      <c r="CF8" s="14">
        <f t="shared" ca="1" si="5"/>
        <v>242.2</v>
      </c>
      <c r="CG8" s="14">
        <f t="shared" ca="1" si="5"/>
        <v>117.6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3.9</v>
      </c>
      <c r="CL8" s="14">
        <f t="shared" ca="1" si="5"/>
        <v>117</v>
      </c>
      <c r="CM8" s="14">
        <f t="shared" ca="1" si="5"/>
        <v>272.5</v>
      </c>
      <c r="CN8" s="14">
        <f t="shared" ca="1" si="5"/>
        <v>534.5</v>
      </c>
      <c r="CO8" s="14"/>
      <c r="CP8" s="14">
        <f t="shared" si="15"/>
        <v>2005</v>
      </c>
      <c r="CQ8" s="14">
        <f t="shared" ca="1" si="6"/>
        <v>594.6</v>
      </c>
      <c r="CR8" s="14">
        <f t="shared" ca="1" si="6"/>
        <v>459.9</v>
      </c>
      <c r="CS8" s="14">
        <f t="shared" ca="1" si="6"/>
        <v>460.5</v>
      </c>
      <c r="CT8" s="14">
        <f t="shared" ca="1" si="6"/>
        <v>184.2</v>
      </c>
      <c r="CU8" s="14">
        <f t="shared" ca="1" si="6"/>
        <v>70.599999999999994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0</v>
      </c>
      <c r="CZ8" s="14">
        <f t="shared" ca="1" si="6"/>
        <v>74.8</v>
      </c>
      <c r="DA8" s="14">
        <f t="shared" ca="1" si="6"/>
        <v>215.6</v>
      </c>
      <c r="DB8" s="14">
        <f t="shared" ca="1" si="6"/>
        <v>472.5</v>
      </c>
      <c r="DC8" s="14"/>
      <c r="DD8" s="14">
        <f t="shared" si="16"/>
        <v>2005</v>
      </c>
      <c r="DE8" s="14">
        <f t="shared" ca="1" si="17"/>
        <v>532.6</v>
      </c>
      <c r="DF8" s="14">
        <f t="shared" ca="1" si="17"/>
        <v>403.9</v>
      </c>
      <c r="DG8" s="14">
        <f t="shared" ca="1" si="17"/>
        <v>400.5</v>
      </c>
      <c r="DH8" s="14">
        <f t="shared" ca="1" si="17"/>
        <v>128</v>
      </c>
      <c r="DI8" s="14">
        <f t="shared" ca="1" si="17"/>
        <v>39.5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</v>
      </c>
      <c r="DN8" s="14">
        <f t="shared" ca="1" si="17"/>
        <v>44</v>
      </c>
      <c r="DO8" s="14">
        <f t="shared" ca="1" si="17"/>
        <v>165.4</v>
      </c>
      <c r="DP8" s="14">
        <f t="shared" ca="1" si="17"/>
        <v>410.5</v>
      </c>
      <c r="DQ8" s="14"/>
      <c r="DR8" s="14">
        <f t="shared" si="18"/>
        <v>2005</v>
      </c>
      <c r="DS8" s="14">
        <f t="shared" ca="1" si="19"/>
        <v>470.6</v>
      </c>
      <c r="DT8" s="14">
        <f t="shared" ca="1" si="19"/>
        <v>347.9</v>
      </c>
      <c r="DU8" s="14">
        <f t="shared" ca="1" si="19"/>
        <v>340.5</v>
      </c>
      <c r="DV8" s="14">
        <f t="shared" ca="1" si="19"/>
        <v>77.8</v>
      </c>
      <c r="DW8" s="14">
        <f t="shared" ca="1" si="19"/>
        <v>18.3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20.5</v>
      </c>
      <c r="EC8" s="14">
        <f t="shared" ca="1" si="19"/>
        <v>123.1</v>
      </c>
      <c r="ED8" s="14">
        <f t="shared" ca="1" si="19"/>
        <v>348.5</v>
      </c>
      <c r="EE8" s="14"/>
    </row>
    <row r="9" spans="1:153">
      <c r="A9">
        <v>2002</v>
      </c>
      <c r="B9">
        <v>8</v>
      </c>
      <c r="C9" s="11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4">
        <f t="shared" si="9"/>
        <v>2006</v>
      </c>
      <c r="Y9" s="14">
        <f t="shared" ca="1" si="10"/>
        <v>697.5</v>
      </c>
      <c r="Z9" s="14">
        <f t="shared" ca="1" si="10"/>
        <v>742.6</v>
      </c>
      <c r="AA9" s="14">
        <f t="shared" ca="1" si="10"/>
        <v>679.3</v>
      </c>
      <c r="AB9" s="14">
        <f t="shared" ca="1" si="10"/>
        <v>443.8</v>
      </c>
      <c r="AC9" s="14">
        <f t="shared" ca="1" si="10"/>
        <v>272.89999999999998</v>
      </c>
      <c r="AD9" s="14">
        <f t="shared" ca="1" si="10"/>
        <v>132.4</v>
      </c>
      <c r="AE9" s="14">
        <f t="shared" ca="1" si="10"/>
        <v>28.5</v>
      </c>
      <c r="AF9" s="14">
        <f t="shared" ca="1" si="10"/>
        <v>83.6</v>
      </c>
      <c r="AG9" s="14">
        <f t="shared" ca="1" si="10"/>
        <v>209.6</v>
      </c>
      <c r="AH9" s="14">
        <f t="shared" ca="1" si="10"/>
        <v>411.1</v>
      </c>
      <c r="AI9" s="14">
        <f t="shared" ca="1" si="10"/>
        <v>487.5</v>
      </c>
      <c r="AJ9" s="14">
        <f t="shared" ca="1" si="10"/>
        <v>627.70000000000005</v>
      </c>
      <c r="AK9" s="14"/>
      <c r="AL9" s="14">
        <f t="shared" si="11"/>
        <v>2006</v>
      </c>
      <c r="AM9" s="14">
        <f t="shared" ca="1" si="1"/>
        <v>635.5</v>
      </c>
      <c r="AN9" s="14">
        <f t="shared" ca="1" si="1"/>
        <v>686.6</v>
      </c>
      <c r="AO9" s="14">
        <f t="shared" ca="1" si="1"/>
        <v>617.29999999999995</v>
      </c>
      <c r="AP9" s="14">
        <f t="shared" ca="1" si="1"/>
        <v>383.8</v>
      </c>
      <c r="AQ9" s="14">
        <f t="shared" ca="1" si="1"/>
        <v>214.1</v>
      </c>
      <c r="AR9" s="14">
        <f t="shared" ca="1" si="1"/>
        <v>84.9</v>
      </c>
      <c r="AS9" s="14">
        <f t="shared" ca="1" si="1"/>
        <v>8.9</v>
      </c>
      <c r="AT9" s="14">
        <f t="shared" ca="1" si="1"/>
        <v>39.1</v>
      </c>
      <c r="AU9" s="14">
        <f t="shared" ca="1" si="1"/>
        <v>152</v>
      </c>
      <c r="AV9" s="14">
        <f t="shared" ca="1" si="1"/>
        <v>349.1</v>
      </c>
      <c r="AW9" s="14">
        <f t="shared" ca="1" si="1"/>
        <v>427.5</v>
      </c>
      <c r="AX9" s="14">
        <f t="shared" ca="1" si="1"/>
        <v>565.70000000000005</v>
      </c>
      <c r="AY9" s="15"/>
      <c r="AZ9" s="14">
        <f t="shared" si="12"/>
        <v>2006</v>
      </c>
      <c r="BA9" s="14">
        <f t="shared" ca="1" si="2"/>
        <v>573.5</v>
      </c>
      <c r="BB9" s="14">
        <f t="shared" ca="1" si="2"/>
        <v>630.6</v>
      </c>
      <c r="BC9" s="14">
        <f t="shared" ca="1" si="2"/>
        <v>555.29999999999995</v>
      </c>
      <c r="BD9" s="14">
        <f t="shared" ca="1" si="2"/>
        <v>323.8</v>
      </c>
      <c r="BE9" s="14">
        <f t="shared" ca="1" si="2"/>
        <v>160.9</v>
      </c>
      <c r="BF9" s="14">
        <f t="shared" ca="1" si="2"/>
        <v>46.1</v>
      </c>
      <c r="BG9" s="14">
        <f t="shared" ca="1" si="2"/>
        <v>2.5</v>
      </c>
      <c r="BH9" s="14">
        <f t="shared" ca="1" si="2"/>
        <v>12.1</v>
      </c>
      <c r="BI9" s="14">
        <f t="shared" ca="1" si="2"/>
        <v>98.2</v>
      </c>
      <c r="BJ9" s="14">
        <f t="shared" ca="1" si="2"/>
        <v>287.7</v>
      </c>
      <c r="BK9" s="14">
        <f t="shared" ca="1" si="2"/>
        <v>367.5</v>
      </c>
      <c r="BL9" s="14">
        <f t="shared" ca="1" si="2"/>
        <v>503.7</v>
      </c>
      <c r="BM9" s="15">
        <f t="shared" ca="1" si="3"/>
        <v>3561.8999999999992</v>
      </c>
      <c r="BN9" s="14">
        <f t="shared" si="13"/>
        <v>2006</v>
      </c>
      <c r="BO9" s="14">
        <f t="shared" ca="1" si="4"/>
        <v>511.5</v>
      </c>
      <c r="BP9" s="14">
        <f t="shared" ca="1" si="4"/>
        <v>574.6</v>
      </c>
      <c r="BQ9" s="14">
        <f t="shared" ca="1" si="4"/>
        <v>493.3</v>
      </c>
      <c r="BR9" s="14">
        <f t="shared" ca="1" si="4"/>
        <v>263.8</v>
      </c>
      <c r="BS9" s="14">
        <f t="shared" ca="1" si="4"/>
        <v>111</v>
      </c>
      <c r="BT9" s="14">
        <f t="shared" ca="1" si="4"/>
        <v>20.8</v>
      </c>
      <c r="BU9" s="14">
        <f t="shared" ca="1" si="4"/>
        <v>0</v>
      </c>
      <c r="BV9" s="14">
        <f t="shared" ca="1" si="4"/>
        <v>2</v>
      </c>
      <c r="BW9" s="14">
        <f t="shared" ca="1" si="4"/>
        <v>54</v>
      </c>
      <c r="BX9" s="14">
        <f t="shared" ca="1" si="4"/>
        <v>228</v>
      </c>
      <c r="BY9" s="14">
        <f t="shared" ca="1" si="4"/>
        <v>307.5</v>
      </c>
      <c r="BZ9" s="14">
        <f t="shared" ca="1" si="4"/>
        <v>441.7</v>
      </c>
      <c r="CA9" s="14"/>
      <c r="CB9" s="14">
        <f t="shared" si="14"/>
        <v>2006</v>
      </c>
      <c r="CC9" s="14">
        <f t="shared" ca="1" si="5"/>
        <v>449.5</v>
      </c>
      <c r="CD9" s="14">
        <f t="shared" ca="1" si="5"/>
        <v>518.6</v>
      </c>
      <c r="CE9" s="14">
        <f t="shared" ca="1" si="5"/>
        <v>431.3</v>
      </c>
      <c r="CF9" s="14">
        <f t="shared" ca="1" si="5"/>
        <v>203.9</v>
      </c>
      <c r="CG9" s="14">
        <f t="shared" ca="1" si="5"/>
        <v>64.7</v>
      </c>
      <c r="CH9" s="14">
        <f t="shared" ca="1" si="5"/>
        <v>7.3</v>
      </c>
      <c r="CI9" s="14">
        <f t="shared" ca="1" si="5"/>
        <v>0</v>
      </c>
      <c r="CJ9" s="14">
        <f t="shared" ca="1" si="5"/>
        <v>0</v>
      </c>
      <c r="CK9" s="14">
        <f t="shared" ca="1" si="5"/>
        <v>27.1</v>
      </c>
      <c r="CL9" s="14">
        <f t="shared" ca="1" si="5"/>
        <v>171.6</v>
      </c>
      <c r="CM9" s="14">
        <f t="shared" ca="1" si="5"/>
        <v>247.5</v>
      </c>
      <c r="CN9" s="14">
        <f t="shared" ca="1" si="5"/>
        <v>379.7</v>
      </c>
      <c r="CO9" s="14"/>
      <c r="CP9" s="14">
        <f t="shared" si="15"/>
        <v>2006</v>
      </c>
      <c r="CQ9" s="14">
        <f t="shared" ca="1" si="6"/>
        <v>387.5</v>
      </c>
      <c r="CR9" s="14">
        <f t="shared" ca="1" si="6"/>
        <v>462.6</v>
      </c>
      <c r="CS9" s="14">
        <f t="shared" ca="1" si="6"/>
        <v>370.7</v>
      </c>
      <c r="CT9" s="14">
        <f t="shared" ca="1" si="6"/>
        <v>148.69999999999999</v>
      </c>
      <c r="CU9" s="14">
        <f t="shared" ca="1" si="6"/>
        <v>36</v>
      </c>
      <c r="CV9" s="14">
        <f t="shared" ca="1" si="6"/>
        <v>2.1</v>
      </c>
      <c r="CW9" s="14">
        <f t="shared" ca="1" si="6"/>
        <v>0</v>
      </c>
      <c r="CX9" s="14">
        <f t="shared" ca="1" si="6"/>
        <v>0</v>
      </c>
      <c r="CY9" s="14">
        <f t="shared" ca="1" si="6"/>
        <v>8.3000000000000007</v>
      </c>
      <c r="CZ9" s="14">
        <f t="shared" ca="1" si="6"/>
        <v>123.2</v>
      </c>
      <c r="DA9" s="14">
        <f t="shared" ca="1" si="6"/>
        <v>187.5</v>
      </c>
      <c r="DB9" s="14">
        <f t="shared" ca="1" si="6"/>
        <v>317.7</v>
      </c>
      <c r="DC9" s="14"/>
      <c r="DD9" s="14">
        <f t="shared" si="16"/>
        <v>2006</v>
      </c>
      <c r="DE9" s="14">
        <f t="shared" ca="1" si="17"/>
        <v>325.5</v>
      </c>
      <c r="DF9" s="14">
        <f t="shared" ca="1" si="17"/>
        <v>406.6</v>
      </c>
      <c r="DG9" s="14">
        <f t="shared" ca="1" si="17"/>
        <v>310.7</v>
      </c>
      <c r="DH9" s="14">
        <f t="shared" ca="1" si="17"/>
        <v>99.3</v>
      </c>
      <c r="DI9" s="14">
        <f t="shared" ca="1" si="17"/>
        <v>18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1.7</v>
      </c>
      <c r="DN9" s="14">
        <f t="shared" ca="1" si="17"/>
        <v>80</v>
      </c>
      <c r="DO9" s="14">
        <f t="shared" ca="1" si="17"/>
        <v>131</v>
      </c>
      <c r="DP9" s="14">
        <f t="shared" ca="1" si="17"/>
        <v>255.7</v>
      </c>
      <c r="DQ9" s="14"/>
      <c r="DR9" s="14">
        <f t="shared" si="18"/>
        <v>2006</v>
      </c>
      <c r="DS9" s="14">
        <f t="shared" ca="1" si="19"/>
        <v>263.5</v>
      </c>
      <c r="DT9" s="14">
        <f t="shared" ca="1" si="19"/>
        <v>350.6</v>
      </c>
      <c r="DU9" s="14">
        <f t="shared" ca="1" si="19"/>
        <v>251.5</v>
      </c>
      <c r="DV9" s="14">
        <f t="shared" ca="1" si="19"/>
        <v>59.2</v>
      </c>
      <c r="DW9" s="14">
        <f t="shared" ca="1" si="19"/>
        <v>7.7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45.7</v>
      </c>
      <c r="EC9" s="14">
        <f t="shared" ca="1" si="19"/>
        <v>85.5</v>
      </c>
      <c r="ED9" s="14">
        <f t="shared" ca="1" si="19"/>
        <v>193.7</v>
      </c>
      <c r="EE9" s="14"/>
    </row>
    <row r="10" spans="1:153">
      <c r="A10">
        <v>2002</v>
      </c>
      <c r="B10">
        <v>9</v>
      </c>
      <c r="C10" s="11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4">
        <f t="shared" si="9"/>
        <v>2007</v>
      </c>
      <c r="Y10" s="14">
        <f t="shared" ca="1" si="10"/>
        <v>792.8</v>
      </c>
      <c r="Z10" s="14">
        <f t="shared" ca="1" si="10"/>
        <v>841.3</v>
      </c>
      <c r="AA10" s="14">
        <f t="shared" ca="1" si="10"/>
        <v>683.9</v>
      </c>
      <c r="AB10" s="14">
        <f t="shared" ca="1" si="10"/>
        <v>522.29999999999995</v>
      </c>
      <c r="AC10" s="14">
        <f t="shared" ca="1" si="10"/>
        <v>294.7</v>
      </c>
      <c r="AD10" s="14">
        <f t="shared" ca="1" si="10"/>
        <v>115.8</v>
      </c>
      <c r="AE10" s="14">
        <f t="shared" ca="1" si="10"/>
        <v>84.7</v>
      </c>
      <c r="AF10" s="14">
        <f t="shared" ca="1" si="10"/>
        <v>70.900000000000006</v>
      </c>
      <c r="AG10" s="14">
        <f t="shared" ca="1" si="10"/>
        <v>141.9</v>
      </c>
      <c r="AH10" s="14">
        <f t="shared" ca="1" si="10"/>
        <v>244.7</v>
      </c>
      <c r="AI10" s="14">
        <f t="shared" ca="1" si="10"/>
        <v>586.29999999999995</v>
      </c>
      <c r="AJ10" s="14">
        <f t="shared" ca="1" si="10"/>
        <v>778.1</v>
      </c>
      <c r="AK10" s="14"/>
      <c r="AL10" s="14">
        <f t="shared" si="11"/>
        <v>2007</v>
      </c>
      <c r="AM10" s="14">
        <f t="shared" ca="1" si="1"/>
        <v>730.8</v>
      </c>
      <c r="AN10" s="14">
        <f t="shared" ca="1" si="1"/>
        <v>785.3</v>
      </c>
      <c r="AO10" s="14">
        <f t="shared" ca="1" si="1"/>
        <v>621.9</v>
      </c>
      <c r="AP10" s="14">
        <f t="shared" ca="1" si="1"/>
        <v>462.3</v>
      </c>
      <c r="AQ10" s="14">
        <f t="shared" ca="1" si="1"/>
        <v>238.5</v>
      </c>
      <c r="AR10" s="14">
        <f t="shared" ca="1" si="1"/>
        <v>76.7</v>
      </c>
      <c r="AS10" s="14">
        <f t="shared" ca="1" si="1"/>
        <v>43.7</v>
      </c>
      <c r="AT10" s="14">
        <f t="shared" ca="1" si="1"/>
        <v>36.4</v>
      </c>
      <c r="AU10" s="14">
        <f t="shared" ca="1" si="1"/>
        <v>92.3</v>
      </c>
      <c r="AV10" s="14">
        <f t="shared" ca="1" si="1"/>
        <v>189.8</v>
      </c>
      <c r="AW10" s="14">
        <f t="shared" ca="1" si="1"/>
        <v>526.29999999999995</v>
      </c>
      <c r="AX10" s="14">
        <f t="shared" ca="1" si="1"/>
        <v>716.1</v>
      </c>
      <c r="AY10" s="15"/>
      <c r="AZ10" s="14">
        <f t="shared" si="12"/>
        <v>2007</v>
      </c>
      <c r="BA10" s="14">
        <f t="shared" ca="1" si="2"/>
        <v>668.8</v>
      </c>
      <c r="BB10" s="14">
        <f t="shared" ca="1" si="2"/>
        <v>729.3</v>
      </c>
      <c r="BC10" s="14">
        <f t="shared" ca="1" si="2"/>
        <v>559.9</v>
      </c>
      <c r="BD10" s="14">
        <f t="shared" ca="1" si="2"/>
        <v>402.3</v>
      </c>
      <c r="BE10" s="14">
        <f t="shared" ca="1" si="2"/>
        <v>185.5</v>
      </c>
      <c r="BF10" s="14">
        <f t="shared" ca="1" si="2"/>
        <v>45.6</v>
      </c>
      <c r="BG10" s="14">
        <f t="shared" ca="1" si="2"/>
        <v>13.4</v>
      </c>
      <c r="BH10" s="14">
        <f t="shared" ca="1" si="2"/>
        <v>17.5</v>
      </c>
      <c r="BI10" s="14">
        <f t="shared" ca="1" si="2"/>
        <v>50.4</v>
      </c>
      <c r="BJ10" s="14">
        <f t="shared" ca="1" si="2"/>
        <v>141.9</v>
      </c>
      <c r="BK10" s="14">
        <f t="shared" ca="1" si="2"/>
        <v>466.3</v>
      </c>
      <c r="BL10" s="14">
        <f t="shared" ca="1" si="2"/>
        <v>654.1</v>
      </c>
      <c r="BM10" s="15">
        <f t="shared" ca="1" si="3"/>
        <v>3935.0000000000005</v>
      </c>
      <c r="BN10" s="14">
        <f t="shared" si="13"/>
        <v>2007</v>
      </c>
      <c r="BO10" s="14">
        <f t="shared" ca="1" si="4"/>
        <v>606.79999999999995</v>
      </c>
      <c r="BP10" s="14">
        <f t="shared" ca="1" si="4"/>
        <v>673.3</v>
      </c>
      <c r="BQ10" s="14">
        <f t="shared" ca="1" si="4"/>
        <v>497.9</v>
      </c>
      <c r="BR10" s="14">
        <f t="shared" ca="1" si="4"/>
        <v>343.7</v>
      </c>
      <c r="BS10" s="14">
        <f t="shared" ca="1" si="4"/>
        <v>138.4</v>
      </c>
      <c r="BT10" s="14">
        <f t="shared" ca="1" si="4"/>
        <v>23.7</v>
      </c>
      <c r="BU10" s="14">
        <f t="shared" ca="1" si="4"/>
        <v>1.8</v>
      </c>
      <c r="BV10" s="14">
        <f t="shared" ca="1" si="4"/>
        <v>6.8</v>
      </c>
      <c r="BW10" s="14">
        <f t="shared" ca="1" si="4"/>
        <v>21.9</v>
      </c>
      <c r="BX10" s="14">
        <f t="shared" ca="1" si="4"/>
        <v>101.8</v>
      </c>
      <c r="BY10" s="14">
        <f t="shared" ca="1" si="4"/>
        <v>406.3</v>
      </c>
      <c r="BZ10" s="14">
        <f t="shared" ca="1" si="4"/>
        <v>592.1</v>
      </c>
      <c r="CA10" s="14"/>
      <c r="CB10" s="14">
        <f t="shared" si="14"/>
        <v>2007</v>
      </c>
      <c r="CC10" s="14">
        <f t="shared" ca="1" si="5"/>
        <v>544.79999999999995</v>
      </c>
      <c r="CD10" s="14">
        <f t="shared" ca="1" si="5"/>
        <v>617.29999999999995</v>
      </c>
      <c r="CE10" s="14">
        <f t="shared" ca="1" si="5"/>
        <v>435.9</v>
      </c>
      <c r="CF10" s="14">
        <f t="shared" ca="1" si="5"/>
        <v>287.10000000000002</v>
      </c>
      <c r="CG10" s="14">
        <f t="shared" ca="1" si="5"/>
        <v>94.8</v>
      </c>
      <c r="CH10" s="14">
        <f t="shared" ca="1" si="5"/>
        <v>11.8</v>
      </c>
      <c r="CI10" s="14">
        <f t="shared" ca="1" si="5"/>
        <v>0</v>
      </c>
      <c r="CJ10" s="14">
        <f t="shared" ca="1" si="5"/>
        <v>0.3</v>
      </c>
      <c r="CK10" s="14">
        <f t="shared" ca="1" si="5"/>
        <v>7.5</v>
      </c>
      <c r="CL10" s="14">
        <f t="shared" ca="1" si="5"/>
        <v>66.400000000000006</v>
      </c>
      <c r="CM10" s="14">
        <f t="shared" ca="1" si="5"/>
        <v>346.3</v>
      </c>
      <c r="CN10" s="14">
        <f t="shared" ca="1" si="5"/>
        <v>530.1</v>
      </c>
      <c r="CO10" s="14"/>
      <c r="CP10" s="14">
        <f t="shared" si="15"/>
        <v>2007</v>
      </c>
      <c r="CQ10" s="14">
        <f t="shared" ca="1" si="6"/>
        <v>482.8</v>
      </c>
      <c r="CR10" s="14">
        <f t="shared" ca="1" si="6"/>
        <v>561.29999999999995</v>
      </c>
      <c r="CS10" s="14">
        <f t="shared" ca="1" si="6"/>
        <v>375.2</v>
      </c>
      <c r="CT10" s="14">
        <f t="shared" ca="1" si="6"/>
        <v>231.5</v>
      </c>
      <c r="CU10" s="14">
        <f t="shared" ca="1" si="6"/>
        <v>60.6</v>
      </c>
      <c r="CV10" s="14">
        <f t="shared" ca="1" si="6"/>
        <v>5.6</v>
      </c>
      <c r="CW10" s="14">
        <f t="shared" ca="1" si="6"/>
        <v>0</v>
      </c>
      <c r="CX10" s="14">
        <f t="shared" ca="1" si="6"/>
        <v>0</v>
      </c>
      <c r="CY10" s="14">
        <f t="shared" ca="1" si="6"/>
        <v>2.6</v>
      </c>
      <c r="CZ10" s="14">
        <f t="shared" ca="1" si="6"/>
        <v>35.700000000000003</v>
      </c>
      <c r="DA10" s="14">
        <f t="shared" ca="1" si="6"/>
        <v>286.3</v>
      </c>
      <c r="DB10" s="14">
        <f t="shared" ca="1" si="6"/>
        <v>468.1</v>
      </c>
      <c r="DC10" s="14"/>
      <c r="DD10" s="14">
        <f t="shared" si="16"/>
        <v>2007</v>
      </c>
      <c r="DE10" s="14">
        <f t="shared" ca="1" si="17"/>
        <v>420.8</v>
      </c>
      <c r="DF10" s="14">
        <f t="shared" ca="1" si="17"/>
        <v>505.3</v>
      </c>
      <c r="DG10" s="14">
        <f t="shared" ca="1" si="17"/>
        <v>316.60000000000002</v>
      </c>
      <c r="DH10" s="14">
        <f t="shared" ca="1" si="17"/>
        <v>179.2</v>
      </c>
      <c r="DI10" s="14">
        <f t="shared" ca="1" si="17"/>
        <v>32.6</v>
      </c>
      <c r="DJ10" s="14">
        <f t="shared" ca="1" si="17"/>
        <v>1.7</v>
      </c>
      <c r="DK10" s="14">
        <f t="shared" ca="1" si="17"/>
        <v>0</v>
      </c>
      <c r="DL10" s="14">
        <f t="shared" ca="1" si="17"/>
        <v>0</v>
      </c>
      <c r="DM10" s="14">
        <f t="shared" ca="1" si="17"/>
        <v>0.6</v>
      </c>
      <c r="DN10" s="14">
        <f t="shared" ca="1" si="17"/>
        <v>11.4</v>
      </c>
      <c r="DO10" s="14">
        <f t="shared" ca="1" si="17"/>
        <v>227</v>
      </c>
      <c r="DP10" s="14">
        <f t="shared" ca="1" si="17"/>
        <v>406.1</v>
      </c>
      <c r="DQ10" s="14"/>
      <c r="DR10" s="14">
        <f t="shared" si="18"/>
        <v>2007</v>
      </c>
      <c r="DS10" s="14">
        <f t="shared" ca="1" si="19"/>
        <v>360.6</v>
      </c>
      <c r="DT10" s="14">
        <f t="shared" ca="1" si="19"/>
        <v>449.3</v>
      </c>
      <c r="DU10" s="14">
        <f t="shared" ca="1" si="19"/>
        <v>259.2</v>
      </c>
      <c r="DV10" s="14">
        <f t="shared" ca="1" si="19"/>
        <v>129.1</v>
      </c>
      <c r="DW10" s="14">
        <f t="shared" ca="1" si="19"/>
        <v>8.5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2.9</v>
      </c>
      <c r="EC10" s="14">
        <f t="shared" ca="1" si="19"/>
        <v>170.6</v>
      </c>
      <c r="ED10" s="14">
        <f t="shared" ca="1" si="19"/>
        <v>344.1</v>
      </c>
      <c r="EE10" s="14"/>
    </row>
    <row r="11" spans="1:153">
      <c r="A11">
        <v>2002</v>
      </c>
      <c r="B11">
        <v>10</v>
      </c>
      <c r="C11" s="11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4">
        <f t="shared" si="9"/>
        <v>2008</v>
      </c>
      <c r="Y11" s="14">
        <f t="shared" ca="1" si="10"/>
        <v>746.1</v>
      </c>
      <c r="Z11" s="14">
        <f t="shared" ca="1" si="10"/>
        <v>804.6</v>
      </c>
      <c r="AA11" s="14">
        <f t="shared" ca="1" si="10"/>
        <v>754.2</v>
      </c>
      <c r="AB11" s="14">
        <f t="shared" ca="1" si="10"/>
        <v>399.5</v>
      </c>
      <c r="AC11" s="14">
        <f t="shared" ca="1" si="10"/>
        <v>362.1</v>
      </c>
      <c r="AD11" s="14">
        <f t="shared" ca="1" si="10"/>
        <v>112.6</v>
      </c>
      <c r="AE11" s="14">
        <f t="shared" ca="1" si="10"/>
        <v>61</v>
      </c>
      <c r="AF11" s="14">
        <f t="shared" ca="1" si="10"/>
        <v>100.9</v>
      </c>
      <c r="AG11" s="14">
        <f t="shared" ca="1" si="10"/>
        <v>172.1</v>
      </c>
      <c r="AH11" s="14">
        <f t="shared" ca="1" si="10"/>
        <v>393.3</v>
      </c>
      <c r="AI11" s="14">
        <f t="shared" ca="1" si="10"/>
        <v>564.29999999999995</v>
      </c>
      <c r="AJ11" s="14">
        <f t="shared" ca="1" si="10"/>
        <v>792.4</v>
      </c>
      <c r="AK11" s="14"/>
      <c r="AL11" s="14">
        <f t="shared" si="11"/>
        <v>2008</v>
      </c>
      <c r="AM11" s="14">
        <f t="shared" ca="1" si="1"/>
        <v>684.1</v>
      </c>
      <c r="AN11" s="14">
        <f t="shared" ca="1" si="1"/>
        <v>746.6</v>
      </c>
      <c r="AO11" s="14">
        <f t="shared" ca="1" si="1"/>
        <v>692.2</v>
      </c>
      <c r="AP11" s="14">
        <f t="shared" ca="1" si="1"/>
        <v>339.5</v>
      </c>
      <c r="AQ11" s="14">
        <f t="shared" ca="1" si="1"/>
        <v>300.10000000000002</v>
      </c>
      <c r="AR11" s="14">
        <f t="shared" ca="1" si="1"/>
        <v>69.7</v>
      </c>
      <c r="AS11" s="14">
        <f t="shared" ca="1" si="1"/>
        <v>25.4</v>
      </c>
      <c r="AT11" s="14">
        <f t="shared" ca="1" si="1"/>
        <v>50.8</v>
      </c>
      <c r="AU11" s="14">
        <f t="shared" ca="1" si="1"/>
        <v>115.9</v>
      </c>
      <c r="AV11" s="14">
        <f t="shared" ca="1" si="1"/>
        <v>333</v>
      </c>
      <c r="AW11" s="14">
        <f t="shared" ca="1" si="1"/>
        <v>504.3</v>
      </c>
      <c r="AX11" s="14">
        <f t="shared" ca="1" si="1"/>
        <v>730.4</v>
      </c>
      <c r="AY11" s="15"/>
      <c r="AZ11" s="14">
        <f t="shared" si="12"/>
        <v>2008</v>
      </c>
      <c r="BA11" s="14">
        <f t="shared" ca="1" si="2"/>
        <v>622.1</v>
      </c>
      <c r="BB11" s="14">
        <f t="shared" ca="1" si="2"/>
        <v>688.6</v>
      </c>
      <c r="BC11" s="14">
        <f t="shared" ca="1" si="2"/>
        <v>630.20000000000005</v>
      </c>
      <c r="BD11" s="14">
        <f t="shared" ca="1" si="2"/>
        <v>280.39999999999998</v>
      </c>
      <c r="BE11" s="14">
        <f t="shared" ca="1" si="2"/>
        <v>238.1</v>
      </c>
      <c r="BF11" s="14">
        <f t="shared" ca="1" si="2"/>
        <v>35.200000000000003</v>
      </c>
      <c r="BG11" s="14">
        <f t="shared" ca="1" si="2"/>
        <v>9.5</v>
      </c>
      <c r="BH11" s="14">
        <f t="shared" ca="1" si="2"/>
        <v>19.399999999999999</v>
      </c>
      <c r="BI11" s="14">
        <f t="shared" ca="1" si="2"/>
        <v>72.7</v>
      </c>
      <c r="BJ11" s="14">
        <f t="shared" ca="1" si="2"/>
        <v>273</v>
      </c>
      <c r="BK11" s="14">
        <f t="shared" ca="1" si="2"/>
        <v>444.3</v>
      </c>
      <c r="BL11" s="14">
        <f t="shared" ca="1" si="2"/>
        <v>668.4</v>
      </c>
      <c r="BM11" s="15">
        <f t="shared" ca="1" si="3"/>
        <v>3981.9</v>
      </c>
      <c r="BN11" s="14">
        <f t="shared" si="13"/>
        <v>2008</v>
      </c>
      <c r="BO11" s="14">
        <f t="shared" ca="1" si="4"/>
        <v>560.1</v>
      </c>
      <c r="BP11" s="14">
        <f t="shared" ca="1" si="4"/>
        <v>630.6</v>
      </c>
      <c r="BQ11" s="14">
        <f t="shared" ca="1" si="4"/>
        <v>568.20000000000005</v>
      </c>
      <c r="BR11" s="14">
        <f t="shared" ca="1" si="4"/>
        <v>226.1</v>
      </c>
      <c r="BS11" s="14">
        <f t="shared" ca="1" si="4"/>
        <v>178.1</v>
      </c>
      <c r="BT11" s="14">
        <f t="shared" ca="1" si="4"/>
        <v>14.9</v>
      </c>
      <c r="BU11" s="14">
        <f t="shared" ca="1" si="4"/>
        <v>1</v>
      </c>
      <c r="BV11" s="14">
        <f t="shared" ca="1" si="4"/>
        <v>4.3</v>
      </c>
      <c r="BW11" s="14">
        <f t="shared" ca="1" si="4"/>
        <v>36.799999999999997</v>
      </c>
      <c r="BX11" s="14">
        <f t="shared" ca="1" si="4"/>
        <v>214.2</v>
      </c>
      <c r="BY11" s="14">
        <f t="shared" ca="1" si="4"/>
        <v>385.2</v>
      </c>
      <c r="BZ11" s="14">
        <f t="shared" ca="1" si="4"/>
        <v>606.4</v>
      </c>
      <c r="CA11" s="14"/>
      <c r="CB11" s="14">
        <f t="shared" si="14"/>
        <v>2008</v>
      </c>
      <c r="CC11" s="14">
        <f t="shared" ca="1" si="5"/>
        <v>498.1</v>
      </c>
      <c r="CD11" s="14">
        <f t="shared" ca="1" si="5"/>
        <v>572.6</v>
      </c>
      <c r="CE11" s="14">
        <f t="shared" ca="1" si="5"/>
        <v>506.2</v>
      </c>
      <c r="CF11" s="14">
        <f t="shared" ca="1" si="5"/>
        <v>180.7</v>
      </c>
      <c r="CG11" s="14">
        <f t="shared" ca="1" si="5"/>
        <v>125</v>
      </c>
      <c r="CH11" s="14">
        <f t="shared" ca="1" si="5"/>
        <v>3.1</v>
      </c>
      <c r="CI11" s="14">
        <f t="shared" ca="1" si="5"/>
        <v>0</v>
      </c>
      <c r="CJ11" s="14">
        <f t="shared" ca="1" si="5"/>
        <v>0</v>
      </c>
      <c r="CK11" s="14">
        <f t="shared" ca="1" si="5"/>
        <v>14.4</v>
      </c>
      <c r="CL11" s="14">
        <f t="shared" ca="1" si="5"/>
        <v>157.4</v>
      </c>
      <c r="CM11" s="14">
        <f t="shared" ca="1" si="5"/>
        <v>329.2</v>
      </c>
      <c r="CN11" s="14">
        <f t="shared" ca="1" si="5"/>
        <v>544.4</v>
      </c>
      <c r="CO11" s="14"/>
      <c r="CP11" s="14">
        <f t="shared" si="15"/>
        <v>2008</v>
      </c>
      <c r="CQ11" s="14">
        <f t="shared" ca="1" si="6"/>
        <v>436.1</v>
      </c>
      <c r="CR11" s="14">
        <f t="shared" ca="1" si="6"/>
        <v>514.6</v>
      </c>
      <c r="CS11" s="14">
        <f t="shared" ca="1" si="6"/>
        <v>444.2</v>
      </c>
      <c r="CT11" s="14">
        <f t="shared" ca="1" si="6"/>
        <v>139.4</v>
      </c>
      <c r="CU11" s="14">
        <f t="shared" ca="1" si="6"/>
        <v>76.2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2.7</v>
      </c>
      <c r="CZ11" s="14">
        <f t="shared" ca="1" si="6"/>
        <v>105.3</v>
      </c>
      <c r="DA11" s="14">
        <f t="shared" ca="1" si="6"/>
        <v>276.2</v>
      </c>
      <c r="DB11" s="14">
        <f t="shared" ca="1" si="6"/>
        <v>482.4</v>
      </c>
      <c r="DC11" s="14"/>
      <c r="DD11" s="14">
        <f t="shared" si="16"/>
        <v>2008</v>
      </c>
      <c r="DE11" s="14">
        <f t="shared" ca="1" si="17"/>
        <v>377.2</v>
      </c>
      <c r="DF11" s="14">
        <f t="shared" ca="1" si="17"/>
        <v>456.6</v>
      </c>
      <c r="DG11" s="14">
        <f t="shared" ca="1" si="17"/>
        <v>382.2</v>
      </c>
      <c r="DH11" s="14">
        <f t="shared" ca="1" si="17"/>
        <v>100.8</v>
      </c>
      <c r="DI11" s="14">
        <f t="shared" ca="1" si="17"/>
        <v>37.5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62.9</v>
      </c>
      <c r="DO11" s="14">
        <f t="shared" ca="1" si="17"/>
        <v>226.2</v>
      </c>
      <c r="DP11" s="14">
        <f t="shared" ca="1" si="17"/>
        <v>420.4</v>
      </c>
      <c r="DQ11" s="14"/>
      <c r="DR11" s="14">
        <f t="shared" si="18"/>
        <v>2008</v>
      </c>
      <c r="DS11" s="14">
        <f t="shared" ca="1" si="19"/>
        <v>319.2</v>
      </c>
      <c r="DT11" s="14">
        <f t="shared" ca="1" si="19"/>
        <v>398.6</v>
      </c>
      <c r="DU11" s="14">
        <f t="shared" ca="1" si="19"/>
        <v>320.2</v>
      </c>
      <c r="DV11" s="14">
        <f t="shared" ca="1" si="19"/>
        <v>67.7</v>
      </c>
      <c r="DW11" s="14">
        <f t="shared" ca="1" si="19"/>
        <v>11.7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31.3</v>
      </c>
      <c r="EC11" s="14">
        <f t="shared" ca="1" si="19"/>
        <v>178.6</v>
      </c>
      <c r="ED11" s="14">
        <f t="shared" ca="1" si="19"/>
        <v>358.6</v>
      </c>
      <c r="EE11" s="14"/>
    </row>
    <row r="12" spans="1:153">
      <c r="A12">
        <v>2002</v>
      </c>
      <c r="B12">
        <v>11</v>
      </c>
      <c r="C12" s="11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4">
        <f t="shared" si="9"/>
        <v>2009</v>
      </c>
      <c r="Y12" s="14">
        <f t="shared" ca="1" si="10"/>
        <v>940.5</v>
      </c>
      <c r="Z12" s="14">
        <f t="shared" ca="1" si="10"/>
        <v>732.1</v>
      </c>
      <c r="AA12" s="14">
        <f t="shared" ca="1" si="10"/>
        <v>680.5</v>
      </c>
      <c r="AB12" s="14">
        <f t="shared" ca="1" si="10"/>
        <v>471.5</v>
      </c>
      <c r="AC12" s="14">
        <f t="shared" ca="1" si="10"/>
        <v>320.89999999999998</v>
      </c>
      <c r="AD12" s="14">
        <f t="shared" ca="1" si="10"/>
        <v>201.3</v>
      </c>
      <c r="AE12" s="14">
        <f t="shared" ca="1" si="10"/>
        <v>121.2</v>
      </c>
      <c r="AF12" s="14">
        <f t="shared" ca="1" si="10"/>
        <v>91</v>
      </c>
      <c r="AG12" s="14">
        <f t="shared" ca="1" si="10"/>
        <v>185.1</v>
      </c>
      <c r="AH12" s="14">
        <f t="shared" ca="1" si="10"/>
        <v>420.5</v>
      </c>
      <c r="AI12" s="14">
        <f t="shared" ca="1" si="10"/>
        <v>471.5</v>
      </c>
      <c r="AJ12" s="14">
        <f t="shared" ca="1" si="10"/>
        <v>759.5</v>
      </c>
      <c r="AK12" s="14"/>
      <c r="AL12" s="14">
        <f t="shared" si="11"/>
        <v>2009</v>
      </c>
      <c r="AM12" s="14">
        <f t="shared" ca="1" si="1"/>
        <v>878.5</v>
      </c>
      <c r="AN12" s="14">
        <f t="shared" ca="1" si="1"/>
        <v>676.1</v>
      </c>
      <c r="AO12" s="14">
        <f t="shared" ca="1" si="1"/>
        <v>618.5</v>
      </c>
      <c r="AP12" s="14">
        <f t="shared" ca="1" si="1"/>
        <v>411.5</v>
      </c>
      <c r="AQ12" s="14">
        <f t="shared" ca="1" si="1"/>
        <v>260.89999999999998</v>
      </c>
      <c r="AR12" s="14">
        <f t="shared" ca="1" si="1"/>
        <v>145.1</v>
      </c>
      <c r="AS12" s="14">
        <f t="shared" ca="1" si="1"/>
        <v>63.5</v>
      </c>
      <c r="AT12" s="14">
        <f t="shared" ca="1" si="1"/>
        <v>47.4</v>
      </c>
      <c r="AU12" s="14">
        <f t="shared" ca="1" si="1"/>
        <v>125.9</v>
      </c>
      <c r="AV12" s="14">
        <f t="shared" ca="1" si="1"/>
        <v>358.5</v>
      </c>
      <c r="AW12" s="14">
        <f t="shared" ca="1" si="1"/>
        <v>411.5</v>
      </c>
      <c r="AX12" s="14">
        <f t="shared" ca="1" si="1"/>
        <v>697.5</v>
      </c>
      <c r="AY12" s="15"/>
      <c r="AZ12" s="14">
        <f t="shared" si="12"/>
        <v>2009</v>
      </c>
      <c r="BA12" s="14">
        <f t="shared" ca="1" si="2"/>
        <v>816.5</v>
      </c>
      <c r="BB12" s="14">
        <f t="shared" ca="1" si="2"/>
        <v>620.1</v>
      </c>
      <c r="BC12" s="14">
        <f t="shared" ca="1" si="2"/>
        <v>556.5</v>
      </c>
      <c r="BD12" s="14">
        <f t="shared" ca="1" si="2"/>
        <v>352</v>
      </c>
      <c r="BE12" s="14">
        <f t="shared" ca="1" si="2"/>
        <v>202.8</v>
      </c>
      <c r="BF12" s="14">
        <f t="shared" ca="1" si="2"/>
        <v>98.2</v>
      </c>
      <c r="BG12" s="14">
        <f t="shared" ca="1" si="2"/>
        <v>21.5</v>
      </c>
      <c r="BH12" s="14">
        <f t="shared" ca="1" si="2"/>
        <v>20</v>
      </c>
      <c r="BI12" s="14">
        <f t="shared" ca="1" si="2"/>
        <v>75.8</v>
      </c>
      <c r="BJ12" s="14">
        <f t="shared" ca="1" si="2"/>
        <v>296.5</v>
      </c>
      <c r="BK12" s="14">
        <f t="shared" ca="1" si="2"/>
        <v>351.5</v>
      </c>
      <c r="BL12" s="14">
        <f t="shared" ca="1" si="2"/>
        <v>635.5</v>
      </c>
      <c r="BM12" s="15">
        <f t="shared" ca="1" si="3"/>
        <v>4046.9</v>
      </c>
      <c r="BN12" s="14">
        <f t="shared" si="13"/>
        <v>2009</v>
      </c>
      <c r="BO12" s="14">
        <f t="shared" ca="1" si="4"/>
        <v>754.5</v>
      </c>
      <c r="BP12" s="14">
        <f t="shared" ca="1" si="4"/>
        <v>564.1</v>
      </c>
      <c r="BQ12" s="14">
        <f t="shared" ca="1" si="4"/>
        <v>494.5</v>
      </c>
      <c r="BR12" s="14">
        <f t="shared" ca="1" si="4"/>
        <v>294</v>
      </c>
      <c r="BS12" s="14">
        <f t="shared" ca="1" si="4"/>
        <v>146.19999999999999</v>
      </c>
      <c r="BT12" s="14">
        <f t="shared" ca="1" si="4"/>
        <v>61.4</v>
      </c>
      <c r="BU12" s="14">
        <f t="shared" ca="1" si="4"/>
        <v>2.1</v>
      </c>
      <c r="BV12" s="14">
        <f t="shared" ca="1" si="4"/>
        <v>6.8</v>
      </c>
      <c r="BW12" s="14">
        <f t="shared" ca="1" si="4"/>
        <v>38.4</v>
      </c>
      <c r="BX12" s="14">
        <f t="shared" ca="1" si="4"/>
        <v>234.5</v>
      </c>
      <c r="BY12" s="14">
        <f t="shared" ca="1" si="4"/>
        <v>291.5</v>
      </c>
      <c r="BZ12" s="14">
        <f t="shared" ca="1" si="4"/>
        <v>573.5</v>
      </c>
      <c r="CA12" s="14"/>
      <c r="CB12" s="14">
        <f t="shared" si="14"/>
        <v>2009</v>
      </c>
      <c r="CC12" s="14">
        <f t="shared" ca="1" si="5"/>
        <v>692.5</v>
      </c>
      <c r="CD12" s="14">
        <f t="shared" ca="1" si="5"/>
        <v>508.1</v>
      </c>
      <c r="CE12" s="14">
        <f t="shared" ca="1" si="5"/>
        <v>432.5</v>
      </c>
      <c r="CF12" s="14">
        <f t="shared" ca="1" si="5"/>
        <v>239</v>
      </c>
      <c r="CG12" s="14">
        <f t="shared" ca="1" si="5"/>
        <v>93.3</v>
      </c>
      <c r="CH12" s="14">
        <f t="shared" ca="1" si="5"/>
        <v>30.8</v>
      </c>
      <c r="CI12" s="14">
        <f t="shared" ca="1" si="5"/>
        <v>0</v>
      </c>
      <c r="CJ12" s="14">
        <f t="shared" ca="1" si="5"/>
        <v>0</v>
      </c>
      <c r="CK12" s="14">
        <f t="shared" ca="1" si="5"/>
        <v>16.5</v>
      </c>
      <c r="CL12" s="14">
        <f t="shared" ca="1" si="5"/>
        <v>173.1</v>
      </c>
      <c r="CM12" s="14">
        <f t="shared" ca="1" si="5"/>
        <v>231.5</v>
      </c>
      <c r="CN12" s="14">
        <f t="shared" ca="1" si="5"/>
        <v>511.5</v>
      </c>
      <c r="CO12" s="14"/>
      <c r="CP12" s="14">
        <f t="shared" si="15"/>
        <v>2009</v>
      </c>
      <c r="CQ12" s="14">
        <f t="shared" ca="1" si="6"/>
        <v>630.5</v>
      </c>
      <c r="CR12" s="14">
        <f t="shared" ca="1" si="6"/>
        <v>452.1</v>
      </c>
      <c r="CS12" s="14">
        <f t="shared" ca="1" si="6"/>
        <v>370.5</v>
      </c>
      <c r="CT12" s="14">
        <f t="shared" ca="1" si="6"/>
        <v>187</v>
      </c>
      <c r="CU12" s="14">
        <f t="shared" ca="1" si="6"/>
        <v>52.1</v>
      </c>
      <c r="CV12" s="14">
        <f t="shared" ca="1" si="6"/>
        <v>11.2</v>
      </c>
      <c r="CW12" s="14">
        <f t="shared" ca="1" si="6"/>
        <v>0</v>
      </c>
      <c r="CX12" s="14">
        <f t="shared" ca="1" si="6"/>
        <v>0</v>
      </c>
      <c r="CY12" s="14">
        <f t="shared" ca="1" si="6"/>
        <v>7.5</v>
      </c>
      <c r="CZ12" s="14">
        <f t="shared" ca="1" si="6"/>
        <v>115.1</v>
      </c>
      <c r="DA12" s="14">
        <f t="shared" ca="1" si="6"/>
        <v>173.7</v>
      </c>
      <c r="DB12" s="14">
        <f t="shared" ca="1" si="6"/>
        <v>449.5</v>
      </c>
      <c r="DC12" s="14"/>
      <c r="DD12" s="14">
        <f t="shared" si="16"/>
        <v>2009</v>
      </c>
      <c r="DE12" s="14">
        <f t="shared" ca="1" si="17"/>
        <v>568.5</v>
      </c>
      <c r="DF12" s="14">
        <f t="shared" ca="1" si="17"/>
        <v>396.1</v>
      </c>
      <c r="DG12" s="14">
        <f t="shared" ca="1" si="17"/>
        <v>308.5</v>
      </c>
      <c r="DH12" s="14">
        <f t="shared" ca="1" si="17"/>
        <v>136</v>
      </c>
      <c r="DI12" s="14">
        <f t="shared" ca="1" si="17"/>
        <v>26.6</v>
      </c>
      <c r="DJ12" s="14">
        <f t="shared" ca="1" si="17"/>
        <v>3</v>
      </c>
      <c r="DK12" s="14">
        <f t="shared" ca="1" si="17"/>
        <v>0</v>
      </c>
      <c r="DL12" s="14">
        <f t="shared" ca="1" si="17"/>
        <v>0</v>
      </c>
      <c r="DM12" s="14">
        <f t="shared" ca="1" si="17"/>
        <v>2.9</v>
      </c>
      <c r="DN12" s="14">
        <f t="shared" ca="1" si="17"/>
        <v>69.599999999999994</v>
      </c>
      <c r="DO12" s="14">
        <f t="shared" ca="1" si="17"/>
        <v>118.9</v>
      </c>
      <c r="DP12" s="14">
        <f t="shared" ca="1" si="17"/>
        <v>387.5</v>
      </c>
      <c r="DQ12" s="14"/>
      <c r="DR12" s="14">
        <f t="shared" si="18"/>
        <v>2009</v>
      </c>
      <c r="DS12" s="14">
        <f t="shared" ca="1" si="19"/>
        <v>506.5</v>
      </c>
      <c r="DT12" s="14">
        <f t="shared" ca="1" si="19"/>
        <v>340.1</v>
      </c>
      <c r="DU12" s="14">
        <f t="shared" ca="1" si="19"/>
        <v>248.4</v>
      </c>
      <c r="DV12" s="14">
        <f t="shared" ca="1" si="19"/>
        <v>90.5</v>
      </c>
      <c r="DW12" s="14">
        <f t="shared" ca="1" si="19"/>
        <v>10.8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0.9</v>
      </c>
      <c r="EB12" s="14">
        <f t="shared" ca="1" si="19"/>
        <v>37.5</v>
      </c>
      <c r="EC12" s="14">
        <f t="shared" ca="1" si="19"/>
        <v>70</v>
      </c>
      <c r="ED12" s="14">
        <f t="shared" ca="1" si="19"/>
        <v>325.5</v>
      </c>
      <c r="EE12" s="14"/>
    </row>
    <row r="13" spans="1:153">
      <c r="A13">
        <v>2002</v>
      </c>
      <c r="B13">
        <v>12</v>
      </c>
      <c r="C13" s="11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4">
        <f t="shared" si="9"/>
        <v>2010</v>
      </c>
      <c r="Y13" s="14">
        <f t="shared" ca="1" si="10"/>
        <v>849.8</v>
      </c>
      <c r="Z13" s="14">
        <f t="shared" ca="1" si="10"/>
        <v>737.3</v>
      </c>
      <c r="AA13" s="14">
        <f t="shared" ca="1" si="10"/>
        <v>609</v>
      </c>
      <c r="AB13" s="14">
        <f t="shared" ca="1" si="10"/>
        <v>382</v>
      </c>
      <c r="AC13" s="14">
        <f t="shared" ca="1" si="10"/>
        <v>245.4</v>
      </c>
      <c r="AD13" s="14">
        <f t="shared" ca="1" si="10"/>
        <v>150.30000000000001</v>
      </c>
      <c r="AE13" s="14">
        <f t="shared" ca="1" si="10"/>
        <v>35.799999999999997</v>
      </c>
      <c r="AF13" s="14">
        <f t="shared" ca="1" si="10"/>
        <v>41.8</v>
      </c>
      <c r="AG13" s="14">
        <f t="shared" ca="1" si="10"/>
        <v>194</v>
      </c>
      <c r="AH13" s="14">
        <f t="shared" ca="1" si="10"/>
        <v>362.8</v>
      </c>
      <c r="AI13" s="14">
        <f t="shared" ca="1" si="10"/>
        <v>530</v>
      </c>
      <c r="AJ13" s="14">
        <f t="shared" ca="1" si="10"/>
        <v>792.7</v>
      </c>
      <c r="AK13" s="14"/>
      <c r="AL13" s="14">
        <f t="shared" si="11"/>
        <v>2010</v>
      </c>
      <c r="AM13" s="14">
        <f t="shared" ca="1" si="1"/>
        <v>787.8</v>
      </c>
      <c r="AN13" s="14">
        <f t="shared" ca="1" si="1"/>
        <v>681.3</v>
      </c>
      <c r="AO13" s="14">
        <f t="shared" ca="1" si="1"/>
        <v>547</v>
      </c>
      <c r="AP13" s="14">
        <f t="shared" ca="1" si="1"/>
        <v>322.10000000000002</v>
      </c>
      <c r="AQ13" s="14">
        <f t="shared" ca="1" si="1"/>
        <v>186.9</v>
      </c>
      <c r="AR13" s="14">
        <f t="shared" ca="1" si="1"/>
        <v>95.1</v>
      </c>
      <c r="AS13" s="14">
        <f t="shared" ca="1" si="1"/>
        <v>16.2</v>
      </c>
      <c r="AT13" s="14">
        <f t="shared" ca="1" si="1"/>
        <v>18.3</v>
      </c>
      <c r="AU13" s="14">
        <f t="shared" ca="1" si="1"/>
        <v>142.30000000000001</v>
      </c>
      <c r="AV13" s="14">
        <f t="shared" ca="1" si="1"/>
        <v>300.8</v>
      </c>
      <c r="AW13" s="14">
        <f t="shared" ca="1" si="1"/>
        <v>470</v>
      </c>
      <c r="AX13" s="14">
        <f t="shared" ca="1" si="1"/>
        <v>730.7</v>
      </c>
      <c r="AY13" s="15"/>
      <c r="AZ13" s="14">
        <f t="shared" si="12"/>
        <v>2010</v>
      </c>
      <c r="BA13" s="14">
        <f t="shared" ca="1" si="2"/>
        <v>725.8</v>
      </c>
      <c r="BB13" s="14">
        <f t="shared" ca="1" si="2"/>
        <v>625.29999999999995</v>
      </c>
      <c r="BC13" s="14">
        <f t="shared" ca="1" si="2"/>
        <v>485</v>
      </c>
      <c r="BD13" s="14">
        <f t="shared" ca="1" si="2"/>
        <v>265</v>
      </c>
      <c r="BE13" s="14">
        <f t="shared" ca="1" si="2"/>
        <v>139</v>
      </c>
      <c r="BF13" s="14">
        <f t="shared" ca="1" si="2"/>
        <v>51.7</v>
      </c>
      <c r="BG13" s="14">
        <f t="shared" ca="1" si="2"/>
        <v>7.7</v>
      </c>
      <c r="BH13" s="14">
        <f t="shared" ca="1" si="2"/>
        <v>6</v>
      </c>
      <c r="BI13" s="14">
        <f t="shared" ca="1" si="2"/>
        <v>93.2</v>
      </c>
      <c r="BJ13" s="14">
        <f t="shared" ca="1" si="2"/>
        <v>238.8</v>
      </c>
      <c r="BK13" s="14">
        <f t="shared" ca="1" si="2"/>
        <v>410</v>
      </c>
      <c r="BL13" s="14">
        <f t="shared" ca="1" si="2"/>
        <v>668.7</v>
      </c>
      <c r="BM13" s="15">
        <f t="shared" ca="1" si="3"/>
        <v>3716.2</v>
      </c>
      <c r="BN13" s="14">
        <f t="shared" si="13"/>
        <v>2010</v>
      </c>
      <c r="BO13" s="14">
        <f t="shared" ca="1" si="4"/>
        <v>663.8</v>
      </c>
      <c r="BP13" s="14">
        <f t="shared" ca="1" si="4"/>
        <v>569.29999999999995</v>
      </c>
      <c r="BQ13" s="14">
        <f t="shared" ca="1" si="4"/>
        <v>423</v>
      </c>
      <c r="BR13" s="14">
        <f t="shared" ca="1" si="4"/>
        <v>211</v>
      </c>
      <c r="BS13" s="14">
        <f t="shared" ca="1" si="4"/>
        <v>102</v>
      </c>
      <c r="BT13" s="14">
        <f t="shared" ca="1" si="4"/>
        <v>20.8</v>
      </c>
      <c r="BU13" s="14">
        <f t="shared" ca="1" si="4"/>
        <v>1.2</v>
      </c>
      <c r="BV13" s="14">
        <f t="shared" ca="1" si="4"/>
        <v>0.9</v>
      </c>
      <c r="BW13" s="14">
        <f t="shared" ca="1" si="4"/>
        <v>49.2</v>
      </c>
      <c r="BX13" s="14">
        <f t="shared" ca="1" si="4"/>
        <v>178</v>
      </c>
      <c r="BY13" s="14">
        <f t="shared" ca="1" si="4"/>
        <v>350</v>
      </c>
      <c r="BZ13" s="14">
        <f t="shared" ca="1" si="4"/>
        <v>606.70000000000005</v>
      </c>
      <c r="CA13" s="14"/>
      <c r="CB13" s="14">
        <f t="shared" si="14"/>
        <v>2010</v>
      </c>
      <c r="CC13" s="14">
        <f t="shared" ca="1" si="5"/>
        <v>601.79999999999995</v>
      </c>
      <c r="CD13" s="14">
        <f t="shared" ca="1" si="5"/>
        <v>513.29999999999995</v>
      </c>
      <c r="CE13" s="14">
        <f t="shared" ca="1" si="5"/>
        <v>361</v>
      </c>
      <c r="CF13" s="14">
        <f t="shared" ca="1" si="5"/>
        <v>162.19999999999999</v>
      </c>
      <c r="CG13" s="14">
        <f t="shared" ca="1" si="5"/>
        <v>71.8</v>
      </c>
      <c r="CH13" s="14">
        <f t="shared" ca="1" si="5"/>
        <v>6.2</v>
      </c>
      <c r="CI13" s="14">
        <f t="shared" ca="1" si="5"/>
        <v>0</v>
      </c>
      <c r="CJ13" s="14">
        <f t="shared" ca="1" si="5"/>
        <v>0</v>
      </c>
      <c r="CK13" s="14">
        <f t="shared" ca="1" si="5"/>
        <v>17.399999999999999</v>
      </c>
      <c r="CL13" s="14">
        <f t="shared" ca="1" si="5"/>
        <v>124.1</v>
      </c>
      <c r="CM13" s="14">
        <f t="shared" ca="1" si="5"/>
        <v>290</v>
      </c>
      <c r="CN13" s="14">
        <f t="shared" ca="1" si="5"/>
        <v>544.70000000000005</v>
      </c>
      <c r="CO13" s="14"/>
      <c r="CP13" s="14">
        <f t="shared" si="15"/>
        <v>2010</v>
      </c>
      <c r="CQ13" s="14">
        <f t="shared" ca="1" si="6"/>
        <v>539.79999999999995</v>
      </c>
      <c r="CR13" s="14">
        <f t="shared" ca="1" si="6"/>
        <v>457.3</v>
      </c>
      <c r="CS13" s="14">
        <f t="shared" ca="1" si="6"/>
        <v>299</v>
      </c>
      <c r="CT13" s="14">
        <f t="shared" ca="1" si="6"/>
        <v>116.3</v>
      </c>
      <c r="CU13" s="14">
        <f t="shared" ca="1" si="6"/>
        <v>47.5</v>
      </c>
      <c r="CV13" s="14">
        <f t="shared" ca="1" si="6"/>
        <v>1.2</v>
      </c>
      <c r="CW13" s="14">
        <f t="shared" ca="1" si="6"/>
        <v>0</v>
      </c>
      <c r="CX13" s="14">
        <f t="shared" ca="1" si="6"/>
        <v>0</v>
      </c>
      <c r="CY13" s="14">
        <f t="shared" ca="1" si="6"/>
        <v>1.7</v>
      </c>
      <c r="CZ13" s="14">
        <f t="shared" ca="1" si="6"/>
        <v>75.400000000000006</v>
      </c>
      <c r="DA13" s="14">
        <f t="shared" ca="1" si="6"/>
        <v>230</v>
      </c>
      <c r="DB13" s="14">
        <f t="shared" ca="1" si="6"/>
        <v>482.7</v>
      </c>
      <c r="DC13" s="14"/>
      <c r="DD13" s="14">
        <f t="shared" si="16"/>
        <v>2010</v>
      </c>
      <c r="DE13" s="14">
        <f t="shared" ca="1" si="17"/>
        <v>477.8</v>
      </c>
      <c r="DF13" s="14">
        <f t="shared" ca="1" si="17"/>
        <v>401.3</v>
      </c>
      <c r="DG13" s="14">
        <f t="shared" ca="1" si="17"/>
        <v>237</v>
      </c>
      <c r="DH13" s="14">
        <f t="shared" ca="1" si="17"/>
        <v>73.8</v>
      </c>
      <c r="DI13" s="14">
        <f t="shared" ca="1" si="17"/>
        <v>26.9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37.1</v>
      </c>
      <c r="DO13" s="14">
        <f t="shared" ca="1" si="17"/>
        <v>170.9</v>
      </c>
      <c r="DP13" s="14">
        <f t="shared" ca="1" si="17"/>
        <v>420.7</v>
      </c>
      <c r="DQ13" s="14"/>
      <c r="DR13" s="14">
        <f t="shared" si="18"/>
        <v>2010</v>
      </c>
      <c r="DS13" s="14">
        <f t="shared" ca="1" si="19"/>
        <v>415.8</v>
      </c>
      <c r="DT13" s="14">
        <f t="shared" ca="1" si="19"/>
        <v>345.3</v>
      </c>
      <c r="DU13" s="14">
        <f t="shared" ca="1" si="19"/>
        <v>179.1</v>
      </c>
      <c r="DV13" s="14">
        <f t="shared" ca="1" si="19"/>
        <v>37</v>
      </c>
      <c r="DW13" s="14">
        <f t="shared" ca="1" si="19"/>
        <v>12.6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15.3</v>
      </c>
      <c r="EC13" s="14">
        <f t="shared" ca="1" si="19"/>
        <v>112.9</v>
      </c>
      <c r="ED13" s="14">
        <f t="shared" ca="1" si="19"/>
        <v>358.7</v>
      </c>
      <c r="EE13" s="14"/>
    </row>
    <row r="14" spans="1:153">
      <c r="A14">
        <v>2003</v>
      </c>
      <c r="B14">
        <v>1</v>
      </c>
      <c r="C14" s="11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4">
        <f t="shared" si="9"/>
        <v>2011</v>
      </c>
      <c r="Y14" s="14">
        <f t="shared" ca="1" si="10"/>
        <v>901.5</v>
      </c>
      <c r="Z14" s="14">
        <f t="shared" ca="1" si="10"/>
        <v>757.3</v>
      </c>
      <c r="AA14" s="14">
        <f t="shared" ca="1" si="10"/>
        <v>734.8</v>
      </c>
      <c r="AB14" s="14">
        <f t="shared" ca="1" si="10"/>
        <v>493.6</v>
      </c>
      <c r="AC14" s="14">
        <f t="shared" ca="1" si="10"/>
        <v>289.5</v>
      </c>
      <c r="AD14" s="14">
        <f t="shared" ca="1" si="10"/>
        <v>159.80000000000001</v>
      </c>
      <c r="AE14" s="14">
        <f t="shared" ca="1" si="10"/>
        <v>29.2</v>
      </c>
      <c r="AF14" s="14">
        <f t="shared" ca="1" si="10"/>
        <v>46.6</v>
      </c>
      <c r="AG14" s="14">
        <f t="shared" ca="1" si="10"/>
        <v>171.1</v>
      </c>
      <c r="AH14" s="14">
        <f t="shared" ca="1" si="10"/>
        <v>351.9</v>
      </c>
      <c r="AI14" s="14">
        <f t="shared" ca="1" si="10"/>
        <v>456.2</v>
      </c>
      <c r="AJ14" s="14">
        <f t="shared" ca="1" si="10"/>
        <v>679.3</v>
      </c>
      <c r="AK14" s="14"/>
      <c r="AL14" s="14">
        <f t="shared" si="11"/>
        <v>2011</v>
      </c>
      <c r="AM14" s="14">
        <f t="shared" ca="1" si="1"/>
        <v>839.5</v>
      </c>
      <c r="AN14" s="14">
        <f t="shared" ca="1" si="1"/>
        <v>701.3</v>
      </c>
      <c r="AO14" s="14">
        <f t="shared" ca="1" si="1"/>
        <v>672.8</v>
      </c>
      <c r="AP14" s="14">
        <f t="shared" ca="1" si="1"/>
        <v>433.6</v>
      </c>
      <c r="AQ14" s="14">
        <f t="shared" ca="1" si="1"/>
        <v>231.2</v>
      </c>
      <c r="AR14" s="14">
        <f t="shared" ca="1" si="1"/>
        <v>105.1</v>
      </c>
      <c r="AS14" s="14">
        <f t="shared" ca="1" si="1"/>
        <v>8.6</v>
      </c>
      <c r="AT14" s="14">
        <f t="shared" ca="1" si="1"/>
        <v>14.6</v>
      </c>
      <c r="AU14" s="14">
        <f t="shared" ca="1" si="1"/>
        <v>119.3</v>
      </c>
      <c r="AV14" s="14">
        <f t="shared" ca="1" si="1"/>
        <v>289.89999999999998</v>
      </c>
      <c r="AW14" s="14">
        <f t="shared" ca="1" si="1"/>
        <v>396.2</v>
      </c>
      <c r="AX14" s="14">
        <f t="shared" ca="1" si="1"/>
        <v>617.29999999999995</v>
      </c>
      <c r="AY14" s="15"/>
      <c r="AZ14" s="14">
        <f t="shared" si="12"/>
        <v>2011</v>
      </c>
      <c r="BA14" s="14">
        <f t="shared" ca="1" si="2"/>
        <v>777.5</v>
      </c>
      <c r="BB14" s="14">
        <f t="shared" ca="1" si="2"/>
        <v>645.29999999999995</v>
      </c>
      <c r="BC14" s="14">
        <f t="shared" ca="1" si="2"/>
        <v>610.79999999999995</v>
      </c>
      <c r="BD14" s="14">
        <f t="shared" ca="1" si="2"/>
        <v>373.6</v>
      </c>
      <c r="BE14" s="14">
        <f t="shared" ca="1" si="2"/>
        <v>175.6</v>
      </c>
      <c r="BF14" s="14">
        <f t="shared" ca="1" si="2"/>
        <v>58.4</v>
      </c>
      <c r="BG14" s="14">
        <f t="shared" ca="1" si="2"/>
        <v>0.7</v>
      </c>
      <c r="BH14" s="14">
        <f t="shared" ca="1" si="2"/>
        <v>2.7</v>
      </c>
      <c r="BI14" s="14">
        <f t="shared" ca="1" si="2"/>
        <v>72.3</v>
      </c>
      <c r="BJ14" s="14">
        <f t="shared" ca="1" si="2"/>
        <v>230.7</v>
      </c>
      <c r="BK14" s="14">
        <f t="shared" ca="1" si="2"/>
        <v>336.2</v>
      </c>
      <c r="BL14" s="14">
        <f t="shared" ca="1" si="2"/>
        <v>555.29999999999995</v>
      </c>
      <c r="BM14" s="15">
        <f t="shared" ca="1" si="3"/>
        <v>3839.0999999999995</v>
      </c>
      <c r="BN14" s="14">
        <f t="shared" si="13"/>
        <v>2011</v>
      </c>
      <c r="BO14" s="14">
        <f t="shared" ca="1" si="4"/>
        <v>715.5</v>
      </c>
      <c r="BP14" s="14">
        <f t="shared" ca="1" si="4"/>
        <v>589.29999999999995</v>
      </c>
      <c r="BQ14" s="14">
        <f t="shared" ca="1" si="4"/>
        <v>548.79999999999995</v>
      </c>
      <c r="BR14" s="14">
        <f t="shared" ca="1" si="4"/>
        <v>313.60000000000002</v>
      </c>
      <c r="BS14" s="14">
        <f t="shared" ca="1" si="4"/>
        <v>124.5</v>
      </c>
      <c r="BT14" s="14">
        <f t="shared" ca="1" si="4"/>
        <v>24.4</v>
      </c>
      <c r="BU14" s="14">
        <f t="shared" ca="1" si="4"/>
        <v>0</v>
      </c>
      <c r="BV14" s="14">
        <f t="shared" ca="1" si="4"/>
        <v>0</v>
      </c>
      <c r="BW14" s="14">
        <f t="shared" ca="1" si="4"/>
        <v>38</v>
      </c>
      <c r="BX14" s="14">
        <f t="shared" ca="1" si="4"/>
        <v>175.6</v>
      </c>
      <c r="BY14" s="14">
        <f t="shared" ca="1" si="4"/>
        <v>276.2</v>
      </c>
      <c r="BZ14" s="14">
        <f t="shared" ca="1" si="4"/>
        <v>493.3</v>
      </c>
      <c r="CA14" s="14"/>
      <c r="CB14" s="14">
        <f t="shared" si="14"/>
        <v>2011</v>
      </c>
      <c r="CC14" s="14">
        <f t="shared" ca="1" si="5"/>
        <v>653.5</v>
      </c>
      <c r="CD14" s="14">
        <f t="shared" ca="1" si="5"/>
        <v>533.29999999999995</v>
      </c>
      <c r="CE14" s="14">
        <f t="shared" ca="1" si="5"/>
        <v>486.8</v>
      </c>
      <c r="CF14" s="14">
        <f t="shared" ca="1" si="5"/>
        <v>254.9</v>
      </c>
      <c r="CG14" s="14">
        <f t="shared" ca="1" si="5"/>
        <v>82.1</v>
      </c>
      <c r="CH14" s="14">
        <f t="shared" ca="1" si="5"/>
        <v>5.7</v>
      </c>
      <c r="CI14" s="14">
        <f t="shared" ca="1" si="5"/>
        <v>0</v>
      </c>
      <c r="CJ14" s="14">
        <f t="shared" ca="1" si="5"/>
        <v>0</v>
      </c>
      <c r="CK14" s="14">
        <f t="shared" ca="1" si="5"/>
        <v>16.100000000000001</v>
      </c>
      <c r="CL14" s="14">
        <f t="shared" ca="1" si="5"/>
        <v>126.7</v>
      </c>
      <c r="CM14" s="14">
        <f t="shared" ca="1" si="5"/>
        <v>216.3</v>
      </c>
      <c r="CN14" s="14">
        <f t="shared" ca="1" si="5"/>
        <v>431.3</v>
      </c>
      <c r="CO14" s="14"/>
      <c r="CP14" s="14">
        <f t="shared" si="15"/>
        <v>2011</v>
      </c>
      <c r="CQ14" s="14">
        <f t="shared" ca="1" si="6"/>
        <v>591.5</v>
      </c>
      <c r="CR14" s="14">
        <f t="shared" ca="1" si="6"/>
        <v>477.3</v>
      </c>
      <c r="CS14" s="14">
        <f t="shared" ca="1" si="6"/>
        <v>424.8</v>
      </c>
      <c r="CT14" s="14">
        <f t="shared" ca="1" si="6"/>
        <v>197.6</v>
      </c>
      <c r="CU14" s="14">
        <f t="shared" ca="1" si="6"/>
        <v>47.3</v>
      </c>
      <c r="CV14" s="14">
        <f t="shared" ca="1" si="6"/>
        <v>0.9</v>
      </c>
      <c r="CW14" s="14">
        <f t="shared" ca="1" si="6"/>
        <v>0</v>
      </c>
      <c r="CX14" s="14">
        <f t="shared" ca="1" si="6"/>
        <v>0</v>
      </c>
      <c r="CY14" s="14">
        <f t="shared" ca="1" si="6"/>
        <v>6.8</v>
      </c>
      <c r="CZ14" s="14">
        <f t="shared" ca="1" si="6"/>
        <v>80.7</v>
      </c>
      <c r="DA14" s="14">
        <f t="shared" ca="1" si="6"/>
        <v>162.30000000000001</v>
      </c>
      <c r="DB14" s="14">
        <f t="shared" ca="1" si="6"/>
        <v>369.3</v>
      </c>
      <c r="DC14" s="14"/>
      <c r="DD14" s="14">
        <f t="shared" si="16"/>
        <v>2011</v>
      </c>
      <c r="DE14" s="14">
        <f t="shared" ca="1" si="17"/>
        <v>529.5</v>
      </c>
      <c r="DF14" s="14">
        <f t="shared" ca="1" si="17"/>
        <v>421.3</v>
      </c>
      <c r="DG14" s="14">
        <f t="shared" ca="1" si="17"/>
        <v>362.9</v>
      </c>
      <c r="DH14" s="14">
        <f t="shared" ca="1" si="17"/>
        <v>144.30000000000001</v>
      </c>
      <c r="DI14" s="14">
        <f t="shared" ca="1" si="17"/>
        <v>20.9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1.4</v>
      </c>
      <c r="DN14" s="14">
        <f t="shared" ca="1" si="17"/>
        <v>41.2</v>
      </c>
      <c r="DO14" s="14">
        <f t="shared" ca="1" si="17"/>
        <v>113.8</v>
      </c>
      <c r="DP14" s="14">
        <f t="shared" ca="1" si="17"/>
        <v>307.3</v>
      </c>
      <c r="DQ14" s="14"/>
      <c r="DR14" s="14">
        <f t="shared" si="18"/>
        <v>2011</v>
      </c>
      <c r="DS14" s="14">
        <f t="shared" ca="1" si="19"/>
        <v>467.5</v>
      </c>
      <c r="DT14" s="14">
        <f t="shared" ca="1" si="19"/>
        <v>365.3</v>
      </c>
      <c r="DU14" s="14">
        <f t="shared" ca="1" si="19"/>
        <v>302.89999999999998</v>
      </c>
      <c r="DV14" s="14">
        <f t="shared" ca="1" si="19"/>
        <v>97.6</v>
      </c>
      <c r="DW14" s="14">
        <f t="shared" ca="1" si="19"/>
        <v>5.2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17.899999999999999</v>
      </c>
      <c r="EC14" s="14">
        <f t="shared" ca="1" si="19"/>
        <v>74.7</v>
      </c>
      <c r="ED14" s="14">
        <f t="shared" ca="1" si="19"/>
        <v>246</v>
      </c>
      <c r="EE14" s="14"/>
    </row>
    <row r="15" spans="1:153">
      <c r="A15">
        <v>2003</v>
      </c>
      <c r="B15">
        <v>2</v>
      </c>
      <c r="C15" s="11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4">
        <f t="shared" si="9"/>
        <v>2012</v>
      </c>
      <c r="Y15" s="14">
        <f t="shared" ca="1" si="10"/>
        <v>757.7</v>
      </c>
      <c r="Z15" s="14">
        <f t="shared" ca="1" si="10"/>
        <v>667.6</v>
      </c>
      <c r="AA15" s="14">
        <f t="shared" ca="1" si="10"/>
        <v>483.6</v>
      </c>
      <c r="AB15" s="14">
        <f t="shared" ca="1" si="10"/>
        <v>497.9</v>
      </c>
      <c r="AC15" s="14">
        <f t="shared" ca="1" si="10"/>
        <v>235.9</v>
      </c>
      <c r="AD15" s="14">
        <f t="shared" ca="1" si="10"/>
        <v>108.7</v>
      </c>
      <c r="AE15" s="14">
        <f t="shared" ca="1" si="10"/>
        <v>34.799999999999997</v>
      </c>
      <c r="AF15" s="14">
        <f t="shared" ca="1" si="10"/>
        <v>58.3</v>
      </c>
      <c r="AG15" s="14">
        <f t="shared" ca="1" si="10"/>
        <v>187.6</v>
      </c>
      <c r="AH15" s="14">
        <f t="shared" ca="1" si="10"/>
        <v>360.1</v>
      </c>
      <c r="AI15" s="14">
        <f t="shared" ca="1" si="10"/>
        <v>566</v>
      </c>
      <c r="AJ15" s="14">
        <f t="shared" ca="1" si="10"/>
        <v>667.4</v>
      </c>
      <c r="AK15" s="14"/>
      <c r="AL15" s="14">
        <f t="shared" si="11"/>
        <v>2012</v>
      </c>
      <c r="AM15" s="14">
        <f t="shared" ca="1" si="1"/>
        <v>695.7</v>
      </c>
      <c r="AN15" s="14">
        <f t="shared" ca="1" si="1"/>
        <v>609.6</v>
      </c>
      <c r="AO15" s="14">
        <f t="shared" ca="1" si="1"/>
        <v>421.6</v>
      </c>
      <c r="AP15" s="14">
        <f t="shared" ca="1" si="1"/>
        <v>437.9</v>
      </c>
      <c r="AQ15" s="14">
        <f t="shared" ca="1" si="1"/>
        <v>183.3</v>
      </c>
      <c r="AR15" s="14">
        <f t="shared" ca="1" si="1"/>
        <v>71.2</v>
      </c>
      <c r="AS15" s="14">
        <f t="shared" ca="1" si="1"/>
        <v>8.5</v>
      </c>
      <c r="AT15" s="14">
        <f t="shared" ca="1" si="1"/>
        <v>24.4</v>
      </c>
      <c r="AU15" s="14">
        <f t="shared" ca="1" si="1"/>
        <v>133.9</v>
      </c>
      <c r="AV15" s="14">
        <f t="shared" ca="1" si="1"/>
        <v>298.10000000000002</v>
      </c>
      <c r="AW15" s="14">
        <f t="shared" ca="1" si="1"/>
        <v>506</v>
      </c>
      <c r="AX15" s="14">
        <f t="shared" ca="1" si="1"/>
        <v>605.4</v>
      </c>
      <c r="AY15" s="15"/>
      <c r="AZ15" s="14">
        <f t="shared" si="12"/>
        <v>2012</v>
      </c>
      <c r="BA15" s="14">
        <f t="shared" ca="1" si="2"/>
        <v>633.70000000000005</v>
      </c>
      <c r="BB15" s="14">
        <f t="shared" ca="1" si="2"/>
        <v>551.6</v>
      </c>
      <c r="BC15" s="14">
        <f t="shared" ca="1" si="2"/>
        <v>362.4</v>
      </c>
      <c r="BD15" s="14">
        <f t="shared" ca="1" si="2"/>
        <v>377.9</v>
      </c>
      <c r="BE15" s="14">
        <f t="shared" ca="1" si="2"/>
        <v>133.5</v>
      </c>
      <c r="BF15" s="14">
        <f t="shared" ca="1" si="2"/>
        <v>40.799999999999997</v>
      </c>
      <c r="BG15" s="14">
        <f t="shared" ca="1" si="2"/>
        <v>0.2</v>
      </c>
      <c r="BH15" s="14">
        <f t="shared" ca="1" si="2"/>
        <v>4.7</v>
      </c>
      <c r="BI15" s="14">
        <f t="shared" ca="1" si="2"/>
        <v>90.2</v>
      </c>
      <c r="BJ15" s="14">
        <f t="shared" ca="1" si="2"/>
        <v>237.6</v>
      </c>
      <c r="BK15" s="14">
        <f t="shared" ca="1" si="2"/>
        <v>446</v>
      </c>
      <c r="BL15" s="14">
        <f t="shared" ca="1" si="2"/>
        <v>543.4</v>
      </c>
      <c r="BM15" s="15">
        <f t="shared" ca="1" si="3"/>
        <v>3422</v>
      </c>
      <c r="BN15" s="14">
        <f t="shared" si="13"/>
        <v>2012</v>
      </c>
      <c r="BO15" s="14">
        <f t="shared" ca="1" si="4"/>
        <v>571.70000000000005</v>
      </c>
      <c r="BP15" s="14">
        <f t="shared" ca="1" si="4"/>
        <v>493.6</v>
      </c>
      <c r="BQ15" s="14">
        <f t="shared" ca="1" si="4"/>
        <v>304.39999999999998</v>
      </c>
      <c r="BR15" s="14">
        <f t="shared" ca="1" si="4"/>
        <v>318.7</v>
      </c>
      <c r="BS15" s="14">
        <f t="shared" ca="1" si="4"/>
        <v>89.2</v>
      </c>
      <c r="BT15" s="14">
        <f t="shared" ca="1" si="4"/>
        <v>21.6</v>
      </c>
      <c r="BU15" s="14">
        <f t="shared" ca="1" si="4"/>
        <v>0</v>
      </c>
      <c r="BV15" s="14">
        <f t="shared" ca="1" si="4"/>
        <v>0</v>
      </c>
      <c r="BW15" s="14">
        <f t="shared" ca="1" si="4"/>
        <v>53.8</v>
      </c>
      <c r="BX15" s="14">
        <f t="shared" ca="1" si="4"/>
        <v>179.6</v>
      </c>
      <c r="BY15" s="14">
        <f t="shared" ca="1" si="4"/>
        <v>386</v>
      </c>
      <c r="BZ15" s="14">
        <f t="shared" ca="1" si="4"/>
        <v>481.4</v>
      </c>
      <c r="CA15" s="14"/>
      <c r="CB15" s="14">
        <f t="shared" si="14"/>
        <v>2012</v>
      </c>
      <c r="CC15" s="14">
        <f t="shared" ca="1" si="5"/>
        <v>509.7</v>
      </c>
      <c r="CD15" s="14">
        <f t="shared" ca="1" si="5"/>
        <v>435.6</v>
      </c>
      <c r="CE15" s="14">
        <f t="shared" ca="1" si="5"/>
        <v>247.9</v>
      </c>
      <c r="CF15" s="14">
        <f t="shared" ca="1" si="5"/>
        <v>262</v>
      </c>
      <c r="CG15" s="14">
        <f t="shared" ca="1" si="5"/>
        <v>52.1</v>
      </c>
      <c r="CH15" s="14">
        <f t="shared" ca="1" si="5"/>
        <v>7.5</v>
      </c>
      <c r="CI15" s="14">
        <f t="shared" ca="1" si="5"/>
        <v>0</v>
      </c>
      <c r="CJ15" s="14">
        <f t="shared" ca="1" si="5"/>
        <v>0</v>
      </c>
      <c r="CK15" s="14">
        <f t="shared" ca="1" si="5"/>
        <v>24.4</v>
      </c>
      <c r="CL15" s="14">
        <f t="shared" ca="1" si="5"/>
        <v>124.7</v>
      </c>
      <c r="CM15" s="14">
        <f t="shared" ca="1" si="5"/>
        <v>326</v>
      </c>
      <c r="CN15" s="14">
        <f t="shared" ca="1" si="5"/>
        <v>419.4</v>
      </c>
      <c r="CO15" s="14"/>
      <c r="CP15" s="14">
        <f t="shared" si="15"/>
        <v>2012</v>
      </c>
      <c r="CQ15" s="14">
        <f t="shared" ca="1" si="6"/>
        <v>447.7</v>
      </c>
      <c r="CR15" s="14">
        <f t="shared" ca="1" si="6"/>
        <v>377.6</v>
      </c>
      <c r="CS15" s="14">
        <f t="shared" ca="1" si="6"/>
        <v>198.9</v>
      </c>
      <c r="CT15" s="14">
        <f t="shared" ca="1" si="6"/>
        <v>206.9</v>
      </c>
      <c r="CU15" s="14">
        <f t="shared" ca="1" si="6"/>
        <v>22.5</v>
      </c>
      <c r="CV15" s="14">
        <f t="shared" ca="1" si="6"/>
        <v>0.5</v>
      </c>
      <c r="CW15" s="14">
        <f t="shared" ca="1" si="6"/>
        <v>0</v>
      </c>
      <c r="CX15" s="14">
        <f t="shared" ca="1" si="6"/>
        <v>0</v>
      </c>
      <c r="CY15" s="14">
        <f t="shared" ca="1" si="6"/>
        <v>5.5</v>
      </c>
      <c r="CZ15" s="14">
        <f t="shared" ca="1" si="6"/>
        <v>79.400000000000006</v>
      </c>
      <c r="DA15" s="14">
        <f t="shared" ca="1" si="6"/>
        <v>266.60000000000002</v>
      </c>
      <c r="DB15" s="14">
        <f t="shared" ca="1" si="6"/>
        <v>357.4</v>
      </c>
      <c r="DC15" s="14"/>
      <c r="DD15" s="14">
        <f t="shared" si="16"/>
        <v>2012</v>
      </c>
      <c r="DE15" s="14">
        <f t="shared" ca="1" si="17"/>
        <v>385.7</v>
      </c>
      <c r="DF15" s="14">
        <f t="shared" ca="1" si="17"/>
        <v>319.60000000000002</v>
      </c>
      <c r="DG15" s="14">
        <f t="shared" ca="1" si="17"/>
        <v>158.69999999999999</v>
      </c>
      <c r="DH15" s="14">
        <f t="shared" ca="1" si="17"/>
        <v>153.5</v>
      </c>
      <c r="DI15" s="14">
        <f t="shared" ca="1" si="17"/>
        <v>7.3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45.3</v>
      </c>
      <c r="DO15" s="14">
        <f t="shared" ca="1" si="17"/>
        <v>210.2</v>
      </c>
      <c r="DP15" s="14">
        <f t="shared" ca="1" si="17"/>
        <v>295.39999999999998</v>
      </c>
      <c r="DQ15" s="14"/>
      <c r="DR15" s="14">
        <f t="shared" si="18"/>
        <v>2012</v>
      </c>
      <c r="DS15" s="14">
        <f t="shared" ca="1" si="19"/>
        <v>323.7</v>
      </c>
      <c r="DT15" s="14">
        <f t="shared" ca="1" si="19"/>
        <v>261.60000000000002</v>
      </c>
      <c r="DU15" s="14">
        <f t="shared" ca="1" si="19"/>
        <v>123.7</v>
      </c>
      <c r="DV15" s="14">
        <f t="shared" ca="1" si="19"/>
        <v>102.4</v>
      </c>
      <c r="DW15" s="14">
        <f t="shared" ca="1" si="19"/>
        <v>1.3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19.100000000000001</v>
      </c>
      <c r="EC15" s="14">
        <f t="shared" ca="1" si="19"/>
        <v>156</v>
      </c>
      <c r="ED15" s="14">
        <f t="shared" ca="1" si="19"/>
        <v>235.5</v>
      </c>
      <c r="EE15" s="14"/>
    </row>
    <row r="16" spans="1:153">
      <c r="A16">
        <v>2003</v>
      </c>
      <c r="B16">
        <v>3</v>
      </c>
      <c r="C16" s="11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4">
        <f t="shared" si="9"/>
        <v>2013</v>
      </c>
      <c r="Y16" s="14">
        <f t="shared" ca="1" si="10"/>
        <v>762.9</v>
      </c>
      <c r="Z16" s="14">
        <f t="shared" ca="1" si="10"/>
        <v>759.8</v>
      </c>
      <c r="AA16" s="14">
        <f t="shared" ca="1" si="10"/>
        <v>706.2</v>
      </c>
      <c r="AB16" s="14">
        <f t="shared" ca="1" si="10"/>
        <v>488.7</v>
      </c>
      <c r="AC16" s="14">
        <f t="shared" ca="1" si="10"/>
        <v>275.2</v>
      </c>
      <c r="AD16" s="14">
        <f t="shared" ca="1" si="10"/>
        <v>162.1</v>
      </c>
      <c r="AE16" s="14">
        <f t="shared" ca="1" si="10"/>
        <v>62.2</v>
      </c>
      <c r="AF16" s="14">
        <f t="shared" ca="1" si="10"/>
        <v>84.9</v>
      </c>
      <c r="AG16" s="14">
        <f t="shared" ca="1" si="10"/>
        <v>205.2</v>
      </c>
      <c r="AH16" s="14">
        <f t="shared" ca="1" si="10"/>
        <v>358.8</v>
      </c>
      <c r="AI16" s="14">
        <f t="shared" ca="1" si="10"/>
        <v>596.70000000000005</v>
      </c>
      <c r="AJ16" s="14">
        <f t="shared" ca="1" si="10"/>
        <v>841.5</v>
      </c>
      <c r="AK16" s="14"/>
      <c r="AL16" s="14">
        <f t="shared" si="11"/>
        <v>2013</v>
      </c>
      <c r="AM16" s="14">
        <f t="shared" ca="1" si="1"/>
        <v>700.9</v>
      </c>
      <c r="AN16" s="14">
        <f t="shared" ca="1" si="1"/>
        <v>703.8</v>
      </c>
      <c r="AO16" s="14">
        <f t="shared" ca="1" si="1"/>
        <v>644.20000000000005</v>
      </c>
      <c r="AP16" s="14">
        <f t="shared" ca="1" si="1"/>
        <v>428.7</v>
      </c>
      <c r="AQ16" s="14">
        <f t="shared" ca="1" si="1"/>
        <v>215.9</v>
      </c>
      <c r="AR16" s="14">
        <f t="shared" ca="1" si="1"/>
        <v>115.1</v>
      </c>
      <c r="AS16" s="14">
        <f t="shared" ca="1" si="1"/>
        <v>28.6</v>
      </c>
      <c r="AT16" s="14">
        <f t="shared" ca="1" si="1"/>
        <v>42.5</v>
      </c>
      <c r="AU16" s="14">
        <f t="shared" ca="1" si="1"/>
        <v>152.30000000000001</v>
      </c>
      <c r="AV16" s="14">
        <f t="shared" ca="1" si="1"/>
        <v>296.8</v>
      </c>
      <c r="AW16" s="14">
        <f t="shared" ca="1" si="1"/>
        <v>536.70000000000005</v>
      </c>
      <c r="AX16" s="14">
        <f t="shared" ca="1" si="1"/>
        <v>779.5</v>
      </c>
      <c r="AY16" s="15"/>
      <c r="AZ16" s="14">
        <f t="shared" si="12"/>
        <v>2013</v>
      </c>
      <c r="BA16" s="14">
        <f t="shared" ca="1" si="2"/>
        <v>638.9</v>
      </c>
      <c r="BB16" s="14">
        <f t="shared" ca="1" si="2"/>
        <v>647.79999999999995</v>
      </c>
      <c r="BC16" s="14">
        <f t="shared" ca="1" si="2"/>
        <v>582.20000000000005</v>
      </c>
      <c r="BD16" s="14">
        <f t="shared" ca="1" si="2"/>
        <v>368.7</v>
      </c>
      <c r="BE16" s="14">
        <f t="shared" ca="1" si="2"/>
        <v>163.69999999999999</v>
      </c>
      <c r="BF16" s="14">
        <f t="shared" ca="1" si="2"/>
        <v>74.5</v>
      </c>
      <c r="BG16" s="14">
        <f t="shared" ca="1" si="2"/>
        <v>6.3</v>
      </c>
      <c r="BH16" s="14">
        <f t="shared" ca="1" si="2"/>
        <v>13.8</v>
      </c>
      <c r="BI16" s="14">
        <f t="shared" ca="1" si="2"/>
        <v>103.5</v>
      </c>
      <c r="BJ16" s="14">
        <f t="shared" ca="1" si="2"/>
        <v>234.9</v>
      </c>
      <c r="BK16" s="14">
        <f t="shared" ca="1" si="2"/>
        <v>476.7</v>
      </c>
      <c r="BL16" s="14">
        <f t="shared" ca="1" si="2"/>
        <v>717.5</v>
      </c>
      <c r="BM16" s="15">
        <f t="shared" ca="1" si="3"/>
        <v>4028.5</v>
      </c>
      <c r="BN16" s="14">
        <f t="shared" si="13"/>
        <v>2013</v>
      </c>
      <c r="BO16" s="14">
        <f t="shared" ca="1" si="4"/>
        <v>576.9</v>
      </c>
      <c r="BP16" s="14">
        <f t="shared" ca="1" si="4"/>
        <v>591.79999999999995</v>
      </c>
      <c r="BQ16" s="14">
        <f t="shared" ca="1" si="4"/>
        <v>520.20000000000005</v>
      </c>
      <c r="BR16" s="14">
        <f t="shared" ca="1" si="4"/>
        <v>309.39999999999998</v>
      </c>
      <c r="BS16" s="14">
        <f t="shared" ca="1" si="4"/>
        <v>120.1</v>
      </c>
      <c r="BT16" s="14">
        <f t="shared" ca="1" si="4"/>
        <v>39.4</v>
      </c>
      <c r="BU16" s="14">
        <f t="shared" ca="1" si="4"/>
        <v>0.2</v>
      </c>
      <c r="BV16" s="14">
        <f t="shared" ca="1" si="4"/>
        <v>1.8</v>
      </c>
      <c r="BW16" s="14">
        <f t="shared" ca="1" si="4"/>
        <v>63.2</v>
      </c>
      <c r="BX16" s="14">
        <f t="shared" ca="1" si="4"/>
        <v>175.4</v>
      </c>
      <c r="BY16" s="14">
        <f t="shared" ca="1" si="4"/>
        <v>416.7</v>
      </c>
      <c r="BZ16" s="14">
        <f t="shared" ca="1" si="4"/>
        <v>655.5</v>
      </c>
      <c r="CA16" s="14"/>
      <c r="CB16" s="14">
        <f t="shared" si="14"/>
        <v>2013</v>
      </c>
      <c r="CC16" s="14">
        <f t="shared" ca="1" si="5"/>
        <v>514.9</v>
      </c>
      <c r="CD16" s="14">
        <f t="shared" ca="1" si="5"/>
        <v>535.79999999999995</v>
      </c>
      <c r="CE16" s="14">
        <f t="shared" ca="1" si="5"/>
        <v>458.2</v>
      </c>
      <c r="CF16" s="14">
        <f t="shared" ca="1" si="5"/>
        <v>252.8</v>
      </c>
      <c r="CG16" s="14">
        <f t="shared" ca="1" si="5"/>
        <v>80.2</v>
      </c>
      <c r="CH16" s="14">
        <f t="shared" ca="1" si="5"/>
        <v>14.4</v>
      </c>
      <c r="CI16" s="14">
        <f t="shared" ca="1" si="5"/>
        <v>0</v>
      </c>
      <c r="CJ16" s="14">
        <f t="shared" ca="1" si="5"/>
        <v>0</v>
      </c>
      <c r="CK16" s="14">
        <f t="shared" ca="1" si="5"/>
        <v>32.4</v>
      </c>
      <c r="CL16" s="14">
        <f t="shared" ca="1" si="5"/>
        <v>126</v>
      </c>
      <c r="CM16" s="14">
        <f t="shared" ca="1" si="5"/>
        <v>356.7</v>
      </c>
      <c r="CN16" s="14">
        <f t="shared" ca="1" si="5"/>
        <v>593.5</v>
      </c>
      <c r="CO16" s="14"/>
      <c r="CP16" s="14">
        <f t="shared" si="15"/>
        <v>2013</v>
      </c>
      <c r="CQ16" s="14">
        <f t="shared" ca="1" si="6"/>
        <v>452.9</v>
      </c>
      <c r="CR16" s="14">
        <f t="shared" ca="1" si="6"/>
        <v>479.8</v>
      </c>
      <c r="CS16" s="14">
        <f t="shared" ca="1" si="6"/>
        <v>396.2</v>
      </c>
      <c r="CT16" s="14">
        <f t="shared" ca="1" si="6"/>
        <v>200.1</v>
      </c>
      <c r="CU16" s="14">
        <f t="shared" ca="1" si="6"/>
        <v>48.9</v>
      </c>
      <c r="CV16" s="14">
        <f t="shared" ca="1" si="6"/>
        <v>3.4</v>
      </c>
      <c r="CW16" s="14">
        <f t="shared" ca="1" si="6"/>
        <v>0</v>
      </c>
      <c r="CX16" s="14">
        <f t="shared" ca="1" si="6"/>
        <v>0</v>
      </c>
      <c r="CY16" s="14">
        <f t="shared" ca="1" si="6"/>
        <v>13.8</v>
      </c>
      <c r="CZ16" s="14">
        <f t="shared" ca="1" si="6"/>
        <v>86.9</v>
      </c>
      <c r="DA16" s="14">
        <f t="shared" ca="1" si="6"/>
        <v>298.39999999999998</v>
      </c>
      <c r="DB16" s="14">
        <f t="shared" ca="1" si="6"/>
        <v>531.5</v>
      </c>
      <c r="DC16" s="14"/>
      <c r="DD16" s="14">
        <f t="shared" si="16"/>
        <v>2013</v>
      </c>
      <c r="DE16" s="14">
        <f t="shared" ca="1" si="17"/>
        <v>390.9</v>
      </c>
      <c r="DF16" s="14">
        <f t="shared" ca="1" si="17"/>
        <v>423.8</v>
      </c>
      <c r="DG16" s="14">
        <f t="shared" ca="1" si="17"/>
        <v>334.2</v>
      </c>
      <c r="DH16" s="14">
        <f t="shared" ca="1" si="17"/>
        <v>151.4</v>
      </c>
      <c r="DI16" s="14">
        <f t="shared" ca="1" si="17"/>
        <v>26.1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2.9</v>
      </c>
      <c r="DN16" s="14">
        <f t="shared" ca="1" si="17"/>
        <v>55.6</v>
      </c>
      <c r="DO16" s="14">
        <f t="shared" ca="1" si="17"/>
        <v>243.3</v>
      </c>
      <c r="DP16" s="14">
        <f t="shared" ca="1" si="17"/>
        <v>469.5</v>
      </c>
      <c r="DQ16" s="14"/>
      <c r="DR16" s="14">
        <f t="shared" si="18"/>
        <v>2013</v>
      </c>
      <c r="DS16" s="14">
        <f t="shared" ca="1" si="19"/>
        <v>331.1</v>
      </c>
      <c r="DT16" s="14">
        <f t="shared" ca="1" si="19"/>
        <v>367.8</v>
      </c>
      <c r="DU16" s="14">
        <f t="shared" ca="1" si="19"/>
        <v>272.7</v>
      </c>
      <c r="DV16" s="14">
        <f t="shared" ca="1" si="19"/>
        <v>108.1</v>
      </c>
      <c r="DW16" s="14">
        <f t="shared" ca="1" si="19"/>
        <v>10.7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</v>
      </c>
      <c r="EB16" s="14">
        <f t="shared" ca="1" si="19"/>
        <v>33.9</v>
      </c>
      <c r="EC16" s="14">
        <f t="shared" ca="1" si="19"/>
        <v>190.4</v>
      </c>
      <c r="ED16" s="14">
        <f t="shared" ca="1" si="19"/>
        <v>407.5</v>
      </c>
      <c r="EE16" s="14"/>
    </row>
    <row r="17" spans="1:135">
      <c r="A17">
        <v>2003</v>
      </c>
      <c r="B17">
        <v>4</v>
      </c>
      <c r="C17" s="11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4">
        <f t="shared" si="9"/>
        <v>2014</v>
      </c>
      <c r="Y17" s="14">
        <f t="shared" ca="1" si="10"/>
        <v>950.1</v>
      </c>
      <c r="Z17" s="14">
        <f t="shared" ca="1" si="10"/>
        <v>852.1</v>
      </c>
      <c r="AA17" s="14">
        <f t="shared" ca="1" si="10"/>
        <v>854</v>
      </c>
      <c r="AB17" s="14">
        <f t="shared" ca="1" si="10"/>
        <v>509.7</v>
      </c>
      <c r="AC17" s="14">
        <f t="shared" ca="1" si="10"/>
        <v>297.5</v>
      </c>
      <c r="AD17" s="14">
        <f t="shared" ca="1" si="10"/>
        <v>144.6</v>
      </c>
      <c r="AE17" s="14">
        <f t="shared" ca="1" si="10"/>
        <v>110</v>
      </c>
      <c r="AF17" s="14">
        <f t="shared" ca="1" si="10"/>
        <v>106.7</v>
      </c>
      <c r="AG17" s="14">
        <f t="shared" ca="1" si="10"/>
        <v>188.5</v>
      </c>
      <c r="AH17" s="14">
        <f t="shared" ca="1" si="10"/>
        <v>361.6</v>
      </c>
      <c r="AI17" s="14">
        <f t="shared" ca="1" si="10"/>
        <v>598.29999999999995</v>
      </c>
      <c r="AJ17" s="14">
        <f t="shared" ca="1" si="10"/>
        <v>704.1</v>
      </c>
      <c r="AK17" s="14"/>
      <c r="AL17" s="14">
        <f t="shared" si="11"/>
        <v>2014</v>
      </c>
      <c r="AM17" s="14">
        <f t="shared" ca="1" si="1"/>
        <v>888.1</v>
      </c>
      <c r="AN17" s="14">
        <f t="shared" ca="1" si="1"/>
        <v>796.1</v>
      </c>
      <c r="AO17" s="14">
        <f t="shared" ca="1" si="1"/>
        <v>792</v>
      </c>
      <c r="AP17" s="14">
        <f t="shared" ca="1" si="1"/>
        <v>449.7</v>
      </c>
      <c r="AQ17" s="14">
        <f t="shared" ca="1" si="1"/>
        <v>236.8</v>
      </c>
      <c r="AR17" s="14">
        <f t="shared" ca="1" si="1"/>
        <v>95.4</v>
      </c>
      <c r="AS17" s="14">
        <f t="shared" ca="1" si="1"/>
        <v>63.7</v>
      </c>
      <c r="AT17" s="14">
        <f t="shared" ca="1" si="1"/>
        <v>58.1</v>
      </c>
      <c r="AU17" s="14">
        <f t="shared" ca="1" si="1"/>
        <v>134.9</v>
      </c>
      <c r="AV17" s="14">
        <f t="shared" ca="1" si="1"/>
        <v>299.60000000000002</v>
      </c>
      <c r="AW17" s="14">
        <f t="shared" ca="1" si="1"/>
        <v>538.29999999999995</v>
      </c>
      <c r="AX17" s="14">
        <f t="shared" ca="1" si="1"/>
        <v>642.1</v>
      </c>
      <c r="AY17" s="15"/>
      <c r="AZ17" s="14">
        <f t="shared" si="12"/>
        <v>2014</v>
      </c>
      <c r="BA17" s="14">
        <f t="shared" ca="1" si="2"/>
        <v>826.1</v>
      </c>
      <c r="BB17" s="14">
        <f t="shared" ca="1" si="2"/>
        <v>740.1</v>
      </c>
      <c r="BC17" s="14">
        <f t="shared" ca="1" si="2"/>
        <v>730</v>
      </c>
      <c r="BD17" s="14">
        <f t="shared" ca="1" si="2"/>
        <v>389.7</v>
      </c>
      <c r="BE17" s="14">
        <f t="shared" ca="1" si="2"/>
        <v>180.7</v>
      </c>
      <c r="BF17" s="14">
        <f t="shared" ca="1" si="2"/>
        <v>57.2</v>
      </c>
      <c r="BG17" s="14">
        <f t="shared" ca="1" si="2"/>
        <v>29.7</v>
      </c>
      <c r="BH17" s="14">
        <f t="shared" ca="1" si="2"/>
        <v>24.1</v>
      </c>
      <c r="BI17" s="14">
        <f t="shared" ca="1" si="2"/>
        <v>86.3</v>
      </c>
      <c r="BJ17" s="14">
        <f t="shared" ca="1" si="2"/>
        <v>238.8</v>
      </c>
      <c r="BK17" s="14">
        <f t="shared" ca="1" si="2"/>
        <v>478.3</v>
      </c>
      <c r="BL17" s="14">
        <f t="shared" ca="1" si="2"/>
        <v>580.1</v>
      </c>
      <c r="BM17" s="15">
        <f t="shared" ca="1" si="3"/>
        <v>4361.0999999999995</v>
      </c>
      <c r="BN17" s="14">
        <f t="shared" si="13"/>
        <v>2014</v>
      </c>
      <c r="BO17" s="14">
        <f t="shared" ca="1" si="4"/>
        <v>764.1</v>
      </c>
      <c r="BP17" s="14">
        <f t="shared" ca="1" si="4"/>
        <v>684.1</v>
      </c>
      <c r="BQ17" s="14">
        <f t="shared" ca="1" si="4"/>
        <v>668</v>
      </c>
      <c r="BR17" s="14">
        <f t="shared" ca="1" si="4"/>
        <v>329.7</v>
      </c>
      <c r="BS17" s="14">
        <f t="shared" ca="1" si="4"/>
        <v>125.5</v>
      </c>
      <c r="BT17" s="14">
        <f t="shared" ca="1" si="4"/>
        <v>24.3</v>
      </c>
      <c r="BU17" s="14">
        <f t="shared" ca="1" si="4"/>
        <v>6.3</v>
      </c>
      <c r="BV17" s="14">
        <f t="shared" ca="1" si="4"/>
        <v>7.6</v>
      </c>
      <c r="BW17" s="14">
        <f t="shared" ca="1" si="4"/>
        <v>46</v>
      </c>
      <c r="BX17" s="14">
        <f t="shared" ca="1" si="4"/>
        <v>181.9</v>
      </c>
      <c r="BY17" s="14">
        <f t="shared" ca="1" si="4"/>
        <v>418.3</v>
      </c>
      <c r="BZ17" s="14">
        <f t="shared" ca="1" si="4"/>
        <v>518.1</v>
      </c>
      <c r="CA17" s="14"/>
      <c r="CB17" s="14">
        <f t="shared" si="14"/>
        <v>2014</v>
      </c>
      <c r="CC17" s="14">
        <f t="shared" ca="1" si="5"/>
        <v>702.1</v>
      </c>
      <c r="CD17" s="14">
        <f t="shared" ca="1" si="5"/>
        <v>628.1</v>
      </c>
      <c r="CE17" s="14">
        <f t="shared" ca="1" si="5"/>
        <v>606</v>
      </c>
      <c r="CF17" s="14">
        <f t="shared" ca="1" si="5"/>
        <v>269.7</v>
      </c>
      <c r="CG17" s="14">
        <f t="shared" ca="1" si="5"/>
        <v>78.3</v>
      </c>
      <c r="CH17" s="14">
        <f t="shared" ca="1" si="5"/>
        <v>8.3000000000000007</v>
      </c>
      <c r="CI17" s="14">
        <f t="shared" ca="1" si="5"/>
        <v>0</v>
      </c>
      <c r="CJ17" s="14">
        <f t="shared" ca="1" si="5"/>
        <v>1.3</v>
      </c>
      <c r="CK17" s="14">
        <f t="shared" ca="1" si="5"/>
        <v>25</v>
      </c>
      <c r="CL17" s="14">
        <f t="shared" ca="1" si="5"/>
        <v>128.9</v>
      </c>
      <c r="CM17" s="14">
        <f t="shared" ca="1" si="5"/>
        <v>358.3</v>
      </c>
      <c r="CN17" s="14">
        <f t="shared" ca="1" si="5"/>
        <v>456.1</v>
      </c>
      <c r="CO17" s="14"/>
      <c r="CP17" s="14">
        <f t="shared" si="15"/>
        <v>2014</v>
      </c>
      <c r="CQ17" s="14">
        <f t="shared" ca="1" si="6"/>
        <v>640.1</v>
      </c>
      <c r="CR17" s="14">
        <f t="shared" ca="1" si="6"/>
        <v>572.1</v>
      </c>
      <c r="CS17" s="14">
        <f t="shared" ca="1" si="6"/>
        <v>544</v>
      </c>
      <c r="CT17" s="14">
        <f t="shared" ca="1" si="6"/>
        <v>210.8</v>
      </c>
      <c r="CU17" s="14">
        <f t="shared" ca="1" si="6"/>
        <v>46</v>
      </c>
      <c r="CV17" s="14">
        <f t="shared" ca="1" si="6"/>
        <v>1.6</v>
      </c>
      <c r="CW17" s="14">
        <f t="shared" ca="1" si="6"/>
        <v>0</v>
      </c>
      <c r="CX17" s="14">
        <f t="shared" ca="1" si="6"/>
        <v>0</v>
      </c>
      <c r="CY17" s="14">
        <f t="shared" ca="1" si="6"/>
        <v>10.9</v>
      </c>
      <c r="CZ17" s="14">
        <f t="shared" ca="1" si="6"/>
        <v>85.3</v>
      </c>
      <c r="DA17" s="14">
        <f t="shared" ca="1" si="6"/>
        <v>298.3</v>
      </c>
      <c r="DB17" s="14">
        <f t="shared" ca="1" si="6"/>
        <v>394.1</v>
      </c>
      <c r="DC17" s="14"/>
      <c r="DD17" s="14">
        <f t="shared" si="16"/>
        <v>2014</v>
      </c>
      <c r="DE17" s="14">
        <f t="shared" ca="1" si="17"/>
        <v>578.1</v>
      </c>
      <c r="DF17" s="14">
        <f t="shared" ca="1" si="17"/>
        <v>516.1</v>
      </c>
      <c r="DG17" s="14">
        <f t="shared" ca="1" si="17"/>
        <v>482</v>
      </c>
      <c r="DH17" s="14">
        <f t="shared" ca="1" si="17"/>
        <v>155.30000000000001</v>
      </c>
      <c r="DI17" s="14">
        <f t="shared" ca="1" si="17"/>
        <v>25.4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2.9</v>
      </c>
      <c r="DN17" s="14">
        <f t="shared" ca="1" si="17"/>
        <v>47.3</v>
      </c>
      <c r="DO17" s="14">
        <f t="shared" ca="1" si="17"/>
        <v>240.6</v>
      </c>
      <c r="DP17" s="14">
        <f t="shared" ca="1" si="17"/>
        <v>332.1</v>
      </c>
      <c r="DQ17" s="14"/>
      <c r="DR17" s="14">
        <f t="shared" si="18"/>
        <v>2014</v>
      </c>
      <c r="DS17" s="14">
        <f t="shared" ca="1" si="19"/>
        <v>516.1</v>
      </c>
      <c r="DT17" s="14">
        <f t="shared" ca="1" si="19"/>
        <v>460.1</v>
      </c>
      <c r="DU17" s="14">
        <f t="shared" ca="1" si="19"/>
        <v>420</v>
      </c>
      <c r="DV17" s="14">
        <f t="shared" ca="1" si="19"/>
        <v>105.1</v>
      </c>
      <c r="DW17" s="14">
        <f t="shared" ca="1" si="19"/>
        <v>9.8000000000000007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</v>
      </c>
      <c r="EB17" s="14">
        <f t="shared" ca="1" si="19"/>
        <v>15.4</v>
      </c>
      <c r="EC17" s="14">
        <f t="shared" ca="1" si="19"/>
        <v>187.8</v>
      </c>
      <c r="ED17" s="14">
        <f t="shared" ca="1" si="19"/>
        <v>270.10000000000002</v>
      </c>
      <c r="EE17" s="14"/>
    </row>
    <row r="18" spans="1:135">
      <c r="A18">
        <v>2003</v>
      </c>
      <c r="B18">
        <v>5</v>
      </c>
      <c r="C18" s="11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4">
        <f t="shared" si="9"/>
        <v>2015</v>
      </c>
      <c r="Y18" s="14">
        <f t="shared" ca="1" si="10"/>
        <v>948.7</v>
      </c>
      <c r="Z18" s="14">
        <f t="shared" ca="1" si="10"/>
        <v>972.7</v>
      </c>
      <c r="AA18" s="14">
        <f t="shared" ca="1" si="10"/>
        <v>770.7</v>
      </c>
      <c r="AB18" s="14">
        <f t="shared" ca="1" si="10"/>
        <v>486.8</v>
      </c>
      <c r="AC18" s="14">
        <f t="shared" ca="1" si="10"/>
        <v>258.7</v>
      </c>
      <c r="AD18" s="14">
        <f t="shared" ca="1" si="10"/>
        <v>183.8</v>
      </c>
      <c r="AE18" s="14">
        <f t="shared" ca="1" si="10"/>
        <v>77.8</v>
      </c>
      <c r="AF18" s="14">
        <f t="shared" ca="1" si="10"/>
        <v>84.2</v>
      </c>
      <c r="AG18" s="14">
        <f t="shared" ca="1" si="10"/>
        <v>95.3</v>
      </c>
      <c r="AH18" s="14">
        <f t="shared" ca="1" si="10"/>
        <v>378.3</v>
      </c>
      <c r="AI18" s="14">
        <f t="shared" ca="1" si="10"/>
        <v>457.6</v>
      </c>
      <c r="AJ18" s="14">
        <f t="shared" ca="1" si="10"/>
        <v>560.6</v>
      </c>
      <c r="AK18" s="14"/>
      <c r="AL18" s="14">
        <f t="shared" si="11"/>
        <v>2015</v>
      </c>
      <c r="AM18" s="14">
        <f t="shared" ca="1" si="1"/>
        <v>886.7</v>
      </c>
      <c r="AN18" s="14">
        <f t="shared" ca="1" si="1"/>
        <v>916.7</v>
      </c>
      <c r="AO18" s="14">
        <f t="shared" ca="1" si="1"/>
        <v>708.7</v>
      </c>
      <c r="AP18" s="14">
        <f t="shared" ca="1" si="1"/>
        <v>426.8</v>
      </c>
      <c r="AQ18" s="14">
        <f t="shared" ca="1" si="1"/>
        <v>204</v>
      </c>
      <c r="AR18" s="14">
        <f t="shared" ca="1" si="1"/>
        <v>124.5</v>
      </c>
      <c r="AS18" s="14">
        <f t="shared" ca="1" si="1"/>
        <v>43.1</v>
      </c>
      <c r="AT18" s="14">
        <f t="shared" ca="1" si="1"/>
        <v>41.4</v>
      </c>
      <c r="AU18" s="14">
        <f t="shared" ca="1" si="1"/>
        <v>58.5</v>
      </c>
      <c r="AV18" s="14">
        <f t="shared" ca="1" si="1"/>
        <v>316.8</v>
      </c>
      <c r="AW18" s="14">
        <f t="shared" ca="1" si="1"/>
        <v>397.6</v>
      </c>
      <c r="AX18" s="14">
        <f t="shared" ca="1" si="1"/>
        <v>498.6</v>
      </c>
      <c r="AY18" s="15"/>
      <c r="AZ18" s="14">
        <f t="shared" si="12"/>
        <v>2015</v>
      </c>
      <c r="BA18" s="14">
        <f t="shared" ca="1" si="2"/>
        <v>824.7</v>
      </c>
      <c r="BB18" s="14">
        <f t="shared" ca="1" si="2"/>
        <v>860.7</v>
      </c>
      <c r="BC18" s="14">
        <f t="shared" ca="1" si="2"/>
        <v>646.70000000000005</v>
      </c>
      <c r="BD18" s="14">
        <f t="shared" ca="1" si="2"/>
        <v>366.8</v>
      </c>
      <c r="BE18" s="14">
        <f t="shared" ca="1" si="2"/>
        <v>156</v>
      </c>
      <c r="BF18" s="14">
        <f t="shared" ca="1" si="2"/>
        <v>69.8</v>
      </c>
      <c r="BG18" s="14">
        <f t="shared" ca="1" si="2"/>
        <v>17.399999999999999</v>
      </c>
      <c r="BH18" s="14">
        <f t="shared" ca="1" si="2"/>
        <v>12.2</v>
      </c>
      <c r="BI18" s="14">
        <f t="shared" ca="1" si="2"/>
        <v>27.6</v>
      </c>
      <c r="BJ18" s="14">
        <f t="shared" ca="1" si="2"/>
        <v>257.10000000000002</v>
      </c>
      <c r="BK18" s="14">
        <f t="shared" ca="1" si="2"/>
        <v>339.1</v>
      </c>
      <c r="BL18" s="14">
        <f t="shared" ca="1" si="2"/>
        <v>436.6</v>
      </c>
      <c r="BM18" s="15">
        <f t="shared" ca="1" si="3"/>
        <v>4014.7000000000003</v>
      </c>
      <c r="BN18" s="14">
        <f t="shared" si="13"/>
        <v>2015</v>
      </c>
      <c r="BO18" s="14">
        <f t="shared" ca="1" si="4"/>
        <v>762.7</v>
      </c>
      <c r="BP18" s="14">
        <f t="shared" ca="1" si="4"/>
        <v>804.7</v>
      </c>
      <c r="BQ18" s="14">
        <f t="shared" ca="1" si="4"/>
        <v>584.70000000000005</v>
      </c>
      <c r="BR18" s="14">
        <f t="shared" ca="1" si="4"/>
        <v>306.8</v>
      </c>
      <c r="BS18" s="14">
        <f t="shared" ca="1" si="4"/>
        <v>111.5</v>
      </c>
      <c r="BT18" s="14">
        <f t="shared" ca="1" si="4"/>
        <v>29.1</v>
      </c>
      <c r="BU18" s="14">
        <f t="shared" ca="1" si="4"/>
        <v>4.8</v>
      </c>
      <c r="BV18" s="14">
        <f t="shared" ca="1" si="4"/>
        <v>0.4</v>
      </c>
      <c r="BW18" s="14">
        <f t="shared" ca="1" si="4"/>
        <v>11.3</v>
      </c>
      <c r="BX18" s="14">
        <f t="shared" ca="1" si="4"/>
        <v>199.1</v>
      </c>
      <c r="BY18" s="14">
        <f t="shared" ca="1" si="4"/>
        <v>281.10000000000002</v>
      </c>
      <c r="BZ18" s="14">
        <f t="shared" ca="1" si="4"/>
        <v>374.6</v>
      </c>
      <c r="CA18" s="14"/>
      <c r="CB18" s="14">
        <f t="shared" si="14"/>
        <v>2015</v>
      </c>
      <c r="CC18" s="14">
        <f t="shared" ca="1" si="5"/>
        <v>700.7</v>
      </c>
      <c r="CD18" s="14">
        <f t="shared" ca="1" si="5"/>
        <v>748.7</v>
      </c>
      <c r="CE18" s="14">
        <f t="shared" ca="1" si="5"/>
        <v>522.70000000000005</v>
      </c>
      <c r="CF18" s="14">
        <f t="shared" ca="1" si="5"/>
        <v>246.8</v>
      </c>
      <c r="CG18" s="14">
        <f t="shared" ca="1" si="5"/>
        <v>75.8</v>
      </c>
      <c r="CH18" s="14">
        <f t="shared" ca="1" si="5"/>
        <v>14.7</v>
      </c>
      <c r="CI18" s="14">
        <f t="shared" ca="1" si="5"/>
        <v>0</v>
      </c>
      <c r="CJ18" s="14">
        <f t="shared" ca="1" si="5"/>
        <v>0</v>
      </c>
      <c r="CK18" s="14">
        <f t="shared" ca="1" si="5"/>
        <v>2.5</v>
      </c>
      <c r="CL18" s="14">
        <f t="shared" ca="1" si="5"/>
        <v>141.1</v>
      </c>
      <c r="CM18" s="14">
        <f t="shared" ca="1" si="5"/>
        <v>225</v>
      </c>
      <c r="CN18" s="14">
        <f t="shared" ca="1" si="5"/>
        <v>312.60000000000002</v>
      </c>
      <c r="CO18" s="14"/>
      <c r="CP18" s="14">
        <f t="shared" si="15"/>
        <v>2015</v>
      </c>
      <c r="CQ18" s="14">
        <f t="shared" ca="1" si="6"/>
        <v>638.70000000000005</v>
      </c>
      <c r="CR18" s="14">
        <f t="shared" ca="1" si="6"/>
        <v>692.7</v>
      </c>
      <c r="CS18" s="14">
        <f t="shared" ca="1" si="6"/>
        <v>460.7</v>
      </c>
      <c r="CT18" s="14">
        <f t="shared" ca="1" si="6"/>
        <v>189</v>
      </c>
      <c r="CU18" s="14">
        <f t="shared" ca="1" si="6"/>
        <v>43</v>
      </c>
      <c r="CV18" s="14">
        <f t="shared" ca="1" si="6"/>
        <v>6.3</v>
      </c>
      <c r="CW18" s="14">
        <f t="shared" ca="1" si="6"/>
        <v>0</v>
      </c>
      <c r="CX18" s="14">
        <f t="shared" ca="1" si="6"/>
        <v>0</v>
      </c>
      <c r="CY18" s="14">
        <f t="shared" ca="1" si="6"/>
        <v>0</v>
      </c>
      <c r="CZ18" s="14">
        <f t="shared" ca="1" si="6"/>
        <v>90.9</v>
      </c>
      <c r="DA18" s="14">
        <f t="shared" ca="1" si="6"/>
        <v>171.9</v>
      </c>
      <c r="DB18" s="14">
        <f t="shared" ca="1" si="6"/>
        <v>250.6</v>
      </c>
      <c r="DC18" s="14"/>
      <c r="DD18" s="14">
        <f t="shared" si="16"/>
        <v>2015</v>
      </c>
      <c r="DE18" s="14">
        <f t="shared" ca="1" si="17"/>
        <v>576.70000000000005</v>
      </c>
      <c r="DF18" s="14">
        <f t="shared" ca="1" si="17"/>
        <v>636.70000000000005</v>
      </c>
      <c r="DG18" s="14">
        <f t="shared" ca="1" si="17"/>
        <v>398.7</v>
      </c>
      <c r="DH18" s="14">
        <f t="shared" ca="1" si="17"/>
        <v>134.6</v>
      </c>
      <c r="DI18" s="14">
        <f t="shared" ca="1" si="17"/>
        <v>19.8</v>
      </c>
      <c r="DJ18" s="14">
        <f t="shared" ca="1" si="17"/>
        <v>1.4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51.4</v>
      </c>
      <c r="DO18" s="14">
        <f t="shared" ca="1" si="17"/>
        <v>124.6</v>
      </c>
      <c r="DP18" s="14">
        <f t="shared" ca="1" si="17"/>
        <v>190.4</v>
      </c>
      <c r="DQ18" s="14"/>
      <c r="DR18" s="14">
        <f t="shared" si="18"/>
        <v>2015</v>
      </c>
      <c r="DS18" s="14">
        <f t="shared" ca="1" si="19"/>
        <v>514.70000000000005</v>
      </c>
      <c r="DT18" s="14">
        <f t="shared" ca="1" si="19"/>
        <v>580.70000000000005</v>
      </c>
      <c r="DU18" s="14">
        <f t="shared" ca="1" si="19"/>
        <v>336.7</v>
      </c>
      <c r="DV18" s="14">
        <f t="shared" ca="1" si="19"/>
        <v>86</v>
      </c>
      <c r="DW18" s="14">
        <f t="shared" ca="1" si="19"/>
        <v>7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26.6</v>
      </c>
      <c r="EC18" s="14">
        <f t="shared" ca="1" si="19"/>
        <v>82.9</v>
      </c>
      <c r="ED18" s="14">
        <f t="shared" ca="1" si="19"/>
        <v>133.69999999999999</v>
      </c>
      <c r="EE18" s="14"/>
    </row>
    <row r="19" spans="1:135">
      <c r="A19">
        <v>2003</v>
      </c>
      <c r="B19">
        <v>6</v>
      </c>
      <c r="C19" s="11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4">
        <f t="shared" si="9"/>
        <v>2016</v>
      </c>
      <c r="Y19" s="14">
        <f t="shared" ca="1" si="10"/>
        <v>806.3</v>
      </c>
      <c r="Z19" s="14">
        <f t="shared" ca="1" si="10"/>
        <v>739.5</v>
      </c>
      <c r="AA19" s="14">
        <f t="shared" ca="1" si="10"/>
        <v>637.29999999999995</v>
      </c>
      <c r="AB19" s="14">
        <f t="shared" ca="1" si="10"/>
        <v>559.79999999999995</v>
      </c>
      <c r="AC19" s="14">
        <f t="shared" ca="1" si="10"/>
        <v>318</v>
      </c>
      <c r="AD19" s="14">
        <f t="shared" ca="1" si="10"/>
        <v>149.30000000000001</v>
      </c>
      <c r="AE19" s="14">
        <f t="shared" ca="1" si="10"/>
        <v>39.299999999999997</v>
      </c>
      <c r="AF19" s="14">
        <f t="shared" ca="1" si="10"/>
        <v>20.5</v>
      </c>
      <c r="AG19" s="14">
        <f t="shared" ca="1" si="10"/>
        <v>131.1</v>
      </c>
      <c r="AH19" s="14">
        <f t="shared" ca="1" si="10"/>
        <v>317.8</v>
      </c>
      <c r="AI19" s="14">
        <f t="shared" ca="1" si="10"/>
        <v>436.9</v>
      </c>
      <c r="AJ19" s="14">
        <f t="shared" ca="1" si="10"/>
        <v>720.4</v>
      </c>
      <c r="AK19" s="14"/>
      <c r="AL19" s="14">
        <f t="shared" si="11"/>
        <v>2016</v>
      </c>
      <c r="AM19" s="14">
        <f t="shared" ca="1" si="1"/>
        <v>744.3</v>
      </c>
      <c r="AN19" s="14">
        <f t="shared" ca="1" si="1"/>
        <v>681.5</v>
      </c>
      <c r="AO19" s="14">
        <f t="shared" ca="1" si="1"/>
        <v>575.29999999999995</v>
      </c>
      <c r="AP19" s="14">
        <f t="shared" ca="1" si="1"/>
        <v>499.8</v>
      </c>
      <c r="AQ19" s="14">
        <f t="shared" ca="1" si="1"/>
        <v>260.7</v>
      </c>
      <c r="AR19" s="14">
        <f t="shared" ca="1" si="1"/>
        <v>101.2</v>
      </c>
      <c r="AS19" s="14">
        <f t="shared" ca="1" si="1"/>
        <v>14.5</v>
      </c>
      <c r="AT19" s="14">
        <f t="shared" ca="1" si="1"/>
        <v>4.4000000000000004</v>
      </c>
      <c r="AU19" s="14">
        <f t="shared" ca="1" si="1"/>
        <v>80.599999999999994</v>
      </c>
      <c r="AV19" s="14">
        <f t="shared" ca="1" si="1"/>
        <v>256.2</v>
      </c>
      <c r="AW19" s="14">
        <f t="shared" ca="1" si="1"/>
        <v>376.9</v>
      </c>
      <c r="AX19" s="14">
        <f t="shared" ca="1" si="1"/>
        <v>658.4</v>
      </c>
      <c r="AY19" s="15"/>
      <c r="AZ19" s="14">
        <f t="shared" si="12"/>
        <v>2016</v>
      </c>
      <c r="BA19" s="14">
        <f t="shared" ca="1" si="2"/>
        <v>682.3</v>
      </c>
      <c r="BB19" s="14">
        <f t="shared" ca="1" si="2"/>
        <v>623.5</v>
      </c>
      <c r="BC19" s="14">
        <f t="shared" ca="1" si="2"/>
        <v>513.29999999999995</v>
      </c>
      <c r="BD19" s="14">
        <f t="shared" ca="1" si="2"/>
        <v>439.8</v>
      </c>
      <c r="BE19" s="14">
        <f t="shared" ca="1" si="2"/>
        <v>206</v>
      </c>
      <c r="BF19" s="14">
        <f t="shared" ca="1" si="2"/>
        <v>58.3</v>
      </c>
      <c r="BG19" s="14">
        <f t="shared" ca="1" si="2"/>
        <v>2.9</v>
      </c>
      <c r="BH19" s="14">
        <f t="shared" ca="1" si="2"/>
        <v>0.4</v>
      </c>
      <c r="BI19" s="14">
        <f t="shared" ca="1" si="2"/>
        <v>45.4</v>
      </c>
      <c r="BJ19" s="14">
        <f t="shared" ca="1" si="2"/>
        <v>198.3</v>
      </c>
      <c r="BK19" s="14">
        <f t="shared" ca="1" si="2"/>
        <v>316.89999999999998</v>
      </c>
      <c r="BL19" s="14">
        <f t="shared" ca="1" si="2"/>
        <v>596.4</v>
      </c>
      <c r="BM19" s="15">
        <f t="shared" ca="1" si="3"/>
        <v>3683.5000000000009</v>
      </c>
      <c r="BN19" s="14">
        <f t="shared" si="13"/>
        <v>2016</v>
      </c>
      <c r="BO19" s="14">
        <f t="shared" ca="1" si="4"/>
        <v>620.29999999999995</v>
      </c>
      <c r="BP19" s="14">
        <f t="shared" ca="1" si="4"/>
        <v>565.5</v>
      </c>
      <c r="BQ19" s="14">
        <f t="shared" ca="1" si="4"/>
        <v>451.3</v>
      </c>
      <c r="BR19" s="14">
        <f t="shared" ca="1" si="4"/>
        <v>379.8</v>
      </c>
      <c r="BS19" s="14">
        <f t="shared" ca="1" si="4"/>
        <v>156.19999999999999</v>
      </c>
      <c r="BT19" s="14">
        <f t="shared" ca="1" si="4"/>
        <v>28.5</v>
      </c>
      <c r="BU19" s="14">
        <f t="shared" ca="1" si="4"/>
        <v>0</v>
      </c>
      <c r="BV19" s="14">
        <f t="shared" ca="1" si="4"/>
        <v>0</v>
      </c>
      <c r="BW19" s="14">
        <f t="shared" ca="1" si="4"/>
        <v>19.5</v>
      </c>
      <c r="BX19" s="14">
        <f t="shared" ca="1" si="4"/>
        <v>147.6</v>
      </c>
      <c r="BY19" s="14">
        <f t="shared" ca="1" si="4"/>
        <v>257</v>
      </c>
      <c r="BZ19" s="14">
        <f t="shared" ca="1" si="4"/>
        <v>534.4</v>
      </c>
      <c r="CA19" s="14"/>
      <c r="CB19" s="14">
        <f t="shared" si="14"/>
        <v>2016</v>
      </c>
      <c r="CC19" s="14">
        <f t="shared" ca="1" si="5"/>
        <v>558.29999999999995</v>
      </c>
      <c r="CD19" s="14">
        <f t="shared" ca="1" si="5"/>
        <v>507.5</v>
      </c>
      <c r="CE19" s="14">
        <f t="shared" ca="1" si="5"/>
        <v>389.3</v>
      </c>
      <c r="CF19" s="14">
        <f t="shared" ca="1" si="5"/>
        <v>319.8</v>
      </c>
      <c r="CG19" s="14">
        <f t="shared" ca="1" si="5"/>
        <v>108.8</v>
      </c>
      <c r="CH19" s="14">
        <f t="shared" ca="1" si="5"/>
        <v>10.199999999999999</v>
      </c>
      <c r="CI19" s="14">
        <f t="shared" ca="1" si="5"/>
        <v>0</v>
      </c>
      <c r="CJ19" s="14">
        <f t="shared" ca="1" si="5"/>
        <v>0</v>
      </c>
      <c r="CK19" s="14">
        <f t="shared" ca="1" si="5"/>
        <v>4.4000000000000004</v>
      </c>
      <c r="CL19" s="14">
        <f t="shared" ca="1" si="5"/>
        <v>104.9</v>
      </c>
      <c r="CM19" s="14">
        <f t="shared" ca="1" si="5"/>
        <v>199</v>
      </c>
      <c r="CN19" s="14">
        <f t="shared" ca="1" si="5"/>
        <v>472.4</v>
      </c>
      <c r="CO19" s="14"/>
      <c r="CP19" s="14">
        <f t="shared" si="15"/>
        <v>2016</v>
      </c>
      <c r="CQ19" s="14">
        <f t="shared" ca="1" si="6"/>
        <v>496.3</v>
      </c>
      <c r="CR19" s="14">
        <f t="shared" ca="1" si="6"/>
        <v>449.5</v>
      </c>
      <c r="CS19" s="14">
        <f t="shared" ca="1" si="6"/>
        <v>327.8</v>
      </c>
      <c r="CT19" s="14">
        <f t="shared" ca="1" si="6"/>
        <v>261.7</v>
      </c>
      <c r="CU19" s="14">
        <f t="shared" ca="1" si="6"/>
        <v>68.8</v>
      </c>
      <c r="CV19" s="14">
        <f t="shared" ca="1" si="6"/>
        <v>2</v>
      </c>
      <c r="CW19" s="14">
        <f t="shared" ca="1" si="6"/>
        <v>0</v>
      </c>
      <c r="CX19" s="14">
        <f t="shared" ca="1" si="6"/>
        <v>0</v>
      </c>
      <c r="CY19" s="14">
        <f t="shared" ca="1" si="6"/>
        <v>0.2</v>
      </c>
      <c r="CZ19" s="14">
        <f t="shared" ca="1" si="6"/>
        <v>71.099999999999994</v>
      </c>
      <c r="DA19" s="14">
        <f t="shared" ca="1" si="6"/>
        <v>143</v>
      </c>
      <c r="DB19" s="14">
        <f t="shared" ca="1" si="6"/>
        <v>410.4</v>
      </c>
      <c r="DC19" s="14"/>
      <c r="DD19" s="14">
        <f t="shared" si="16"/>
        <v>2016</v>
      </c>
      <c r="DE19" s="14">
        <f t="shared" ca="1" si="17"/>
        <v>434.3</v>
      </c>
      <c r="DF19" s="14">
        <f t="shared" ca="1" si="17"/>
        <v>391.5</v>
      </c>
      <c r="DG19" s="14">
        <f t="shared" ca="1" si="17"/>
        <v>268.7</v>
      </c>
      <c r="DH19" s="14">
        <f t="shared" ca="1" si="17"/>
        <v>206.3</v>
      </c>
      <c r="DI19" s="14">
        <f t="shared" ca="1" si="17"/>
        <v>41.7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0</v>
      </c>
      <c r="DN19" s="14">
        <f t="shared" ca="1" si="17"/>
        <v>43.4</v>
      </c>
      <c r="DO19" s="14">
        <f t="shared" ca="1" si="17"/>
        <v>97</v>
      </c>
      <c r="DP19" s="14">
        <f t="shared" ca="1" si="17"/>
        <v>348.4</v>
      </c>
      <c r="DQ19" s="14"/>
      <c r="DR19" s="14">
        <f t="shared" si="18"/>
        <v>2016</v>
      </c>
      <c r="DS19" s="14">
        <f t="shared" ca="1" si="19"/>
        <v>372.3</v>
      </c>
      <c r="DT19" s="14">
        <f t="shared" ca="1" si="19"/>
        <v>333.5</v>
      </c>
      <c r="DU19" s="14">
        <f t="shared" ca="1" si="19"/>
        <v>210.7</v>
      </c>
      <c r="DV19" s="14">
        <f t="shared" ca="1" si="19"/>
        <v>155.19999999999999</v>
      </c>
      <c r="DW19" s="14">
        <f t="shared" ca="1" si="19"/>
        <v>18.5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22</v>
      </c>
      <c r="EC19" s="14">
        <f t="shared" ca="1" si="19"/>
        <v>63.4</v>
      </c>
      <c r="ED19" s="14">
        <f t="shared" ca="1" si="19"/>
        <v>286.39999999999998</v>
      </c>
      <c r="EE19" s="14"/>
    </row>
    <row r="20" spans="1:135">
      <c r="A20">
        <v>2003</v>
      </c>
      <c r="B20">
        <v>7</v>
      </c>
      <c r="C20" s="11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4">
        <f t="shared" si="9"/>
        <v>2017</v>
      </c>
      <c r="Y20" s="14">
        <f t="shared" ca="1" si="10"/>
        <v>738</v>
      </c>
      <c r="Z20" s="14">
        <f t="shared" ca="1" si="10"/>
        <v>624.4</v>
      </c>
      <c r="AA20" s="14">
        <f t="shared" ca="1" si="10"/>
        <v>733.1</v>
      </c>
      <c r="AB20" s="14">
        <f t="shared" ca="1" si="10"/>
        <v>418.4</v>
      </c>
      <c r="AC20" s="14">
        <f t="shared" ca="1" si="10"/>
        <v>338.7</v>
      </c>
      <c r="AD20" s="14">
        <f t="shared" ca="1" si="10"/>
        <v>150.80000000000001</v>
      </c>
      <c r="AE20" s="14">
        <f t="shared" ca="1" si="10"/>
        <v>67.099999999999994</v>
      </c>
      <c r="AF20" s="14">
        <f t="shared" ca="1" si="10"/>
        <v>100.3</v>
      </c>
      <c r="AG20" s="14">
        <f t="shared" ca="1" si="10"/>
        <v>147.69999999999999</v>
      </c>
      <c r="AH20" s="14">
        <f t="shared" ca="1" si="10"/>
        <v>276.7</v>
      </c>
      <c r="AI20" s="14">
        <f t="shared" ca="1" si="10"/>
        <v>564.79999999999995</v>
      </c>
      <c r="AJ20" s="14">
        <f t="shared" ca="1" si="10"/>
        <v>839.7</v>
      </c>
      <c r="AK20" s="14"/>
      <c r="AL20" s="14">
        <f t="shared" si="11"/>
        <v>2017</v>
      </c>
      <c r="AM20" s="14">
        <f t="shared" ca="1" si="1"/>
        <v>676</v>
      </c>
      <c r="AN20" s="14">
        <f t="shared" ca="1" si="1"/>
        <v>568.4</v>
      </c>
      <c r="AO20" s="14">
        <f t="shared" ca="1" si="1"/>
        <v>671.1</v>
      </c>
      <c r="AP20" s="14">
        <f t="shared" ca="1" si="1"/>
        <v>358.4</v>
      </c>
      <c r="AQ20" s="14">
        <f t="shared" ca="1" si="1"/>
        <v>278.7</v>
      </c>
      <c r="AR20" s="14">
        <f t="shared" ca="1" si="1"/>
        <v>103.5</v>
      </c>
      <c r="AS20" s="14">
        <f t="shared" ca="1" si="1"/>
        <v>20.6</v>
      </c>
      <c r="AT20" s="14">
        <f t="shared" ca="1" si="1"/>
        <v>51.8</v>
      </c>
      <c r="AU20" s="14">
        <f t="shared" ca="1" si="1"/>
        <v>103.5</v>
      </c>
      <c r="AV20" s="14">
        <f t="shared" ca="1" si="1"/>
        <v>214.7</v>
      </c>
      <c r="AW20" s="14">
        <f t="shared" ca="1" si="1"/>
        <v>504.8</v>
      </c>
      <c r="AX20" s="14">
        <f t="shared" ca="1" si="1"/>
        <v>777.7</v>
      </c>
      <c r="AY20" s="15"/>
      <c r="AZ20" s="14">
        <f t="shared" si="12"/>
        <v>2017</v>
      </c>
      <c r="BA20" s="14">
        <f t="shared" ca="1" si="2"/>
        <v>614</v>
      </c>
      <c r="BB20" s="14">
        <f t="shared" ca="1" si="2"/>
        <v>512.4</v>
      </c>
      <c r="BC20" s="14">
        <f t="shared" ca="1" si="2"/>
        <v>609.1</v>
      </c>
      <c r="BD20" s="14">
        <f t="shared" ca="1" si="2"/>
        <v>298.89999999999998</v>
      </c>
      <c r="BE20" s="14">
        <f t="shared" ca="1" si="2"/>
        <v>221</v>
      </c>
      <c r="BF20" s="14">
        <f t="shared" ca="1" si="2"/>
        <v>64.3</v>
      </c>
      <c r="BG20" s="14">
        <f t="shared" ca="1" si="2"/>
        <v>3.9</v>
      </c>
      <c r="BH20" s="14">
        <f t="shared" ca="1" si="2"/>
        <v>19.3</v>
      </c>
      <c r="BI20" s="14">
        <f t="shared" ca="1" si="2"/>
        <v>69</v>
      </c>
      <c r="BJ20" s="14">
        <f t="shared" ca="1" si="2"/>
        <v>158.19999999999999</v>
      </c>
      <c r="BK20" s="14">
        <f t="shared" ca="1" si="2"/>
        <v>444.8</v>
      </c>
      <c r="BL20" s="14">
        <f t="shared" ca="1" si="2"/>
        <v>715.7</v>
      </c>
      <c r="BM20" s="15">
        <f t="shared" ca="1" si="3"/>
        <v>3730.6000000000004</v>
      </c>
      <c r="BN20" s="14">
        <f t="shared" si="13"/>
        <v>2017</v>
      </c>
      <c r="BO20" s="14">
        <f t="shared" ca="1" si="4"/>
        <v>552</v>
      </c>
      <c r="BP20" s="14">
        <f t="shared" ca="1" si="4"/>
        <v>456.4</v>
      </c>
      <c r="BQ20" s="14">
        <f t="shared" ca="1" si="4"/>
        <v>547.1</v>
      </c>
      <c r="BR20" s="14">
        <f t="shared" ca="1" si="4"/>
        <v>240.9</v>
      </c>
      <c r="BS20" s="14">
        <f t="shared" ca="1" si="4"/>
        <v>167.7</v>
      </c>
      <c r="BT20" s="14">
        <f t="shared" ca="1" si="4"/>
        <v>34.1</v>
      </c>
      <c r="BU20" s="14">
        <f t="shared" ca="1" si="4"/>
        <v>0</v>
      </c>
      <c r="BV20" s="14">
        <f t="shared" ca="1" si="4"/>
        <v>5.9</v>
      </c>
      <c r="BW20" s="14">
        <f t="shared" ca="1" si="4"/>
        <v>40.9</v>
      </c>
      <c r="BX20" s="14">
        <f t="shared" ca="1" si="4"/>
        <v>111.2</v>
      </c>
      <c r="BY20" s="14">
        <f t="shared" ca="1" si="4"/>
        <v>384.8</v>
      </c>
      <c r="BZ20" s="14">
        <f t="shared" ca="1" si="4"/>
        <v>653.70000000000005</v>
      </c>
      <c r="CA20" s="14"/>
      <c r="CB20" s="14">
        <f t="shared" si="14"/>
        <v>2017</v>
      </c>
      <c r="CC20" s="14">
        <f t="shared" ca="1" si="5"/>
        <v>490</v>
      </c>
      <c r="CD20" s="14">
        <f t="shared" ca="1" si="5"/>
        <v>400.4</v>
      </c>
      <c r="CE20" s="14">
        <f t="shared" ca="1" si="5"/>
        <v>485.1</v>
      </c>
      <c r="CF20" s="14">
        <f t="shared" ca="1" si="5"/>
        <v>185.2</v>
      </c>
      <c r="CG20" s="14">
        <f t="shared" ca="1" si="5"/>
        <v>117.6</v>
      </c>
      <c r="CH20" s="14">
        <f t="shared" ca="1" si="5"/>
        <v>13.2</v>
      </c>
      <c r="CI20" s="14">
        <f t="shared" ca="1" si="5"/>
        <v>0</v>
      </c>
      <c r="CJ20" s="14">
        <f t="shared" ca="1" si="5"/>
        <v>0</v>
      </c>
      <c r="CK20" s="14">
        <f t="shared" ca="1" si="5"/>
        <v>18.100000000000001</v>
      </c>
      <c r="CL20" s="14">
        <f t="shared" ca="1" si="5"/>
        <v>78.7</v>
      </c>
      <c r="CM20" s="14">
        <f t="shared" ca="1" si="5"/>
        <v>324.8</v>
      </c>
      <c r="CN20" s="14">
        <f t="shared" ca="1" si="5"/>
        <v>591.70000000000005</v>
      </c>
      <c r="CO20" s="14"/>
      <c r="CP20" s="14">
        <f t="shared" si="15"/>
        <v>2017</v>
      </c>
      <c r="CQ20" s="14">
        <f t="shared" ca="1" si="6"/>
        <v>428</v>
      </c>
      <c r="CR20" s="14">
        <f t="shared" ca="1" si="6"/>
        <v>344.4</v>
      </c>
      <c r="CS20" s="14">
        <f t="shared" ca="1" si="6"/>
        <v>423.1</v>
      </c>
      <c r="CT20" s="14">
        <f t="shared" ca="1" si="6"/>
        <v>134.9</v>
      </c>
      <c r="CU20" s="14">
        <f t="shared" ca="1" si="6"/>
        <v>75.599999999999994</v>
      </c>
      <c r="CV20" s="14">
        <f t="shared" ca="1" si="6"/>
        <v>1</v>
      </c>
      <c r="CW20" s="14">
        <f t="shared" ca="1" si="6"/>
        <v>0</v>
      </c>
      <c r="CX20" s="14">
        <f t="shared" ca="1" si="6"/>
        <v>0</v>
      </c>
      <c r="CY20" s="14">
        <f t="shared" ca="1" si="6"/>
        <v>5.2</v>
      </c>
      <c r="CZ20" s="14">
        <f t="shared" ca="1" si="6"/>
        <v>53.4</v>
      </c>
      <c r="DA20" s="14">
        <f t="shared" ca="1" si="6"/>
        <v>264.8</v>
      </c>
      <c r="DB20" s="14">
        <f t="shared" ca="1" si="6"/>
        <v>529.70000000000005</v>
      </c>
      <c r="DC20" s="14"/>
      <c r="DD20" s="14">
        <f t="shared" si="16"/>
        <v>2017</v>
      </c>
      <c r="DE20" s="14">
        <f t="shared" ca="1" si="17"/>
        <v>366</v>
      </c>
      <c r="DF20" s="14">
        <f t="shared" ca="1" si="17"/>
        <v>288.39999999999998</v>
      </c>
      <c r="DG20" s="14">
        <f t="shared" ca="1" si="17"/>
        <v>361.1</v>
      </c>
      <c r="DH20" s="14">
        <f t="shared" ca="1" si="17"/>
        <v>91.3</v>
      </c>
      <c r="DI20" s="14">
        <f t="shared" ca="1" si="17"/>
        <v>43.8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1.6</v>
      </c>
      <c r="DN20" s="14">
        <f t="shared" ca="1" si="17"/>
        <v>31.4</v>
      </c>
      <c r="DO20" s="14">
        <f t="shared" ca="1" si="17"/>
        <v>204.8</v>
      </c>
      <c r="DP20" s="14">
        <f t="shared" ca="1" si="17"/>
        <v>467.7</v>
      </c>
      <c r="DQ20" s="14"/>
      <c r="DR20" s="14">
        <f t="shared" si="18"/>
        <v>2017</v>
      </c>
      <c r="DS20" s="14">
        <f t="shared" ca="1" si="19"/>
        <v>304</v>
      </c>
      <c r="DT20" s="14">
        <f t="shared" ca="1" si="19"/>
        <v>236.2</v>
      </c>
      <c r="DU20" s="14">
        <f t="shared" ca="1" si="19"/>
        <v>301.10000000000002</v>
      </c>
      <c r="DV20" s="14">
        <f t="shared" ca="1" si="19"/>
        <v>53.6</v>
      </c>
      <c r="DW20" s="14">
        <f t="shared" ca="1" si="19"/>
        <v>20.2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13.8</v>
      </c>
      <c r="EC20" s="14">
        <f t="shared" ca="1" si="19"/>
        <v>148.19999999999999</v>
      </c>
      <c r="ED20" s="14">
        <f t="shared" ca="1" si="19"/>
        <v>405.7</v>
      </c>
      <c r="EE20" s="14"/>
    </row>
    <row r="21" spans="1:135">
      <c r="A21">
        <v>2003</v>
      </c>
      <c r="B21">
        <v>8</v>
      </c>
      <c r="C21" s="11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4">
        <f t="shared" si="9"/>
        <v>2018</v>
      </c>
      <c r="Y21" s="14">
        <f t="shared" ca="1" si="10"/>
        <v>840.2</v>
      </c>
      <c r="Z21" s="14">
        <f t="shared" ca="1" si="10"/>
        <v>666.2</v>
      </c>
      <c r="AA21" s="14">
        <f t="shared" ca="1" si="10"/>
        <v>721.1</v>
      </c>
      <c r="AB21" s="14">
        <f t="shared" ca="1" si="10"/>
        <v>592.4</v>
      </c>
      <c r="AC21" s="14">
        <f t="shared" ca="1" si="10"/>
        <v>240.8</v>
      </c>
      <c r="AD21" s="14">
        <f t="shared" ca="1" si="10"/>
        <v>166.3</v>
      </c>
      <c r="AE21" s="14">
        <f t="shared" ca="1" si="10"/>
        <v>49.9</v>
      </c>
      <c r="AF21" s="14">
        <f t="shared" ca="1" si="10"/>
        <v>30.8</v>
      </c>
      <c r="AG21" s="14">
        <f t="shared" ca="1" si="10"/>
        <v>154.5</v>
      </c>
      <c r="AH21" s="14">
        <f t="shared" ca="1" si="10"/>
        <v>409.1</v>
      </c>
      <c r="AI21" s="14">
        <f t="shared" ca="1" si="10"/>
        <v>623</v>
      </c>
      <c r="AJ21" s="14">
        <f t="shared" ca="1" si="10"/>
        <v>712.3</v>
      </c>
      <c r="AK21" s="14"/>
      <c r="AL21" s="14">
        <f t="shared" si="11"/>
        <v>2018</v>
      </c>
      <c r="AM21" s="14">
        <f t="shared" ca="1" si="1"/>
        <v>778.2</v>
      </c>
      <c r="AN21" s="14">
        <f t="shared" ca="1" si="1"/>
        <v>610.20000000000005</v>
      </c>
      <c r="AO21" s="14">
        <f t="shared" ca="1" si="1"/>
        <v>659.1</v>
      </c>
      <c r="AP21" s="14">
        <f t="shared" ca="1" si="1"/>
        <v>532.4</v>
      </c>
      <c r="AQ21" s="14">
        <f t="shared" ca="1" si="1"/>
        <v>187.7</v>
      </c>
      <c r="AR21" s="14">
        <f t="shared" ca="1" si="1"/>
        <v>116.3</v>
      </c>
      <c r="AS21" s="14">
        <f t="shared" ca="1" si="1"/>
        <v>20</v>
      </c>
      <c r="AT21" s="14">
        <f t="shared" ca="1" si="1"/>
        <v>10</v>
      </c>
      <c r="AU21" s="14">
        <f t="shared" ca="1" si="1"/>
        <v>112.3</v>
      </c>
      <c r="AV21" s="14">
        <f t="shared" ca="1" si="1"/>
        <v>351.1</v>
      </c>
      <c r="AW21" s="14">
        <f t="shared" ca="1" si="1"/>
        <v>563</v>
      </c>
      <c r="AX21" s="14">
        <f t="shared" ca="1" si="1"/>
        <v>650.29999999999995</v>
      </c>
      <c r="AY21" s="15"/>
      <c r="AZ21" s="14">
        <f t="shared" si="12"/>
        <v>2018</v>
      </c>
      <c r="BA21" s="14">
        <f t="shared" ref="BA21:BL24" ca="1" si="20">OFFSET($H$2,(ROW()-5)*12+COLUMN()-53,0)</f>
        <v>716.2</v>
      </c>
      <c r="BB21" s="14">
        <f t="shared" ca="1" si="20"/>
        <v>554.20000000000005</v>
      </c>
      <c r="BC21" s="14">
        <f t="shared" ca="1" si="20"/>
        <v>597.1</v>
      </c>
      <c r="BD21" s="14">
        <f t="shared" ca="1" si="20"/>
        <v>472.4</v>
      </c>
      <c r="BE21" s="14">
        <f t="shared" ca="1" si="20"/>
        <v>138.80000000000001</v>
      </c>
      <c r="BF21" s="14">
        <f t="shared" ca="1" si="20"/>
        <v>67.900000000000006</v>
      </c>
      <c r="BG21" s="14">
        <f t="shared" ca="1" si="20"/>
        <v>4.8</v>
      </c>
      <c r="BH21" s="14">
        <f t="shared" ca="1" si="20"/>
        <v>3.7</v>
      </c>
      <c r="BI21" s="14">
        <f t="shared" ca="1" si="20"/>
        <v>75.900000000000006</v>
      </c>
      <c r="BJ21" s="14">
        <f t="shared" ca="1" si="20"/>
        <v>293.10000000000002</v>
      </c>
      <c r="BK21" s="14">
        <f t="shared" ca="1" si="20"/>
        <v>503</v>
      </c>
      <c r="BL21" s="14">
        <f t="shared" ca="1" si="20"/>
        <v>588.29999999999995</v>
      </c>
      <c r="BM21" s="15">
        <f t="shared" ca="1" si="3"/>
        <v>4015.4000000000005</v>
      </c>
      <c r="BN21" s="14">
        <f t="shared" si="13"/>
        <v>2018</v>
      </c>
      <c r="BO21" s="14">
        <f t="shared" ref="BO21:BZ24" ca="1" si="21">OFFSET($J$2,(ROW()-5)*12+COLUMN()-67,0)</f>
        <v>654.20000000000005</v>
      </c>
      <c r="BP21" s="14">
        <f t="shared" ca="1" si="21"/>
        <v>498.2</v>
      </c>
      <c r="BQ21" s="14">
        <f t="shared" ca="1" si="21"/>
        <v>535.1</v>
      </c>
      <c r="BR21" s="14">
        <f t="shared" ca="1" si="21"/>
        <v>412.4</v>
      </c>
      <c r="BS21" s="14">
        <f t="shared" ca="1" si="21"/>
        <v>95.5</v>
      </c>
      <c r="BT21" s="14">
        <f t="shared" ca="1" si="21"/>
        <v>30.9</v>
      </c>
      <c r="BU21" s="14">
        <f t="shared" ca="1" si="21"/>
        <v>0</v>
      </c>
      <c r="BV21" s="14">
        <f t="shared" ca="1" si="21"/>
        <v>1.1000000000000001</v>
      </c>
      <c r="BW21" s="14">
        <f t="shared" ca="1" si="21"/>
        <v>43.7</v>
      </c>
      <c r="BX21" s="14">
        <f t="shared" ca="1" si="21"/>
        <v>235.6</v>
      </c>
      <c r="BY21" s="14">
        <f t="shared" ca="1" si="21"/>
        <v>443</v>
      </c>
      <c r="BZ21" s="14">
        <f t="shared" ca="1" si="21"/>
        <v>526.29999999999995</v>
      </c>
      <c r="CA21" s="14"/>
      <c r="CB21" s="14">
        <f t="shared" si="14"/>
        <v>2018</v>
      </c>
      <c r="CC21" s="14">
        <f t="shared" ref="CC21:CN24" ca="1" si="22">OFFSET($L$2,(ROW()-5)*12+COLUMN()-81,0)</f>
        <v>592.20000000000005</v>
      </c>
      <c r="CD21" s="14">
        <f t="shared" ca="1" si="22"/>
        <v>442.2</v>
      </c>
      <c r="CE21" s="14">
        <f t="shared" ca="1" si="22"/>
        <v>473.1</v>
      </c>
      <c r="CF21" s="14">
        <f t="shared" ca="1" si="22"/>
        <v>352.4</v>
      </c>
      <c r="CG21" s="14">
        <f t="shared" ca="1" si="22"/>
        <v>59.6</v>
      </c>
      <c r="CH21" s="14">
        <f t="shared" ca="1" si="22"/>
        <v>9.3000000000000007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</v>
      </c>
      <c r="CL21" s="14">
        <f t="shared" ca="1" si="22"/>
        <v>182.4</v>
      </c>
      <c r="CM21" s="14">
        <f t="shared" ca="1" si="22"/>
        <v>383</v>
      </c>
      <c r="CN21" s="14">
        <f t="shared" ca="1" si="22"/>
        <v>464.3</v>
      </c>
      <c r="CO21" s="14"/>
      <c r="CP21" s="14">
        <f t="shared" si="15"/>
        <v>2018</v>
      </c>
      <c r="CQ21" s="14">
        <f t="shared" ref="CQ21:DB24" ca="1" si="23">OFFSET($N$2,(ROW()-5)*12+COLUMN()-95,0)</f>
        <v>530.20000000000005</v>
      </c>
      <c r="CR21" s="14">
        <f t="shared" ca="1" si="23"/>
        <v>386.2</v>
      </c>
      <c r="CS21" s="14">
        <f t="shared" ca="1" si="23"/>
        <v>411.1</v>
      </c>
      <c r="CT21" s="14">
        <f t="shared" ca="1" si="23"/>
        <v>292.39999999999998</v>
      </c>
      <c r="CU21" s="14">
        <f t="shared" ca="1" si="23"/>
        <v>32.200000000000003</v>
      </c>
      <c r="CV21" s="14">
        <f t="shared" ca="1" si="23"/>
        <v>2.8</v>
      </c>
      <c r="CW21" s="14">
        <f t="shared" ca="1" si="23"/>
        <v>0</v>
      </c>
      <c r="CX21" s="14">
        <f t="shared" ca="1" si="23"/>
        <v>0</v>
      </c>
      <c r="CY21" s="14">
        <f t="shared" ca="1" si="23"/>
        <v>6.6</v>
      </c>
      <c r="CZ21" s="14">
        <f t="shared" ca="1" si="23"/>
        <v>135.1</v>
      </c>
      <c r="DA21" s="14">
        <f t="shared" ca="1" si="23"/>
        <v>323</v>
      </c>
      <c r="DB21" s="14">
        <f t="shared" ca="1" si="23"/>
        <v>402.3</v>
      </c>
      <c r="DC21" s="14"/>
      <c r="DD21" s="14">
        <f t="shared" si="16"/>
        <v>2018</v>
      </c>
      <c r="DE21" s="14">
        <f t="shared" ca="1" si="17"/>
        <v>468.2</v>
      </c>
      <c r="DF21" s="14">
        <f t="shared" ca="1" si="17"/>
        <v>330.2</v>
      </c>
      <c r="DG21" s="14">
        <f t="shared" ca="1" si="17"/>
        <v>349.1</v>
      </c>
      <c r="DH21" s="14">
        <f t="shared" ca="1" si="17"/>
        <v>234</v>
      </c>
      <c r="DI21" s="14">
        <f t="shared" ca="1" si="17"/>
        <v>14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1.2</v>
      </c>
      <c r="DN21" s="14">
        <f t="shared" ca="1" si="17"/>
        <v>90.6</v>
      </c>
      <c r="DO21" s="14">
        <f t="shared" ca="1" si="17"/>
        <v>264.3</v>
      </c>
      <c r="DP21" s="14">
        <f t="shared" ca="1" si="17"/>
        <v>340.3</v>
      </c>
      <c r="DQ21" s="14"/>
      <c r="DR21" s="14">
        <f t="shared" si="18"/>
        <v>2018</v>
      </c>
      <c r="DS21" s="14">
        <f t="shared" ca="1" si="19"/>
        <v>408.2</v>
      </c>
      <c r="DT21" s="14">
        <f t="shared" ca="1" si="19"/>
        <v>275.8</v>
      </c>
      <c r="DU21" s="14">
        <f t="shared" ca="1" si="19"/>
        <v>287.10000000000002</v>
      </c>
      <c r="DV21" s="14">
        <f t="shared" ca="1" si="19"/>
        <v>180.6</v>
      </c>
      <c r="DW21" s="14">
        <f t="shared" ca="1" si="19"/>
        <v>5.9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52</v>
      </c>
      <c r="EC21" s="14">
        <f t="shared" ca="1" si="19"/>
        <v>206.3</v>
      </c>
      <c r="ED21" s="14">
        <f t="shared" ca="1" si="19"/>
        <v>278.3</v>
      </c>
      <c r="EE21" s="14"/>
    </row>
    <row r="22" spans="1:135">
      <c r="A22">
        <v>2003</v>
      </c>
      <c r="B22">
        <v>9</v>
      </c>
      <c r="C22" s="11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4">
        <f t="shared" si="9"/>
        <v>2019</v>
      </c>
      <c r="Y22" s="14">
        <f t="shared" ca="1" si="10"/>
        <v>901.9</v>
      </c>
      <c r="Z22" s="14">
        <f t="shared" ca="1" si="10"/>
        <v>746.4</v>
      </c>
      <c r="AA22" s="14">
        <f t="shared" ca="1" si="10"/>
        <v>735.3</v>
      </c>
      <c r="AB22" s="14">
        <f t="shared" ca="1" si="10"/>
        <v>511.1</v>
      </c>
      <c r="AC22" s="14">
        <f t="shared" ca="1" si="10"/>
        <v>361</v>
      </c>
      <c r="AD22" s="14">
        <f t="shared" ca="1" si="10"/>
        <v>199.2</v>
      </c>
      <c r="AE22" s="14">
        <f t="shared" ca="1" si="10"/>
        <v>54.6</v>
      </c>
      <c r="AF22" s="14">
        <f t="shared" ca="1" si="10"/>
        <v>77</v>
      </c>
      <c r="AG22" s="14">
        <f t="shared" ca="1" si="10"/>
        <v>169.3</v>
      </c>
      <c r="AH22" s="14">
        <f t="shared" ca="1" si="10"/>
        <v>372.8</v>
      </c>
      <c r="AI22" s="14">
        <f t="shared" ca="1" si="10"/>
        <v>643.20000000000005</v>
      </c>
      <c r="AJ22" s="14">
        <f t="shared" ca="1" si="10"/>
        <v>707.1</v>
      </c>
      <c r="AK22" s="14"/>
      <c r="AL22" s="14">
        <f t="shared" si="11"/>
        <v>2019</v>
      </c>
      <c r="AM22" s="14">
        <f t="shared" ca="1" si="1"/>
        <v>839.9</v>
      </c>
      <c r="AN22" s="14">
        <f t="shared" ca="1" si="1"/>
        <v>690.4</v>
      </c>
      <c r="AO22" s="14">
        <f t="shared" ca="1" si="1"/>
        <v>673.3</v>
      </c>
      <c r="AP22" s="14">
        <f t="shared" ca="1" si="1"/>
        <v>451.1</v>
      </c>
      <c r="AQ22" s="14">
        <f t="shared" ca="1" si="1"/>
        <v>299</v>
      </c>
      <c r="AR22" s="14">
        <f t="shared" ca="1" si="1"/>
        <v>143.9</v>
      </c>
      <c r="AS22" s="14">
        <f t="shared" ca="1" si="1"/>
        <v>23</v>
      </c>
      <c r="AT22" s="14">
        <f t="shared" ca="1" si="1"/>
        <v>30.3</v>
      </c>
      <c r="AU22" s="14">
        <f t="shared" ca="1" si="1"/>
        <v>112.2</v>
      </c>
      <c r="AV22" s="14">
        <f t="shared" ca="1" si="1"/>
        <v>312.60000000000002</v>
      </c>
      <c r="AW22" s="14">
        <f t="shared" ca="1" si="1"/>
        <v>583.20000000000005</v>
      </c>
      <c r="AX22" s="14">
        <f t="shared" ca="1" si="1"/>
        <v>645.1</v>
      </c>
      <c r="AY22" s="15"/>
      <c r="AZ22" s="14">
        <f t="shared" si="12"/>
        <v>2019</v>
      </c>
      <c r="BA22" s="14">
        <f t="shared" ca="1" si="20"/>
        <v>777.9</v>
      </c>
      <c r="BB22" s="14">
        <f t="shared" ca="1" si="20"/>
        <v>634.4</v>
      </c>
      <c r="BC22" s="14">
        <f t="shared" ca="1" si="20"/>
        <v>611.29999999999995</v>
      </c>
      <c r="BD22" s="14">
        <f t="shared" ca="1" si="20"/>
        <v>391.1</v>
      </c>
      <c r="BE22" s="14">
        <f t="shared" ca="1" si="20"/>
        <v>237</v>
      </c>
      <c r="BF22" s="14">
        <f t="shared" ca="1" si="20"/>
        <v>96.1</v>
      </c>
      <c r="BG22" s="14">
        <f t="shared" ca="1" si="20"/>
        <v>4</v>
      </c>
      <c r="BH22" s="14">
        <f t="shared" ca="1" si="20"/>
        <v>7.3</v>
      </c>
      <c r="BI22" s="14">
        <f t="shared" ca="1" si="20"/>
        <v>61.6</v>
      </c>
      <c r="BJ22" s="14">
        <f t="shared" ca="1" si="20"/>
        <v>252.6</v>
      </c>
      <c r="BK22" s="14">
        <f t="shared" ca="1" si="20"/>
        <v>523.20000000000005</v>
      </c>
      <c r="BL22" s="14">
        <f t="shared" ca="1" si="20"/>
        <v>583.1</v>
      </c>
      <c r="BM22" s="15">
        <f t="shared" ca="1" si="3"/>
        <v>4179.6000000000004</v>
      </c>
      <c r="BN22" s="14">
        <f t="shared" si="13"/>
        <v>2019</v>
      </c>
      <c r="BO22" s="14">
        <f t="shared" ca="1" si="21"/>
        <v>715.9</v>
      </c>
      <c r="BP22" s="14">
        <f t="shared" ca="1" si="21"/>
        <v>578.4</v>
      </c>
      <c r="BQ22" s="14">
        <f t="shared" ca="1" si="21"/>
        <v>549.29999999999995</v>
      </c>
      <c r="BR22" s="14">
        <f t="shared" ca="1" si="21"/>
        <v>331.1</v>
      </c>
      <c r="BS22" s="14">
        <f t="shared" ca="1" si="21"/>
        <v>179.6</v>
      </c>
      <c r="BT22" s="14">
        <f t="shared" ca="1" si="21"/>
        <v>53.6</v>
      </c>
      <c r="BU22" s="14">
        <f t="shared" ca="1" si="21"/>
        <v>0</v>
      </c>
      <c r="BV22" s="14">
        <f t="shared" ca="1" si="21"/>
        <v>0</v>
      </c>
      <c r="BW22" s="14">
        <f t="shared" ca="1" si="21"/>
        <v>25.8</v>
      </c>
      <c r="BX22" s="14">
        <f t="shared" ca="1" si="21"/>
        <v>192.6</v>
      </c>
      <c r="BY22" s="14">
        <f t="shared" ca="1" si="21"/>
        <v>463.2</v>
      </c>
      <c r="BZ22" s="14">
        <f t="shared" ca="1" si="21"/>
        <v>521.1</v>
      </c>
      <c r="CA22" s="14"/>
      <c r="CB22" s="14">
        <f t="shared" si="14"/>
        <v>2019</v>
      </c>
      <c r="CC22" s="14">
        <f t="shared" ca="1" si="22"/>
        <v>653.9</v>
      </c>
      <c r="CD22" s="14">
        <f t="shared" ca="1" si="22"/>
        <v>522.4</v>
      </c>
      <c r="CE22" s="14">
        <f t="shared" ca="1" si="22"/>
        <v>487.3</v>
      </c>
      <c r="CF22" s="14">
        <f t="shared" ca="1" si="22"/>
        <v>271.10000000000002</v>
      </c>
      <c r="CG22" s="14">
        <f t="shared" ca="1" si="22"/>
        <v>126.3</v>
      </c>
      <c r="CH22" s="14">
        <f t="shared" ca="1" si="22"/>
        <v>23.2</v>
      </c>
      <c r="CI22" s="14">
        <f t="shared" ca="1" si="22"/>
        <v>0</v>
      </c>
      <c r="CJ22" s="14">
        <f t="shared" ca="1" si="22"/>
        <v>0</v>
      </c>
      <c r="CK22" s="14">
        <f t="shared" ca="1" si="22"/>
        <v>7</v>
      </c>
      <c r="CL22" s="14">
        <f t="shared" ca="1" si="22"/>
        <v>134.69999999999999</v>
      </c>
      <c r="CM22" s="14">
        <f t="shared" ca="1" si="22"/>
        <v>403.2</v>
      </c>
      <c r="CN22" s="14">
        <f t="shared" ca="1" si="22"/>
        <v>459.1</v>
      </c>
      <c r="CO22" s="14"/>
      <c r="CP22" s="14">
        <f t="shared" si="15"/>
        <v>2019</v>
      </c>
      <c r="CQ22" s="14">
        <f t="shared" ca="1" si="23"/>
        <v>591.9</v>
      </c>
      <c r="CR22" s="14">
        <f t="shared" ca="1" si="23"/>
        <v>466.4</v>
      </c>
      <c r="CS22" s="14">
        <f t="shared" ca="1" si="23"/>
        <v>425.3</v>
      </c>
      <c r="CT22" s="14">
        <f t="shared" ca="1" si="23"/>
        <v>212</v>
      </c>
      <c r="CU22" s="14">
        <f t="shared" ca="1" si="23"/>
        <v>76.099999999999994</v>
      </c>
      <c r="CV22" s="14">
        <f t="shared" ca="1" si="23"/>
        <v>7.3</v>
      </c>
      <c r="CW22" s="14">
        <f t="shared" ca="1" si="23"/>
        <v>0</v>
      </c>
      <c r="CX22" s="14">
        <f t="shared" ca="1" si="23"/>
        <v>0</v>
      </c>
      <c r="CY22" s="14">
        <f t="shared" ca="1" si="23"/>
        <v>0.2</v>
      </c>
      <c r="CZ22" s="14">
        <f t="shared" ca="1" si="23"/>
        <v>81.099999999999994</v>
      </c>
      <c r="DA22" s="14">
        <f t="shared" ca="1" si="23"/>
        <v>343.2</v>
      </c>
      <c r="DB22" s="14">
        <f t="shared" ca="1" si="23"/>
        <v>397.1</v>
      </c>
      <c r="DC22" s="14"/>
      <c r="DD22" s="14">
        <f t="shared" si="16"/>
        <v>2019</v>
      </c>
      <c r="DE22" s="14">
        <f t="shared" ca="1" si="17"/>
        <v>529.9</v>
      </c>
      <c r="DF22" s="14">
        <f t="shared" ca="1" si="17"/>
        <v>410.4</v>
      </c>
      <c r="DG22" s="14">
        <f t="shared" ca="1" si="17"/>
        <v>363.3</v>
      </c>
      <c r="DH22" s="14">
        <f t="shared" ca="1" si="17"/>
        <v>157.5</v>
      </c>
      <c r="DI22" s="14">
        <f t="shared" ca="1" si="17"/>
        <v>39.299999999999997</v>
      </c>
      <c r="DJ22" s="14">
        <f t="shared" ca="1" si="17"/>
        <v>0.3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41.7</v>
      </c>
      <c r="DO22" s="14">
        <f t="shared" ca="1" si="17"/>
        <v>283.2</v>
      </c>
      <c r="DP22" s="14">
        <f t="shared" ca="1" si="17"/>
        <v>335.1</v>
      </c>
      <c r="DQ22" s="14"/>
      <c r="DR22" s="14">
        <f t="shared" si="18"/>
        <v>2019</v>
      </c>
      <c r="DS22" s="14">
        <f t="shared" ca="1" si="19"/>
        <v>467.9</v>
      </c>
      <c r="DT22" s="14">
        <f t="shared" ca="1" si="19"/>
        <v>354.9</v>
      </c>
      <c r="DU22" s="14">
        <f t="shared" ca="1" si="19"/>
        <v>301.3</v>
      </c>
      <c r="DV22" s="14">
        <f t="shared" ca="1" si="19"/>
        <v>109.2</v>
      </c>
      <c r="DW22" s="14">
        <f t="shared" ca="1" si="19"/>
        <v>17.8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14.9</v>
      </c>
      <c r="EC22" s="14">
        <f t="shared" ca="1" si="19"/>
        <v>223.2</v>
      </c>
      <c r="ED22" s="14">
        <f t="shared" ca="1" si="19"/>
        <v>273.10000000000002</v>
      </c>
      <c r="EE22" s="14"/>
    </row>
    <row r="23" spans="1:135">
      <c r="A23">
        <v>2003</v>
      </c>
      <c r="B23">
        <v>10</v>
      </c>
      <c r="C23" s="11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4">
        <f t="shared" si="9"/>
        <v>2020</v>
      </c>
      <c r="Y23" s="14">
        <f t="shared" ca="1" si="10"/>
        <v>737.8</v>
      </c>
      <c r="Z23" s="14">
        <f t="shared" ca="1" si="10"/>
        <v>737.7</v>
      </c>
      <c r="AA23" s="14">
        <f t="shared" ca="1" si="10"/>
        <v>610.1</v>
      </c>
      <c r="AB23" s="14">
        <f t="shared" ca="1" si="10"/>
        <v>518.6</v>
      </c>
      <c r="AC23" s="14">
        <f t="shared" ca="1" si="10"/>
        <v>360.1</v>
      </c>
      <c r="AD23" s="14">
        <f t="shared" ca="1" si="10"/>
        <v>138.69999999999999</v>
      </c>
      <c r="AE23" s="14">
        <f t="shared" ca="1" si="10"/>
        <v>24.6</v>
      </c>
      <c r="AF23" s="14">
        <f t="shared" ca="1" si="10"/>
        <v>64.400000000000006</v>
      </c>
      <c r="AG23" s="14">
        <f t="shared" ca="1" si="10"/>
        <v>182</v>
      </c>
      <c r="AH23" s="14">
        <f t="shared" ca="1" si="10"/>
        <v>403.9</v>
      </c>
      <c r="AI23" s="14">
        <f t="shared" ca="1" si="10"/>
        <v>426.7</v>
      </c>
      <c r="AJ23" s="14">
        <f t="shared" ca="1" si="10"/>
        <v>692.6</v>
      </c>
      <c r="AK23" s="14"/>
      <c r="AL23" s="14">
        <f t="shared" si="11"/>
        <v>2020</v>
      </c>
      <c r="AM23" s="14">
        <f t="shared" ca="1" si="1"/>
        <v>675.8</v>
      </c>
      <c r="AN23" s="14">
        <f t="shared" ca="1" si="1"/>
        <v>679.7</v>
      </c>
      <c r="AO23" s="14">
        <f t="shared" ca="1" si="1"/>
        <v>548.1</v>
      </c>
      <c r="AP23" s="14">
        <f t="shared" ca="1" si="1"/>
        <v>458.6</v>
      </c>
      <c r="AQ23" s="14">
        <f t="shared" ca="1" si="1"/>
        <v>305.2</v>
      </c>
      <c r="AR23" s="14">
        <f t="shared" ca="1" si="1"/>
        <v>92.1</v>
      </c>
      <c r="AS23" s="14">
        <f t="shared" ca="1" si="1"/>
        <v>2.8</v>
      </c>
      <c r="AT23" s="14">
        <f t="shared" ca="1" si="1"/>
        <v>25</v>
      </c>
      <c r="AU23" s="14">
        <f t="shared" ca="1" si="1"/>
        <v>128.5</v>
      </c>
      <c r="AV23" s="14">
        <f t="shared" ca="1" si="1"/>
        <v>341.9</v>
      </c>
      <c r="AW23" s="14">
        <f t="shared" ca="1" si="1"/>
        <v>368.5</v>
      </c>
      <c r="AX23" s="14">
        <f t="shared" ca="1" si="1"/>
        <v>630.6</v>
      </c>
      <c r="AY23" s="15"/>
      <c r="AZ23" s="14">
        <f t="shared" si="12"/>
        <v>2020</v>
      </c>
      <c r="BA23" s="14">
        <f t="shared" ca="1" si="20"/>
        <v>613.79999999999995</v>
      </c>
      <c r="BB23" s="14">
        <f t="shared" ca="1" si="20"/>
        <v>621.70000000000005</v>
      </c>
      <c r="BC23" s="14">
        <f t="shared" ca="1" si="20"/>
        <v>486.1</v>
      </c>
      <c r="BD23" s="14">
        <f t="shared" ca="1" si="20"/>
        <v>398.6</v>
      </c>
      <c r="BE23" s="14">
        <f t="shared" ca="1" si="20"/>
        <v>251.2</v>
      </c>
      <c r="BF23" s="14">
        <f t="shared" ca="1" si="20"/>
        <v>56.1</v>
      </c>
      <c r="BG23" s="14">
        <f t="shared" ca="1" si="20"/>
        <v>0</v>
      </c>
      <c r="BH23" s="14">
        <f t="shared" ca="1" si="20"/>
        <v>6</v>
      </c>
      <c r="BI23" s="14">
        <f t="shared" ca="1" si="20"/>
        <v>84.6</v>
      </c>
      <c r="BJ23" s="14">
        <f t="shared" ca="1" si="20"/>
        <v>279.89999999999998</v>
      </c>
      <c r="BK23" s="14">
        <f t="shared" ca="1" si="20"/>
        <v>312.10000000000002</v>
      </c>
      <c r="BL23" s="14">
        <f t="shared" ca="1" si="20"/>
        <v>568.6</v>
      </c>
      <c r="BM23" s="15">
        <f t="shared" ca="1" si="3"/>
        <v>3678.6999999999994</v>
      </c>
      <c r="BN23" s="14">
        <f t="shared" si="13"/>
        <v>2020</v>
      </c>
      <c r="BO23" s="14">
        <f t="shared" ca="1" si="21"/>
        <v>551.79999999999995</v>
      </c>
      <c r="BP23" s="14">
        <f t="shared" ca="1" si="21"/>
        <v>563.70000000000005</v>
      </c>
      <c r="BQ23" s="14">
        <f t="shared" ca="1" si="21"/>
        <v>424.1</v>
      </c>
      <c r="BR23" s="14">
        <f t="shared" ca="1" si="21"/>
        <v>338.6</v>
      </c>
      <c r="BS23" s="14">
        <f t="shared" ca="1" si="21"/>
        <v>198.3</v>
      </c>
      <c r="BT23" s="14">
        <f t="shared" ca="1" si="21"/>
        <v>29.7</v>
      </c>
      <c r="BU23" s="14">
        <f t="shared" ca="1" si="21"/>
        <v>0</v>
      </c>
      <c r="BV23" s="14">
        <f t="shared" ca="1" si="21"/>
        <v>0.7</v>
      </c>
      <c r="BW23" s="14">
        <f t="shared" ca="1" si="21"/>
        <v>47.2</v>
      </c>
      <c r="BX23" s="14">
        <f t="shared" ca="1" si="21"/>
        <v>218.1</v>
      </c>
      <c r="BY23" s="14">
        <f t="shared" ca="1" si="21"/>
        <v>259.89999999999998</v>
      </c>
      <c r="BZ23" s="14">
        <f t="shared" ca="1" si="21"/>
        <v>506.6</v>
      </c>
      <c r="CA23" s="14"/>
      <c r="CB23" s="14">
        <f t="shared" si="14"/>
        <v>2020</v>
      </c>
      <c r="CC23" s="14">
        <f t="shared" ca="1" si="22"/>
        <v>489.8</v>
      </c>
      <c r="CD23" s="14">
        <f t="shared" ca="1" si="22"/>
        <v>505.7</v>
      </c>
      <c r="CE23" s="14">
        <f t="shared" ca="1" si="22"/>
        <v>362.1</v>
      </c>
      <c r="CF23" s="14">
        <f t="shared" ca="1" si="22"/>
        <v>278.60000000000002</v>
      </c>
      <c r="CG23" s="14">
        <f t="shared" ca="1" si="22"/>
        <v>148.4</v>
      </c>
      <c r="CH23" s="14">
        <f t="shared" ca="1" si="22"/>
        <v>14.9</v>
      </c>
      <c r="CI23" s="14">
        <f t="shared" ca="1" si="22"/>
        <v>0</v>
      </c>
      <c r="CJ23" s="14">
        <f t="shared" ca="1" si="22"/>
        <v>0</v>
      </c>
      <c r="CK23" s="14">
        <f t="shared" ca="1" si="22"/>
        <v>21.7</v>
      </c>
      <c r="CL23" s="14">
        <f t="shared" ca="1" si="22"/>
        <v>159.30000000000001</v>
      </c>
      <c r="CM23" s="14">
        <f t="shared" ca="1" si="22"/>
        <v>211.9</v>
      </c>
      <c r="CN23" s="14">
        <f t="shared" ca="1" si="22"/>
        <v>444.6</v>
      </c>
      <c r="CO23" s="14"/>
      <c r="CP23" s="14">
        <f t="shared" si="15"/>
        <v>2020</v>
      </c>
      <c r="CQ23" s="14">
        <f t="shared" ca="1" si="23"/>
        <v>427.8</v>
      </c>
      <c r="CR23" s="14">
        <f t="shared" ca="1" si="23"/>
        <v>447.7</v>
      </c>
      <c r="CS23" s="14">
        <f t="shared" ca="1" si="23"/>
        <v>300.10000000000002</v>
      </c>
      <c r="CT23" s="14">
        <f t="shared" ca="1" si="23"/>
        <v>218.6</v>
      </c>
      <c r="CU23" s="14">
        <f t="shared" ca="1" si="23"/>
        <v>107.2</v>
      </c>
      <c r="CV23" s="14">
        <f t="shared" ca="1" si="23"/>
        <v>4.5999999999999996</v>
      </c>
      <c r="CW23" s="14">
        <f t="shared" ca="1" si="23"/>
        <v>0</v>
      </c>
      <c r="CX23" s="14">
        <f t="shared" ca="1" si="23"/>
        <v>0</v>
      </c>
      <c r="CY23" s="14">
        <f t="shared" ca="1" si="23"/>
        <v>8.1</v>
      </c>
      <c r="CZ23" s="14">
        <f t="shared" ca="1" si="23"/>
        <v>108.1</v>
      </c>
      <c r="DA23" s="14">
        <f t="shared" ca="1" si="23"/>
        <v>166.6</v>
      </c>
      <c r="DB23" s="14">
        <f t="shared" ca="1" si="23"/>
        <v>382.6</v>
      </c>
      <c r="DC23" s="14"/>
      <c r="DD23" s="14">
        <f t="shared" si="16"/>
        <v>2020</v>
      </c>
      <c r="DE23" s="14">
        <f t="shared" ca="1" si="17"/>
        <v>365.8</v>
      </c>
      <c r="DF23" s="14">
        <f t="shared" ca="1" si="17"/>
        <v>389.7</v>
      </c>
      <c r="DG23" s="14">
        <f t="shared" ca="1" si="17"/>
        <v>241.3</v>
      </c>
      <c r="DH23" s="14">
        <f t="shared" ca="1" si="17"/>
        <v>161.1</v>
      </c>
      <c r="DI23" s="14">
        <f t="shared" ca="1" si="17"/>
        <v>73.8</v>
      </c>
      <c r="DJ23" s="14">
        <f t="shared" ca="1" si="17"/>
        <v>0</v>
      </c>
      <c r="DK23" s="14">
        <f t="shared" ca="1" si="17"/>
        <v>0</v>
      </c>
      <c r="DL23" s="14">
        <f t="shared" ca="1" si="17"/>
        <v>0</v>
      </c>
      <c r="DM23" s="14">
        <f t="shared" ca="1" si="17"/>
        <v>2.4</v>
      </c>
      <c r="DN23" s="14">
        <f t="shared" ca="1" si="17"/>
        <v>67</v>
      </c>
      <c r="DO23" s="14">
        <f t="shared" ca="1" si="17"/>
        <v>123.7</v>
      </c>
      <c r="DP23" s="14">
        <f t="shared" ca="1" si="17"/>
        <v>320.60000000000002</v>
      </c>
      <c r="DQ23" s="14"/>
      <c r="DR23" s="14">
        <f t="shared" si="18"/>
        <v>2020</v>
      </c>
      <c r="DS23" s="14">
        <f t="shared" ca="1" si="19"/>
        <v>303.8</v>
      </c>
      <c r="DT23" s="14">
        <f t="shared" ca="1" si="19"/>
        <v>331.7</v>
      </c>
      <c r="DU23" s="14">
        <f t="shared" ca="1" si="19"/>
        <v>183.3</v>
      </c>
      <c r="DV23" s="14">
        <f t="shared" ca="1" si="19"/>
        <v>109.2</v>
      </c>
      <c r="DW23" s="14">
        <f t="shared" ca="1" si="19"/>
        <v>47.8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0</v>
      </c>
      <c r="EB23" s="14">
        <f t="shared" ca="1" si="19"/>
        <v>35.799999999999997</v>
      </c>
      <c r="EC23" s="14">
        <f t="shared" ca="1" si="19"/>
        <v>83.7</v>
      </c>
      <c r="ED23" s="14">
        <f t="shared" ca="1" si="19"/>
        <v>258.60000000000002</v>
      </c>
      <c r="EE23" s="14"/>
    </row>
    <row r="24" spans="1:135">
      <c r="A24">
        <v>2003</v>
      </c>
      <c r="B24">
        <v>11</v>
      </c>
      <c r="C24" s="11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4">
        <f t="shared" si="9"/>
        <v>2021</v>
      </c>
      <c r="Y24" s="14">
        <f t="shared" ca="1" si="10"/>
        <v>760.7</v>
      </c>
      <c r="Z24" s="14">
        <f t="shared" ca="1" si="10"/>
        <v>751.6</v>
      </c>
      <c r="AA24" s="14">
        <f t="shared" ca="1" si="10"/>
        <v>584.9</v>
      </c>
      <c r="AB24" s="14">
        <f t="shared" ca="1" si="10"/>
        <v>434.8</v>
      </c>
      <c r="AC24" s="14">
        <f t="shared" ca="1" si="10"/>
        <v>316.7</v>
      </c>
      <c r="AD24" s="14">
        <f t="shared" ca="1" si="10"/>
        <v>81.400000000000006</v>
      </c>
      <c r="AE24" s="14">
        <f t="shared" ca="1" si="10"/>
        <v>87.8</v>
      </c>
      <c r="AF24" s="14">
        <f t="shared" ca="1" si="10"/>
        <v>35.6</v>
      </c>
      <c r="AG24" s="14">
        <f t="shared" ca="1" si="10"/>
        <v>154</v>
      </c>
      <c r="AH24" s="14">
        <f t="shared" ca="1" si="10"/>
        <v>247.5</v>
      </c>
      <c r="AI24" s="14">
        <f t="shared" ca="1" si="10"/>
        <v>532.5</v>
      </c>
      <c r="AJ24" s="14">
        <f t="shared" ca="1" si="10"/>
        <v>650.29999999999995</v>
      </c>
      <c r="AK24" s="14"/>
      <c r="AL24" s="14">
        <f t="shared" si="11"/>
        <v>2021</v>
      </c>
      <c r="AM24" s="14">
        <f t="shared" ca="1" si="1"/>
        <v>698.7</v>
      </c>
      <c r="AN24" s="14">
        <f t="shared" ca="1" si="1"/>
        <v>695.6</v>
      </c>
      <c r="AO24" s="14">
        <f t="shared" ca="1" si="1"/>
        <v>522.9</v>
      </c>
      <c r="AP24" s="14">
        <f t="shared" ca="1" si="1"/>
        <v>374.8</v>
      </c>
      <c r="AQ24" s="14">
        <f t="shared" ca="1" si="1"/>
        <v>260.39999999999998</v>
      </c>
      <c r="AR24" s="14">
        <f t="shared" ca="1" si="1"/>
        <v>47.6</v>
      </c>
      <c r="AS24" s="14">
        <f t="shared" ca="1" si="1"/>
        <v>44</v>
      </c>
      <c r="AT24" s="14">
        <f t="shared" ca="1" si="1"/>
        <v>13.5</v>
      </c>
      <c r="AU24" s="14">
        <f t="shared" ca="1" si="1"/>
        <v>97.9</v>
      </c>
      <c r="AV24" s="14">
        <f t="shared" ca="1" si="1"/>
        <v>188.9</v>
      </c>
      <c r="AW24" s="14">
        <f t="shared" ca="1" si="1"/>
        <v>472.5</v>
      </c>
      <c r="AX24" s="14">
        <f t="shared" ca="1" si="1"/>
        <v>588.29999999999995</v>
      </c>
      <c r="AY24" s="15"/>
      <c r="AZ24" s="14">
        <f t="shared" si="12"/>
        <v>2021</v>
      </c>
      <c r="BA24" s="14">
        <f t="shared" ca="1" si="20"/>
        <v>636.70000000000005</v>
      </c>
      <c r="BB24" s="14">
        <f t="shared" ca="1" si="20"/>
        <v>639.6</v>
      </c>
      <c r="BC24" s="14">
        <f t="shared" ca="1" si="20"/>
        <v>460.9</v>
      </c>
      <c r="BD24" s="14">
        <f t="shared" ca="1" si="20"/>
        <v>315.10000000000002</v>
      </c>
      <c r="BE24" s="14">
        <f t="shared" ca="1" si="20"/>
        <v>206</v>
      </c>
      <c r="BF24" s="14">
        <f t="shared" ca="1" si="20"/>
        <v>22.7</v>
      </c>
      <c r="BG24" s="14">
        <f t="shared" ca="1" si="20"/>
        <v>14.2</v>
      </c>
      <c r="BH24" s="14">
        <f t="shared" ca="1" si="20"/>
        <v>3.5</v>
      </c>
      <c r="BI24" s="14">
        <f t="shared" ca="1" si="20"/>
        <v>52.9</v>
      </c>
      <c r="BJ24" s="14">
        <f t="shared" ca="1" si="20"/>
        <v>137.30000000000001</v>
      </c>
      <c r="BK24" s="14">
        <f t="shared" ca="1" si="20"/>
        <v>412.5</v>
      </c>
      <c r="BL24" s="14">
        <f t="shared" ca="1" si="20"/>
        <v>526.29999999999995</v>
      </c>
      <c r="BM24" s="15">
        <f t="shared" ref="BM24" ca="1" si="24">SUM(BA24:BL24)</f>
        <v>3427.7</v>
      </c>
      <c r="BN24" s="14">
        <f t="shared" si="13"/>
        <v>2021</v>
      </c>
      <c r="BO24" s="14">
        <f t="shared" ca="1" si="21"/>
        <v>574.70000000000005</v>
      </c>
      <c r="BP24" s="14">
        <f t="shared" ca="1" si="21"/>
        <v>583.6</v>
      </c>
      <c r="BQ24" s="14">
        <f t="shared" ca="1" si="21"/>
        <v>398.9</v>
      </c>
      <c r="BR24" s="14">
        <f t="shared" ca="1" si="21"/>
        <v>258.60000000000002</v>
      </c>
      <c r="BS24" s="14">
        <f t="shared" ca="1" si="21"/>
        <v>154.19999999999999</v>
      </c>
      <c r="BT24" s="14">
        <f t="shared" ca="1" si="21"/>
        <v>7.3</v>
      </c>
      <c r="BU24" s="14">
        <f t="shared" ca="1" si="21"/>
        <v>2.2999999999999998</v>
      </c>
      <c r="BV24" s="14">
        <f t="shared" ca="1" si="21"/>
        <v>0.2</v>
      </c>
      <c r="BW24" s="14">
        <f t="shared" ca="1" si="21"/>
        <v>21.9</v>
      </c>
      <c r="BX24" s="14">
        <f t="shared" ca="1" si="21"/>
        <v>96.4</v>
      </c>
      <c r="BY24" s="14">
        <f t="shared" ca="1" si="21"/>
        <v>352.5</v>
      </c>
      <c r="BZ24" s="14">
        <f t="shared" ca="1" si="21"/>
        <v>464.3</v>
      </c>
      <c r="CA24" s="14"/>
      <c r="CB24" s="14">
        <f t="shared" si="14"/>
        <v>2021</v>
      </c>
      <c r="CC24" s="14">
        <f t="shared" ca="1" si="22"/>
        <v>512.70000000000005</v>
      </c>
      <c r="CD24" s="14">
        <f t="shared" ca="1" si="22"/>
        <v>527.6</v>
      </c>
      <c r="CE24" s="14">
        <f t="shared" ca="1" si="22"/>
        <v>339.3</v>
      </c>
      <c r="CF24" s="14">
        <f t="shared" ca="1" si="22"/>
        <v>205.6</v>
      </c>
      <c r="CG24" s="14">
        <f t="shared" ca="1" si="22"/>
        <v>108.6</v>
      </c>
      <c r="CH24" s="14">
        <f t="shared" ca="1" si="22"/>
        <v>1.6</v>
      </c>
      <c r="CI24" s="14">
        <f t="shared" ca="1" si="22"/>
        <v>0</v>
      </c>
      <c r="CJ24" s="14">
        <f t="shared" ca="1" si="22"/>
        <v>0</v>
      </c>
      <c r="CK24" s="14">
        <f t="shared" ca="1" si="22"/>
        <v>6.1</v>
      </c>
      <c r="CL24" s="14">
        <f t="shared" ca="1" si="22"/>
        <v>65.900000000000006</v>
      </c>
      <c r="CM24" s="14">
        <f t="shared" ca="1" si="22"/>
        <v>292.60000000000002</v>
      </c>
      <c r="CN24" s="14">
        <f t="shared" ca="1" si="22"/>
        <v>402.3</v>
      </c>
      <c r="CO24" s="14"/>
      <c r="CP24" s="14">
        <f t="shared" si="15"/>
        <v>2021</v>
      </c>
      <c r="CQ24" s="14">
        <f t="shared" ca="1" si="23"/>
        <v>450.7</v>
      </c>
      <c r="CR24" s="14">
        <f t="shared" ca="1" si="23"/>
        <v>471.6</v>
      </c>
      <c r="CS24" s="14">
        <f t="shared" ca="1" si="23"/>
        <v>281.3</v>
      </c>
      <c r="CT24" s="14">
        <f t="shared" ca="1" si="23"/>
        <v>155.4</v>
      </c>
      <c r="CU24" s="14">
        <f t="shared" ca="1" si="23"/>
        <v>69.2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0.7</v>
      </c>
      <c r="CZ24" s="14">
        <f t="shared" ca="1" si="23"/>
        <v>40</v>
      </c>
      <c r="DA24" s="14">
        <f t="shared" ca="1" si="23"/>
        <v>234.6</v>
      </c>
      <c r="DB24" s="14">
        <f t="shared" ca="1" si="23"/>
        <v>340.3</v>
      </c>
      <c r="DC24" s="14"/>
      <c r="DD24" s="14">
        <f t="shared" si="16"/>
        <v>2021</v>
      </c>
      <c r="DE24" s="14">
        <f t="shared" ca="1" si="17"/>
        <v>388.7</v>
      </c>
      <c r="DF24" s="14">
        <f t="shared" ca="1" si="17"/>
        <v>415.6</v>
      </c>
      <c r="DG24" s="14">
        <f t="shared" ca="1" si="17"/>
        <v>226.8</v>
      </c>
      <c r="DH24" s="14">
        <f t="shared" ca="1" si="17"/>
        <v>110.2</v>
      </c>
      <c r="DI24" s="14">
        <f t="shared" ca="1" si="17"/>
        <v>35.299999999999997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18.7</v>
      </c>
      <c r="DO24" s="14">
        <f t="shared" ca="1" si="17"/>
        <v>177.6</v>
      </c>
      <c r="DP24" s="14">
        <f t="shared" ca="1" si="17"/>
        <v>279.5</v>
      </c>
      <c r="DQ24" s="14"/>
      <c r="DR24" s="14">
        <f t="shared" si="18"/>
        <v>2021</v>
      </c>
      <c r="DS24" s="14">
        <f t="shared" ca="1" si="19"/>
        <v>326.7</v>
      </c>
      <c r="DT24" s="14">
        <f t="shared" ca="1" si="19"/>
        <v>359.6</v>
      </c>
      <c r="DU24" s="14">
        <f t="shared" ca="1" si="19"/>
        <v>178.7</v>
      </c>
      <c r="DV24" s="14">
        <f t="shared" ca="1" si="19"/>
        <v>71.900000000000006</v>
      </c>
      <c r="DW24" s="14">
        <f t="shared" ca="1" si="19"/>
        <v>13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4.3</v>
      </c>
      <c r="EC24" s="14">
        <f t="shared" ca="1" si="19"/>
        <v>122.3</v>
      </c>
      <c r="ED24" s="14">
        <f t="shared" ca="1" si="19"/>
        <v>220</v>
      </c>
      <c r="EE24" s="14"/>
    </row>
    <row r="25" spans="1:135" ht="15">
      <c r="A25">
        <v>2003</v>
      </c>
      <c r="B25">
        <v>12</v>
      </c>
      <c r="C25" s="11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16">
        <f t="shared" si="9"/>
        <v>2022</v>
      </c>
      <c r="Y25" s="17">
        <f ca="1">MAX(TREND(Y$5:Y$24,X$5:X$24,X25),0)</f>
        <v>812.67421052631607</v>
      </c>
      <c r="Z25" s="17">
        <f ca="1">MAX(TREND(Z$5:Z$24,X$5:X$24,X25),0)</f>
        <v>742.50473684210601</v>
      </c>
      <c r="AA25" s="17">
        <f ca="1">MAX(TREND(AA$5:AA$24,X$5:X$24,X25),0)</f>
        <v>672.64263157894766</v>
      </c>
      <c r="AB25" s="17">
        <f ca="1">MAX(TREND(AB$5:AB$24,X$5:X$24,X25),0)</f>
        <v>502.28105263157886</v>
      </c>
      <c r="AC25" s="17">
        <f ca="1">MAX(TREND(AC$5:AC$24,X$5:X$24,X25),0)</f>
        <v>297.14105263157899</v>
      </c>
      <c r="AD25" s="17">
        <f ca="1">MAX(TREND(AD$5:AD$24,X$5:X$24,X25),0)</f>
        <v>151.95210526315782</v>
      </c>
      <c r="AE25" s="17">
        <f ca="1">MAX(TREND(AE$5:AE$24,X$5:X$24,X25),0)</f>
        <v>61.093157894736862</v>
      </c>
      <c r="AF25" s="17">
        <f ca="1">MAX(TREND(AF$5:AF$24,X$5:X$24,X25),0)</f>
        <v>60.424736842105176</v>
      </c>
      <c r="AG25" s="17">
        <f ca="1">MAX(TREND(AG$5:AG$24,X$5:X$24,X25),0)</f>
        <v>170.83999999999969</v>
      </c>
      <c r="AH25" s="17">
        <f ca="1">MAX(TREND(AH$5:AH$24,X$5:X$24,X25),0)</f>
        <v>335.28789473684265</v>
      </c>
      <c r="AI25" s="17">
        <f ca="1">MAX(TREND(AI$5:AI$24,X$5:X$24,X25),0)</f>
        <v>540.06526315789472</v>
      </c>
      <c r="AJ25" s="17">
        <f ca="1">MAX(TREND(AJ$5:AJ$24,X$5:X$24,X25),0)</f>
        <v>695.68736842105227</v>
      </c>
      <c r="AK25" s="14"/>
      <c r="AL25" s="16">
        <f t="shared" si="11"/>
        <v>2022</v>
      </c>
      <c r="AM25" s="17">
        <f ca="1">MAX(TREND(AM$5:AM$24,AL$5:AL$24,AL25),0)</f>
        <v>750.67421052631607</v>
      </c>
      <c r="AN25" s="17">
        <f ca="1">MAX(TREND(AN$5:AN$24,AL$5:AL$24,AL25),0)</f>
        <v>685.92578947368474</v>
      </c>
      <c r="AO25" s="17">
        <f ca="1">MAX(TREND(AO$5:AO$24,AL$5:AL$24,AL25),0)</f>
        <v>610.64263157894766</v>
      </c>
      <c r="AP25" s="17">
        <f ca="1">MAX(TREND(AP$5:AP$24,AL$5:AL$24,AL25),0)</f>
        <v>441.78526315789441</v>
      </c>
      <c r="AQ25" s="17">
        <f ca="1">MAX(TREND(AQ$5:AQ$24,AL$5:AL$24,AL25),0)</f>
        <v>241.35789473684213</v>
      </c>
      <c r="AR25" s="17">
        <f ca="1">MAX(TREND(AR$5:AR$24,AL$5:AL$24,AL25),0)</f>
        <v>103.68526315789472</v>
      </c>
      <c r="AS25" s="17">
        <f ca="1">MAX(TREND(AS$5:AS$24,AL$5:AL$24,AL25),0)</f>
        <v>26.663157894736848</v>
      </c>
      <c r="AT25" s="17">
        <f ca="1">MAX(TREND(AT$5:AT$24,AL$5:AL$24,AL25),0)</f>
        <v>26.088421052631588</v>
      </c>
      <c r="AU25" s="17">
        <f ca="1">MAX(TREND(AU$5:AU$24,AL$5:AL$24,AL25),0)</f>
        <v>118.60157894736835</v>
      </c>
      <c r="AV25" s="17">
        <f ca="1">MAX(TREND(AV$5:AV$24,AL$5:AL$24,AL25),0)</f>
        <v>274.24789473684268</v>
      </c>
      <c r="AW25" s="17">
        <f ca="1">MAX(TREND(AW$5:AW$24,AL$5:AL$24,AL25),0)</f>
        <v>480.3968421052632</v>
      </c>
      <c r="AX25" s="17">
        <f ca="1">MAX(TREND(AX$5:AX$24,AL$5:AL$24,AL25),0)</f>
        <v>633.68736842105227</v>
      </c>
      <c r="AY25" s="15"/>
      <c r="AZ25" s="16">
        <f t="shared" si="12"/>
        <v>2022</v>
      </c>
      <c r="BA25" s="17">
        <f ca="1">MAX(TREND(BA$5:BA$24,AZ$5:AZ$24,AZ25),0)</f>
        <v>688.67421052631607</v>
      </c>
      <c r="BB25" s="17">
        <f ca="1">MAX(TREND(BB$5:BB$24,AZ$5:AZ$24,AZ25),0)</f>
        <v>629.34684210526348</v>
      </c>
      <c r="BC25" s="17">
        <f ca="1">MAX(TREND(BC$5:BC$24,AZ$5:AZ$24,AZ25),0)</f>
        <v>548.80473684210529</v>
      </c>
      <c r="BD25" s="17">
        <f ca="1">MAX(TREND(BD$5:BD$24,AZ$5:AZ$24,AZ25),0)</f>
        <v>381.17736842105296</v>
      </c>
      <c r="BE25" s="17">
        <f ca="1">MAX(TREND(BE$5:BE$24,AZ$5:AZ$24,AZ25),0)</f>
        <v>188.71368421052648</v>
      </c>
      <c r="BF25" s="17">
        <f ca="1">MAX(TREND(BF$5:BF$24,AZ$5:AZ$24,AZ25),0)</f>
        <v>62.298947368421068</v>
      </c>
      <c r="BG25" s="17">
        <f ca="1">MAX(TREND(BG$5:BG$24,AZ$5:AZ$24,AZ25),0)</f>
        <v>8.3457894736842135</v>
      </c>
      <c r="BH25" s="17">
        <f ca="1">MAX(TREND(BH$5:BH$24,AZ$5:AZ$24,AZ25),0)</f>
        <v>7.9942105263157828</v>
      </c>
      <c r="BI25" s="17">
        <f ca="1">MAX(TREND(BI$5:BI$24,AZ$5:AZ$24,AZ25),0)</f>
        <v>74.99210526315801</v>
      </c>
      <c r="BJ25" s="17">
        <f ca="1">MAX(TREND(BJ$5:BJ$24,AZ$5:AZ$24,AZ25),0)</f>
        <v>215.7152631578947</v>
      </c>
      <c r="BK25" s="17">
        <f ca="1">MAX(TREND(BK$5:BK$24,AZ$5:AZ$24,AZ25),0)</f>
        <v>421.21789473684225</v>
      </c>
      <c r="BL25" s="17">
        <f ca="1">MAX(TREND(BL$5:BL$24,AZ$5:AZ$24,AZ25),0)</f>
        <v>571.68736842105227</v>
      </c>
      <c r="BM25" s="15">
        <f t="shared" ca="1" si="3"/>
        <v>3798.9684210526329</v>
      </c>
      <c r="BN25" s="16">
        <f t="shared" si="13"/>
        <v>2022</v>
      </c>
      <c r="BO25" s="17">
        <f ca="1">MAX(TREND(BO$5:BO$24,BN$5:BN$24,BN25),0)</f>
        <v>626.67421052631607</v>
      </c>
      <c r="BP25" s="17">
        <f ca="1">MAX(TREND(BP$5:BP$24,BN$5:BN$24,BN25),0)</f>
        <v>572.76789473684266</v>
      </c>
      <c r="BQ25" s="17">
        <f ca="1">MAX(TREND(BQ$5:BQ$24,BN$5:BN$24,BN25),0)</f>
        <v>487.03631578947397</v>
      </c>
      <c r="BR25" s="17">
        <f ca="1">MAX(TREND(BR$5:BR$24,BN$5:BN$24,BN25),0)</f>
        <v>321.17105263157919</v>
      </c>
      <c r="BS25" s="17">
        <f ca="1">MAX(TREND(BS$5:BS$24,BN$5:BN$24,BN25),0)</f>
        <v>140.34684210526314</v>
      </c>
      <c r="BT25" s="17">
        <f ca="1">MAX(TREND(BT$5:BT$24,BN$5:BN$24,BN25),0)</f>
        <v>30.285263157894747</v>
      </c>
      <c r="BU25" s="17">
        <f ca="1">MAX(TREND(BU$5:BU$24,BN$5:BN$24,BN25),0)</f>
        <v>1.403157894736843</v>
      </c>
      <c r="BV25" s="17">
        <f ca="1">MAX(TREND(BV$5:BV$24,BN$5:BN$24,BN25),0)</f>
        <v>1.6836842105263088</v>
      </c>
      <c r="BW25" s="17">
        <f ca="1">MAX(TREND(BW$5:BW$24,BN$5:BN$24,BN25),0)</f>
        <v>39.804210526315728</v>
      </c>
      <c r="BX25" s="17">
        <f ca="1">MAX(TREND(BX$5:BX$24,BN$5:BN$24,BN25),0)</f>
        <v>161.62105263157991</v>
      </c>
      <c r="BY25" s="17">
        <f ca="1">MAX(TREND(BY$5:BY$24,BN$5:BN$24,BN25),0)</f>
        <v>362.87263157894722</v>
      </c>
      <c r="BZ25" s="17">
        <f ca="1">MAX(TREND(BZ$5:BZ$24,BN$5:BN$24,BN25),0)</f>
        <v>509.68736842105227</v>
      </c>
      <c r="CA25" s="14"/>
      <c r="CB25" s="16">
        <f t="shared" si="14"/>
        <v>2022</v>
      </c>
      <c r="CC25" s="17">
        <f ca="1">MAX(TREND(CC$5:CC$24,CB$5:CB$24,CB25),0)</f>
        <v>564.67421052631562</v>
      </c>
      <c r="CD25" s="17">
        <f ca="1">MAX(TREND(CD$5:CD$24,CB$5:CB$24,CB25),0)</f>
        <v>516.18894736842094</v>
      </c>
      <c r="CE25" s="17">
        <f ca="1">MAX(TREND(CE$5:CE$24,CB$5:CB$24,CB25),0)</f>
        <v>425.83473684210549</v>
      </c>
      <c r="CF25" s="17">
        <f ca="1">MAX(TREND(CF$5:CF$24,CB$5:CB$24,CB25),0)</f>
        <v>261.80105263157907</v>
      </c>
      <c r="CG25" s="17">
        <f ca="1">MAX(TREND(CG$5:CG$24,CB$5:CB$24,CB25),0)</f>
        <v>97.832105263157871</v>
      </c>
      <c r="CH25" s="17">
        <f ca="1">MAX(TREND(CH$5:CH$24,CB$5:CB$24,CB25),0)</f>
        <v>11.894210526315788</v>
      </c>
      <c r="CI25" s="17">
        <f ca="1">MAX(TREND(CI$5:CI$24,CB$5:CB$24,CB25),0)</f>
        <v>0</v>
      </c>
      <c r="CJ25" s="17">
        <f ca="1">MAX(TREND(CJ$5:CJ$24,CB$5:CB$24,CB25),0)</f>
        <v>0.11000000000000032</v>
      </c>
      <c r="CK25" s="17">
        <f ca="1">MAX(TREND(CK$5:CK$24,CB$5:CB$24,CB25),0)</f>
        <v>16.444736842105272</v>
      </c>
      <c r="CL25" s="17">
        <f ca="1">MAX(TREND(CL$5:CL$24,CB$5:CB$24,CB25),0)</f>
        <v>114.65052631578919</v>
      </c>
      <c r="CM25" s="17">
        <f ca="1">MAX(TREND(CM$5:CM$24,CB$5:CB$24,CB25),0)</f>
        <v>305.61894736842078</v>
      </c>
      <c r="CN25" s="17">
        <f ca="1">MAX(TREND(CN$5:CN$24,CB$5:CB$24,CB25),0)</f>
        <v>447.68736842105227</v>
      </c>
      <c r="CO25" s="14"/>
      <c r="CP25" s="16">
        <f t="shared" si="15"/>
        <v>2022</v>
      </c>
      <c r="CQ25" s="17">
        <f ca="1">MAX(TREND(CQ$5:CQ$24,CP$5:CP$24,CP25),0)</f>
        <v>502.67421052631607</v>
      </c>
      <c r="CR25" s="17">
        <f ca="1">MAX(TREND(CR$5:CR$24,CP$5:CP$24,CP25),0)</f>
        <v>459.61000000000013</v>
      </c>
      <c r="CS25" s="17">
        <f ca="1">MAX(TREND(CS$5:CS$24,CP$5:CP$24,CP25),0)</f>
        <v>365.36368421052612</v>
      </c>
      <c r="CT25" s="17">
        <f ca="1">MAX(TREND(CT$5:CT$24,CP$5:CP$24,CP25),0)</f>
        <v>204.45684210526315</v>
      </c>
      <c r="CU25" s="17">
        <f ca="1">MAX(TREND(CU$5:CU$24,CP$5:CP$24,CP25),0)</f>
        <v>61.62473684210525</v>
      </c>
      <c r="CV25" s="17">
        <f ca="1">MAX(TREND(CV$5:CV$24,CP$5:CP$24,CP25),0)</f>
        <v>2.987894736842108</v>
      </c>
      <c r="CW25" s="17">
        <f ca="1">MAX(TREND(CW$5:CW$24,CP$5:CP$24,CP25),0)</f>
        <v>0</v>
      </c>
      <c r="CX25" s="17">
        <f ca="1">MAX(TREND(CX$5:CX$24,CP$5:CP$24,CP25),0)</f>
        <v>0</v>
      </c>
      <c r="CY25" s="17">
        <f ca="1">MAX(TREND(CY$5:CY$24,CP$5:CP$24,CP25),0)</f>
        <v>5.0189473684210384</v>
      </c>
      <c r="CZ25" s="17">
        <f ca="1">MAX(TREND(CZ$5:CZ$24,CP$5:CP$24,CP25),0)</f>
        <v>74.949473684210261</v>
      </c>
      <c r="DA25" s="17">
        <f ca="1">MAX(TREND(DA$5:DA$24,CP$5:CP$24,CP25),0)</f>
        <v>249.83315789473727</v>
      </c>
      <c r="DB25" s="17">
        <f ca="1">MAX(TREND(DB$5:DB$24,CP$5:CP$24,CP25),0)</f>
        <v>385.68736842105227</v>
      </c>
      <c r="DC25" s="14"/>
      <c r="DD25" s="16">
        <f t="shared" si="16"/>
        <v>2022</v>
      </c>
      <c r="DE25" s="17">
        <f ca="1">MAX(TREND(DE$5:DE$24,DD$5:DD$24,DD25),0)</f>
        <v>440.65789473684163</v>
      </c>
      <c r="DF25" s="17">
        <f ca="1">MAX(TREND(DF$5:DF$24,DD$5:DD$24,DD25),0)</f>
        <v>403.03105263157886</v>
      </c>
      <c r="DG25" s="17">
        <f ca="1">MAX(TREND(DG$5:DG$24,DD$5:DD$24,DD25),0)</f>
        <v>306.61947368421079</v>
      </c>
      <c r="DH25" s="17">
        <f ca="1">MAX(TREND(DH$5:DH$24,DD$5:DD$24,DD25),0)</f>
        <v>150.95157894736849</v>
      </c>
      <c r="DI25" s="17">
        <f ca="1">MAX(TREND(DI$5:DI$24,DD$5:DD$24,DD25),0)</f>
        <v>34.802631578947341</v>
      </c>
      <c r="DJ25" s="17">
        <f ca="1">MAX(TREND(DJ$5:DJ$24,DD$5:DD$24,DD25),0)</f>
        <v>4.9999999999997158E-2</v>
      </c>
      <c r="DK25" s="17">
        <f ca="1">MAX(TREND(DK$5:DK$24,DD$5:DD$24,DD25),0)</f>
        <v>0</v>
      </c>
      <c r="DL25" s="17">
        <f ca="1">MAX(TREND(DL$5:DL$24,DD$5:DD$24,DD25),0)</f>
        <v>0</v>
      </c>
      <c r="DM25" s="17">
        <f ca="1">MAX(TREND(DM$5:DM$24,DD$5:DD$24,DD25),0)</f>
        <v>1.2168421052631615</v>
      </c>
      <c r="DN25" s="17">
        <f ca="1">MAX(TREND(DN$5:DN$24,DD$5:DD$24,DD25),0)</f>
        <v>42.843684210526362</v>
      </c>
      <c r="DO25" s="17">
        <f ca="1">MAX(TREND(DO$5:DO$24,DD$5:DD$24,DD25),0)</f>
        <v>196.86473684210523</v>
      </c>
      <c r="DP25" s="17">
        <f ca="1">MAX(TREND(DP$5:DP$24,DD$5:DD$24,DD25),0)</f>
        <v>324.11684210526346</v>
      </c>
      <c r="DQ25" s="14"/>
      <c r="DR25" s="16">
        <f t="shared" si="18"/>
        <v>2022</v>
      </c>
      <c r="DS25" s="17">
        <f ca="1">MAX(TREND(DS$5:DS$24,DR$5:DR$24,DR25),0)</f>
        <v>379.06631578947372</v>
      </c>
      <c r="DT25" s="17">
        <f ca="1">MAX(TREND(DT$5:DT$24,DR$5:DR$24,DR25),0)</f>
        <v>347.16052631578941</v>
      </c>
      <c r="DU25" s="17">
        <f ca="1">MAX(TREND(DU$5:DU$24,DR$5:DR$24,DR25),0)</f>
        <v>249.49631578947401</v>
      </c>
      <c r="DV25" s="17">
        <f ca="1">MAX(TREND(DV$5:DV$24,DR$5:DR$24,DR25),0)</f>
        <v>103.39684210526315</v>
      </c>
      <c r="DW25" s="17">
        <f ca="1">MAX(TREND(DW$5:DW$24,DR$5:DR$24,DR25),0)</f>
        <v>17.481052631579018</v>
      </c>
      <c r="DX25" s="17">
        <f ca="1">MAX(TREND(DX$5:DX$24,DR$5:DR$24,DR25),0)</f>
        <v>0</v>
      </c>
      <c r="DY25" s="17">
        <f ca="1">MAX(TREND(DY$5:DY$24,DR$5:DR$24,DR25),0)</f>
        <v>0</v>
      </c>
      <c r="DZ25" s="17">
        <f ca="1">MAX(TREND(DZ$5:DZ$24,DR$5:DR$24,DR25),0)</f>
        <v>0</v>
      </c>
      <c r="EA25" s="17">
        <f ca="1">MAX(TREND(EA$5:EA$24,DR$5:DR$24,DR25),0)</f>
        <v>9.4736842105263008E-3</v>
      </c>
      <c r="EB25" s="17">
        <f ca="1">MAX(TREND(EB$5:EB$24,DR$5:DR$24,DR25),0)</f>
        <v>19.29105263157885</v>
      </c>
      <c r="EC25" s="17">
        <f ca="1">MAX(TREND(EC$5:EC$24,DR$5:DR$24,DR25),0)</f>
        <v>146.46421052631558</v>
      </c>
      <c r="ED25" s="17">
        <f ca="1">MAX(TREND(ED$5:ED$24,DR$5:DR$24,DR25),0)</f>
        <v>263.32473684210618</v>
      </c>
      <c r="EE25" s="14"/>
    </row>
    <row r="26" spans="1:135" ht="15">
      <c r="A26">
        <v>2004</v>
      </c>
      <c r="B26">
        <v>1</v>
      </c>
      <c r="C26" s="11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16">
        <f t="shared" si="9"/>
        <v>2023</v>
      </c>
      <c r="Y26" s="17">
        <f ca="1">MAX(TREND(Y$5:Y$24,X$5:X$24,X26),0)</f>
        <v>810.78699248120347</v>
      </c>
      <c r="Z26" s="17">
        <f ca="1">MAX(TREND(Z$5:Z$24,X$5:X$24,X26),0)</f>
        <v>741.06947368421106</v>
      </c>
      <c r="AA26" s="17">
        <f ca="1">MAX(TREND(AA$5:AA$24,X$5:X$24,X26),0)</f>
        <v>670.85669172932376</v>
      </c>
      <c r="AB26" s="17">
        <f ca="1">MAX(TREND(AB$5:AB$24,X$5:X$24,X26),0)</f>
        <v>503.94924812030058</v>
      </c>
      <c r="AC26" s="17">
        <f ca="1">MAX(TREND(AC$5:AC$24,X$5:X$24,X26),0)</f>
        <v>296.00781954887225</v>
      </c>
      <c r="AD26" s="17">
        <f ca="1">MAX(TREND(AD$5:AD$24,X$5:X$24,X26),0)</f>
        <v>152.61706766917291</v>
      </c>
      <c r="AE26" s="17">
        <f ca="1">MAX(TREND(AE$5:AE$24,X$5:X$24,X26),0)</f>
        <v>61.252030075187974</v>
      </c>
      <c r="AF26" s="17">
        <f ca="1">MAX(TREND(AF$5:AF$24,X$5:X$24,X26),0)</f>
        <v>59.732330827067699</v>
      </c>
      <c r="AG26" s="17">
        <f ca="1">MAX(TREND(AG$5:AG$24,X$5:X$24,X26),0)</f>
        <v>171.98428571428576</v>
      </c>
      <c r="AH26" s="17">
        <f ca="1">MAX(TREND(AH$5:AH$24,X$5:X$24,X26),0)</f>
        <v>333.14436090225536</v>
      </c>
      <c r="AI26" s="17">
        <f ca="1">MAX(TREND(AI$5:AI$24,X$5:X$24,X26),0)</f>
        <v>540.80481203007537</v>
      </c>
      <c r="AJ26" s="17">
        <f ca="1">MAX(TREND(AJ$5:AJ$24,X$5:X$24,X26),0)</f>
        <v>692.70616541353411</v>
      </c>
      <c r="AK26" s="14"/>
      <c r="AL26" s="16">
        <f t="shared" si="11"/>
        <v>2023</v>
      </c>
      <c r="AM26" s="17">
        <f ca="1">MAX(TREND(AM$5:AM$24,AL$5:AL$24,AL26),0)</f>
        <v>748.78699248120347</v>
      </c>
      <c r="AN26" s="17">
        <f ca="1">MAX(TREND(AN$5:AN$24,AL$5:AL$24,AL26),0)</f>
        <v>684.48300751879742</v>
      </c>
      <c r="AO26" s="17">
        <f ca="1">MAX(TREND(AO$5:AO$24,AL$5:AL$24,AL26),0)</f>
        <v>608.85669172932376</v>
      </c>
      <c r="AP26" s="17">
        <f ca="1">MAX(TREND(AP$5:AP$24,AL$5:AL$24,AL26),0)</f>
        <v>443.38052631578921</v>
      </c>
      <c r="AQ26" s="17">
        <f ca="1">MAX(TREND(AQ$5:AQ$24,AL$5:AL$24,AL26),0)</f>
        <v>240.49007518796998</v>
      </c>
      <c r="AR26" s="17">
        <f ca="1">MAX(TREND(AR$5:AR$24,AL$5:AL$24,AL26),0)</f>
        <v>104.28481203007527</v>
      </c>
      <c r="AS26" s="17">
        <f ca="1">MAX(TREND(AS$5:AS$24,AL$5:AL$24,AL26),0)</f>
        <v>26.687744360902265</v>
      </c>
      <c r="AT26" s="17">
        <f ca="1">MAX(TREND(AT$5:AT$24,AL$5:AL$24,AL26),0)</f>
        <v>25.603984962406003</v>
      </c>
      <c r="AU26" s="17">
        <f ca="1">MAX(TREND(AU$5:AU$24,AL$5:AL$24,AL26),0)</f>
        <v>119.55172932330834</v>
      </c>
      <c r="AV26" s="17">
        <f ca="1">MAX(TREND(AV$5:AV$24,AL$5:AL$24,AL26),0)</f>
        <v>272.06436090225543</v>
      </c>
      <c r="AW26" s="17">
        <f ca="1">MAX(TREND(AW$5:AW$24,AL$5:AL$24,AL26),0)</f>
        <v>481.15939849624078</v>
      </c>
      <c r="AX26" s="17">
        <f ca="1">MAX(TREND(AX$5:AX$24,AL$5:AL$24,AL26),0)</f>
        <v>630.70616541353411</v>
      </c>
      <c r="AY26" s="15"/>
      <c r="AZ26" s="16">
        <f t="shared" si="12"/>
        <v>2023</v>
      </c>
      <c r="BA26" s="17">
        <f ca="1">MAX(TREND(BA$5:BA$24,AZ$5:AZ$24,AZ26),0)</f>
        <v>686.78699248120347</v>
      </c>
      <c r="BB26" s="17">
        <f ca="1">MAX(TREND(BB$5:BB$24,AZ$5:AZ$24,AZ26),0)</f>
        <v>627.89654135338378</v>
      </c>
      <c r="BC26" s="17">
        <f ca="1">MAX(TREND(BC$5:BC$24,AZ$5:AZ$24,AZ26),0)</f>
        <v>547.02090225563916</v>
      </c>
      <c r="BD26" s="17">
        <f ca="1">MAX(TREND(BD$5:BD$24,AZ$5:AZ$24,AZ26),0)</f>
        <v>382.6475939849629</v>
      </c>
      <c r="BE26" s="17">
        <f ca="1">MAX(TREND(BE$5:BE$24,AZ$5:AZ$24,AZ26),0)</f>
        <v>188.09879699248131</v>
      </c>
      <c r="BF26" s="17">
        <f ca="1">MAX(TREND(BF$5:BF$24,AZ$5:AZ$24,AZ26),0)</f>
        <v>62.726466165413512</v>
      </c>
      <c r="BG26" s="17">
        <f ca="1">MAX(TREND(BG$5:BG$24,AZ$5:AZ$24,AZ26),0)</f>
        <v>8.3672932330827123</v>
      </c>
      <c r="BH26" s="17">
        <f ca="1">MAX(TREND(BH$5:BH$24,AZ$5:AZ$24,AZ26),0)</f>
        <v>7.7641353383458522</v>
      </c>
      <c r="BI26" s="17">
        <f ca="1">MAX(TREND(BI$5:BI$24,AZ$5:AZ$24,AZ26),0)</f>
        <v>75.818496240601689</v>
      </c>
      <c r="BJ26" s="17">
        <f ca="1">MAX(TREND(BJ$5:BJ$24,AZ$5:AZ$24,AZ26),0)</f>
        <v>213.546240601504</v>
      </c>
      <c r="BK26" s="17">
        <f ca="1">MAX(TREND(BK$5:BK$24,AZ$5:AZ$24,AZ26),0)</f>
        <v>422.03436090225591</v>
      </c>
      <c r="BL26" s="17">
        <f ca="1">MAX(TREND(BL$5:BL$24,AZ$5:AZ$24,AZ26),0)</f>
        <v>568.70616541353411</v>
      </c>
      <c r="BM26" s="15">
        <f t="shared" ca="1" si="3"/>
        <v>3791.4139849624089</v>
      </c>
      <c r="BN26" s="16">
        <f t="shared" si="13"/>
        <v>2023</v>
      </c>
      <c r="BO26" s="17">
        <f ca="1">MAX(TREND(BO$5:BO$24,BN$5:BN$24,BN26),0)</f>
        <v>624.78699248120347</v>
      </c>
      <c r="BP26" s="17">
        <f ca="1">MAX(TREND(BP$5:BP$24,BN$5:BN$24,BN26),0)</f>
        <v>571.31007518797014</v>
      </c>
      <c r="BQ26" s="17">
        <f ca="1">MAX(TREND(BQ$5:BQ$24,BN$5:BN$24,BN26),0)</f>
        <v>485.2554887218048</v>
      </c>
      <c r="BR26" s="17">
        <f ca="1">MAX(TREND(BR$5:BR$24,BN$5:BN$24,BN26),0)</f>
        <v>322.4706766917293</v>
      </c>
      <c r="BS26" s="17">
        <f ca="1">MAX(TREND(BS$5:BS$24,BN$5:BN$24,BN26),0)</f>
        <v>140.00939849624058</v>
      </c>
      <c r="BT26" s="17">
        <f ca="1">MAX(TREND(BT$5:BT$24,BN$5:BN$24,BN26),0)</f>
        <v>30.453383458646613</v>
      </c>
      <c r="BU26" s="17">
        <f ca="1">MAX(TREND(BU$5:BU$24,BN$5:BN$24,BN26),0)</f>
        <v>1.4334586466165433</v>
      </c>
      <c r="BV26" s="17">
        <f ca="1">MAX(TREND(BV$5:BV$24,BN$5:BN$24,BN26),0)</f>
        <v>1.6487969924811949</v>
      </c>
      <c r="BW26" s="17">
        <f ca="1">MAX(TREND(BW$5:BW$24,BN$5:BN$24,BN26),0)</f>
        <v>40.308421052631502</v>
      </c>
      <c r="BX26" s="17">
        <f ca="1">MAX(TREND(BX$5:BX$24,BN$5:BN$24,BN26),0)</f>
        <v>159.5792481203016</v>
      </c>
      <c r="BY26" s="17">
        <f ca="1">MAX(TREND(BY$5:BY$24,BN$5:BN$24,BN26),0)</f>
        <v>363.79526315789462</v>
      </c>
      <c r="BZ26" s="17">
        <f ca="1">MAX(TREND(BZ$5:BZ$24,BN$5:BN$24,BN26),0)</f>
        <v>506.7061654135332</v>
      </c>
      <c r="CA26" s="14"/>
      <c r="CB26" s="16">
        <f t="shared" si="14"/>
        <v>2023</v>
      </c>
      <c r="CC26" s="17">
        <f ca="1">MAX(TREND(CC$5:CC$24,CB$5:CB$24,CB26),0)</f>
        <v>562.78699248120301</v>
      </c>
      <c r="CD26" s="17">
        <f ca="1">MAX(TREND(CD$5:CD$24,CB$5:CB$24,CB26),0)</f>
        <v>514.72360902255605</v>
      </c>
      <c r="CE26" s="17">
        <f ca="1">MAX(TREND(CE$5:CE$24,CB$5:CB$24,CB26),0)</f>
        <v>424.09233082706805</v>
      </c>
      <c r="CF26" s="17">
        <f ca="1">MAX(TREND(CF$5:CF$24,CB$5:CB$24,CB26),0)</f>
        <v>262.7935338345867</v>
      </c>
      <c r="CG26" s="17">
        <f ca="1">MAX(TREND(CG$5:CG$24,CB$5:CB$24,CB26),0)</f>
        <v>97.842781954887201</v>
      </c>
      <c r="CH26" s="17">
        <f ca="1">MAX(TREND(CH$5:CH$24,CB$5:CB$24,CB26),0)</f>
        <v>11.961278195488745</v>
      </c>
      <c r="CI26" s="17">
        <f ca="1">MAX(TREND(CI$5:CI$24,CB$5:CB$24,CB26),0)</f>
        <v>0</v>
      </c>
      <c r="CJ26" s="17">
        <f ca="1">MAX(TREND(CJ$5:CJ$24,CB$5:CB$24,CB26),0)</f>
        <v>0.11285714285714299</v>
      </c>
      <c r="CK26" s="17">
        <f ca="1">MAX(TREND(CK$5:CK$24,CB$5:CB$24,CB26),0)</f>
        <v>16.61661654135338</v>
      </c>
      <c r="CL26" s="17">
        <f ca="1">MAX(TREND(CL$5:CL$24,CB$5:CB$24,CB26),0)</f>
        <v>112.95676691729295</v>
      </c>
      <c r="CM26" s="17">
        <f ca="1">MAX(TREND(CM$5:CM$24,CB$5:CB$24,CB26),0)</f>
        <v>306.69218045112757</v>
      </c>
      <c r="CN26" s="17">
        <f ca="1">MAX(TREND(CN$5:CN$24,CB$5:CB$24,CB26),0)</f>
        <v>444.7061654135332</v>
      </c>
      <c r="CO26" s="14"/>
      <c r="CP26" s="16">
        <f t="shared" si="15"/>
        <v>2023</v>
      </c>
      <c r="CQ26" s="17">
        <f ca="1">MAX(TREND(CQ$5:CQ$24,CP$5:CP$24,CP26),0)</f>
        <v>500.78699248120347</v>
      </c>
      <c r="CR26" s="17">
        <f ca="1">MAX(TREND(CR$5:CR$24,CP$5:CP$24,CP26),0)</f>
        <v>458.13714285714286</v>
      </c>
      <c r="CS26" s="17">
        <f ca="1">MAX(TREND(CS$5:CS$24,CP$5:CP$24,CP26),0)</f>
        <v>363.67022556390975</v>
      </c>
      <c r="CT26" s="17">
        <f ca="1">MAX(TREND(CT$5:CT$24,CP$5:CP$24,CP26),0)</f>
        <v>205.13796992481207</v>
      </c>
      <c r="CU26" s="17">
        <f ca="1">MAX(TREND(CU$5:CU$24,CP$5:CP$24,CP26),0)</f>
        <v>61.776616541353377</v>
      </c>
      <c r="CV26" s="17">
        <f ca="1">MAX(TREND(CV$5:CV$24,CP$5:CP$24,CP26),0)</f>
        <v>2.9786466165413543</v>
      </c>
      <c r="CW26" s="17">
        <f ca="1">MAX(TREND(CW$5:CW$24,CP$5:CP$24,CP26),0)</f>
        <v>0</v>
      </c>
      <c r="CX26" s="17">
        <f ca="1">MAX(TREND(CX$5:CX$24,CP$5:CP$24,CP26),0)</f>
        <v>0</v>
      </c>
      <c r="CY26" s="17">
        <f ca="1">MAX(TREND(CY$5:CY$24,CP$5:CP$24,CP26),0)</f>
        <v>5.0664661654135301</v>
      </c>
      <c r="CZ26" s="17">
        <f ca="1">MAX(TREND(CZ$5:CZ$24,CP$5:CP$24,CP26),0)</f>
        <v>73.700375939849437</v>
      </c>
      <c r="DA26" s="17">
        <f ca="1">MAX(TREND(DA$5:DA$24,CP$5:CP$24,CP26),0)</f>
        <v>251.06203007518843</v>
      </c>
      <c r="DB26" s="17">
        <f ca="1">MAX(TREND(DB$5:DB$24,CP$5:CP$24,CP26),0)</f>
        <v>382.7061654135332</v>
      </c>
      <c r="DC26" s="14"/>
      <c r="DD26" s="16">
        <f t="shared" si="16"/>
        <v>2023</v>
      </c>
      <c r="DE26" s="17">
        <f ca="1">MAX(TREND(DE$5:DE$24,DD$5:DD$24,DD26),0)</f>
        <v>438.75436090225503</v>
      </c>
      <c r="DF26" s="17">
        <f ca="1">MAX(TREND(DF$5:DF$24,DD$5:DD$24,DD26),0)</f>
        <v>401.55067669172922</v>
      </c>
      <c r="DG26" s="17">
        <f ca="1">MAX(TREND(DG$5:DG$24,DD$5:DD$24,DD26),0)</f>
        <v>305.0203759398496</v>
      </c>
      <c r="DH26" s="17">
        <f ca="1">MAX(TREND(DH$5:DH$24,DD$5:DD$24,DD26),0)</f>
        <v>151.36601503759402</v>
      </c>
      <c r="DI26" s="17">
        <f ca="1">MAX(TREND(DI$5:DI$24,DD$5:DD$24,DD26),0)</f>
        <v>35.018120300751832</v>
      </c>
      <c r="DJ26" s="17">
        <f ca="1">MAX(TREND(DJ$5:DJ$24,DD$5:DD$24,DD26),0)</f>
        <v>1.7142857142857792E-2</v>
      </c>
      <c r="DK26" s="17">
        <f ca="1">MAX(TREND(DK$5:DK$24,DD$5:DD$24,DD26),0)</f>
        <v>0</v>
      </c>
      <c r="DL26" s="17">
        <f ca="1">MAX(TREND(DL$5:DL$24,DD$5:DD$24,DD26),0)</f>
        <v>0</v>
      </c>
      <c r="DM26" s="17">
        <f ca="1">MAX(TREND(DM$5:DM$24,DD$5:DD$24,DD26),0)</f>
        <v>1.2422556390977491</v>
      </c>
      <c r="DN26" s="17">
        <f ca="1">MAX(TREND(DN$5:DN$24,DD$5:DD$24,DD26),0)</f>
        <v>42.000225563909908</v>
      </c>
      <c r="DO26" s="17">
        <f ca="1">MAX(TREND(DO$5:DO$24,DD$5:DD$24,DD26),0)</f>
        <v>198.25518796992492</v>
      </c>
      <c r="DP26" s="17">
        <f ca="1">MAX(TREND(DP$5:DP$24,DD$5:DD$24,DD26),0)</f>
        <v>321.16225563909848</v>
      </c>
      <c r="DQ26" s="14"/>
      <c r="DR26" s="16">
        <f t="shared" si="18"/>
        <v>2023</v>
      </c>
      <c r="DS26" s="17">
        <f ca="1">MAX(TREND(DS$5:DS$24,DR$5:DR$24,DR26),0)</f>
        <v>377.15406015037615</v>
      </c>
      <c r="DT26" s="17">
        <f ca="1">MAX(TREND(DT$5:DT$24,DR$5:DR$24,DR26),0)</f>
        <v>345.70533834586467</v>
      </c>
      <c r="DU26" s="17">
        <f ca="1">MAX(TREND(DU$5:DU$24,DR$5:DR$24,DR26),0)</f>
        <v>247.97977443609034</v>
      </c>
      <c r="DV26" s="17">
        <f ca="1">MAX(TREND(DV$5:DV$24,DR$5:DR$24,DR26),0)</f>
        <v>103.6093984962406</v>
      </c>
      <c r="DW26" s="17">
        <f ca="1">MAX(TREND(DW$5:DW$24,DR$5:DR$24,DR26),0)</f>
        <v>17.817819548872194</v>
      </c>
      <c r="DX26" s="17">
        <f ca="1">MAX(TREND(DX$5:DX$24,DR$5:DR$24,DR26),0)</f>
        <v>0</v>
      </c>
      <c r="DY26" s="17">
        <f ca="1">MAX(TREND(DY$5:DY$24,DR$5:DR$24,DR26),0)</f>
        <v>0</v>
      </c>
      <c r="DZ26" s="17">
        <f ca="1">MAX(TREND(DZ$5:DZ$24,DR$5:DR$24,DR26),0)</f>
        <v>0</v>
      </c>
      <c r="EA26" s="17">
        <f ca="1">MAX(TREND(EA$5:EA$24,DR$5:DR$24,DR26),0)</f>
        <v>6.0902255639101455E-3</v>
      </c>
      <c r="EB26" s="17">
        <f ca="1">MAX(TREND(EB$5:EB$24,DR$5:DR$24,DR26),0)</f>
        <v>18.692105263157828</v>
      </c>
      <c r="EC26" s="17">
        <f ca="1">MAX(TREND(EC$5:EC$24,DR$5:DR$24,DR26),0)</f>
        <v>147.81842105263149</v>
      </c>
      <c r="ED26" s="17">
        <f ca="1">MAX(TREND(ED$5:ED$24,DR$5:DR$24,DR26),0)</f>
        <v>260.43375939849648</v>
      </c>
      <c r="EE26" s="14"/>
    </row>
    <row r="27" spans="1:135">
      <c r="A27">
        <v>2004</v>
      </c>
      <c r="B27">
        <v>2</v>
      </c>
      <c r="C27" s="11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4" t="s">
        <v>50</v>
      </c>
      <c r="Y28" s="19">
        <f t="shared" ref="Y28:AJ28" ca="1" si="25">AVERAGE(Y15:Y24)</f>
        <v>820.43</v>
      </c>
      <c r="Z28" s="19">
        <f t="shared" ca="1" si="25"/>
        <v>751.8</v>
      </c>
      <c r="AA28" s="19">
        <f t="shared" ca="1" si="25"/>
        <v>683.63000000000011</v>
      </c>
      <c r="AB28" s="19">
        <f t="shared" ca="1" si="25"/>
        <v>501.82</v>
      </c>
      <c r="AC28" s="19">
        <f t="shared" ca="1" si="25"/>
        <v>300.26</v>
      </c>
      <c r="AD28" s="19">
        <f t="shared" ca="1" si="25"/>
        <v>148.49</v>
      </c>
      <c r="AE28" s="19">
        <f t="shared" ca="1" si="25"/>
        <v>60.81</v>
      </c>
      <c r="AF28" s="19">
        <f t="shared" ca="1" si="25"/>
        <v>66.27000000000001</v>
      </c>
      <c r="AG28" s="19">
        <f t="shared" ca="1" si="25"/>
        <v>161.51999999999998</v>
      </c>
      <c r="AH28" s="19">
        <f t="shared" ca="1" si="25"/>
        <v>348.65999999999997</v>
      </c>
      <c r="AI28" s="19">
        <f ca="1">AVERAGE(AI15:AI24)</f>
        <v>544.56999999999994</v>
      </c>
      <c r="AJ28" s="19">
        <f t="shared" ca="1" si="25"/>
        <v>709.60000000000014</v>
      </c>
      <c r="AK28" s="14"/>
      <c r="AL28" s="14" t="s">
        <v>50</v>
      </c>
      <c r="AM28" s="19">
        <f t="shared" ref="AM28:AX28" ca="1" si="26">AVERAGE(AM15:AM24)</f>
        <v>758.43</v>
      </c>
      <c r="AN28" s="19">
        <f t="shared" ca="1" si="26"/>
        <v>695.19999999999993</v>
      </c>
      <c r="AO28" s="19">
        <f t="shared" ca="1" si="26"/>
        <v>621.63</v>
      </c>
      <c r="AP28" s="19">
        <f t="shared" ca="1" si="26"/>
        <v>441.82</v>
      </c>
      <c r="AQ28" s="19">
        <f t="shared" ca="1" si="26"/>
        <v>243.17000000000002</v>
      </c>
      <c r="AR28" s="19">
        <f t="shared" ca="1" si="26"/>
        <v>101.08000000000001</v>
      </c>
      <c r="AS28" s="19">
        <f t="shared" ca="1" si="26"/>
        <v>26.880000000000003</v>
      </c>
      <c r="AT28" s="19">
        <f t="shared" ca="1" si="26"/>
        <v>30.140000000000004</v>
      </c>
      <c r="AU28" s="19">
        <f t="shared" ca="1" si="26"/>
        <v>111.46000000000001</v>
      </c>
      <c r="AV28" s="19">
        <f t="shared" ca="1" si="26"/>
        <v>287.67</v>
      </c>
      <c r="AW28" s="19">
        <f t="shared" ca="1" si="26"/>
        <v>484.75</v>
      </c>
      <c r="AX28" s="19">
        <f t="shared" ca="1" si="26"/>
        <v>647.60000000000014</v>
      </c>
      <c r="AY28" s="15"/>
      <c r="AZ28" s="14" t="s">
        <v>50</v>
      </c>
      <c r="BA28" s="19">
        <f t="shared" ref="BA28:BL28" ca="1" si="27">AVERAGE(BA15:BA24)</f>
        <v>696.43</v>
      </c>
      <c r="BB28" s="19">
        <f t="shared" ca="1" si="27"/>
        <v>638.6</v>
      </c>
      <c r="BC28" s="19">
        <f t="shared" ca="1" si="27"/>
        <v>559.91000000000008</v>
      </c>
      <c r="BD28" s="19">
        <f t="shared" ca="1" si="27"/>
        <v>381.9</v>
      </c>
      <c r="BE28" s="19">
        <f t="shared" ca="1" si="27"/>
        <v>189.39000000000001</v>
      </c>
      <c r="BF28" s="19">
        <f t="shared" ca="1" si="27"/>
        <v>60.770000000000017</v>
      </c>
      <c r="BG28" s="19">
        <f t="shared" ca="1" si="27"/>
        <v>8.34</v>
      </c>
      <c r="BH28" s="19">
        <f t="shared" ca="1" si="27"/>
        <v>9.5</v>
      </c>
      <c r="BI28" s="19">
        <f t="shared" ca="1" si="27"/>
        <v>69.7</v>
      </c>
      <c r="BJ28" s="19">
        <f t="shared" ca="1" si="27"/>
        <v>228.78000000000003</v>
      </c>
      <c r="BK28" s="19">
        <f t="shared" ca="1" si="27"/>
        <v>425.26000000000005</v>
      </c>
      <c r="BL28" s="19">
        <f t="shared" ca="1" si="27"/>
        <v>585.60000000000014</v>
      </c>
      <c r="BM28" s="15">
        <f ca="1">SUM(BA28:BL28)</f>
        <v>3854.1800000000003</v>
      </c>
      <c r="BN28" s="14" t="s">
        <v>50</v>
      </c>
      <c r="BO28" s="19">
        <f t="shared" ref="BO28:BZ28" ca="1" si="28">AVERAGE(BO15:BO24)</f>
        <v>634.42999999999995</v>
      </c>
      <c r="BP28" s="19">
        <f t="shared" ca="1" si="28"/>
        <v>582</v>
      </c>
      <c r="BQ28" s="19">
        <f t="shared" ca="1" si="28"/>
        <v>498.31000000000006</v>
      </c>
      <c r="BR28" s="19">
        <f t="shared" ca="1" si="28"/>
        <v>322.59999999999997</v>
      </c>
      <c r="BS28" s="19">
        <f t="shared" ca="1" si="28"/>
        <v>139.78</v>
      </c>
      <c r="BT28" s="19">
        <f t="shared" ca="1" si="28"/>
        <v>29.85</v>
      </c>
      <c r="BU28" s="19">
        <f t="shared" ca="1" si="28"/>
        <v>1.36</v>
      </c>
      <c r="BV28" s="19">
        <f t="shared" ca="1" si="28"/>
        <v>1.77</v>
      </c>
      <c r="BW28" s="19">
        <f t="shared" ca="1" si="28"/>
        <v>37.33</v>
      </c>
      <c r="BX28" s="19">
        <f t="shared" ca="1" si="28"/>
        <v>173.75</v>
      </c>
      <c r="BY28" s="19">
        <f t="shared" ca="1" si="28"/>
        <v>366.25</v>
      </c>
      <c r="BZ28" s="19">
        <f t="shared" ca="1" si="28"/>
        <v>523.60000000000014</v>
      </c>
      <c r="CA28" s="14"/>
      <c r="CB28" s="14" t="s">
        <v>50</v>
      </c>
      <c r="CC28" s="19">
        <f t="shared" ref="CC28:CN28" ca="1" si="29">AVERAGE(CC15:CC24)</f>
        <v>572.42999999999995</v>
      </c>
      <c r="CD28" s="19">
        <f t="shared" ca="1" si="29"/>
        <v>525.4</v>
      </c>
      <c r="CE28" s="19">
        <f t="shared" ca="1" si="29"/>
        <v>437.1</v>
      </c>
      <c r="CF28" s="19">
        <f t="shared" ca="1" si="29"/>
        <v>264.39999999999998</v>
      </c>
      <c r="CG28" s="19">
        <f t="shared" ca="1" si="29"/>
        <v>95.570000000000007</v>
      </c>
      <c r="CH28" s="19">
        <f t="shared" ca="1" si="29"/>
        <v>11.73</v>
      </c>
      <c r="CI28" s="19">
        <f t="shared" ca="1" si="29"/>
        <v>0</v>
      </c>
      <c r="CJ28" s="19">
        <f t="shared" ca="1" si="29"/>
        <v>0.13</v>
      </c>
      <c r="CK28" s="19">
        <f t="shared" ca="1" si="29"/>
        <v>16.16</v>
      </c>
      <c r="CL28" s="19">
        <f t="shared" ca="1" si="29"/>
        <v>124.66000000000001</v>
      </c>
      <c r="CM28" s="19">
        <f t="shared" ca="1" si="29"/>
        <v>308.05</v>
      </c>
      <c r="CN28" s="19">
        <f t="shared" ca="1" si="29"/>
        <v>461.6</v>
      </c>
      <c r="CO28" s="14"/>
      <c r="CP28" s="14" t="s">
        <v>50</v>
      </c>
      <c r="CQ28" s="19">
        <f t="shared" ref="CQ28:DB28" ca="1" si="30">AVERAGE(CQ15:CQ24)</f>
        <v>510.42999999999995</v>
      </c>
      <c r="CR28" s="19">
        <f t="shared" ca="1" si="30"/>
        <v>468.8</v>
      </c>
      <c r="CS28" s="19">
        <f t="shared" ca="1" si="30"/>
        <v>376.85</v>
      </c>
      <c r="CT28" s="19">
        <f t="shared" ca="1" si="30"/>
        <v>208.18</v>
      </c>
      <c r="CU28" s="19">
        <f t="shared" ca="1" si="30"/>
        <v>58.95</v>
      </c>
      <c r="CV28" s="19">
        <f t="shared" ca="1" si="30"/>
        <v>2.95</v>
      </c>
      <c r="CW28" s="19">
        <f t="shared" ca="1" si="30"/>
        <v>0</v>
      </c>
      <c r="CX28" s="19">
        <f t="shared" ca="1" si="30"/>
        <v>0</v>
      </c>
      <c r="CY28" s="19">
        <f t="shared" ca="1" si="30"/>
        <v>5.120000000000001</v>
      </c>
      <c r="CZ28" s="19">
        <f t="shared" ca="1" si="30"/>
        <v>83.13000000000001</v>
      </c>
      <c r="DA28" s="19">
        <f t="shared" ca="1" si="30"/>
        <v>251.03999999999996</v>
      </c>
      <c r="DB28" s="19">
        <f t="shared" ca="1" si="30"/>
        <v>399.6</v>
      </c>
      <c r="DC28" s="14"/>
      <c r="DD28" s="14" t="s">
        <v>50</v>
      </c>
      <c r="DE28" s="19">
        <f t="shared" ref="DE28:DP28" ca="1" si="31">AVERAGE(DE15:DE24)</f>
        <v>448.43</v>
      </c>
      <c r="DF28" s="19">
        <f t="shared" ca="1" si="31"/>
        <v>412.2</v>
      </c>
      <c r="DG28" s="19">
        <f t="shared" ca="1" si="31"/>
        <v>318.39000000000004</v>
      </c>
      <c r="DH28" s="19">
        <f t="shared" ca="1" si="31"/>
        <v>155.51999999999998</v>
      </c>
      <c r="DI28" s="19">
        <f t="shared" ca="1" si="31"/>
        <v>32.65</v>
      </c>
      <c r="DJ28" s="19">
        <f t="shared" ca="1" si="31"/>
        <v>0.16999999999999998</v>
      </c>
      <c r="DK28" s="19">
        <f t="shared" ca="1" si="31"/>
        <v>0</v>
      </c>
      <c r="DL28" s="19">
        <f t="shared" ca="1" si="31"/>
        <v>0</v>
      </c>
      <c r="DM28" s="19">
        <f t="shared" ca="1" si="31"/>
        <v>1.1000000000000001</v>
      </c>
      <c r="DN28" s="19">
        <f t="shared" ca="1" si="31"/>
        <v>49.239999999999995</v>
      </c>
      <c r="DO28" s="19">
        <f t="shared" ca="1" si="31"/>
        <v>196.93</v>
      </c>
      <c r="DP28" s="19">
        <f t="shared" ca="1" si="31"/>
        <v>337.9</v>
      </c>
      <c r="DQ28" s="14"/>
      <c r="DR28" s="14" t="s">
        <v>50</v>
      </c>
      <c r="DS28" s="19">
        <f t="shared" ref="DS28:ED28" ca="1" si="32">AVERAGE(DS15:DS24)</f>
        <v>386.85</v>
      </c>
      <c r="DT28" s="19">
        <f t="shared" ca="1" si="32"/>
        <v>356.19</v>
      </c>
      <c r="DU28" s="19">
        <f t="shared" ca="1" si="32"/>
        <v>261.53000000000003</v>
      </c>
      <c r="DV28" s="19">
        <f t="shared" ca="1" si="32"/>
        <v>108.13000000000002</v>
      </c>
      <c r="DW28" s="19">
        <f t="shared" ca="1" si="32"/>
        <v>15.2</v>
      </c>
      <c r="DX28" s="19">
        <f t="shared" ca="1" si="32"/>
        <v>0</v>
      </c>
      <c r="DY28" s="19">
        <f t="shared" ca="1" si="32"/>
        <v>0</v>
      </c>
      <c r="DZ28" s="19">
        <f t="shared" ca="1" si="32"/>
        <v>0</v>
      </c>
      <c r="EA28" s="19">
        <f t="shared" ca="1" si="32"/>
        <v>0</v>
      </c>
      <c r="EB28" s="19">
        <f t="shared" ca="1" si="32"/>
        <v>23.78</v>
      </c>
      <c r="EC28" s="19">
        <f t="shared" ca="1" si="32"/>
        <v>146.42000000000002</v>
      </c>
      <c r="ED28" s="19">
        <f t="shared" ca="1" si="32"/>
        <v>276.89</v>
      </c>
      <c r="EE28" s="14"/>
    </row>
    <row r="29" spans="1:135">
      <c r="A29">
        <v>2004</v>
      </c>
      <c r="B29">
        <v>4</v>
      </c>
      <c r="C29" s="11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2" t="str">
        <f>E1</f>
        <v>CDD22</v>
      </c>
      <c r="Y31" s="13" t="s">
        <v>38</v>
      </c>
      <c r="Z31" s="13" t="s">
        <v>39</v>
      </c>
      <c r="AA31" s="13" t="s">
        <v>40</v>
      </c>
      <c r="AB31" s="13" t="s">
        <v>41</v>
      </c>
      <c r="AC31" s="13" t="s">
        <v>42</v>
      </c>
      <c r="AD31" s="13" t="s">
        <v>43</v>
      </c>
      <c r="AE31" s="13" t="s">
        <v>44</v>
      </c>
      <c r="AF31" s="13" t="s">
        <v>45</v>
      </c>
      <c r="AG31" s="13" t="s">
        <v>46</v>
      </c>
      <c r="AH31" s="13" t="s">
        <v>47</v>
      </c>
      <c r="AI31" s="13" t="s">
        <v>48</v>
      </c>
      <c r="AJ31" s="13" t="s">
        <v>49</v>
      </c>
      <c r="AK31" s="14"/>
      <c r="AL31" s="12" t="str">
        <f>G1</f>
        <v>CDD20</v>
      </c>
      <c r="AM31" s="13" t="s">
        <v>38</v>
      </c>
      <c r="AN31" s="13" t="s">
        <v>39</v>
      </c>
      <c r="AO31" s="13" t="s">
        <v>40</v>
      </c>
      <c r="AP31" s="13" t="s">
        <v>41</v>
      </c>
      <c r="AQ31" s="13" t="s">
        <v>42</v>
      </c>
      <c r="AR31" s="13" t="s">
        <v>43</v>
      </c>
      <c r="AS31" s="13" t="s">
        <v>44</v>
      </c>
      <c r="AT31" s="13" t="s">
        <v>45</v>
      </c>
      <c r="AU31" s="13" t="s">
        <v>46</v>
      </c>
      <c r="AV31" s="13" t="s">
        <v>47</v>
      </c>
      <c r="AW31" s="13" t="s">
        <v>48</v>
      </c>
      <c r="AX31" s="13" t="s">
        <v>49</v>
      </c>
      <c r="AY31" s="14"/>
      <c r="AZ31" s="12" t="str">
        <f>I1</f>
        <v>CDD18</v>
      </c>
      <c r="BA31" s="13" t="s">
        <v>38</v>
      </c>
      <c r="BB31" s="13" t="s">
        <v>39</v>
      </c>
      <c r="BC31" s="13" t="s">
        <v>40</v>
      </c>
      <c r="BD31" s="13" t="s">
        <v>41</v>
      </c>
      <c r="BE31" s="13" t="s">
        <v>42</v>
      </c>
      <c r="BF31" s="13" t="s">
        <v>43</v>
      </c>
      <c r="BG31" s="13" t="s">
        <v>44</v>
      </c>
      <c r="BH31" s="13" t="s">
        <v>45</v>
      </c>
      <c r="BI31" s="13" t="s">
        <v>46</v>
      </c>
      <c r="BJ31" s="13" t="s">
        <v>47</v>
      </c>
      <c r="BK31" s="13" t="s">
        <v>48</v>
      </c>
      <c r="BL31" s="13" t="s">
        <v>49</v>
      </c>
      <c r="BM31" s="14"/>
      <c r="BN31" s="12" t="str">
        <f>K1</f>
        <v>CDD16</v>
      </c>
      <c r="BO31" s="13" t="s">
        <v>38</v>
      </c>
      <c r="BP31" s="13" t="s">
        <v>39</v>
      </c>
      <c r="BQ31" s="13" t="s">
        <v>40</v>
      </c>
      <c r="BR31" s="13" t="s">
        <v>41</v>
      </c>
      <c r="BS31" s="13" t="s">
        <v>42</v>
      </c>
      <c r="BT31" s="13" t="s">
        <v>43</v>
      </c>
      <c r="BU31" s="13" t="s">
        <v>44</v>
      </c>
      <c r="BV31" s="13" t="s">
        <v>45</v>
      </c>
      <c r="BW31" s="13" t="s">
        <v>46</v>
      </c>
      <c r="BX31" s="13" t="s">
        <v>47</v>
      </c>
      <c r="BY31" s="13" t="s">
        <v>48</v>
      </c>
      <c r="BZ31" s="13" t="s">
        <v>49</v>
      </c>
      <c r="CA31" s="14"/>
      <c r="CB31" s="12" t="str">
        <f>M1</f>
        <v>CDD14</v>
      </c>
      <c r="CC31" s="13" t="s">
        <v>38</v>
      </c>
      <c r="CD31" s="13" t="s">
        <v>39</v>
      </c>
      <c r="CE31" s="13" t="s">
        <v>40</v>
      </c>
      <c r="CF31" s="13" t="s">
        <v>41</v>
      </c>
      <c r="CG31" s="13" t="s">
        <v>42</v>
      </c>
      <c r="CH31" s="13" t="s">
        <v>43</v>
      </c>
      <c r="CI31" s="13" t="s">
        <v>44</v>
      </c>
      <c r="CJ31" s="13" t="s">
        <v>45</v>
      </c>
      <c r="CK31" s="13" t="s">
        <v>46</v>
      </c>
      <c r="CL31" s="13" t="s">
        <v>47</v>
      </c>
      <c r="CM31" s="13" t="s">
        <v>48</v>
      </c>
      <c r="CN31" s="13" t="s">
        <v>49</v>
      </c>
      <c r="CO31" s="14"/>
      <c r="CP31" s="12" t="str">
        <f>O1</f>
        <v>CDD12</v>
      </c>
      <c r="CQ31" s="13" t="s">
        <v>38</v>
      </c>
      <c r="CR31" s="13" t="s">
        <v>39</v>
      </c>
      <c r="CS31" s="13" t="s">
        <v>40</v>
      </c>
      <c r="CT31" s="13" t="s">
        <v>41</v>
      </c>
      <c r="CU31" s="13" t="s">
        <v>42</v>
      </c>
      <c r="CV31" s="13" t="s">
        <v>43</v>
      </c>
      <c r="CW31" s="13" t="s">
        <v>44</v>
      </c>
      <c r="CX31" s="13" t="s">
        <v>45</v>
      </c>
      <c r="CY31" s="13" t="s">
        <v>46</v>
      </c>
      <c r="CZ31" s="13" t="s">
        <v>47</v>
      </c>
      <c r="DA31" s="13" t="s">
        <v>48</v>
      </c>
      <c r="DB31" s="13" t="s">
        <v>49</v>
      </c>
      <c r="DC31" s="14"/>
      <c r="DD31" s="12" t="str">
        <f>Q1</f>
        <v>CDD10</v>
      </c>
      <c r="DE31" s="13" t="s">
        <v>38</v>
      </c>
      <c r="DF31" s="13" t="s">
        <v>39</v>
      </c>
      <c r="DG31" s="13" t="s">
        <v>40</v>
      </c>
      <c r="DH31" s="13" t="s">
        <v>41</v>
      </c>
      <c r="DI31" s="13" t="s">
        <v>42</v>
      </c>
      <c r="DJ31" s="13" t="s">
        <v>43</v>
      </c>
      <c r="DK31" s="13" t="s">
        <v>44</v>
      </c>
      <c r="DL31" s="13" t="s">
        <v>45</v>
      </c>
      <c r="DM31" s="13" t="s">
        <v>46</v>
      </c>
      <c r="DN31" s="13" t="s">
        <v>47</v>
      </c>
      <c r="DO31" s="13" t="s">
        <v>48</v>
      </c>
      <c r="DP31" s="13" t="s">
        <v>49</v>
      </c>
      <c r="DQ31" s="14"/>
      <c r="DR31" s="12" t="str">
        <f>S1</f>
        <v>CDD8</v>
      </c>
      <c r="DS31" s="13" t="s">
        <v>38</v>
      </c>
      <c r="DT31" s="13" t="s">
        <v>39</v>
      </c>
      <c r="DU31" s="13" t="s">
        <v>40</v>
      </c>
      <c r="DV31" s="13" t="s">
        <v>41</v>
      </c>
      <c r="DW31" s="13" t="s">
        <v>42</v>
      </c>
      <c r="DX31" s="13" t="s">
        <v>43</v>
      </c>
      <c r="DY31" s="13" t="s">
        <v>44</v>
      </c>
      <c r="DZ31" s="13" t="s">
        <v>45</v>
      </c>
      <c r="EA31" s="13" t="s">
        <v>46</v>
      </c>
      <c r="EB31" s="13" t="s">
        <v>47</v>
      </c>
      <c r="EC31" s="13" t="s">
        <v>48</v>
      </c>
      <c r="ED31" s="13" t="s">
        <v>49</v>
      </c>
      <c r="EE31" s="14"/>
    </row>
    <row r="32" spans="1:135">
      <c r="A32">
        <v>2004</v>
      </c>
      <c r="B32">
        <v>7</v>
      </c>
      <c r="C32" s="11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4">
        <v>2002</v>
      </c>
      <c r="Y32" s="19">
        <f ca="1">OFFSET($E$2,(ROW()-32)*12+COLUMN()-25,0)</f>
        <v>0</v>
      </c>
      <c r="Z32" s="19">
        <f t="shared" ref="Z32:AJ47" ca="1" si="33">OFFSET($E$2,(ROW()-32)*12+COLUMN()-25,0)</f>
        <v>0</v>
      </c>
      <c r="AA32" s="19">
        <f t="shared" ca="1" si="33"/>
        <v>0</v>
      </c>
      <c r="AB32" s="19">
        <f t="shared" ca="1" si="33"/>
        <v>1.3</v>
      </c>
      <c r="AC32" s="19">
        <f t="shared" ca="1" si="33"/>
        <v>0</v>
      </c>
      <c r="AD32" s="19">
        <f t="shared" ca="1" si="33"/>
        <v>17.100000000000001</v>
      </c>
      <c r="AE32" s="19">
        <f t="shared" ca="1" si="33"/>
        <v>67.2</v>
      </c>
      <c r="AF32" s="19">
        <f t="shared" ca="1" si="33"/>
        <v>30.8</v>
      </c>
      <c r="AG32" s="19">
        <f t="shared" ca="1" si="33"/>
        <v>26.4</v>
      </c>
      <c r="AH32" s="19">
        <f t="shared" ca="1" si="33"/>
        <v>2.9</v>
      </c>
      <c r="AI32" s="19">
        <f t="shared" ca="1" si="33"/>
        <v>0</v>
      </c>
      <c r="AJ32" s="19">
        <f t="shared" ca="1" si="33"/>
        <v>0</v>
      </c>
      <c r="AK32" s="14"/>
      <c r="AL32" s="14">
        <v>2002</v>
      </c>
      <c r="AM32" s="19">
        <f t="shared" ref="AM32:AX47" ca="1" si="34">OFFSET($G$2,(ROW()-32)*12+COLUMN()-39,0)</f>
        <v>0</v>
      </c>
      <c r="AN32" s="19">
        <f t="shared" ca="1" si="34"/>
        <v>0</v>
      </c>
      <c r="AO32" s="19">
        <f t="shared" ca="1" si="34"/>
        <v>0</v>
      </c>
      <c r="AP32" s="19">
        <f t="shared" ca="1" si="34"/>
        <v>4.5999999999999996</v>
      </c>
      <c r="AQ32" s="19">
        <f t="shared" ca="1" si="34"/>
        <v>0</v>
      </c>
      <c r="AR32" s="19">
        <f t="shared" ca="1" si="34"/>
        <v>34.200000000000003</v>
      </c>
      <c r="AS32" s="19">
        <f t="shared" ca="1" si="34"/>
        <v>104.5</v>
      </c>
      <c r="AT32" s="19">
        <f t="shared" ca="1" si="34"/>
        <v>58.8</v>
      </c>
      <c r="AU32" s="19">
        <f t="shared" ca="1" si="34"/>
        <v>51.3</v>
      </c>
      <c r="AV32" s="19">
        <f t="shared" ca="1" si="34"/>
        <v>5.4</v>
      </c>
      <c r="AW32" s="19">
        <f t="shared" ca="1" si="34"/>
        <v>0</v>
      </c>
      <c r="AX32" s="19">
        <f t="shared" ca="1" si="34"/>
        <v>0</v>
      </c>
      <c r="AY32" s="15"/>
      <c r="AZ32" s="14">
        <v>2002</v>
      </c>
      <c r="BA32" s="19">
        <f t="shared" ref="BA32:BL47" ca="1" si="35">OFFSET($I$2,(ROW()-32)*12+COLUMN()-53,0)</f>
        <v>0</v>
      </c>
      <c r="BB32" s="19">
        <f t="shared" ca="1" si="35"/>
        <v>0</v>
      </c>
      <c r="BC32" s="19">
        <f t="shared" ca="1" si="35"/>
        <v>0</v>
      </c>
      <c r="BD32" s="19">
        <f t="shared" ca="1" si="35"/>
        <v>10.3</v>
      </c>
      <c r="BE32" s="19">
        <f t="shared" ca="1" si="35"/>
        <v>2.2999999999999998</v>
      </c>
      <c r="BF32" s="19">
        <f t="shared" ca="1" si="35"/>
        <v>61.2</v>
      </c>
      <c r="BG32" s="19">
        <f t="shared" ca="1" si="35"/>
        <v>153.9</v>
      </c>
      <c r="BH32" s="19">
        <f t="shared" ca="1" si="35"/>
        <v>102.4</v>
      </c>
      <c r="BI32" s="19">
        <f t="shared" ca="1" si="35"/>
        <v>81.400000000000006</v>
      </c>
      <c r="BJ32" s="19">
        <f t="shared" ca="1" si="35"/>
        <v>9.5</v>
      </c>
      <c r="BK32" s="19">
        <f t="shared" ca="1" si="35"/>
        <v>0</v>
      </c>
      <c r="BL32" s="19">
        <f t="shared" ca="1" si="35"/>
        <v>0</v>
      </c>
      <c r="BM32" s="15">
        <f t="shared" ref="BM32:BM53" ca="1" si="36">SUM(BA32:BL32)</f>
        <v>421</v>
      </c>
      <c r="BN32" s="14">
        <v>2002</v>
      </c>
      <c r="BO32" s="19">
        <f t="shared" ref="BO32:BZ47" ca="1" si="37">OFFSET($K$2,(ROW()-32)*12+COLUMN()-67,0)</f>
        <v>0</v>
      </c>
      <c r="BP32" s="19">
        <f t="shared" ca="1" si="37"/>
        <v>0</v>
      </c>
      <c r="BQ32" s="19">
        <f t="shared" ca="1" si="37"/>
        <v>0</v>
      </c>
      <c r="BR32" s="19">
        <f t="shared" ca="1" si="37"/>
        <v>17.7</v>
      </c>
      <c r="BS32" s="19">
        <f t="shared" ca="1" si="37"/>
        <v>10.3</v>
      </c>
      <c r="BT32" s="19">
        <f t="shared" ca="1" si="37"/>
        <v>95</v>
      </c>
      <c r="BU32" s="19">
        <f t="shared" ca="1" si="37"/>
        <v>212.4</v>
      </c>
      <c r="BV32" s="19">
        <f t="shared" ca="1" si="37"/>
        <v>159.4</v>
      </c>
      <c r="BW32" s="19">
        <f t="shared" ca="1" si="37"/>
        <v>122.2</v>
      </c>
      <c r="BX32" s="19">
        <f t="shared" ca="1" si="37"/>
        <v>15.5</v>
      </c>
      <c r="BY32" s="19">
        <f t="shared" ca="1" si="37"/>
        <v>0</v>
      </c>
      <c r="BZ32" s="19">
        <f t="shared" ca="1" si="37"/>
        <v>0</v>
      </c>
      <c r="CA32" s="14"/>
      <c r="CB32" s="14">
        <v>2002</v>
      </c>
      <c r="CC32" s="19">
        <f t="shared" ref="CC32:CN47" ca="1" si="38">OFFSET($M$2,(ROW()-32)*12+COLUMN()-81,0)</f>
        <v>0</v>
      </c>
      <c r="CD32" s="19">
        <f t="shared" ca="1" si="38"/>
        <v>0</v>
      </c>
      <c r="CE32" s="19">
        <f t="shared" ca="1" si="38"/>
        <v>0</v>
      </c>
      <c r="CF32" s="19">
        <f t="shared" ca="1" si="38"/>
        <v>29.7</v>
      </c>
      <c r="CG32" s="19">
        <f t="shared" ca="1" si="38"/>
        <v>22</v>
      </c>
      <c r="CH32" s="19">
        <f t="shared" ca="1" si="38"/>
        <v>136.9</v>
      </c>
      <c r="CI32" s="19">
        <f t="shared" ca="1" si="38"/>
        <v>274.10000000000002</v>
      </c>
      <c r="CJ32" s="19">
        <f t="shared" ca="1" si="38"/>
        <v>221.4</v>
      </c>
      <c r="CK32" s="19">
        <f t="shared" ca="1" si="38"/>
        <v>172.3</v>
      </c>
      <c r="CL32" s="19">
        <f t="shared" ca="1" si="38"/>
        <v>22.4</v>
      </c>
      <c r="CM32" s="19">
        <f t="shared" ca="1" si="38"/>
        <v>1.2</v>
      </c>
      <c r="CN32" s="19">
        <f t="shared" ca="1" si="38"/>
        <v>0</v>
      </c>
      <c r="CO32" s="14"/>
      <c r="CP32" s="14">
        <v>2002</v>
      </c>
      <c r="CQ32" s="19">
        <f t="shared" ref="CQ32:DB47" ca="1" si="39">OFFSET($O$2,(ROW()-32)*12+COLUMN()-95,0)</f>
        <v>0</v>
      </c>
      <c r="CR32" s="19">
        <f t="shared" ca="1" si="39"/>
        <v>0</v>
      </c>
      <c r="CS32" s="19">
        <f t="shared" ca="1" si="39"/>
        <v>0</v>
      </c>
      <c r="CT32" s="19">
        <f t="shared" ca="1" si="39"/>
        <v>41.7</v>
      </c>
      <c r="CU32" s="19">
        <f t="shared" ca="1" si="39"/>
        <v>42.3</v>
      </c>
      <c r="CV32" s="19">
        <f t="shared" ca="1" si="39"/>
        <v>187.1</v>
      </c>
      <c r="CW32" s="19">
        <f t="shared" ca="1" si="39"/>
        <v>336.1</v>
      </c>
      <c r="CX32" s="19">
        <f t="shared" ca="1" si="39"/>
        <v>283.39999999999998</v>
      </c>
      <c r="CY32" s="19">
        <f t="shared" ca="1" si="39"/>
        <v>231.1</v>
      </c>
      <c r="CZ32" s="19">
        <f t="shared" ca="1" si="39"/>
        <v>35.4</v>
      </c>
      <c r="DA32" s="19">
        <f t="shared" ca="1" si="39"/>
        <v>4.5999999999999996</v>
      </c>
      <c r="DB32" s="19">
        <f t="shared" ca="1" si="39"/>
        <v>0</v>
      </c>
      <c r="DC32" s="14"/>
      <c r="DD32" s="14">
        <v>2002</v>
      </c>
      <c r="DE32" s="19">
        <f t="shared" ref="DE32:DP51" ca="1" si="40">OFFSET($Q$2,(ROW()-32)*12+COLUMN()-109,0)</f>
        <v>0</v>
      </c>
      <c r="DF32" s="19">
        <f t="shared" ca="1" si="40"/>
        <v>0</v>
      </c>
      <c r="DG32" s="19">
        <f t="shared" ca="1" si="40"/>
        <v>0.7</v>
      </c>
      <c r="DH32" s="19">
        <f t="shared" ca="1" si="40"/>
        <v>55.6</v>
      </c>
      <c r="DI32" s="19">
        <f t="shared" ca="1" si="40"/>
        <v>69.599999999999994</v>
      </c>
      <c r="DJ32" s="19">
        <f t="shared" ca="1" si="40"/>
        <v>242.8</v>
      </c>
      <c r="DK32" s="19">
        <f t="shared" ca="1" si="40"/>
        <v>398.1</v>
      </c>
      <c r="DL32" s="19">
        <f t="shared" ca="1" si="40"/>
        <v>345.4</v>
      </c>
      <c r="DM32" s="19">
        <f t="shared" ca="1" si="40"/>
        <v>291.10000000000002</v>
      </c>
      <c r="DN32" s="19">
        <f t="shared" ca="1" si="40"/>
        <v>54</v>
      </c>
      <c r="DO32" s="19">
        <f t="shared" ca="1" si="40"/>
        <v>8.6</v>
      </c>
      <c r="DP32" s="19">
        <f t="shared" ca="1" si="40"/>
        <v>0</v>
      </c>
      <c r="DQ32" s="14"/>
      <c r="DR32" s="14">
        <v>2002</v>
      </c>
      <c r="DS32" s="19">
        <f t="shared" ref="DS32:ED51" ca="1" si="41">OFFSET($S$2,(ROW()-32)*12+COLUMN()-123,0)</f>
        <v>0</v>
      </c>
      <c r="DT32" s="19">
        <f t="shared" ca="1" si="41"/>
        <v>1.4</v>
      </c>
      <c r="DU32" s="19">
        <f t="shared" ca="1" si="41"/>
        <v>2.7</v>
      </c>
      <c r="DV32" s="19">
        <f t="shared" ca="1" si="41"/>
        <v>73.2</v>
      </c>
      <c r="DW32" s="19">
        <f t="shared" ca="1" si="41"/>
        <v>100.5</v>
      </c>
      <c r="DX32" s="19">
        <f t="shared" ca="1" si="41"/>
        <v>301.5</v>
      </c>
      <c r="DY32" s="19">
        <f t="shared" ca="1" si="41"/>
        <v>460.1</v>
      </c>
      <c r="DZ32" s="19">
        <f t="shared" ca="1" si="41"/>
        <v>407.4</v>
      </c>
      <c r="EA32" s="19">
        <f t="shared" ca="1" si="41"/>
        <v>351.1</v>
      </c>
      <c r="EB32" s="19">
        <f t="shared" ca="1" si="41"/>
        <v>77.8</v>
      </c>
      <c r="EC32" s="19">
        <f t="shared" ca="1" si="41"/>
        <v>13.4</v>
      </c>
      <c r="ED32" s="19">
        <f t="shared" ca="1" si="41"/>
        <v>0</v>
      </c>
      <c r="EE32" s="14"/>
    </row>
    <row r="33" spans="1:135">
      <c r="A33">
        <v>2004</v>
      </c>
      <c r="B33">
        <v>8</v>
      </c>
      <c r="C33" s="11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4">
        <f t="shared" ref="X33:X51" si="42">1+X32</f>
        <v>2003</v>
      </c>
      <c r="Y33" s="19">
        <f t="shared" ref="Y33:AJ51" ca="1" si="43">OFFSET($E$2,(ROW()-32)*12+COLUMN()-25,0)</f>
        <v>0</v>
      </c>
      <c r="Z33" s="19">
        <f t="shared" ca="1" si="33"/>
        <v>0</v>
      </c>
      <c r="AA33" s="19">
        <f t="shared" ca="1" si="33"/>
        <v>0</v>
      </c>
      <c r="AB33" s="19">
        <f t="shared" ca="1" si="33"/>
        <v>1</v>
      </c>
      <c r="AC33" s="19">
        <f t="shared" ca="1" si="33"/>
        <v>0</v>
      </c>
      <c r="AD33" s="19">
        <f t="shared" ca="1" si="33"/>
        <v>11.1</v>
      </c>
      <c r="AE33" s="19">
        <f t="shared" ca="1" si="33"/>
        <v>10.7</v>
      </c>
      <c r="AF33" s="19">
        <f t="shared" ca="1" si="33"/>
        <v>11.6</v>
      </c>
      <c r="AG33" s="19">
        <f t="shared" ca="1" si="33"/>
        <v>1.5</v>
      </c>
      <c r="AH33" s="19">
        <f t="shared" ca="1" si="33"/>
        <v>0</v>
      </c>
      <c r="AI33" s="19">
        <f t="shared" ca="1" si="33"/>
        <v>0</v>
      </c>
      <c r="AJ33" s="19">
        <f t="shared" ca="1" si="33"/>
        <v>0</v>
      </c>
      <c r="AK33" s="14"/>
      <c r="AL33" s="14">
        <f t="shared" ref="AL33:AL51" si="44">1+AL32</f>
        <v>2003</v>
      </c>
      <c r="AM33" s="19">
        <f t="shared" ca="1" si="34"/>
        <v>0</v>
      </c>
      <c r="AN33" s="19">
        <f t="shared" ca="1" si="34"/>
        <v>0</v>
      </c>
      <c r="AO33" s="19">
        <f t="shared" ca="1" si="34"/>
        <v>0</v>
      </c>
      <c r="AP33" s="19">
        <f t="shared" ca="1" si="34"/>
        <v>3</v>
      </c>
      <c r="AQ33" s="19">
        <f t="shared" ca="1" si="34"/>
        <v>0</v>
      </c>
      <c r="AR33" s="19">
        <f t="shared" ca="1" si="34"/>
        <v>18.100000000000001</v>
      </c>
      <c r="AS33" s="19">
        <f t="shared" ca="1" si="34"/>
        <v>37.9</v>
      </c>
      <c r="AT33" s="19">
        <f t="shared" ca="1" si="34"/>
        <v>43.2</v>
      </c>
      <c r="AU33" s="19">
        <f t="shared" ca="1" si="34"/>
        <v>6.8</v>
      </c>
      <c r="AV33" s="19">
        <f t="shared" ca="1" si="34"/>
        <v>0</v>
      </c>
      <c r="AW33" s="19">
        <f t="shared" ca="1" si="34"/>
        <v>0</v>
      </c>
      <c r="AX33" s="19">
        <f t="shared" ca="1" si="34"/>
        <v>0</v>
      </c>
      <c r="AY33" s="15"/>
      <c r="AZ33" s="14">
        <f t="shared" ref="AZ33:AZ51" si="45">1+AZ32</f>
        <v>2003</v>
      </c>
      <c r="BA33" s="19">
        <f t="shared" ca="1" si="35"/>
        <v>0</v>
      </c>
      <c r="BB33" s="19">
        <f t="shared" ca="1" si="35"/>
        <v>0</v>
      </c>
      <c r="BC33" s="19">
        <f t="shared" ca="1" si="35"/>
        <v>0</v>
      </c>
      <c r="BD33" s="19">
        <f t="shared" ca="1" si="35"/>
        <v>5.2</v>
      </c>
      <c r="BE33" s="19">
        <f t="shared" ca="1" si="35"/>
        <v>0</v>
      </c>
      <c r="BF33" s="19">
        <f t="shared" ca="1" si="35"/>
        <v>32.200000000000003</v>
      </c>
      <c r="BG33" s="19">
        <f t="shared" ca="1" si="35"/>
        <v>81</v>
      </c>
      <c r="BH33" s="19">
        <f t="shared" ca="1" si="35"/>
        <v>91.4</v>
      </c>
      <c r="BI33" s="19">
        <f t="shared" ca="1" si="35"/>
        <v>19.7</v>
      </c>
      <c r="BJ33" s="19">
        <f t="shared" ca="1" si="35"/>
        <v>0</v>
      </c>
      <c r="BK33" s="19">
        <f t="shared" ca="1" si="35"/>
        <v>0</v>
      </c>
      <c r="BL33" s="19">
        <f t="shared" ca="1" si="35"/>
        <v>0</v>
      </c>
      <c r="BM33" s="15">
        <f t="shared" ca="1" si="36"/>
        <v>229.5</v>
      </c>
      <c r="BN33" s="14">
        <f t="shared" ref="BN33:BN51" si="46">1+BN32</f>
        <v>2003</v>
      </c>
      <c r="BO33" s="19">
        <f t="shared" ca="1" si="37"/>
        <v>0</v>
      </c>
      <c r="BP33" s="19">
        <f t="shared" ca="1" si="37"/>
        <v>0</v>
      </c>
      <c r="BQ33" s="19">
        <f t="shared" ca="1" si="37"/>
        <v>0</v>
      </c>
      <c r="BR33" s="19">
        <f t="shared" ca="1" si="37"/>
        <v>9.3000000000000007</v>
      </c>
      <c r="BS33" s="19">
        <f t="shared" ca="1" si="37"/>
        <v>1</v>
      </c>
      <c r="BT33" s="19">
        <f t="shared" ca="1" si="37"/>
        <v>55.5</v>
      </c>
      <c r="BU33" s="19">
        <f t="shared" ca="1" si="37"/>
        <v>139</v>
      </c>
      <c r="BV33" s="19">
        <f t="shared" ca="1" si="37"/>
        <v>149.5</v>
      </c>
      <c r="BW33" s="19">
        <f t="shared" ca="1" si="37"/>
        <v>50.7</v>
      </c>
      <c r="BX33" s="19">
        <f t="shared" ca="1" si="37"/>
        <v>3.5</v>
      </c>
      <c r="BY33" s="19">
        <f t="shared" ca="1" si="37"/>
        <v>0</v>
      </c>
      <c r="BZ33" s="19">
        <f t="shared" ca="1" si="37"/>
        <v>0</v>
      </c>
      <c r="CA33" s="14"/>
      <c r="CB33" s="14">
        <f t="shared" ref="CB33:CB51" si="47">1+CB32</f>
        <v>2003</v>
      </c>
      <c r="CC33" s="19">
        <f t="shared" ca="1" si="38"/>
        <v>0</v>
      </c>
      <c r="CD33" s="19">
        <f t="shared" ca="1" si="38"/>
        <v>0</v>
      </c>
      <c r="CE33" s="19">
        <f t="shared" ca="1" si="38"/>
        <v>0</v>
      </c>
      <c r="CF33" s="19">
        <f t="shared" ca="1" si="38"/>
        <v>15.3</v>
      </c>
      <c r="CG33" s="19">
        <f t="shared" ca="1" si="38"/>
        <v>5.9</v>
      </c>
      <c r="CH33" s="19">
        <f t="shared" ca="1" si="38"/>
        <v>93</v>
      </c>
      <c r="CI33" s="19">
        <f t="shared" ca="1" si="38"/>
        <v>200.7</v>
      </c>
      <c r="CJ33" s="19">
        <f t="shared" ca="1" si="38"/>
        <v>211.5</v>
      </c>
      <c r="CK33" s="19">
        <f t="shared" ca="1" si="38"/>
        <v>96.6</v>
      </c>
      <c r="CL33" s="19">
        <f t="shared" ca="1" si="38"/>
        <v>12</v>
      </c>
      <c r="CM33" s="19">
        <f t="shared" ca="1" si="38"/>
        <v>0</v>
      </c>
      <c r="CN33" s="19">
        <f t="shared" ca="1" si="38"/>
        <v>0</v>
      </c>
      <c r="CO33" s="14"/>
      <c r="CP33" s="14">
        <f t="shared" ref="CP33:CP51" si="48">1+CP32</f>
        <v>2003</v>
      </c>
      <c r="CQ33" s="19">
        <f t="shared" ca="1" si="39"/>
        <v>0</v>
      </c>
      <c r="CR33" s="19">
        <f t="shared" ca="1" si="39"/>
        <v>0</v>
      </c>
      <c r="CS33" s="19">
        <f t="shared" ca="1" si="39"/>
        <v>0</v>
      </c>
      <c r="CT33" s="19">
        <f t="shared" ca="1" si="39"/>
        <v>21.8</v>
      </c>
      <c r="CU33" s="19">
        <f t="shared" ca="1" si="39"/>
        <v>19.399999999999999</v>
      </c>
      <c r="CV33" s="19">
        <f t="shared" ca="1" si="39"/>
        <v>143.19999999999999</v>
      </c>
      <c r="CW33" s="19">
        <f t="shared" ca="1" si="39"/>
        <v>262.7</v>
      </c>
      <c r="CX33" s="19">
        <f t="shared" ca="1" si="39"/>
        <v>273.5</v>
      </c>
      <c r="CY33" s="19">
        <f t="shared" ca="1" si="39"/>
        <v>148.19999999999999</v>
      </c>
      <c r="CZ33" s="19">
        <f t="shared" ca="1" si="39"/>
        <v>25.4</v>
      </c>
      <c r="DA33" s="19">
        <f t="shared" ca="1" si="39"/>
        <v>0</v>
      </c>
      <c r="DB33" s="19">
        <f t="shared" ca="1" si="39"/>
        <v>0</v>
      </c>
      <c r="DC33" s="14"/>
      <c r="DD33" s="14">
        <f t="shared" ref="DD33:DD51" si="49">1+DD32</f>
        <v>2003</v>
      </c>
      <c r="DE33" s="19">
        <f t="shared" ca="1" si="40"/>
        <v>0</v>
      </c>
      <c r="DF33" s="19">
        <f t="shared" ca="1" si="40"/>
        <v>0</v>
      </c>
      <c r="DG33" s="19">
        <f t="shared" ca="1" si="40"/>
        <v>0.9</v>
      </c>
      <c r="DH33" s="19">
        <f t="shared" ca="1" si="40"/>
        <v>33.700000000000003</v>
      </c>
      <c r="DI33" s="19">
        <f t="shared" ca="1" si="40"/>
        <v>46.1</v>
      </c>
      <c r="DJ33" s="19">
        <f t="shared" ca="1" si="40"/>
        <v>201.3</v>
      </c>
      <c r="DK33" s="19">
        <f t="shared" ca="1" si="40"/>
        <v>324.7</v>
      </c>
      <c r="DL33" s="19">
        <f t="shared" ca="1" si="40"/>
        <v>335.5</v>
      </c>
      <c r="DM33" s="19">
        <f t="shared" ca="1" si="40"/>
        <v>204.4</v>
      </c>
      <c r="DN33" s="19">
        <f t="shared" ca="1" si="40"/>
        <v>44.6</v>
      </c>
      <c r="DO33" s="19">
        <f t="shared" ca="1" si="40"/>
        <v>1.5</v>
      </c>
      <c r="DP33" s="19">
        <f t="shared" ca="1" si="40"/>
        <v>0</v>
      </c>
      <c r="DQ33" s="14"/>
      <c r="DR33" s="14">
        <f t="shared" ref="DR33:DR51" si="50">1+DR32</f>
        <v>2003</v>
      </c>
      <c r="DS33" s="19">
        <f t="shared" ca="1" si="41"/>
        <v>0</v>
      </c>
      <c r="DT33" s="19">
        <f t="shared" ca="1" si="41"/>
        <v>0</v>
      </c>
      <c r="DU33" s="19">
        <f t="shared" ca="1" si="41"/>
        <v>4.8</v>
      </c>
      <c r="DV33" s="19">
        <f t="shared" ca="1" si="41"/>
        <v>47.7</v>
      </c>
      <c r="DW33" s="19">
        <f t="shared" ca="1" si="41"/>
        <v>87.3</v>
      </c>
      <c r="DX33" s="19">
        <f t="shared" ca="1" si="41"/>
        <v>261.3</v>
      </c>
      <c r="DY33" s="19">
        <f t="shared" ca="1" si="41"/>
        <v>386.7</v>
      </c>
      <c r="DZ33" s="19">
        <f t="shared" ca="1" si="41"/>
        <v>397.5</v>
      </c>
      <c r="EA33" s="19">
        <f t="shared" ca="1" si="41"/>
        <v>263.2</v>
      </c>
      <c r="EB33" s="19">
        <f t="shared" ca="1" si="41"/>
        <v>71.3</v>
      </c>
      <c r="EC33" s="19">
        <f t="shared" ca="1" si="41"/>
        <v>12.4</v>
      </c>
      <c r="ED33" s="19">
        <f t="shared" ca="1" si="41"/>
        <v>0</v>
      </c>
      <c r="EE33" s="14"/>
    </row>
    <row r="34" spans="1:135">
      <c r="A34">
        <v>2004</v>
      </c>
      <c r="B34">
        <v>9</v>
      </c>
      <c r="C34" s="11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4">
        <f t="shared" si="42"/>
        <v>2004</v>
      </c>
      <c r="Y34" s="19">
        <f t="shared" ca="1" si="43"/>
        <v>0</v>
      </c>
      <c r="Z34" s="19">
        <f t="shared" ca="1" si="33"/>
        <v>0</v>
      </c>
      <c r="AA34" s="19">
        <f t="shared" ca="1" si="33"/>
        <v>0</v>
      </c>
      <c r="AB34" s="19">
        <f t="shared" ca="1" si="33"/>
        <v>0</v>
      </c>
      <c r="AC34" s="19">
        <f t="shared" ca="1" si="33"/>
        <v>0</v>
      </c>
      <c r="AD34" s="19">
        <f t="shared" ca="1" si="33"/>
        <v>6.3</v>
      </c>
      <c r="AE34" s="19">
        <f t="shared" ca="1" si="33"/>
        <v>9.1999999999999993</v>
      </c>
      <c r="AF34" s="19">
        <f t="shared" ca="1" si="33"/>
        <v>12.4</v>
      </c>
      <c r="AG34" s="19">
        <f t="shared" ca="1" si="33"/>
        <v>7.2</v>
      </c>
      <c r="AH34" s="19">
        <f t="shared" ca="1" si="33"/>
        <v>0</v>
      </c>
      <c r="AI34" s="19">
        <f t="shared" ca="1" si="33"/>
        <v>0</v>
      </c>
      <c r="AJ34" s="19">
        <f t="shared" ca="1" si="33"/>
        <v>0</v>
      </c>
      <c r="AK34" s="14"/>
      <c r="AL34" s="14">
        <f t="shared" si="44"/>
        <v>2004</v>
      </c>
      <c r="AM34" s="19">
        <f t="shared" ca="1" si="34"/>
        <v>0</v>
      </c>
      <c r="AN34" s="19">
        <f t="shared" ca="1" si="34"/>
        <v>0</v>
      </c>
      <c r="AO34" s="19">
        <f t="shared" ca="1" si="34"/>
        <v>0</v>
      </c>
      <c r="AP34" s="19">
        <f t="shared" ca="1" si="34"/>
        <v>0</v>
      </c>
      <c r="AQ34" s="19">
        <f t="shared" ca="1" si="34"/>
        <v>1.3</v>
      </c>
      <c r="AR34" s="19">
        <f t="shared" ca="1" si="34"/>
        <v>11.5</v>
      </c>
      <c r="AS34" s="19">
        <f t="shared" ca="1" si="34"/>
        <v>29.7</v>
      </c>
      <c r="AT34" s="19">
        <f t="shared" ca="1" si="34"/>
        <v>29</v>
      </c>
      <c r="AU34" s="19">
        <f t="shared" ca="1" si="34"/>
        <v>22</v>
      </c>
      <c r="AV34" s="19">
        <f t="shared" ca="1" si="34"/>
        <v>0</v>
      </c>
      <c r="AW34" s="19">
        <f t="shared" ca="1" si="34"/>
        <v>0</v>
      </c>
      <c r="AX34" s="19">
        <f t="shared" ca="1" si="34"/>
        <v>0</v>
      </c>
      <c r="AY34" s="15"/>
      <c r="AZ34" s="14">
        <f t="shared" si="45"/>
        <v>2004</v>
      </c>
      <c r="BA34" s="19">
        <f t="shared" ca="1" si="35"/>
        <v>0</v>
      </c>
      <c r="BB34" s="19">
        <f t="shared" ca="1" si="35"/>
        <v>0</v>
      </c>
      <c r="BC34" s="19">
        <f t="shared" ca="1" si="35"/>
        <v>0</v>
      </c>
      <c r="BD34" s="19">
        <f t="shared" ca="1" si="35"/>
        <v>0</v>
      </c>
      <c r="BE34" s="19">
        <f t="shared" ca="1" si="35"/>
        <v>7.2</v>
      </c>
      <c r="BF34" s="19">
        <f t="shared" ca="1" si="35"/>
        <v>25.3</v>
      </c>
      <c r="BG34" s="19">
        <f t="shared" ca="1" si="35"/>
        <v>63.9</v>
      </c>
      <c r="BH34" s="19">
        <f t="shared" ca="1" si="35"/>
        <v>54.2</v>
      </c>
      <c r="BI34" s="19">
        <f t="shared" ca="1" si="35"/>
        <v>49.4</v>
      </c>
      <c r="BJ34" s="19">
        <f t="shared" ca="1" si="35"/>
        <v>1.3</v>
      </c>
      <c r="BK34" s="19">
        <f t="shared" ca="1" si="35"/>
        <v>0</v>
      </c>
      <c r="BL34" s="19">
        <f t="shared" ca="1" si="35"/>
        <v>0</v>
      </c>
      <c r="BM34" s="15">
        <f t="shared" ca="1" si="36"/>
        <v>201.30000000000004</v>
      </c>
      <c r="BN34" s="14">
        <f t="shared" si="46"/>
        <v>2004</v>
      </c>
      <c r="BO34" s="19">
        <f t="shared" ca="1" si="37"/>
        <v>0</v>
      </c>
      <c r="BP34" s="19">
        <f t="shared" ca="1" si="37"/>
        <v>0</v>
      </c>
      <c r="BQ34" s="19">
        <f t="shared" ca="1" si="37"/>
        <v>0</v>
      </c>
      <c r="BR34" s="19">
        <f t="shared" ca="1" si="37"/>
        <v>0.1</v>
      </c>
      <c r="BS34" s="19">
        <f t="shared" ca="1" si="37"/>
        <v>16.100000000000001</v>
      </c>
      <c r="BT34" s="19">
        <f t="shared" ca="1" si="37"/>
        <v>54.9</v>
      </c>
      <c r="BU34" s="19">
        <f t="shared" ca="1" si="37"/>
        <v>113.3</v>
      </c>
      <c r="BV34" s="19">
        <f t="shared" ca="1" si="37"/>
        <v>95.8</v>
      </c>
      <c r="BW34" s="19">
        <f t="shared" ca="1" si="37"/>
        <v>87.8</v>
      </c>
      <c r="BX34" s="19">
        <f t="shared" ca="1" si="37"/>
        <v>6</v>
      </c>
      <c r="BY34" s="19">
        <f t="shared" ca="1" si="37"/>
        <v>0</v>
      </c>
      <c r="BZ34" s="19">
        <f t="shared" ca="1" si="37"/>
        <v>0</v>
      </c>
      <c r="CA34" s="14"/>
      <c r="CB34" s="14">
        <f t="shared" si="47"/>
        <v>2004</v>
      </c>
      <c r="CC34" s="19">
        <f t="shared" ca="1" si="38"/>
        <v>0</v>
      </c>
      <c r="CD34" s="19">
        <f t="shared" ca="1" si="38"/>
        <v>0</v>
      </c>
      <c r="CE34" s="19">
        <f t="shared" ca="1" si="38"/>
        <v>0</v>
      </c>
      <c r="CF34" s="19">
        <f t="shared" ca="1" si="38"/>
        <v>3.6</v>
      </c>
      <c r="CG34" s="19">
        <f t="shared" ca="1" si="38"/>
        <v>29.7</v>
      </c>
      <c r="CH34" s="19">
        <f t="shared" ca="1" si="38"/>
        <v>95.6</v>
      </c>
      <c r="CI34" s="19">
        <f t="shared" ca="1" si="38"/>
        <v>173.9</v>
      </c>
      <c r="CJ34" s="19">
        <f t="shared" ca="1" si="38"/>
        <v>155.30000000000001</v>
      </c>
      <c r="CK34" s="19">
        <f t="shared" ca="1" si="38"/>
        <v>133.4</v>
      </c>
      <c r="CL34" s="19">
        <f t="shared" ca="1" si="38"/>
        <v>15.6</v>
      </c>
      <c r="CM34" s="19">
        <f t="shared" ca="1" si="38"/>
        <v>0</v>
      </c>
      <c r="CN34" s="19">
        <f t="shared" ca="1" si="38"/>
        <v>0</v>
      </c>
      <c r="CO34" s="14"/>
      <c r="CP34" s="14">
        <f t="shared" si="48"/>
        <v>2004</v>
      </c>
      <c r="CQ34" s="19">
        <f t="shared" ca="1" si="39"/>
        <v>0</v>
      </c>
      <c r="CR34" s="19">
        <f t="shared" ca="1" si="39"/>
        <v>0</v>
      </c>
      <c r="CS34" s="19">
        <f t="shared" ca="1" si="39"/>
        <v>0</v>
      </c>
      <c r="CT34" s="19">
        <f t="shared" ca="1" si="39"/>
        <v>11.1</v>
      </c>
      <c r="CU34" s="19">
        <f t="shared" ca="1" si="39"/>
        <v>53.3</v>
      </c>
      <c r="CV34" s="19">
        <f t="shared" ca="1" si="39"/>
        <v>144.80000000000001</v>
      </c>
      <c r="CW34" s="19">
        <f t="shared" ca="1" si="39"/>
        <v>235.9</v>
      </c>
      <c r="CX34" s="19">
        <f t="shared" ca="1" si="39"/>
        <v>217.3</v>
      </c>
      <c r="CY34" s="19">
        <f t="shared" ca="1" si="39"/>
        <v>184.3</v>
      </c>
      <c r="CZ34" s="19">
        <f t="shared" ca="1" si="39"/>
        <v>29.2</v>
      </c>
      <c r="DA34" s="19">
        <f t="shared" ca="1" si="39"/>
        <v>0</v>
      </c>
      <c r="DB34" s="19">
        <f t="shared" ca="1" si="39"/>
        <v>0</v>
      </c>
      <c r="DC34" s="14"/>
      <c r="DD34" s="14">
        <f t="shared" si="49"/>
        <v>2004</v>
      </c>
      <c r="DE34" s="19">
        <f t="shared" ca="1" si="40"/>
        <v>0</v>
      </c>
      <c r="DF34" s="19">
        <f t="shared" ca="1" si="40"/>
        <v>0</v>
      </c>
      <c r="DG34" s="19">
        <f t="shared" ca="1" si="40"/>
        <v>0.8</v>
      </c>
      <c r="DH34" s="19">
        <f t="shared" ca="1" si="40"/>
        <v>21.1</v>
      </c>
      <c r="DI34" s="19">
        <f t="shared" ca="1" si="40"/>
        <v>86.8</v>
      </c>
      <c r="DJ34" s="19">
        <f t="shared" ca="1" si="40"/>
        <v>201.3</v>
      </c>
      <c r="DK34" s="19">
        <f t="shared" ca="1" si="40"/>
        <v>297.89999999999998</v>
      </c>
      <c r="DL34" s="19">
        <f t="shared" ca="1" si="40"/>
        <v>279.3</v>
      </c>
      <c r="DM34" s="19">
        <f t="shared" ca="1" si="40"/>
        <v>239.9</v>
      </c>
      <c r="DN34" s="19">
        <f t="shared" ca="1" si="40"/>
        <v>53</v>
      </c>
      <c r="DO34" s="19">
        <f t="shared" ca="1" si="40"/>
        <v>0.7</v>
      </c>
      <c r="DP34" s="19">
        <f t="shared" ca="1" si="40"/>
        <v>0</v>
      </c>
      <c r="DQ34" s="14"/>
      <c r="DR34" s="14">
        <f t="shared" si="50"/>
        <v>2004</v>
      </c>
      <c r="DS34" s="19">
        <f t="shared" ca="1" si="41"/>
        <v>0</v>
      </c>
      <c r="DT34" s="19">
        <f t="shared" ca="1" si="41"/>
        <v>0</v>
      </c>
      <c r="DU34" s="19">
        <f t="shared" ca="1" si="41"/>
        <v>6.3</v>
      </c>
      <c r="DV34" s="19">
        <f t="shared" ca="1" si="41"/>
        <v>37.200000000000003</v>
      </c>
      <c r="DW34" s="19">
        <f t="shared" ca="1" si="41"/>
        <v>130.5</v>
      </c>
      <c r="DX34" s="19">
        <f t="shared" ca="1" si="41"/>
        <v>261.10000000000002</v>
      </c>
      <c r="DY34" s="19">
        <f t="shared" ca="1" si="41"/>
        <v>359.9</v>
      </c>
      <c r="DZ34" s="19">
        <f t="shared" ca="1" si="41"/>
        <v>341.3</v>
      </c>
      <c r="EA34" s="19">
        <f t="shared" ca="1" si="41"/>
        <v>299.7</v>
      </c>
      <c r="EB34" s="19">
        <f t="shared" ca="1" si="41"/>
        <v>95.8</v>
      </c>
      <c r="EC34" s="19">
        <f t="shared" ca="1" si="41"/>
        <v>7.5</v>
      </c>
      <c r="ED34" s="19">
        <f t="shared" ca="1" si="41"/>
        <v>0</v>
      </c>
      <c r="EE34" s="14"/>
    </row>
    <row r="35" spans="1:135">
      <c r="A35">
        <v>2004</v>
      </c>
      <c r="B35">
        <v>10</v>
      </c>
      <c r="C35" s="11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4">
        <f t="shared" si="42"/>
        <v>2005</v>
      </c>
      <c r="Y35" s="19">
        <f t="shared" ca="1" si="43"/>
        <v>0</v>
      </c>
      <c r="Z35" s="19">
        <f t="shared" ca="1" si="33"/>
        <v>0</v>
      </c>
      <c r="AA35" s="19">
        <f t="shared" ca="1" si="33"/>
        <v>0</v>
      </c>
      <c r="AB35" s="19">
        <f t="shared" ca="1" si="33"/>
        <v>0</v>
      </c>
      <c r="AC35" s="19">
        <f t="shared" ca="1" si="33"/>
        <v>0</v>
      </c>
      <c r="AD35" s="19">
        <f t="shared" ca="1" si="33"/>
        <v>35.6</v>
      </c>
      <c r="AE35" s="19">
        <f t="shared" ca="1" si="33"/>
        <v>44.5</v>
      </c>
      <c r="AF35" s="19">
        <f t="shared" ca="1" si="33"/>
        <v>24.5</v>
      </c>
      <c r="AG35" s="19">
        <f t="shared" ca="1" si="33"/>
        <v>13.7</v>
      </c>
      <c r="AH35" s="19">
        <f t="shared" ca="1" si="33"/>
        <v>3.5</v>
      </c>
      <c r="AI35" s="19">
        <f t="shared" ca="1" si="33"/>
        <v>0</v>
      </c>
      <c r="AJ35" s="19">
        <f t="shared" ca="1" si="33"/>
        <v>0</v>
      </c>
      <c r="AK35" s="14"/>
      <c r="AL35" s="14">
        <f t="shared" si="44"/>
        <v>2005</v>
      </c>
      <c r="AM35" s="19">
        <f t="shared" ca="1" si="34"/>
        <v>0</v>
      </c>
      <c r="AN35" s="19">
        <f t="shared" ca="1" si="34"/>
        <v>0</v>
      </c>
      <c r="AO35" s="19">
        <f t="shared" ca="1" si="34"/>
        <v>0</v>
      </c>
      <c r="AP35" s="19">
        <f t="shared" ca="1" si="34"/>
        <v>0</v>
      </c>
      <c r="AQ35" s="19">
        <f t="shared" ca="1" si="34"/>
        <v>0</v>
      </c>
      <c r="AR35" s="19">
        <f t="shared" ca="1" si="34"/>
        <v>64.400000000000006</v>
      </c>
      <c r="AS35" s="19">
        <f t="shared" ca="1" si="34"/>
        <v>80.5</v>
      </c>
      <c r="AT35" s="19">
        <f t="shared" ca="1" si="34"/>
        <v>55.4</v>
      </c>
      <c r="AU35" s="19">
        <f t="shared" ca="1" si="34"/>
        <v>31.4</v>
      </c>
      <c r="AV35" s="19">
        <f t="shared" ca="1" si="34"/>
        <v>9.6999999999999993</v>
      </c>
      <c r="AW35" s="19">
        <f t="shared" ca="1" si="34"/>
        <v>0</v>
      </c>
      <c r="AX35" s="19">
        <f t="shared" ca="1" si="34"/>
        <v>0</v>
      </c>
      <c r="AY35" s="15"/>
      <c r="AZ35" s="14">
        <f t="shared" si="45"/>
        <v>2005</v>
      </c>
      <c r="BA35" s="19">
        <f t="shared" ca="1" si="35"/>
        <v>0</v>
      </c>
      <c r="BB35" s="19">
        <f t="shared" ca="1" si="35"/>
        <v>0</v>
      </c>
      <c r="BC35" s="19">
        <f t="shared" ca="1" si="35"/>
        <v>0</v>
      </c>
      <c r="BD35" s="19">
        <f t="shared" ca="1" si="35"/>
        <v>1.1000000000000001</v>
      </c>
      <c r="BE35" s="19">
        <f t="shared" ca="1" si="35"/>
        <v>1.4</v>
      </c>
      <c r="BF35" s="19">
        <f t="shared" ca="1" si="35"/>
        <v>102.4</v>
      </c>
      <c r="BG35" s="19">
        <f t="shared" ca="1" si="35"/>
        <v>132.5</v>
      </c>
      <c r="BH35" s="19">
        <f t="shared" ca="1" si="35"/>
        <v>106.4</v>
      </c>
      <c r="BI35" s="19">
        <f t="shared" ca="1" si="35"/>
        <v>57.5</v>
      </c>
      <c r="BJ35" s="19">
        <f t="shared" ca="1" si="35"/>
        <v>20</v>
      </c>
      <c r="BK35" s="19">
        <f t="shared" ca="1" si="35"/>
        <v>0</v>
      </c>
      <c r="BL35" s="19">
        <f t="shared" ca="1" si="35"/>
        <v>0</v>
      </c>
      <c r="BM35" s="15">
        <f t="shared" ca="1" si="36"/>
        <v>421.3</v>
      </c>
      <c r="BN35" s="14">
        <f t="shared" si="46"/>
        <v>2005</v>
      </c>
      <c r="BO35" s="19">
        <f t="shared" ca="1" si="37"/>
        <v>0</v>
      </c>
      <c r="BP35" s="19">
        <f t="shared" ca="1" si="37"/>
        <v>0</v>
      </c>
      <c r="BQ35" s="19">
        <f t="shared" ca="1" si="37"/>
        <v>0</v>
      </c>
      <c r="BR35" s="19">
        <f t="shared" ca="1" si="37"/>
        <v>3.1</v>
      </c>
      <c r="BS35" s="19">
        <f t="shared" ca="1" si="37"/>
        <v>3.7</v>
      </c>
      <c r="BT35" s="19">
        <f t="shared" ca="1" si="37"/>
        <v>148.30000000000001</v>
      </c>
      <c r="BU35" s="19">
        <f t="shared" ca="1" si="37"/>
        <v>192.9</v>
      </c>
      <c r="BV35" s="19">
        <f t="shared" ca="1" si="37"/>
        <v>164.7</v>
      </c>
      <c r="BW35" s="19">
        <f t="shared" ca="1" si="37"/>
        <v>99.2</v>
      </c>
      <c r="BX35" s="19">
        <f t="shared" ca="1" si="37"/>
        <v>32</v>
      </c>
      <c r="BY35" s="19">
        <f t="shared" ca="1" si="37"/>
        <v>0</v>
      </c>
      <c r="BZ35" s="19">
        <f t="shared" ca="1" si="37"/>
        <v>0</v>
      </c>
      <c r="CA35" s="14"/>
      <c r="CB35" s="14">
        <f t="shared" si="47"/>
        <v>2005</v>
      </c>
      <c r="CC35" s="19">
        <f t="shared" ca="1" si="38"/>
        <v>0</v>
      </c>
      <c r="CD35" s="19">
        <f t="shared" ca="1" si="38"/>
        <v>0</v>
      </c>
      <c r="CE35" s="19">
        <f t="shared" ca="1" si="38"/>
        <v>0</v>
      </c>
      <c r="CF35" s="19">
        <f t="shared" ca="1" si="38"/>
        <v>5.0999999999999996</v>
      </c>
      <c r="CG35" s="19">
        <f t="shared" ca="1" si="38"/>
        <v>8.6999999999999993</v>
      </c>
      <c r="CH35" s="19">
        <f t="shared" ca="1" si="38"/>
        <v>203.9</v>
      </c>
      <c r="CI35" s="19">
        <f t="shared" ca="1" si="38"/>
        <v>254.9</v>
      </c>
      <c r="CJ35" s="19">
        <f t="shared" ca="1" si="38"/>
        <v>226.7</v>
      </c>
      <c r="CK35" s="19">
        <f t="shared" ca="1" si="38"/>
        <v>151.19999999999999</v>
      </c>
      <c r="CL35" s="19">
        <f t="shared" ca="1" si="38"/>
        <v>46.2</v>
      </c>
      <c r="CM35" s="19">
        <f t="shared" ca="1" si="38"/>
        <v>0</v>
      </c>
      <c r="CN35" s="19">
        <f t="shared" ca="1" si="38"/>
        <v>0</v>
      </c>
      <c r="CO35" s="14"/>
      <c r="CP35" s="14">
        <f t="shared" si="48"/>
        <v>2005</v>
      </c>
      <c r="CQ35" s="19">
        <f t="shared" ca="1" si="39"/>
        <v>0</v>
      </c>
      <c r="CR35" s="19">
        <f t="shared" ca="1" si="39"/>
        <v>0</v>
      </c>
      <c r="CS35" s="19">
        <f t="shared" ca="1" si="39"/>
        <v>0.1</v>
      </c>
      <c r="CT35" s="19">
        <f t="shared" ca="1" si="39"/>
        <v>7.1</v>
      </c>
      <c r="CU35" s="19">
        <f t="shared" ca="1" si="39"/>
        <v>23.7</v>
      </c>
      <c r="CV35" s="19">
        <f t="shared" ca="1" si="39"/>
        <v>263.89999999999998</v>
      </c>
      <c r="CW35" s="19">
        <f t="shared" ca="1" si="39"/>
        <v>316.89999999999998</v>
      </c>
      <c r="CX35" s="19">
        <f t="shared" ca="1" si="39"/>
        <v>288.7</v>
      </c>
      <c r="CY35" s="19">
        <f t="shared" ca="1" si="39"/>
        <v>207.3</v>
      </c>
      <c r="CZ35" s="19">
        <f t="shared" ca="1" si="39"/>
        <v>66</v>
      </c>
      <c r="DA35" s="19">
        <f t="shared" ca="1" si="39"/>
        <v>3.1</v>
      </c>
      <c r="DB35" s="19">
        <f t="shared" ca="1" si="39"/>
        <v>0</v>
      </c>
      <c r="DC35" s="14"/>
      <c r="DD35" s="14">
        <f t="shared" si="49"/>
        <v>2005</v>
      </c>
      <c r="DE35" s="19">
        <f t="shared" ca="1" si="40"/>
        <v>0</v>
      </c>
      <c r="DF35" s="19">
        <f t="shared" ca="1" si="40"/>
        <v>0</v>
      </c>
      <c r="DG35" s="19">
        <f t="shared" ca="1" si="40"/>
        <v>2.1</v>
      </c>
      <c r="DH35" s="19">
        <f t="shared" ca="1" si="40"/>
        <v>10.9</v>
      </c>
      <c r="DI35" s="19">
        <f t="shared" ca="1" si="40"/>
        <v>54.6</v>
      </c>
      <c r="DJ35" s="19">
        <f t="shared" ca="1" si="40"/>
        <v>323.89999999999998</v>
      </c>
      <c r="DK35" s="19">
        <f t="shared" ca="1" si="40"/>
        <v>378.9</v>
      </c>
      <c r="DL35" s="19">
        <f t="shared" ca="1" si="40"/>
        <v>350.7</v>
      </c>
      <c r="DM35" s="19">
        <f t="shared" ca="1" si="40"/>
        <v>267.3</v>
      </c>
      <c r="DN35" s="19">
        <f t="shared" ca="1" si="40"/>
        <v>97.2</v>
      </c>
      <c r="DO35" s="19">
        <f t="shared" ca="1" si="40"/>
        <v>12.9</v>
      </c>
      <c r="DP35" s="19">
        <f t="shared" ca="1" si="40"/>
        <v>0</v>
      </c>
      <c r="DQ35" s="14"/>
      <c r="DR35" s="14">
        <f t="shared" si="50"/>
        <v>2005</v>
      </c>
      <c r="DS35" s="19">
        <f t="shared" ca="1" si="41"/>
        <v>0</v>
      </c>
      <c r="DT35" s="19">
        <f t="shared" ca="1" si="41"/>
        <v>0</v>
      </c>
      <c r="DU35" s="19">
        <f t="shared" ca="1" si="41"/>
        <v>4.0999999999999996</v>
      </c>
      <c r="DV35" s="19">
        <f t="shared" ca="1" si="41"/>
        <v>20.7</v>
      </c>
      <c r="DW35" s="19">
        <f t="shared" ca="1" si="41"/>
        <v>95.4</v>
      </c>
      <c r="DX35" s="19">
        <f t="shared" ca="1" si="41"/>
        <v>383.9</v>
      </c>
      <c r="DY35" s="19">
        <f t="shared" ca="1" si="41"/>
        <v>440.9</v>
      </c>
      <c r="DZ35" s="19">
        <f t="shared" ca="1" si="41"/>
        <v>412.7</v>
      </c>
      <c r="EA35" s="19">
        <f t="shared" ca="1" si="41"/>
        <v>327.3</v>
      </c>
      <c r="EB35" s="19">
        <f t="shared" ca="1" si="41"/>
        <v>135.69999999999999</v>
      </c>
      <c r="EC35" s="19">
        <f t="shared" ca="1" si="41"/>
        <v>30.6</v>
      </c>
      <c r="ED35" s="19">
        <f t="shared" ca="1" si="41"/>
        <v>0</v>
      </c>
      <c r="EE35" s="14"/>
    </row>
    <row r="36" spans="1:135">
      <c r="A36">
        <v>2004</v>
      </c>
      <c r="B36">
        <v>11</v>
      </c>
      <c r="C36" s="11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4">
        <f t="shared" si="42"/>
        <v>2006</v>
      </c>
      <c r="Y36" s="19">
        <f t="shared" ca="1" si="43"/>
        <v>0</v>
      </c>
      <c r="Z36" s="19">
        <f t="shared" ca="1" si="33"/>
        <v>0</v>
      </c>
      <c r="AA36" s="19">
        <f t="shared" ca="1" si="33"/>
        <v>0</v>
      </c>
      <c r="AB36" s="19">
        <f t="shared" ca="1" si="33"/>
        <v>0</v>
      </c>
      <c r="AC36" s="19">
        <f t="shared" ca="1" si="33"/>
        <v>3.6</v>
      </c>
      <c r="AD36" s="19">
        <f t="shared" ca="1" si="33"/>
        <v>11.2</v>
      </c>
      <c r="AE36" s="19">
        <f t="shared" ca="1" si="33"/>
        <v>43.4</v>
      </c>
      <c r="AF36" s="19">
        <f t="shared" ca="1" si="33"/>
        <v>21.1</v>
      </c>
      <c r="AG36" s="19">
        <f t="shared" ca="1" si="33"/>
        <v>0.6</v>
      </c>
      <c r="AH36" s="19">
        <f t="shared" ca="1" si="33"/>
        <v>0</v>
      </c>
      <c r="AI36" s="19">
        <f t="shared" ca="1" si="33"/>
        <v>0</v>
      </c>
      <c r="AJ36" s="19">
        <f t="shared" ca="1" si="33"/>
        <v>0</v>
      </c>
      <c r="AK36" s="14"/>
      <c r="AL36" s="14">
        <f t="shared" si="44"/>
        <v>2006</v>
      </c>
      <c r="AM36" s="19">
        <f t="shared" ca="1" si="34"/>
        <v>0</v>
      </c>
      <c r="AN36" s="19">
        <f t="shared" ca="1" si="34"/>
        <v>0</v>
      </c>
      <c r="AO36" s="19">
        <f t="shared" ca="1" si="34"/>
        <v>0</v>
      </c>
      <c r="AP36" s="19">
        <f t="shared" ca="1" si="34"/>
        <v>0</v>
      </c>
      <c r="AQ36" s="19">
        <f t="shared" ca="1" si="34"/>
        <v>6.8</v>
      </c>
      <c r="AR36" s="19">
        <f t="shared" ca="1" si="34"/>
        <v>23.7</v>
      </c>
      <c r="AS36" s="19">
        <f t="shared" ca="1" si="34"/>
        <v>85.8</v>
      </c>
      <c r="AT36" s="19">
        <f t="shared" ca="1" si="34"/>
        <v>38.6</v>
      </c>
      <c r="AU36" s="19">
        <f t="shared" ca="1" si="34"/>
        <v>3</v>
      </c>
      <c r="AV36" s="19">
        <f t="shared" ca="1" si="34"/>
        <v>0</v>
      </c>
      <c r="AW36" s="19">
        <f t="shared" ca="1" si="34"/>
        <v>0</v>
      </c>
      <c r="AX36" s="19">
        <f t="shared" ca="1" si="34"/>
        <v>0</v>
      </c>
      <c r="AY36" s="15"/>
      <c r="AZ36" s="14">
        <f t="shared" si="45"/>
        <v>2006</v>
      </c>
      <c r="BA36" s="19">
        <f t="shared" ca="1" si="35"/>
        <v>0</v>
      </c>
      <c r="BB36" s="19">
        <f t="shared" ca="1" si="35"/>
        <v>0</v>
      </c>
      <c r="BC36" s="19">
        <f t="shared" ca="1" si="35"/>
        <v>0</v>
      </c>
      <c r="BD36" s="19">
        <f t="shared" ca="1" si="35"/>
        <v>0</v>
      </c>
      <c r="BE36" s="19">
        <f t="shared" ca="1" si="35"/>
        <v>15.6</v>
      </c>
      <c r="BF36" s="19">
        <f t="shared" ca="1" si="35"/>
        <v>44.9</v>
      </c>
      <c r="BG36" s="19">
        <f t="shared" ca="1" si="35"/>
        <v>141.4</v>
      </c>
      <c r="BH36" s="19">
        <f t="shared" ca="1" si="35"/>
        <v>73.599999999999994</v>
      </c>
      <c r="BI36" s="19">
        <f t="shared" ca="1" si="35"/>
        <v>9.1999999999999993</v>
      </c>
      <c r="BJ36" s="19">
        <f t="shared" ca="1" si="35"/>
        <v>0.6</v>
      </c>
      <c r="BK36" s="19">
        <f t="shared" ca="1" si="35"/>
        <v>0</v>
      </c>
      <c r="BL36" s="19">
        <f t="shared" ca="1" si="35"/>
        <v>0</v>
      </c>
      <c r="BM36" s="15">
        <f t="shared" ca="1" si="36"/>
        <v>285.3</v>
      </c>
      <c r="BN36" s="14">
        <f t="shared" si="46"/>
        <v>2006</v>
      </c>
      <c r="BO36" s="19">
        <f t="shared" ca="1" si="37"/>
        <v>0</v>
      </c>
      <c r="BP36" s="19">
        <f t="shared" ca="1" si="37"/>
        <v>0</v>
      </c>
      <c r="BQ36" s="19">
        <f t="shared" ca="1" si="37"/>
        <v>0</v>
      </c>
      <c r="BR36" s="19">
        <f t="shared" ca="1" si="37"/>
        <v>0</v>
      </c>
      <c r="BS36" s="19">
        <f t="shared" ca="1" si="37"/>
        <v>27.7</v>
      </c>
      <c r="BT36" s="19">
        <f t="shared" ca="1" si="37"/>
        <v>79.599999999999994</v>
      </c>
      <c r="BU36" s="19">
        <f t="shared" ca="1" si="37"/>
        <v>200.9</v>
      </c>
      <c r="BV36" s="19">
        <f t="shared" ca="1" si="37"/>
        <v>125.5</v>
      </c>
      <c r="BW36" s="19">
        <f t="shared" ca="1" si="37"/>
        <v>25</v>
      </c>
      <c r="BX36" s="19">
        <f t="shared" ca="1" si="37"/>
        <v>2.9</v>
      </c>
      <c r="BY36" s="19">
        <f t="shared" ca="1" si="37"/>
        <v>0</v>
      </c>
      <c r="BZ36" s="19">
        <f t="shared" ca="1" si="37"/>
        <v>0</v>
      </c>
      <c r="CA36" s="14"/>
      <c r="CB36" s="14">
        <f t="shared" si="47"/>
        <v>2006</v>
      </c>
      <c r="CC36" s="19">
        <f t="shared" ca="1" si="38"/>
        <v>0</v>
      </c>
      <c r="CD36" s="19">
        <f t="shared" ca="1" si="38"/>
        <v>0</v>
      </c>
      <c r="CE36" s="19">
        <f t="shared" ca="1" si="38"/>
        <v>0</v>
      </c>
      <c r="CF36" s="19">
        <f t="shared" ca="1" si="38"/>
        <v>0.1</v>
      </c>
      <c r="CG36" s="19">
        <f t="shared" ca="1" si="38"/>
        <v>43.4</v>
      </c>
      <c r="CH36" s="19">
        <f t="shared" ca="1" si="38"/>
        <v>126.1</v>
      </c>
      <c r="CI36" s="19">
        <f t="shared" ca="1" si="38"/>
        <v>262.89999999999998</v>
      </c>
      <c r="CJ36" s="19">
        <f t="shared" ca="1" si="38"/>
        <v>185.5</v>
      </c>
      <c r="CK36" s="19">
        <f t="shared" ca="1" si="38"/>
        <v>58.1</v>
      </c>
      <c r="CL36" s="19">
        <f t="shared" ca="1" si="38"/>
        <v>8.5</v>
      </c>
      <c r="CM36" s="19">
        <f t="shared" ca="1" si="38"/>
        <v>0</v>
      </c>
      <c r="CN36" s="19">
        <f t="shared" ca="1" si="38"/>
        <v>0</v>
      </c>
      <c r="CO36" s="14"/>
      <c r="CP36" s="14">
        <f t="shared" si="48"/>
        <v>2006</v>
      </c>
      <c r="CQ36" s="19">
        <f t="shared" ca="1" si="39"/>
        <v>0</v>
      </c>
      <c r="CR36" s="19">
        <f t="shared" ca="1" si="39"/>
        <v>0</v>
      </c>
      <c r="CS36" s="19">
        <f t="shared" ca="1" si="39"/>
        <v>1.4</v>
      </c>
      <c r="CT36" s="19">
        <f t="shared" ca="1" si="39"/>
        <v>4.9000000000000004</v>
      </c>
      <c r="CU36" s="19">
        <f t="shared" ca="1" si="39"/>
        <v>76.7</v>
      </c>
      <c r="CV36" s="19">
        <f t="shared" ca="1" si="39"/>
        <v>180.9</v>
      </c>
      <c r="CW36" s="19">
        <f t="shared" ca="1" si="39"/>
        <v>324.89999999999998</v>
      </c>
      <c r="CX36" s="19">
        <f t="shared" ca="1" si="39"/>
        <v>247.5</v>
      </c>
      <c r="CY36" s="19">
        <f t="shared" ca="1" si="39"/>
        <v>99.3</v>
      </c>
      <c r="CZ36" s="19">
        <f t="shared" ca="1" si="39"/>
        <v>22.1</v>
      </c>
      <c r="DA36" s="19">
        <f t="shared" ca="1" si="39"/>
        <v>0</v>
      </c>
      <c r="DB36" s="19">
        <f t="shared" ca="1" si="39"/>
        <v>0</v>
      </c>
      <c r="DC36" s="14"/>
      <c r="DD36" s="14">
        <f t="shared" si="49"/>
        <v>2006</v>
      </c>
      <c r="DE36" s="19">
        <f t="shared" ca="1" si="40"/>
        <v>0</v>
      </c>
      <c r="DF36" s="19">
        <f t="shared" ca="1" si="40"/>
        <v>0</v>
      </c>
      <c r="DG36" s="19">
        <f t="shared" ca="1" si="40"/>
        <v>3.4</v>
      </c>
      <c r="DH36" s="19">
        <f t="shared" ca="1" si="40"/>
        <v>15.5</v>
      </c>
      <c r="DI36" s="19">
        <f t="shared" ca="1" si="40"/>
        <v>120.7</v>
      </c>
      <c r="DJ36" s="19">
        <f t="shared" ca="1" si="40"/>
        <v>238.8</v>
      </c>
      <c r="DK36" s="19">
        <f t="shared" ca="1" si="40"/>
        <v>386.9</v>
      </c>
      <c r="DL36" s="19">
        <f t="shared" ca="1" si="40"/>
        <v>309.5</v>
      </c>
      <c r="DM36" s="19">
        <f t="shared" ca="1" si="40"/>
        <v>152.69999999999999</v>
      </c>
      <c r="DN36" s="19">
        <f t="shared" ca="1" si="40"/>
        <v>40.9</v>
      </c>
      <c r="DO36" s="19">
        <f t="shared" ca="1" si="40"/>
        <v>3.5</v>
      </c>
      <c r="DP36" s="19">
        <f t="shared" ca="1" si="40"/>
        <v>0</v>
      </c>
      <c r="DQ36" s="14"/>
      <c r="DR36" s="14">
        <f t="shared" si="50"/>
        <v>2006</v>
      </c>
      <c r="DS36" s="19">
        <f t="shared" ca="1" si="41"/>
        <v>0</v>
      </c>
      <c r="DT36" s="19">
        <f t="shared" ca="1" si="41"/>
        <v>0</v>
      </c>
      <c r="DU36" s="19">
        <f t="shared" ca="1" si="41"/>
        <v>6.2</v>
      </c>
      <c r="DV36" s="19">
        <f t="shared" ca="1" si="41"/>
        <v>35.4</v>
      </c>
      <c r="DW36" s="19">
        <f t="shared" ca="1" si="41"/>
        <v>172.4</v>
      </c>
      <c r="DX36" s="19">
        <f t="shared" ca="1" si="41"/>
        <v>298.8</v>
      </c>
      <c r="DY36" s="19">
        <f t="shared" ca="1" si="41"/>
        <v>448.9</v>
      </c>
      <c r="DZ36" s="19">
        <f t="shared" ca="1" si="41"/>
        <v>371.5</v>
      </c>
      <c r="EA36" s="19">
        <f t="shared" ca="1" si="41"/>
        <v>211</v>
      </c>
      <c r="EB36" s="19">
        <f t="shared" ca="1" si="41"/>
        <v>68.599999999999994</v>
      </c>
      <c r="EC36" s="19">
        <f t="shared" ca="1" si="41"/>
        <v>18</v>
      </c>
      <c r="ED36" s="19">
        <f t="shared" ca="1" si="41"/>
        <v>0</v>
      </c>
      <c r="EE36" s="14"/>
    </row>
    <row r="37" spans="1:135">
      <c r="A37">
        <v>2004</v>
      </c>
      <c r="B37">
        <v>12</v>
      </c>
      <c r="C37" s="11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4">
        <f t="shared" si="42"/>
        <v>2007</v>
      </c>
      <c r="Y37" s="19">
        <f t="shared" ca="1" si="43"/>
        <v>0</v>
      </c>
      <c r="Z37" s="19">
        <f t="shared" ca="1" si="33"/>
        <v>0</v>
      </c>
      <c r="AA37" s="19">
        <f t="shared" ca="1" si="33"/>
        <v>0</v>
      </c>
      <c r="AB37" s="19">
        <f t="shared" ca="1" si="33"/>
        <v>0</v>
      </c>
      <c r="AC37" s="19">
        <f t="shared" ca="1" si="33"/>
        <v>3.2</v>
      </c>
      <c r="AD37" s="19">
        <f t="shared" ca="1" si="33"/>
        <v>10</v>
      </c>
      <c r="AE37" s="19">
        <f t="shared" ca="1" si="33"/>
        <v>11.7</v>
      </c>
      <c r="AF37" s="19">
        <f t="shared" ca="1" si="33"/>
        <v>18.100000000000001</v>
      </c>
      <c r="AG37" s="19">
        <f t="shared" ca="1" si="33"/>
        <v>12.4</v>
      </c>
      <c r="AH37" s="19">
        <f t="shared" ca="1" si="33"/>
        <v>0.8</v>
      </c>
      <c r="AI37" s="19">
        <f t="shared" ca="1" si="33"/>
        <v>0</v>
      </c>
      <c r="AJ37" s="19">
        <f t="shared" ca="1" si="33"/>
        <v>0</v>
      </c>
      <c r="AK37" s="14"/>
      <c r="AL37" s="14">
        <f t="shared" si="44"/>
        <v>2007</v>
      </c>
      <c r="AM37" s="19">
        <f t="shared" ca="1" si="34"/>
        <v>0</v>
      </c>
      <c r="AN37" s="19">
        <f t="shared" ca="1" si="34"/>
        <v>0</v>
      </c>
      <c r="AO37" s="19">
        <f t="shared" ca="1" si="34"/>
        <v>0</v>
      </c>
      <c r="AP37" s="19">
        <f t="shared" ca="1" si="34"/>
        <v>0</v>
      </c>
      <c r="AQ37" s="19">
        <f t="shared" ca="1" si="34"/>
        <v>9</v>
      </c>
      <c r="AR37" s="19">
        <f t="shared" ca="1" si="34"/>
        <v>30.9</v>
      </c>
      <c r="AS37" s="19">
        <f t="shared" ca="1" si="34"/>
        <v>32.700000000000003</v>
      </c>
      <c r="AT37" s="19">
        <f t="shared" ca="1" si="34"/>
        <v>45.6</v>
      </c>
      <c r="AU37" s="19">
        <f t="shared" ca="1" si="34"/>
        <v>22.8</v>
      </c>
      <c r="AV37" s="19">
        <f t="shared" ca="1" si="34"/>
        <v>7.9</v>
      </c>
      <c r="AW37" s="19">
        <f t="shared" ca="1" si="34"/>
        <v>0</v>
      </c>
      <c r="AX37" s="19">
        <f t="shared" ca="1" si="34"/>
        <v>0</v>
      </c>
      <c r="AY37" s="15"/>
      <c r="AZ37" s="14">
        <f t="shared" si="45"/>
        <v>2007</v>
      </c>
      <c r="BA37" s="19">
        <f t="shared" ca="1" si="35"/>
        <v>0</v>
      </c>
      <c r="BB37" s="19">
        <f t="shared" ca="1" si="35"/>
        <v>0</v>
      </c>
      <c r="BC37" s="19">
        <f t="shared" ca="1" si="35"/>
        <v>0</v>
      </c>
      <c r="BD37" s="19">
        <f t="shared" ca="1" si="35"/>
        <v>0</v>
      </c>
      <c r="BE37" s="19">
        <f t="shared" ca="1" si="35"/>
        <v>18</v>
      </c>
      <c r="BF37" s="19">
        <f t="shared" ca="1" si="35"/>
        <v>59.8</v>
      </c>
      <c r="BG37" s="19">
        <f t="shared" ca="1" si="35"/>
        <v>64.400000000000006</v>
      </c>
      <c r="BH37" s="19">
        <f t="shared" ca="1" si="35"/>
        <v>88.7</v>
      </c>
      <c r="BI37" s="19">
        <f t="shared" ca="1" si="35"/>
        <v>40.9</v>
      </c>
      <c r="BJ37" s="19">
        <f t="shared" ca="1" si="35"/>
        <v>22</v>
      </c>
      <c r="BK37" s="19">
        <f t="shared" ca="1" si="35"/>
        <v>0</v>
      </c>
      <c r="BL37" s="19">
        <f t="shared" ca="1" si="35"/>
        <v>0</v>
      </c>
      <c r="BM37" s="15">
        <f t="shared" ca="1" si="36"/>
        <v>293.79999999999995</v>
      </c>
      <c r="BN37" s="14">
        <f t="shared" si="46"/>
        <v>2007</v>
      </c>
      <c r="BO37" s="19">
        <f t="shared" ca="1" si="37"/>
        <v>0</v>
      </c>
      <c r="BP37" s="19">
        <f t="shared" ca="1" si="37"/>
        <v>0</v>
      </c>
      <c r="BQ37" s="19">
        <f t="shared" ca="1" si="37"/>
        <v>0</v>
      </c>
      <c r="BR37" s="19">
        <f t="shared" ca="1" si="37"/>
        <v>1.4</v>
      </c>
      <c r="BS37" s="19">
        <f t="shared" ca="1" si="37"/>
        <v>32.9</v>
      </c>
      <c r="BT37" s="19">
        <f t="shared" ca="1" si="37"/>
        <v>97.9</v>
      </c>
      <c r="BU37" s="19">
        <f t="shared" ca="1" si="37"/>
        <v>114.8</v>
      </c>
      <c r="BV37" s="19">
        <f t="shared" ca="1" si="37"/>
        <v>140</v>
      </c>
      <c r="BW37" s="19">
        <f t="shared" ca="1" si="37"/>
        <v>72.400000000000006</v>
      </c>
      <c r="BX37" s="19">
        <f t="shared" ca="1" si="37"/>
        <v>43.9</v>
      </c>
      <c r="BY37" s="19">
        <f t="shared" ca="1" si="37"/>
        <v>0</v>
      </c>
      <c r="BZ37" s="19">
        <f t="shared" ca="1" si="37"/>
        <v>0</v>
      </c>
      <c r="CA37" s="14"/>
      <c r="CB37" s="14">
        <f t="shared" si="47"/>
        <v>2007</v>
      </c>
      <c r="CC37" s="19">
        <f t="shared" ca="1" si="38"/>
        <v>0</v>
      </c>
      <c r="CD37" s="19">
        <f t="shared" ca="1" si="38"/>
        <v>0</v>
      </c>
      <c r="CE37" s="19">
        <f t="shared" ca="1" si="38"/>
        <v>0</v>
      </c>
      <c r="CF37" s="19">
        <f t="shared" ca="1" si="38"/>
        <v>4.8</v>
      </c>
      <c r="CG37" s="19">
        <f t="shared" ca="1" si="38"/>
        <v>51.3</v>
      </c>
      <c r="CH37" s="19">
        <f t="shared" ca="1" si="38"/>
        <v>146</v>
      </c>
      <c r="CI37" s="19">
        <f t="shared" ca="1" si="38"/>
        <v>175</v>
      </c>
      <c r="CJ37" s="19">
        <f t="shared" ca="1" si="38"/>
        <v>195.5</v>
      </c>
      <c r="CK37" s="19">
        <f t="shared" ca="1" si="38"/>
        <v>118</v>
      </c>
      <c r="CL37" s="19">
        <f t="shared" ca="1" si="38"/>
        <v>70.5</v>
      </c>
      <c r="CM37" s="19">
        <f t="shared" ca="1" si="38"/>
        <v>0</v>
      </c>
      <c r="CN37" s="19">
        <f t="shared" ca="1" si="38"/>
        <v>0</v>
      </c>
      <c r="CO37" s="14"/>
      <c r="CP37" s="14">
        <f t="shared" si="48"/>
        <v>2007</v>
      </c>
      <c r="CQ37" s="19">
        <f t="shared" ca="1" si="39"/>
        <v>0</v>
      </c>
      <c r="CR37" s="19">
        <f t="shared" ca="1" si="39"/>
        <v>0</v>
      </c>
      <c r="CS37" s="19">
        <f t="shared" ca="1" si="39"/>
        <v>1.3</v>
      </c>
      <c r="CT37" s="19">
        <f t="shared" ca="1" si="39"/>
        <v>9.1999999999999993</v>
      </c>
      <c r="CU37" s="19">
        <f t="shared" ca="1" si="39"/>
        <v>79.099999999999994</v>
      </c>
      <c r="CV37" s="19">
        <f t="shared" ca="1" si="39"/>
        <v>199.8</v>
      </c>
      <c r="CW37" s="19">
        <f t="shared" ca="1" si="39"/>
        <v>237</v>
      </c>
      <c r="CX37" s="19">
        <f t="shared" ca="1" si="39"/>
        <v>257.2</v>
      </c>
      <c r="CY37" s="19">
        <f t="shared" ca="1" si="39"/>
        <v>173.1</v>
      </c>
      <c r="CZ37" s="19">
        <f t="shared" ca="1" si="39"/>
        <v>101.8</v>
      </c>
      <c r="DA37" s="19">
        <f t="shared" ca="1" si="39"/>
        <v>0</v>
      </c>
      <c r="DB37" s="19">
        <f t="shared" ca="1" si="39"/>
        <v>0</v>
      </c>
      <c r="DC37" s="14"/>
      <c r="DD37" s="14">
        <f t="shared" si="49"/>
        <v>2007</v>
      </c>
      <c r="DE37" s="19">
        <f t="shared" ca="1" si="40"/>
        <v>0</v>
      </c>
      <c r="DF37" s="19">
        <f t="shared" ca="1" si="40"/>
        <v>0</v>
      </c>
      <c r="DG37" s="19">
        <f t="shared" ca="1" si="40"/>
        <v>4.7</v>
      </c>
      <c r="DH37" s="19">
        <f t="shared" ca="1" si="40"/>
        <v>16.899999999999999</v>
      </c>
      <c r="DI37" s="19">
        <f t="shared" ca="1" si="40"/>
        <v>113.1</v>
      </c>
      <c r="DJ37" s="19">
        <f t="shared" ca="1" si="40"/>
        <v>255.9</v>
      </c>
      <c r="DK37" s="19">
        <f t="shared" ca="1" si="40"/>
        <v>299</v>
      </c>
      <c r="DL37" s="19">
        <f t="shared" ca="1" si="40"/>
        <v>319.2</v>
      </c>
      <c r="DM37" s="19">
        <f t="shared" ca="1" si="40"/>
        <v>231.1</v>
      </c>
      <c r="DN37" s="19">
        <f t="shared" ca="1" si="40"/>
        <v>139.5</v>
      </c>
      <c r="DO37" s="19">
        <f t="shared" ca="1" si="40"/>
        <v>0.7</v>
      </c>
      <c r="DP37" s="19">
        <f t="shared" ca="1" si="40"/>
        <v>0</v>
      </c>
      <c r="DQ37" s="14"/>
      <c r="DR37" s="14">
        <f t="shared" si="50"/>
        <v>2007</v>
      </c>
      <c r="DS37" s="19">
        <f t="shared" ca="1" si="41"/>
        <v>1.8</v>
      </c>
      <c r="DT37" s="19">
        <f t="shared" ca="1" si="41"/>
        <v>0</v>
      </c>
      <c r="DU37" s="19">
        <f t="shared" ca="1" si="41"/>
        <v>9.3000000000000007</v>
      </c>
      <c r="DV37" s="19">
        <f t="shared" ca="1" si="41"/>
        <v>26.8</v>
      </c>
      <c r="DW37" s="19">
        <f t="shared" ca="1" si="41"/>
        <v>151</v>
      </c>
      <c r="DX37" s="19">
        <f t="shared" ca="1" si="41"/>
        <v>314.2</v>
      </c>
      <c r="DY37" s="19">
        <f t="shared" ca="1" si="41"/>
        <v>361</v>
      </c>
      <c r="DZ37" s="19">
        <f t="shared" ca="1" si="41"/>
        <v>381.2</v>
      </c>
      <c r="EA37" s="19">
        <f t="shared" ca="1" si="41"/>
        <v>290.5</v>
      </c>
      <c r="EB37" s="19">
        <f t="shared" ca="1" si="41"/>
        <v>193</v>
      </c>
      <c r="EC37" s="19">
        <f t="shared" ca="1" si="41"/>
        <v>4.3</v>
      </c>
      <c r="ED37" s="19">
        <f t="shared" ca="1" si="41"/>
        <v>0</v>
      </c>
      <c r="EE37" s="14"/>
    </row>
    <row r="38" spans="1:135">
      <c r="A38">
        <v>2005</v>
      </c>
      <c r="B38">
        <v>1</v>
      </c>
      <c r="C38" s="11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4">
        <f t="shared" si="42"/>
        <v>2008</v>
      </c>
      <c r="Y38" s="19">
        <f t="shared" ca="1" si="43"/>
        <v>0</v>
      </c>
      <c r="Z38" s="19">
        <f t="shared" ca="1" si="33"/>
        <v>0</v>
      </c>
      <c r="AA38" s="19">
        <f t="shared" ca="1" si="33"/>
        <v>0</v>
      </c>
      <c r="AB38" s="19">
        <f t="shared" ca="1" si="33"/>
        <v>0</v>
      </c>
      <c r="AC38" s="19">
        <f t="shared" ca="1" si="33"/>
        <v>0</v>
      </c>
      <c r="AD38" s="19">
        <f t="shared" ca="1" si="33"/>
        <v>7</v>
      </c>
      <c r="AE38" s="19">
        <f t="shared" ca="1" si="33"/>
        <v>15.4</v>
      </c>
      <c r="AF38" s="19">
        <f t="shared" ca="1" si="33"/>
        <v>8</v>
      </c>
      <c r="AG38" s="19">
        <f t="shared" ca="1" si="33"/>
        <v>1</v>
      </c>
      <c r="AH38" s="19">
        <f t="shared" ca="1" si="33"/>
        <v>0</v>
      </c>
      <c r="AI38" s="19">
        <f t="shared" ca="1" si="33"/>
        <v>0</v>
      </c>
      <c r="AJ38" s="19">
        <f t="shared" ca="1" si="33"/>
        <v>0</v>
      </c>
      <c r="AK38" s="14"/>
      <c r="AL38" s="14">
        <f t="shared" si="44"/>
        <v>2008</v>
      </c>
      <c r="AM38" s="19">
        <f t="shared" ca="1" si="34"/>
        <v>0</v>
      </c>
      <c r="AN38" s="19">
        <f t="shared" ca="1" si="34"/>
        <v>0</v>
      </c>
      <c r="AO38" s="19">
        <f t="shared" ca="1" si="34"/>
        <v>0</v>
      </c>
      <c r="AP38" s="19">
        <f t="shared" ca="1" si="34"/>
        <v>0</v>
      </c>
      <c r="AQ38" s="19">
        <f t="shared" ca="1" si="34"/>
        <v>0</v>
      </c>
      <c r="AR38" s="19">
        <f t="shared" ca="1" si="34"/>
        <v>24.1</v>
      </c>
      <c r="AS38" s="19">
        <f t="shared" ca="1" si="34"/>
        <v>41.8</v>
      </c>
      <c r="AT38" s="19">
        <f t="shared" ca="1" si="34"/>
        <v>19.899999999999999</v>
      </c>
      <c r="AU38" s="19">
        <f t="shared" ca="1" si="34"/>
        <v>4.8</v>
      </c>
      <c r="AV38" s="19">
        <f t="shared" ca="1" si="34"/>
        <v>1.7</v>
      </c>
      <c r="AW38" s="19">
        <f t="shared" ca="1" si="34"/>
        <v>0</v>
      </c>
      <c r="AX38" s="19">
        <f t="shared" ca="1" si="34"/>
        <v>0</v>
      </c>
      <c r="AY38" s="15"/>
      <c r="AZ38" s="14">
        <f t="shared" si="45"/>
        <v>2008</v>
      </c>
      <c r="BA38" s="19">
        <f t="shared" ca="1" si="35"/>
        <v>0</v>
      </c>
      <c r="BB38" s="19">
        <f t="shared" ca="1" si="35"/>
        <v>0</v>
      </c>
      <c r="BC38" s="19">
        <f t="shared" ca="1" si="35"/>
        <v>0</v>
      </c>
      <c r="BD38" s="19">
        <f t="shared" ca="1" si="35"/>
        <v>0.9</v>
      </c>
      <c r="BE38" s="19">
        <f t="shared" ca="1" si="35"/>
        <v>0</v>
      </c>
      <c r="BF38" s="19">
        <f t="shared" ca="1" si="35"/>
        <v>49.6</v>
      </c>
      <c r="BG38" s="19">
        <f t="shared" ca="1" si="35"/>
        <v>87.9</v>
      </c>
      <c r="BH38" s="19">
        <f t="shared" ca="1" si="35"/>
        <v>50.5</v>
      </c>
      <c r="BI38" s="19">
        <f t="shared" ca="1" si="35"/>
        <v>21.6</v>
      </c>
      <c r="BJ38" s="19">
        <f t="shared" ca="1" si="35"/>
        <v>3.7</v>
      </c>
      <c r="BK38" s="19">
        <f t="shared" ca="1" si="35"/>
        <v>0</v>
      </c>
      <c r="BL38" s="19">
        <f t="shared" ca="1" si="35"/>
        <v>0</v>
      </c>
      <c r="BM38" s="15">
        <f t="shared" ca="1" si="36"/>
        <v>214.2</v>
      </c>
      <c r="BN38" s="14">
        <f t="shared" si="46"/>
        <v>2008</v>
      </c>
      <c r="BO38" s="19">
        <f t="shared" ca="1" si="37"/>
        <v>0</v>
      </c>
      <c r="BP38" s="19">
        <f t="shared" ca="1" si="37"/>
        <v>0</v>
      </c>
      <c r="BQ38" s="19">
        <f t="shared" ca="1" si="37"/>
        <v>0</v>
      </c>
      <c r="BR38" s="19">
        <f t="shared" ca="1" si="37"/>
        <v>6.6</v>
      </c>
      <c r="BS38" s="19">
        <f t="shared" ca="1" si="37"/>
        <v>2</v>
      </c>
      <c r="BT38" s="19">
        <f t="shared" ca="1" si="37"/>
        <v>89.3</v>
      </c>
      <c r="BU38" s="19">
        <f t="shared" ca="1" si="37"/>
        <v>141.4</v>
      </c>
      <c r="BV38" s="19">
        <f t="shared" ca="1" si="37"/>
        <v>97.4</v>
      </c>
      <c r="BW38" s="19">
        <f t="shared" ca="1" si="37"/>
        <v>45.7</v>
      </c>
      <c r="BX38" s="19">
        <f t="shared" ca="1" si="37"/>
        <v>6.9</v>
      </c>
      <c r="BY38" s="19">
        <f t="shared" ca="1" si="37"/>
        <v>0.9</v>
      </c>
      <c r="BZ38" s="19">
        <f t="shared" ca="1" si="37"/>
        <v>0</v>
      </c>
      <c r="CA38" s="14"/>
      <c r="CB38" s="14">
        <f t="shared" si="47"/>
        <v>2008</v>
      </c>
      <c r="CC38" s="19">
        <f t="shared" ca="1" si="38"/>
        <v>0</v>
      </c>
      <c r="CD38" s="19">
        <f t="shared" ca="1" si="38"/>
        <v>0</v>
      </c>
      <c r="CE38" s="19">
        <f t="shared" ca="1" si="38"/>
        <v>0</v>
      </c>
      <c r="CF38" s="19">
        <f t="shared" ca="1" si="38"/>
        <v>21.2</v>
      </c>
      <c r="CG38" s="19">
        <f t="shared" ca="1" si="38"/>
        <v>10.9</v>
      </c>
      <c r="CH38" s="19">
        <f t="shared" ca="1" si="38"/>
        <v>137.5</v>
      </c>
      <c r="CI38" s="19">
        <f t="shared" ca="1" si="38"/>
        <v>202.4</v>
      </c>
      <c r="CJ38" s="19">
        <f t="shared" ca="1" si="38"/>
        <v>155.1</v>
      </c>
      <c r="CK38" s="19">
        <f t="shared" ca="1" si="38"/>
        <v>83.3</v>
      </c>
      <c r="CL38" s="19">
        <f t="shared" ca="1" si="38"/>
        <v>12.1</v>
      </c>
      <c r="CM38" s="19">
        <f t="shared" ca="1" si="38"/>
        <v>4.9000000000000004</v>
      </c>
      <c r="CN38" s="19">
        <f t="shared" ca="1" si="38"/>
        <v>0</v>
      </c>
      <c r="CO38" s="14"/>
      <c r="CP38" s="14">
        <f t="shared" si="48"/>
        <v>2008</v>
      </c>
      <c r="CQ38" s="19">
        <f t="shared" ca="1" si="39"/>
        <v>0</v>
      </c>
      <c r="CR38" s="19">
        <f t="shared" ca="1" si="39"/>
        <v>0</v>
      </c>
      <c r="CS38" s="19">
        <f t="shared" ca="1" si="39"/>
        <v>0</v>
      </c>
      <c r="CT38" s="19">
        <f t="shared" ca="1" si="39"/>
        <v>39.9</v>
      </c>
      <c r="CU38" s="19">
        <f t="shared" ca="1" si="39"/>
        <v>24.1</v>
      </c>
      <c r="CV38" s="19">
        <f t="shared" ca="1" si="39"/>
        <v>194.4</v>
      </c>
      <c r="CW38" s="19">
        <f t="shared" ca="1" si="39"/>
        <v>264.39999999999998</v>
      </c>
      <c r="CX38" s="19">
        <f t="shared" ca="1" si="39"/>
        <v>217.1</v>
      </c>
      <c r="CY38" s="19">
        <f t="shared" ca="1" si="39"/>
        <v>131.6</v>
      </c>
      <c r="CZ38" s="19">
        <f t="shared" ca="1" si="39"/>
        <v>22</v>
      </c>
      <c r="DA38" s="19">
        <f t="shared" ca="1" si="39"/>
        <v>11.9</v>
      </c>
      <c r="DB38" s="19">
        <f t="shared" ca="1" si="39"/>
        <v>0</v>
      </c>
      <c r="DC38" s="14"/>
      <c r="DD38" s="14">
        <f t="shared" si="49"/>
        <v>2008</v>
      </c>
      <c r="DE38" s="19">
        <f t="shared" ca="1" si="40"/>
        <v>3.1</v>
      </c>
      <c r="DF38" s="19">
        <f t="shared" ca="1" si="40"/>
        <v>0</v>
      </c>
      <c r="DG38" s="19">
        <f t="shared" ca="1" si="40"/>
        <v>0</v>
      </c>
      <c r="DH38" s="19">
        <f t="shared" ca="1" si="40"/>
        <v>61.3</v>
      </c>
      <c r="DI38" s="19">
        <f t="shared" ca="1" si="40"/>
        <v>47.4</v>
      </c>
      <c r="DJ38" s="19">
        <f t="shared" ca="1" si="40"/>
        <v>254.4</v>
      </c>
      <c r="DK38" s="19">
        <f t="shared" ca="1" si="40"/>
        <v>326.39999999999998</v>
      </c>
      <c r="DL38" s="19">
        <f t="shared" ca="1" si="40"/>
        <v>279.10000000000002</v>
      </c>
      <c r="DM38" s="19">
        <f t="shared" ca="1" si="40"/>
        <v>188.9</v>
      </c>
      <c r="DN38" s="19">
        <f t="shared" ca="1" si="40"/>
        <v>41.6</v>
      </c>
      <c r="DO38" s="19">
        <f t="shared" ca="1" si="40"/>
        <v>21.9</v>
      </c>
      <c r="DP38" s="19">
        <f t="shared" ca="1" si="40"/>
        <v>0</v>
      </c>
      <c r="DQ38" s="14"/>
      <c r="DR38" s="14">
        <f t="shared" si="50"/>
        <v>2008</v>
      </c>
      <c r="DS38" s="19">
        <f t="shared" ca="1" si="41"/>
        <v>7.1</v>
      </c>
      <c r="DT38" s="19">
        <f t="shared" ca="1" si="41"/>
        <v>0</v>
      </c>
      <c r="DU38" s="19">
        <f t="shared" ca="1" si="41"/>
        <v>0</v>
      </c>
      <c r="DV38" s="19">
        <f t="shared" ca="1" si="41"/>
        <v>88.2</v>
      </c>
      <c r="DW38" s="19">
        <f t="shared" ca="1" si="41"/>
        <v>83.6</v>
      </c>
      <c r="DX38" s="19">
        <f t="shared" ca="1" si="41"/>
        <v>314.39999999999998</v>
      </c>
      <c r="DY38" s="19">
        <f t="shared" ca="1" si="41"/>
        <v>388.4</v>
      </c>
      <c r="DZ38" s="19">
        <f t="shared" ca="1" si="41"/>
        <v>341.1</v>
      </c>
      <c r="EA38" s="19">
        <f t="shared" ca="1" si="41"/>
        <v>248.9</v>
      </c>
      <c r="EB38" s="19">
        <f t="shared" ca="1" si="41"/>
        <v>72</v>
      </c>
      <c r="EC38" s="19">
        <f t="shared" ca="1" si="41"/>
        <v>34.299999999999997</v>
      </c>
      <c r="ED38" s="19">
        <f t="shared" ca="1" si="41"/>
        <v>0.2</v>
      </c>
      <c r="EE38" s="14"/>
    </row>
    <row r="39" spans="1:135">
      <c r="A39">
        <v>2005</v>
      </c>
      <c r="B39">
        <v>2</v>
      </c>
      <c r="C39" s="11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4">
        <f t="shared" si="42"/>
        <v>2009</v>
      </c>
      <c r="Y39" s="19">
        <f t="shared" ca="1" si="43"/>
        <v>0</v>
      </c>
      <c r="Z39" s="19">
        <f t="shared" ca="1" si="33"/>
        <v>0</v>
      </c>
      <c r="AA39" s="19">
        <f t="shared" ca="1" si="33"/>
        <v>0</v>
      </c>
      <c r="AB39" s="19">
        <f t="shared" ca="1" si="33"/>
        <v>0</v>
      </c>
      <c r="AC39" s="19">
        <f t="shared" ca="1" si="33"/>
        <v>1.6</v>
      </c>
      <c r="AD39" s="19">
        <f t="shared" ca="1" si="33"/>
        <v>0</v>
      </c>
      <c r="AE39" s="19">
        <f t="shared" ca="1" si="33"/>
        <v>2.2999999999999998</v>
      </c>
      <c r="AF39" s="19">
        <f t="shared" ca="1" si="33"/>
        <v>16.100000000000001</v>
      </c>
      <c r="AG39" s="19">
        <f t="shared" ca="1" si="33"/>
        <v>0</v>
      </c>
      <c r="AH39" s="19">
        <f t="shared" ca="1" si="33"/>
        <v>0</v>
      </c>
      <c r="AI39" s="19">
        <f t="shared" ca="1" si="33"/>
        <v>0</v>
      </c>
      <c r="AJ39" s="19">
        <f t="shared" ca="1" si="33"/>
        <v>0</v>
      </c>
      <c r="AK39" s="14"/>
      <c r="AL39" s="14">
        <f t="shared" si="44"/>
        <v>2009</v>
      </c>
      <c r="AM39" s="19">
        <f t="shared" ca="1" si="34"/>
        <v>0</v>
      </c>
      <c r="AN39" s="19">
        <f t="shared" ca="1" si="34"/>
        <v>0</v>
      </c>
      <c r="AO39" s="19">
        <f t="shared" ca="1" si="34"/>
        <v>0</v>
      </c>
      <c r="AP39" s="19">
        <f t="shared" ca="1" si="34"/>
        <v>0</v>
      </c>
      <c r="AQ39" s="19">
        <f t="shared" ca="1" si="34"/>
        <v>3.6</v>
      </c>
      <c r="AR39" s="19">
        <f t="shared" ca="1" si="34"/>
        <v>3.8</v>
      </c>
      <c r="AS39" s="19">
        <f t="shared" ca="1" si="34"/>
        <v>6.6</v>
      </c>
      <c r="AT39" s="19">
        <f t="shared" ca="1" si="34"/>
        <v>34.5</v>
      </c>
      <c r="AU39" s="19">
        <f t="shared" ca="1" si="34"/>
        <v>0.8</v>
      </c>
      <c r="AV39" s="19">
        <f t="shared" ca="1" si="34"/>
        <v>0</v>
      </c>
      <c r="AW39" s="19">
        <f t="shared" ca="1" si="34"/>
        <v>0</v>
      </c>
      <c r="AX39" s="19">
        <f t="shared" ca="1" si="34"/>
        <v>0</v>
      </c>
      <c r="AY39" s="15"/>
      <c r="AZ39" s="14">
        <f t="shared" si="45"/>
        <v>2009</v>
      </c>
      <c r="BA39" s="19">
        <f t="shared" ca="1" si="35"/>
        <v>0</v>
      </c>
      <c r="BB39" s="19">
        <f t="shared" ca="1" si="35"/>
        <v>0</v>
      </c>
      <c r="BC39" s="19">
        <f t="shared" ca="1" si="35"/>
        <v>0</v>
      </c>
      <c r="BD39" s="19">
        <f t="shared" ca="1" si="35"/>
        <v>0.5</v>
      </c>
      <c r="BE39" s="19">
        <f t="shared" ca="1" si="35"/>
        <v>7.5</v>
      </c>
      <c r="BF39" s="19">
        <f t="shared" ca="1" si="35"/>
        <v>16.899999999999999</v>
      </c>
      <c r="BG39" s="19">
        <f t="shared" ca="1" si="35"/>
        <v>26.6</v>
      </c>
      <c r="BH39" s="19">
        <f t="shared" ca="1" si="35"/>
        <v>69.099999999999994</v>
      </c>
      <c r="BI39" s="19">
        <f t="shared" ca="1" si="35"/>
        <v>10.7</v>
      </c>
      <c r="BJ39" s="19">
        <f t="shared" ca="1" si="35"/>
        <v>0</v>
      </c>
      <c r="BK39" s="19">
        <f t="shared" ca="1" si="35"/>
        <v>0</v>
      </c>
      <c r="BL39" s="19">
        <f t="shared" ca="1" si="35"/>
        <v>0</v>
      </c>
      <c r="BM39" s="15">
        <f t="shared" ca="1" si="36"/>
        <v>131.29999999999998</v>
      </c>
      <c r="BN39" s="14">
        <f t="shared" si="46"/>
        <v>2009</v>
      </c>
      <c r="BO39" s="19">
        <f t="shared" ca="1" si="37"/>
        <v>0</v>
      </c>
      <c r="BP39" s="19">
        <f t="shared" ca="1" si="37"/>
        <v>0</v>
      </c>
      <c r="BQ39" s="19">
        <f t="shared" ca="1" si="37"/>
        <v>0</v>
      </c>
      <c r="BR39" s="19">
        <f t="shared" ca="1" si="37"/>
        <v>2.5</v>
      </c>
      <c r="BS39" s="19">
        <f t="shared" ca="1" si="37"/>
        <v>12.8</v>
      </c>
      <c r="BT39" s="19">
        <f t="shared" ca="1" si="37"/>
        <v>40.1</v>
      </c>
      <c r="BU39" s="19">
        <f t="shared" ca="1" si="37"/>
        <v>69.2</v>
      </c>
      <c r="BV39" s="19">
        <f t="shared" ca="1" si="37"/>
        <v>117.9</v>
      </c>
      <c r="BW39" s="19">
        <f t="shared" ca="1" si="37"/>
        <v>33.299999999999997</v>
      </c>
      <c r="BX39" s="19">
        <f t="shared" ca="1" si="37"/>
        <v>0</v>
      </c>
      <c r="BY39" s="19">
        <f t="shared" ca="1" si="37"/>
        <v>0</v>
      </c>
      <c r="BZ39" s="19">
        <f t="shared" ca="1" si="37"/>
        <v>0</v>
      </c>
      <c r="CA39" s="14"/>
      <c r="CB39" s="14">
        <f t="shared" si="47"/>
        <v>2009</v>
      </c>
      <c r="CC39" s="19">
        <f t="shared" ca="1" si="38"/>
        <v>0</v>
      </c>
      <c r="CD39" s="19">
        <f t="shared" ca="1" si="38"/>
        <v>0</v>
      </c>
      <c r="CE39" s="19">
        <f t="shared" ca="1" si="38"/>
        <v>0</v>
      </c>
      <c r="CF39" s="19">
        <f t="shared" ca="1" si="38"/>
        <v>7.5</v>
      </c>
      <c r="CG39" s="19">
        <f t="shared" ca="1" si="38"/>
        <v>22</v>
      </c>
      <c r="CH39" s="19">
        <f t="shared" ca="1" si="38"/>
        <v>69.5</v>
      </c>
      <c r="CI39" s="19">
        <f t="shared" ca="1" si="38"/>
        <v>129.1</v>
      </c>
      <c r="CJ39" s="19">
        <f t="shared" ca="1" si="38"/>
        <v>173.1</v>
      </c>
      <c r="CK39" s="19">
        <f t="shared" ca="1" si="38"/>
        <v>71.400000000000006</v>
      </c>
      <c r="CL39" s="19">
        <f t="shared" ca="1" si="38"/>
        <v>0.6</v>
      </c>
      <c r="CM39" s="19">
        <f t="shared" ca="1" si="38"/>
        <v>0</v>
      </c>
      <c r="CN39" s="19">
        <f t="shared" ca="1" si="38"/>
        <v>0</v>
      </c>
      <c r="CO39" s="14"/>
      <c r="CP39" s="14">
        <f t="shared" si="48"/>
        <v>2009</v>
      </c>
      <c r="CQ39" s="19">
        <f t="shared" ca="1" si="39"/>
        <v>0</v>
      </c>
      <c r="CR39" s="19">
        <f t="shared" ca="1" si="39"/>
        <v>0</v>
      </c>
      <c r="CS39" s="19">
        <f t="shared" ca="1" si="39"/>
        <v>0</v>
      </c>
      <c r="CT39" s="19">
        <f t="shared" ca="1" si="39"/>
        <v>15.5</v>
      </c>
      <c r="CU39" s="19">
        <f t="shared" ca="1" si="39"/>
        <v>42.8</v>
      </c>
      <c r="CV39" s="19">
        <f t="shared" ca="1" si="39"/>
        <v>109.9</v>
      </c>
      <c r="CW39" s="19">
        <f t="shared" ca="1" si="39"/>
        <v>191.1</v>
      </c>
      <c r="CX39" s="19">
        <f t="shared" ca="1" si="39"/>
        <v>235.1</v>
      </c>
      <c r="CY39" s="19">
        <f t="shared" ca="1" si="39"/>
        <v>122.4</v>
      </c>
      <c r="CZ39" s="19">
        <f t="shared" ca="1" si="39"/>
        <v>4.5999999999999996</v>
      </c>
      <c r="DA39" s="19">
        <f t="shared" ca="1" si="39"/>
        <v>2.2000000000000002</v>
      </c>
      <c r="DB39" s="19">
        <f t="shared" ca="1" si="39"/>
        <v>0</v>
      </c>
      <c r="DC39" s="14"/>
      <c r="DD39" s="14">
        <f t="shared" si="49"/>
        <v>2009</v>
      </c>
      <c r="DE39" s="19">
        <f t="shared" ca="1" si="40"/>
        <v>0</v>
      </c>
      <c r="DF39" s="19">
        <f t="shared" ca="1" si="40"/>
        <v>0</v>
      </c>
      <c r="DG39" s="19">
        <f t="shared" ca="1" si="40"/>
        <v>0</v>
      </c>
      <c r="DH39" s="19">
        <f t="shared" ca="1" si="40"/>
        <v>24.5</v>
      </c>
      <c r="DI39" s="19">
        <f t="shared" ca="1" si="40"/>
        <v>79.3</v>
      </c>
      <c r="DJ39" s="19">
        <f t="shared" ca="1" si="40"/>
        <v>161.69999999999999</v>
      </c>
      <c r="DK39" s="19">
        <f t="shared" ca="1" si="40"/>
        <v>253.1</v>
      </c>
      <c r="DL39" s="19">
        <f t="shared" ca="1" si="40"/>
        <v>297.10000000000002</v>
      </c>
      <c r="DM39" s="19">
        <f t="shared" ca="1" si="40"/>
        <v>177.8</v>
      </c>
      <c r="DN39" s="19">
        <f t="shared" ca="1" si="40"/>
        <v>21.1</v>
      </c>
      <c r="DO39" s="19">
        <f t="shared" ca="1" si="40"/>
        <v>7.4</v>
      </c>
      <c r="DP39" s="19">
        <f t="shared" ca="1" si="40"/>
        <v>0</v>
      </c>
      <c r="DQ39" s="14"/>
      <c r="DR39" s="14">
        <f t="shared" si="50"/>
        <v>2009</v>
      </c>
      <c r="DS39" s="19">
        <f t="shared" ca="1" si="41"/>
        <v>0</v>
      </c>
      <c r="DT39" s="19">
        <f t="shared" ca="1" si="41"/>
        <v>0</v>
      </c>
      <c r="DU39" s="19">
        <f t="shared" ca="1" si="41"/>
        <v>1.9</v>
      </c>
      <c r="DV39" s="19">
        <f t="shared" ca="1" si="41"/>
        <v>39</v>
      </c>
      <c r="DW39" s="19">
        <f t="shared" ca="1" si="41"/>
        <v>125.5</v>
      </c>
      <c r="DX39" s="19">
        <f t="shared" ca="1" si="41"/>
        <v>218.7</v>
      </c>
      <c r="DY39" s="19">
        <f t="shared" ca="1" si="41"/>
        <v>315.10000000000002</v>
      </c>
      <c r="DZ39" s="19">
        <f t="shared" ca="1" si="41"/>
        <v>359.1</v>
      </c>
      <c r="EA39" s="19">
        <f t="shared" ca="1" si="41"/>
        <v>235.8</v>
      </c>
      <c r="EB39" s="19">
        <f t="shared" ca="1" si="41"/>
        <v>51</v>
      </c>
      <c r="EC39" s="19">
        <f t="shared" ca="1" si="41"/>
        <v>18.5</v>
      </c>
      <c r="ED39" s="19">
        <f t="shared" ca="1" si="41"/>
        <v>0</v>
      </c>
      <c r="EE39" s="14"/>
    </row>
    <row r="40" spans="1:135">
      <c r="A40">
        <v>2005</v>
      </c>
      <c r="B40">
        <v>3</v>
      </c>
      <c r="C40" s="11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4">
        <f t="shared" si="42"/>
        <v>2010</v>
      </c>
      <c r="Y40" s="19">
        <f t="shared" ca="1" si="43"/>
        <v>0</v>
      </c>
      <c r="Z40" s="19">
        <f t="shared" ca="1" si="33"/>
        <v>0</v>
      </c>
      <c r="AA40" s="19">
        <f t="shared" ca="1" si="33"/>
        <v>0</v>
      </c>
      <c r="AB40" s="19">
        <f t="shared" ca="1" si="33"/>
        <v>0</v>
      </c>
      <c r="AC40" s="19">
        <f t="shared" ca="1" si="33"/>
        <v>3.1</v>
      </c>
      <c r="AD40" s="19">
        <f t="shared" ca="1" si="33"/>
        <v>0.5</v>
      </c>
      <c r="AE40" s="19">
        <f t="shared" ca="1" si="33"/>
        <v>40.1</v>
      </c>
      <c r="AF40" s="19">
        <f t="shared" ca="1" si="33"/>
        <v>41.6</v>
      </c>
      <c r="AG40" s="19">
        <f t="shared" ca="1" si="33"/>
        <v>7.6</v>
      </c>
      <c r="AH40" s="19">
        <f t="shared" ca="1" si="33"/>
        <v>0</v>
      </c>
      <c r="AI40" s="19">
        <f t="shared" ca="1" si="33"/>
        <v>0</v>
      </c>
      <c r="AJ40" s="19">
        <f t="shared" ca="1" si="33"/>
        <v>0</v>
      </c>
      <c r="AK40" s="14"/>
      <c r="AL40" s="14">
        <f t="shared" si="44"/>
        <v>2010</v>
      </c>
      <c r="AM40" s="19">
        <f t="shared" ca="1" si="34"/>
        <v>0</v>
      </c>
      <c r="AN40" s="19">
        <f t="shared" ca="1" si="34"/>
        <v>0</v>
      </c>
      <c r="AO40" s="19">
        <f t="shared" ca="1" si="34"/>
        <v>0</v>
      </c>
      <c r="AP40" s="19">
        <f t="shared" ca="1" si="34"/>
        <v>0.1</v>
      </c>
      <c r="AQ40" s="19">
        <f t="shared" ca="1" si="34"/>
        <v>6.6</v>
      </c>
      <c r="AR40" s="19">
        <f t="shared" ca="1" si="34"/>
        <v>5.3</v>
      </c>
      <c r="AS40" s="19">
        <f t="shared" ca="1" si="34"/>
        <v>82.5</v>
      </c>
      <c r="AT40" s="19">
        <f t="shared" ca="1" si="34"/>
        <v>80.099999999999994</v>
      </c>
      <c r="AU40" s="19">
        <f t="shared" ca="1" si="34"/>
        <v>15.9</v>
      </c>
      <c r="AV40" s="19">
        <f t="shared" ca="1" si="34"/>
        <v>0</v>
      </c>
      <c r="AW40" s="19">
        <f t="shared" ca="1" si="34"/>
        <v>0</v>
      </c>
      <c r="AX40" s="19">
        <f t="shared" ca="1" si="34"/>
        <v>0</v>
      </c>
      <c r="AY40" s="15"/>
      <c r="AZ40" s="14">
        <f t="shared" si="45"/>
        <v>2010</v>
      </c>
      <c r="BA40" s="19">
        <f t="shared" ca="1" si="35"/>
        <v>0</v>
      </c>
      <c r="BB40" s="19">
        <f t="shared" ca="1" si="35"/>
        <v>0</v>
      </c>
      <c r="BC40" s="19">
        <f t="shared" ca="1" si="35"/>
        <v>0</v>
      </c>
      <c r="BD40" s="19">
        <f t="shared" ca="1" si="35"/>
        <v>3</v>
      </c>
      <c r="BE40" s="19">
        <f t="shared" ca="1" si="35"/>
        <v>20.7</v>
      </c>
      <c r="BF40" s="19">
        <f t="shared" ca="1" si="35"/>
        <v>21.9</v>
      </c>
      <c r="BG40" s="19">
        <f t="shared" ca="1" si="35"/>
        <v>136</v>
      </c>
      <c r="BH40" s="19">
        <f t="shared" ca="1" si="35"/>
        <v>129.80000000000001</v>
      </c>
      <c r="BI40" s="19">
        <f t="shared" ca="1" si="35"/>
        <v>26.8</v>
      </c>
      <c r="BJ40" s="19">
        <f t="shared" ca="1" si="35"/>
        <v>0</v>
      </c>
      <c r="BK40" s="19">
        <f t="shared" ca="1" si="35"/>
        <v>0</v>
      </c>
      <c r="BL40" s="19">
        <f t="shared" ca="1" si="35"/>
        <v>0</v>
      </c>
      <c r="BM40" s="15">
        <f t="shared" ca="1" si="36"/>
        <v>338.2</v>
      </c>
      <c r="BN40" s="14">
        <f t="shared" si="46"/>
        <v>2010</v>
      </c>
      <c r="BO40" s="19">
        <f t="shared" ca="1" si="37"/>
        <v>0</v>
      </c>
      <c r="BP40" s="19">
        <f t="shared" ca="1" si="37"/>
        <v>0</v>
      </c>
      <c r="BQ40" s="19">
        <f t="shared" ca="1" si="37"/>
        <v>0</v>
      </c>
      <c r="BR40" s="19">
        <f t="shared" ca="1" si="37"/>
        <v>9</v>
      </c>
      <c r="BS40" s="19">
        <f t="shared" ca="1" si="37"/>
        <v>45.7</v>
      </c>
      <c r="BT40" s="19">
        <f t="shared" ca="1" si="37"/>
        <v>51</v>
      </c>
      <c r="BU40" s="19">
        <f t="shared" ca="1" si="37"/>
        <v>191.5</v>
      </c>
      <c r="BV40" s="19">
        <f t="shared" ca="1" si="37"/>
        <v>186.7</v>
      </c>
      <c r="BW40" s="19">
        <f t="shared" ca="1" si="37"/>
        <v>42.8</v>
      </c>
      <c r="BX40" s="19">
        <f t="shared" ca="1" si="37"/>
        <v>1.2</v>
      </c>
      <c r="BY40" s="19">
        <f t="shared" ca="1" si="37"/>
        <v>0</v>
      </c>
      <c r="BZ40" s="19">
        <f t="shared" ca="1" si="37"/>
        <v>0</v>
      </c>
      <c r="CA40" s="14"/>
      <c r="CB40" s="14">
        <f t="shared" si="47"/>
        <v>2010</v>
      </c>
      <c r="CC40" s="19">
        <f t="shared" ca="1" si="38"/>
        <v>0</v>
      </c>
      <c r="CD40" s="19">
        <f t="shared" ca="1" si="38"/>
        <v>0</v>
      </c>
      <c r="CE40" s="19">
        <f t="shared" ca="1" si="38"/>
        <v>0</v>
      </c>
      <c r="CF40" s="19">
        <f t="shared" ca="1" si="38"/>
        <v>20.2</v>
      </c>
      <c r="CG40" s="19">
        <f t="shared" ca="1" si="38"/>
        <v>77.5</v>
      </c>
      <c r="CH40" s="19">
        <f t="shared" ca="1" si="38"/>
        <v>96.4</v>
      </c>
      <c r="CI40" s="19">
        <f t="shared" ca="1" si="38"/>
        <v>252.3</v>
      </c>
      <c r="CJ40" s="19">
        <f t="shared" ca="1" si="38"/>
        <v>247.8</v>
      </c>
      <c r="CK40" s="19">
        <f t="shared" ca="1" si="38"/>
        <v>71</v>
      </c>
      <c r="CL40" s="19">
        <f t="shared" ca="1" si="38"/>
        <v>9.3000000000000007</v>
      </c>
      <c r="CM40" s="19">
        <f t="shared" ca="1" si="38"/>
        <v>0</v>
      </c>
      <c r="CN40" s="19">
        <f t="shared" ca="1" si="38"/>
        <v>0</v>
      </c>
      <c r="CO40" s="14"/>
      <c r="CP40" s="14">
        <f t="shared" si="48"/>
        <v>2010</v>
      </c>
      <c r="CQ40" s="19">
        <f t="shared" ca="1" si="39"/>
        <v>0</v>
      </c>
      <c r="CR40" s="19">
        <f t="shared" ca="1" si="39"/>
        <v>0</v>
      </c>
      <c r="CS40" s="19">
        <f t="shared" ca="1" si="39"/>
        <v>0</v>
      </c>
      <c r="CT40" s="19">
        <f t="shared" ca="1" si="39"/>
        <v>34.299999999999997</v>
      </c>
      <c r="CU40" s="19">
        <f t="shared" ca="1" si="39"/>
        <v>115.2</v>
      </c>
      <c r="CV40" s="19">
        <f t="shared" ca="1" si="39"/>
        <v>151.4</v>
      </c>
      <c r="CW40" s="19">
        <f t="shared" ca="1" si="39"/>
        <v>314.3</v>
      </c>
      <c r="CX40" s="19">
        <f t="shared" ca="1" si="39"/>
        <v>309.8</v>
      </c>
      <c r="CY40" s="19">
        <f t="shared" ca="1" si="39"/>
        <v>115.3</v>
      </c>
      <c r="CZ40" s="19">
        <f t="shared" ca="1" si="39"/>
        <v>22.6</v>
      </c>
      <c r="DA40" s="19">
        <f t="shared" ca="1" si="39"/>
        <v>0</v>
      </c>
      <c r="DB40" s="19">
        <f t="shared" ca="1" si="39"/>
        <v>0</v>
      </c>
      <c r="DC40" s="14"/>
      <c r="DD40" s="14">
        <f t="shared" si="49"/>
        <v>2010</v>
      </c>
      <c r="DE40" s="19">
        <f t="shared" ca="1" si="40"/>
        <v>0</v>
      </c>
      <c r="DF40" s="19">
        <f t="shared" ca="1" si="40"/>
        <v>0</v>
      </c>
      <c r="DG40" s="19">
        <f t="shared" ca="1" si="40"/>
        <v>0</v>
      </c>
      <c r="DH40" s="19">
        <f t="shared" ca="1" si="40"/>
        <v>51.8</v>
      </c>
      <c r="DI40" s="19">
        <f t="shared" ca="1" si="40"/>
        <v>156.6</v>
      </c>
      <c r="DJ40" s="19">
        <f t="shared" ca="1" si="40"/>
        <v>210.2</v>
      </c>
      <c r="DK40" s="19">
        <f t="shared" ca="1" si="40"/>
        <v>376.3</v>
      </c>
      <c r="DL40" s="19">
        <f t="shared" ca="1" si="40"/>
        <v>371.8</v>
      </c>
      <c r="DM40" s="19">
        <f t="shared" ca="1" si="40"/>
        <v>173.6</v>
      </c>
      <c r="DN40" s="19">
        <f t="shared" ca="1" si="40"/>
        <v>46.3</v>
      </c>
      <c r="DO40" s="19">
        <f t="shared" ca="1" si="40"/>
        <v>0.9</v>
      </c>
      <c r="DP40" s="19">
        <f t="shared" ca="1" si="40"/>
        <v>0</v>
      </c>
      <c r="DQ40" s="14"/>
      <c r="DR40" s="14">
        <f t="shared" si="50"/>
        <v>2010</v>
      </c>
      <c r="DS40" s="19">
        <f t="shared" ca="1" si="41"/>
        <v>0</v>
      </c>
      <c r="DT40" s="19">
        <f t="shared" ca="1" si="41"/>
        <v>0</v>
      </c>
      <c r="DU40" s="19">
        <f t="shared" ca="1" si="41"/>
        <v>4.0999999999999996</v>
      </c>
      <c r="DV40" s="19">
        <f t="shared" ca="1" si="41"/>
        <v>75</v>
      </c>
      <c r="DW40" s="19">
        <f t="shared" ca="1" si="41"/>
        <v>204.3</v>
      </c>
      <c r="DX40" s="19">
        <f t="shared" ca="1" si="41"/>
        <v>270.2</v>
      </c>
      <c r="DY40" s="19">
        <f t="shared" ca="1" si="41"/>
        <v>438.3</v>
      </c>
      <c r="DZ40" s="19">
        <f t="shared" ca="1" si="41"/>
        <v>433.8</v>
      </c>
      <c r="EA40" s="19">
        <f t="shared" ca="1" si="41"/>
        <v>233.6</v>
      </c>
      <c r="EB40" s="19">
        <f t="shared" ca="1" si="41"/>
        <v>86.5</v>
      </c>
      <c r="EC40" s="19">
        <f t="shared" ca="1" si="41"/>
        <v>2.9</v>
      </c>
      <c r="ED40" s="19">
        <f t="shared" ca="1" si="41"/>
        <v>0</v>
      </c>
      <c r="EE40" s="14"/>
    </row>
    <row r="41" spans="1:135">
      <c r="A41">
        <v>2005</v>
      </c>
      <c r="B41">
        <v>4</v>
      </c>
      <c r="C41" s="11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4">
        <f t="shared" si="42"/>
        <v>2011</v>
      </c>
      <c r="Y41" s="19">
        <f t="shared" ca="1" si="43"/>
        <v>0</v>
      </c>
      <c r="Z41" s="19">
        <f t="shared" ca="1" si="33"/>
        <v>0</v>
      </c>
      <c r="AA41" s="19">
        <f t="shared" ca="1" si="33"/>
        <v>0</v>
      </c>
      <c r="AB41" s="19">
        <f t="shared" ca="1" si="33"/>
        <v>0</v>
      </c>
      <c r="AC41" s="19">
        <f t="shared" ca="1" si="33"/>
        <v>4</v>
      </c>
      <c r="AD41" s="19">
        <f t="shared" ca="1" si="33"/>
        <v>2.1</v>
      </c>
      <c r="AE41" s="19">
        <f t="shared" ca="1" si="33"/>
        <v>44.4</v>
      </c>
      <c r="AF41" s="19">
        <f t="shared" ca="1" si="33"/>
        <v>8.1</v>
      </c>
      <c r="AG41" s="19">
        <f t="shared" ca="1" si="33"/>
        <v>6.3</v>
      </c>
      <c r="AH41" s="19">
        <f t="shared" ca="1" si="33"/>
        <v>0</v>
      </c>
      <c r="AI41" s="19">
        <f t="shared" ca="1" si="33"/>
        <v>0</v>
      </c>
      <c r="AJ41" s="19">
        <f t="shared" ca="1" si="33"/>
        <v>0</v>
      </c>
      <c r="AK41" s="14"/>
      <c r="AL41" s="14">
        <f t="shared" si="44"/>
        <v>2011</v>
      </c>
      <c r="AM41" s="19">
        <f t="shared" ca="1" si="34"/>
        <v>0</v>
      </c>
      <c r="AN41" s="19">
        <f t="shared" ca="1" si="34"/>
        <v>0</v>
      </c>
      <c r="AO41" s="19">
        <f t="shared" ca="1" si="34"/>
        <v>0</v>
      </c>
      <c r="AP41" s="19">
        <f t="shared" ca="1" si="34"/>
        <v>0</v>
      </c>
      <c r="AQ41" s="19">
        <f t="shared" ca="1" si="34"/>
        <v>7.7</v>
      </c>
      <c r="AR41" s="19">
        <f t="shared" ca="1" si="34"/>
        <v>7.4</v>
      </c>
      <c r="AS41" s="19">
        <f t="shared" ca="1" si="34"/>
        <v>85.8</v>
      </c>
      <c r="AT41" s="19">
        <f t="shared" ca="1" si="34"/>
        <v>38.1</v>
      </c>
      <c r="AU41" s="19">
        <f t="shared" ca="1" si="34"/>
        <v>14.5</v>
      </c>
      <c r="AV41" s="19">
        <f t="shared" ca="1" si="34"/>
        <v>0</v>
      </c>
      <c r="AW41" s="19">
        <f t="shared" ca="1" si="34"/>
        <v>0</v>
      </c>
      <c r="AX41" s="19">
        <f t="shared" ca="1" si="34"/>
        <v>0</v>
      </c>
      <c r="AY41" s="15"/>
      <c r="AZ41" s="14">
        <f t="shared" si="45"/>
        <v>2011</v>
      </c>
      <c r="BA41" s="19">
        <f t="shared" ca="1" si="35"/>
        <v>0</v>
      </c>
      <c r="BB41" s="19">
        <f t="shared" ca="1" si="35"/>
        <v>0</v>
      </c>
      <c r="BC41" s="19">
        <f t="shared" ca="1" si="35"/>
        <v>0</v>
      </c>
      <c r="BD41" s="19">
        <f t="shared" ca="1" si="35"/>
        <v>0</v>
      </c>
      <c r="BE41" s="19">
        <f t="shared" ca="1" si="35"/>
        <v>14.1</v>
      </c>
      <c r="BF41" s="19">
        <f t="shared" ca="1" si="35"/>
        <v>20.7</v>
      </c>
      <c r="BG41" s="19">
        <f t="shared" ca="1" si="35"/>
        <v>139.9</v>
      </c>
      <c r="BH41" s="19">
        <f t="shared" ca="1" si="35"/>
        <v>88.2</v>
      </c>
      <c r="BI41" s="19">
        <f t="shared" ca="1" si="35"/>
        <v>27.5</v>
      </c>
      <c r="BJ41" s="19">
        <f t="shared" ca="1" si="35"/>
        <v>2.8</v>
      </c>
      <c r="BK41" s="19">
        <f t="shared" ca="1" si="35"/>
        <v>0</v>
      </c>
      <c r="BL41" s="19">
        <f t="shared" ca="1" si="35"/>
        <v>0</v>
      </c>
      <c r="BM41" s="15">
        <f t="shared" ca="1" si="36"/>
        <v>293.2</v>
      </c>
      <c r="BN41" s="14">
        <f t="shared" si="46"/>
        <v>2011</v>
      </c>
      <c r="BO41" s="19">
        <f t="shared" ca="1" si="37"/>
        <v>0</v>
      </c>
      <c r="BP41" s="19">
        <f t="shared" ca="1" si="37"/>
        <v>0</v>
      </c>
      <c r="BQ41" s="19">
        <f t="shared" ca="1" si="37"/>
        <v>0</v>
      </c>
      <c r="BR41" s="19">
        <f t="shared" ca="1" si="37"/>
        <v>0</v>
      </c>
      <c r="BS41" s="19">
        <f t="shared" ca="1" si="37"/>
        <v>25</v>
      </c>
      <c r="BT41" s="19">
        <f t="shared" ca="1" si="37"/>
        <v>46.7</v>
      </c>
      <c r="BU41" s="19">
        <f t="shared" ca="1" si="37"/>
        <v>201.2</v>
      </c>
      <c r="BV41" s="19">
        <f t="shared" ca="1" si="37"/>
        <v>147.5</v>
      </c>
      <c r="BW41" s="19">
        <f t="shared" ca="1" si="37"/>
        <v>53.2</v>
      </c>
      <c r="BX41" s="19">
        <f t="shared" ca="1" si="37"/>
        <v>9.6999999999999993</v>
      </c>
      <c r="BY41" s="19">
        <f t="shared" ca="1" si="37"/>
        <v>0</v>
      </c>
      <c r="BZ41" s="19">
        <f t="shared" ca="1" si="37"/>
        <v>0</v>
      </c>
      <c r="CA41" s="14"/>
      <c r="CB41" s="14">
        <f t="shared" si="47"/>
        <v>2011</v>
      </c>
      <c r="CC41" s="19">
        <f t="shared" ca="1" si="38"/>
        <v>0</v>
      </c>
      <c r="CD41" s="19">
        <f t="shared" ca="1" si="38"/>
        <v>0</v>
      </c>
      <c r="CE41" s="19">
        <f t="shared" ca="1" si="38"/>
        <v>0</v>
      </c>
      <c r="CF41" s="19">
        <f t="shared" ca="1" si="38"/>
        <v>1.3</v>
      </c>
      <c r="CG41" s="19">
        <f t="shared" ca="1" si="38"/>
        <v>44.6</v>
      </c>
      <c r="CH41" s="19">
        <f t="shared" ca="1" si="38"/>
        <v>88</v>
      </c>
      <c r="CI41" s="19">
        <f t="shared" ca="1" si="38"/>
        <v>263.2</v>
      </c>
      <c r="CJ41" s="19">
        <f t="shared" ca="1" si="38"/>
        <v>209.5</v>
      </c>
      <c r="CK41" s="19">
        <f t="shared" ca="1" si="38"/>
        <v>91.3</v>
      </c>
      <c r="CL41" s="19">
        <f t="shared" ca="1" si="38"/>
        <v>22.8</v>
      </c>
      <c r="CM41" s="19">
        <f t="shared" ca="1" si="38"/>
        <v>0.1</v>
      </c>
      <c r="CN41" s="19">
        <f t="shared" ca="1" si="38"/>
        <v>0</v>
      </c>
      <c r="CO41" s="14"/>
      <c r="CP41" s="14">
        <f t="shared" si="48"/>
        <v>2011</v>
      </c>
      <c r="CQ41" s="19">
        <f t="shared" ca="1" si="39"/>
        <v>0</v>
      </c>
      <c r="CR41" s="19">
        <f t="shared" ca="1" si="39"/>
        <v>0</v>
      </c>
      <c r="CS41" s="19">
        <f t="shared" ca="1" si="39"/>
        <v>0</v>
      </c>
      <c r="CT41" s="19">
        <f t="shared" ca="1" si="39"/>
        <v>4</v>
      </c>
      <c r="CU41" s="19">
        <f t="shared" ca="1" si="39"/>
        <v>71.8</v>
      </c>
      <c r="CV41" s="19">
        <f t="shared" ca="1" si="39"/>
        <v>143.19999999999999</v>
      </c>
      <c r="CW41" s="19">
        <f t="shared" ca="1" si="39"/>
        <v>325.2</v>
      </c>
      <c r="CX41" s="19">
        <f t="shared" ca="1" si="39"/>
        <v>271.5</v>
      </c>
      <c r="CY41" s="19">
        <f t="shared" ca="1" si="39"/>
        <v>142</v>
      </c>
      <c r="CZ41" s="19">
        <f t="shared" ca="1" si="39"/>
        <v>38.799999999999997</v>
      </c>
      <c r="DA41" s="19">
        <f t="shared" ca="1" si="39"/>
        <v>6.1</v>
      </c>
      <c r="DB41" s="19">
        <f t="shared" ca="1" si="39"/>
        <v>0</v>
      </c>
      <c r="DC41" s="14"/>
      <c r="DD41" s="14">
        <f t="shared" si="49"/>
        <v>2011</v>
      </c>
      <c r="DE41" s="19">
        <f t="shared" ca="1" si="40"/>
        <v>0</v>
      </c>
      <c r="DF41" s="19">
        <f t="shared" ca="1" si="40"/>
        <v>0</v>
      </c>
      <c r="DG41" s="19">
        <f t="shared" ca="1" si="40"/>
        <v>0.1</v>
      </c>
      <c r="DH41" s="19">
        <f t="shared" ca="1" si="40"/>
        <v>10.7</v>
      </c>
      <c r="DI41" s="19">
        <f t="shared" ca="1" si="40"/>
        <v>107.4</v>
      </c>
      <c r="DJ41" s="19">
        <f t="shared" ca="1" si="40"/>
        <v>202.3</v>
      </c>
      <c r="DK41" s="19">
        <f t="shared" ca="1" si="40"/>
        <v>387.2</v>
      </c>
      <c r="DL41" s="19">
        <f t="shared" ca="1" si="40"/>
        <v>333.5</v>
      </c>
      <c r="DM41" s="19">
        <f t="shared" ca="1" si="40"/>
        <v>196.6</v>
      </c>
      <c r="DN41" s="19">
        <f t="shared" ca="1" si="40"/>
        <v>61.3</v>
      </c>
      <c r="DO41" s="19">
        <f t="shared" ca="1" si="40"/>
        <v>17.600000000000001</v>
      </c>
      <c r="DP41" s="19">
        <f t="shared" ca="1" si="40"/>
        <v>0</v>
      </c>
      <c r="DQ41" s="14"/>
      <c r="DR41" s="14">
        <f t="shared" si="50"/>
        <v>2011</v>
      </c>
      <c r="DS41" s="19">
        <f t="shared" ca="1" si="41"/>
        <v>0</v>
      </c>
      <c r="DT41" s="19">
        <f t="shared" ca="1" si="41"/>
        <v>0</v>
      </c>
      <c r="DU41" s="19">
        <f t="shared" ca="1" si="41"/>
        <v>2.1</v>
      </c>
      <c r="DV41" s="19">
        <f t="shared" ca="1" si="41"/>
        <v>24</v>
      </c>
      <c r="DW41" s="19">
        <f t="shared" ca="1" si="41"/>
        <v>153.69999999999999</v>
      </c>
      <c r="DX41" s="19">
        <f t="shared" ca="1" si="41"/>
        <v>262.3</v>
      </c>
      <c r="DY41" s="19">
        <f t="shared" ca="1" si="41"/>
        <v>449.2</v>
      </c>
      <c r="DZ41" s="19">
        <f t="shared" ca="1" si="41"/>
        <v>395.5</v>
      </c>
      <c r="EA41" s="19">
        <f t="shared" ca="1" si="41"/>
        <v>255.2</v>
      </c>
      <c r="EB41" s="19">
        <f t="shared" ca="1" si="41"/>
        <v>100</v>
      </c>
      <c r="EC41" s="19">
        <f t="shared" ca="1" si="41"/>
        <v>38.5</v>
      </c>
      <c r="ED41" s="19">
        <f t="shared" ca="1" si="41"/>
        <v>0.7</v>
      </c>
      <c r="EE41" s="14"/>
    </row>
    <row r="42" spans="1:135">
      <c r="A42">
        <v>2005</v>
      </c>
      <c r="B42">
        <v>5</v>
      </c>
      <c r="C42" s="11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4">
        <f t="shared" si="42"/>
        <v>2012</v>
      </c>
      <c r="Y42" s="19">
        <f t="shared" ca="1" si="43"/>
        <v>0</v>
      </c>
      <c r="Z42" s="19">
        <f t="shared" ca="1" si="33"/>
        <v>0</v>
      </c>
      <c r="AA42" s="19">
        <f t="shared" ca="1" si="33"/>
        <v>0</v>
      </c>
      <c r="AB42" s="19">
        <f t="shared" ca="1" si="33"/>
        <v>0</v>
      </c>
      <c r="AC42" s="19">
        <f t="shared" ca="1" si="33"/>
        <v>2.8</v>
      </c>
      <c r="AD42" s="19">
        <f t="shared" ca="1" si="33"/>
        <v>25.7</v>
      </c>
      <c r="AE42" s="19">
        <f t="shared" ca="1" si="33"/>
        <v>36.299999999999997</v>
      </c>
      <c r="AF42" s="19">
        <f t="shared" ca="1" si="33"/>
        <v>19.3</v>
      </c>
      <c r="AG42" s="19">
        <f t="shared" ca="1" si="33"/>
        <v>1.8</v>
      </c>
      <c r="AH42" s="19">
        <f t="shared" ca="1" si="33"/>
        <v>0</v>
      </c>
      <c r="AI42" s="19">
        <f t="shared" ca="1" si="33"/>
        <v>0</v>
      </c>
      <c r="AJ42" s="19">
        <f t="shared" ca="1" si="33"/>
        <v>0</v>
      </c>
      <c r="AK42" s="14"/>
      <c r="AL42" s="14">
        <f t="shared" si="44"/>
        <v>2012</v>
      </c>
      <c r="AM42" s="19">
        <f t="shared" ca="1" si="34"/>
        <v>0</v>
      </c>
      <c r="AN42" s="19">
        <f t="shared" ca="1" si="34"/>
        <v>0</v>
      </c>
      <c r="AO42" s="19">
        <f t="shared" ca="1" si="34"/>
        <v>0</v>
      </c>
      <c r="AP42" s="19">
        <f t="shared" ca="1" si="34"/>
        <v>0</v>
      </c>
      <c r="AQ42" s="19">
        <f t="shared" ca="1" si="34"/>
        <v>12.2</v>
      </c>
      <c r="AR42" s="19">
        <f t="shared" ca="1" si="34"/>
        <v>48.2</v>
      </c>
      <c r="AS42" s="19">
        <f t="shared" ca="1" si="34"/>
        <v>72</v>
      </c>
      <c r="AT42" s="19">
        <f t="shared" ca="1" si="34"/>
        <v>47.4</v>
      </c>
      <c r="AU42" s="19">
        <f t="shared" ca="1" si="34"/>
        <v>8.1</v>
      </c>
      <c r="AV42" s="19">
        <f t="shared" ca="1" si="34"/>
        <v>0</v>
      </c>
      <c r="AW42" s="19">
        <f t="shared" ca="1" si="34"/>
        <v>0</v>
      </c>
      <c r="AX42" s="19">
        <f t="shared" ca="1" si="34"/>
        <v>0</v>
      </c>
      <c r="AY42" s="15"/>
      <c r="AZ42" s="14">
        <f t="shared" si="45"/>
        <v>2012</v>
      </c>
      <c r="BA42" s="19">
        <f t="shared" ca="1" si="35"/>
        <v>0</v>
      </c>
      <c r="BB42" s="19">
        <f t="shared" ca="1" si="35"/>
        <v>0</v>
      </c>
      <c r="BC42" s="19">
        <f t="shared" ca="1" si="35"/>
        <v>2.8</v>
      </c>
      <c r="BD42" s="19">
        <f t="shared" ca="1" si="35"/>
        <v>0</v>
      </c>
      <c r="BE42" s="19">
        <f t="shared" ca="1" si="35"/>
        <v>24.4</v>
      </c>
      <c r="BF42" s="19">
        <f t="shared" ca="1" si="35"/>
        <v>77.8</v>
      </c>
      <c r="BG42" s="19">
        <f t="shared" ca="1" si="35"/>
        <v>125.7</v>
      </c>
      <c r="BH42" s="19">
        <f t="shared" ca="1" si="35"/>
        <v>89.7</v>
      </c>
      <c r="BI42" s="19">
        <f t="shared" ca="1" si="35"/>
        <v>24.4</v>
      </c>
      <c r="BJ42" s="19">
        <f t="shared" ca="1" si="35"/>
        <v>1.5</v>
      </c>
      <c r="BK42" s="19">
        <f t="shared" ca="1" si="35"/>
        <v>0</v>
      </c>
      <c r="BL42" s="19">
        <f t="shared" ca="1" si="35"/>
        <v>0</v>
      </c>
      <c r="BM42" s="15">
        <f t="shared" ca="1" si="36"/>
        <v>346.29999999999995</v>
      </c>
      <c r="BN42" s="14">
        <f t="shared" si="46"/>
        <v>2012</v>
      </c>
      <c r="BO42" s="19">
        <f t="shared" ca="1" si="37"/>
        <v>0</v>
      </c>
      <c r="BP42" s="19">
        <f t="shared" ca="1" si="37"/>
        <v>0</v>
      </c>
      <c r="BQ42" s="19">
        <f t="shared" ca="1" si="37"/>
        <v>6.8</v>
      </c>
      <c r="BR42" s="19">
        <f t="shared" ca="1" si="37"/>
        <v>0.8</v>
      </c>
      <c r="BS42" s="19">
        <f t="shared" ca="1" si="37"/>
        <v>42.1</v>
      </c>
      <c r="BT42" s="19">
        <f t="shared" ca="1" si="37"/>
        <v>118.6</v>
      </c>
      <c r="BU42" s="19">
        <f t="shared" ca="1" si="37"/>
        <v>187.5</v>
      </c>
      <c r="BV42" s="19">
        <f t="shared" ca="1" si="37"/>
        <v>147</v>
      </c>
      <c r="BW42" s="19">
        <f t="shared" ca="1" si="37"/>
        <v>48</v>
      </c>
      <c r="BX42" s="19">
        <f t="shared" ca="1" si="37"/>
        <v>5.5</v>
      </c>
      <c r="BY42" s="19">
        <f t="shared" ca="1" si="37"/>
        <v>0</v>
      </c>
      <c r="BZ42" s="19">
        <f t="shared" ca="1" si="37"/>
        <v>0</v>
      </c>
      <c r="CA42" s="14"/>
      <c r="CB42" s="14">
        <f t="shared" si="47"/>
        <v>2012</v>
      </c>
      <c r="CC42" s="19">
        <f t="shared" ca="1" si="38"/>
        <v>0</v>
      </c>
      <c r="CD42" s="19">
        <f t="shared" ca="1" si="38"/>
        <v>0</v>
      </c>
      <c r="CE42" s="19">
        <f t="shared" ca="1" si="38"/>
        <v>12.3</v>
      </c>
      <c r="CF42" s="19">
        <f t="shared" ca="1" si="38"/>
        <v>4.0999999999999996</v>
      </c>
      <c r="CG42" s="19">
        <f t="shared" ca="1" si="38"/>
        <v>67</v>
      </c>
      <c r="CH42" s="19">
        <f t="shared" ca="1" si="38"/>
        <v>164.5</v>
      </c>
      <c r="CI42" s="19">
        <f t="shared" ca="1" si="38"/>
        <v>249.5</v>
      </c>
      <c r="CJ42" s="19">
        <f t="shared" ca="1" si="38"/>
        <v>209</v>
      </c>
      <c r="CK42" s="19">
        <f t="shared" ca="1" si="38"/>
        <v>78.599999999999994</v>
      </c>
      <c r="CL42" s="19">
        <f t="shared" ca="1" si="38"/>
        <v>12.6</v>
      </c>
      <c r="CM42" s="19">
        <f t="shared" ca="1" si="38"/>
        <v>0</v>
      </c>
      <c r="CN42" s="19">
        <f t="shared" ca="1" si="38"/>
        <v>0</v>
      </c>
      <c r="CO42" s="14"/>
      <c r="CP42" s="14">
        <f t="shared" si="48"/>
        <v>2012</v>
      </c>
      <c r="CQ42" s="19">
        <f t="shared" ca="1" si="39"/>
        <v>0</v>
      </c>
      <c r="CR42" s="19">
        <f t="shared" ca="1" si="39"/>
        <v>0</v>
      </c>
      <c r="CS42" s="19">
        <f t="shared" ca="1" si="39"/>
        <v>25.3</v>
      </c>
      <c r="CT42" s="19">
        <f t="shared" ca="1" si="39"/>
        <v>9</v>
      </c>
      <c r="CU42" s="19">
        <f t="shared" ca="1" si="39"/>
        <v>99.4</v>
      </c>
      <c r="CV42" s="19">
        <f t="shared" ca="1" si="39"/>
        <v>217.5</v>
      </c>
      <c r="CW42" s="19">
        <f t="shared" ca="1" si="39"/>
        <v>311.5</v>
      </c>
      <c r="CX42" s="19">
        <f t="shared" ca="1" si="39"/>
        <v>271</v>
      </c>
      <c r="CY42" s="19">
        <f t="shared" ca="1" si="39"/>
        <v>119.7</v>
      </c>
      <c r="CZ42" s="19">
        <f t="shared" ca="1" si="39"/>
        <v>29.3</v>
      </c>
      <c r="DA42" s="19">
        <f t="shared" ca="1" si="39"/>
        <v>0.6</v>
      </c>
      <c r="DB42" s="19">
        <f t="shared" ca="1" si="39"/>
        <v>0</v>
      </c>
      <c r="DC42" s="14"/>
      <c r="DD42" s="14">
        <f t="shared" si="49"/>
        <v>2012</v>
      </c>
      <c r="DE42" s="19">
        <f t="shared" ca="1" si="40"/>
        <v>0</v>
      </c>
      <c r="DF42" s="19">
        <f t="shared" ca="1" si="40"/>
        <v>0</v>
      </c>
      <c r="DG42" s="19">
        <f t="shared" ca="1" si="40"/>
        <v>47.1</v>
      </c>
      <c r="DH42" s="19">
        <f t="shared" ca="1" si="40"/>
        <v>15.6</v>
      </c>
      <c r="DI42" s="19">
        <f t="shared" ca="1" si="40"/>
        <v>146.19999999999999</v>
      </c>
      <c r="DJ42" s="19">
        <f t="shared" ca="1" si="40"/>
        <v>277</v>
      </c>
      <c r="DK42" s="19">
        <f t="shared" ca="1" si="40"/>
        <v>373.5</v>
      </c>
      <c r="DL42" s="19">
        <f t="shared" ca="1" si="40"/>
        <v>333</v>
      </c>
      <c r="DM42" s="19">
        <f t="shared" ca="1" si="40"/>
        <v>174.2</v>
      </c>
      <c r="DN42" s="19">
        <f t="shared" ca="1" si="40"/>
        <v>57.2</v>
      </c>
      <c r="DO42" s="19">
        <f t="shared" ca="1" si="40"/>
        <v>4.2</v>
      </c>
      <c r="DP42" s="19">
        <f t="shared" ca="1" si="40"/>
        <v>0</v>
      </c>
      <c r="DQ42" s="14"/>
      <c r="DR42" s="14">
        <f t="shared" si="50"/>
        <v>2012</v>
      </c>
      <c r="DS42" s="19">
        <f t="shared" ca="1" si="41"/>
        <v>0</v>
      </c>
      <c r="DT42" s="19">
        <f t="shared" ca="1" si="41"/>
        <v>0</v>
      </c>
      <c r="DU42" s="19">
        <f t="shared" ca="1" si="41"/>
        <v>74.099999999999994</v>
      </c>
      <c r="DV42" s="19">
        <f t="shared" ca="1" si="41"/>
        <v>24.5</v>
      </c>
      <c r="DW42" s="19">
        <f t="shared" ca="1" si="41"/>
        <v>202.2</v>
      </c>
      <c r="DX42" s="19">
        <f t="shared" ca="1" si="41"/>
        <v>337</v>
      </c>
      <c r="DY42" s="19">
        <f t="shared" ca="1" si="41"/>
        <v>435.5</v>
      </c>
      <c r="DZ42" s="19">
        <f t="shared" ca="1" si="41"/>
        <v>395</v>
      </c>
      <c r="EA42" s="19">
        <f t="shared" ca="1" si="41"/>
        <v>234.2</v>
      </c>
      <c r="EB42" s="19">
        <f t="shared" ca="1" si="41"/>
        <v>93</v>
      </c>
      <c r="EC42" s="19">
        <f t="shared" ca="1" si="41"/>
        <v>10</v>
      </c>
      <c r="ED42" s="19">
        <f t="shared" ca="1" si="41"/>
        <v>2.1</v>
      </c>
      <c r="EE42" s="14"/>
    </row>
    <row r="43" spans="1:135">
      <c r="A43">
        <v>2005</v>
      </c>
      <c r="B43">
        <v>6</v>
      </c>
      <c r="C43" s="11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4">
        <f t="shared" si="42"/>
        <v>2013</v>
      </c>
      <c r="Y43" s="19">
        <f t="shared" ca="1" si="43"/>
        <v>0</v>
      </c>
      <c r="Z43" s="19">
        <f t="shared" ca="1" si="33"/>
        <v>0</v>
      </c>
      <c r="AA43" s="19">
        <f t="shared" ca="1" si="33"/>
        <v>0</v>
      </c>
      <c r="AB43" s="19">
        <f t="shared" ca="1" si="33"/>
        <v>0</v>
      </c>
      <c r="AC43" s="19">
        <f t="shared" ca="1" si="33"/>
        <v>3.2</v>
      </c>
      <c r="AD43" s="19">
        <f t="shared" ca="1" si="33"/>
        <v>8.6</v>
      </c>
      <c r="AE43" s="19">
        <f t="shared" ca="1" si="33"/>
        <v>29.9</v>
      </c>
      <c r="AF43" s="19">
        <f t="shared" ca="1" si="33"/>
        <v>11</v>
      </c>
      <c r="AG43" s="19">
        <f t="shared" ca="1" si="33"/>
        <v>5.8</v>
      </c>
      <c r="AH43" s="19">
        <f t="shared" ca="1" si="33"/>
        <v>0</v>
      </c>
      <c r="AI43" s="19">
        <f t="shared" ca="1" si="33"/>
        <v>0</v>
      </c>
      <c r="AJ43" s="19">
        <f t="shared" ca="1" si="33"/>
        <v>0</v>
      </c>
      <c r="AK43" s="14"/>
      <c r="AL43" s="14">
        <f t="shared" si="44"/>
        <v>2013</v>
      </c>
      <c r="AM43" s="19">
        <f t="shared" ca="1" si="34"/>
        <v>0</v>
      </c>
      <c r="AN43" s="19">
        <f t="shared" ca="1" si="34"/>
        <v>0</v>
      </c>
      <c r="AO43" s="19">
        <f t="shared" ca="1" si="34"/>
        <v>0</v>
      </c>
      <c r="AP43" s="19">
        <f t="shared" ca="1" si="34"/>
        <v>0</v>
      </c>
      <c r="AQ43" s="19">
        <f t="shared" ca="1" si="34"/>
        <v>5.9</v>
      </c>
      <c r="AR43" s="19">
        <f t="shared" ca="1" si="34"/>
        <v>21.6</v>
      </c>
      <c r="AS43" s="19">
        <f t="shared" ca="1" si="34"/>
        <v>58.3</v>
      </c>
      <c r="AT43" s="19">
        <f t="shared" ca="1" si="34"/>
        <v>30.6</v>
      </c>
      <c r="AU43" s="19">
        <f t="shared" ca="1" si="34"/>
        <v>12.9</v>
      </c>
      <c r="AV43" s="19">
        <f t="shared" ca="1" si="34"/>
        <v>0</v>
      </c>
      <c r="AW43" s="19">
        <f t="shared" ca="1" si="34"/>
        <v>0</v>
      </c>
      <c r="AX43" s="19">
        <f t="shared" ca="1" si="34"/>
        <v>0</v>
      </c>
      <c r="AY43" s="15"/>
      <c r="AZ43" s="14">
        <f t="shared" si="45"/>
        <v>2013</v>
      </c>
      <c r="BA43" s="19">
        <f t="shared" ca="1" si="35"/>
        <v>0</v>
      </c>
      <c r="BB43" s="19">
        <f t="shared" ca="1" si="35"/>
        <v>0</v>
      </c>
      <c r="BC43" s="19">
        <f t="shared" ca="1" si="35"/>
        <v>0</v>
      </c>
      <c r="BD43" s="19">
        <f t="shared" ca="1" si="35"/>
        <v>0</v>
      </c>
      <c r="BE43" s="19">
        <f t="shared" ca="1" si="35"/>
        <v>15.7</v>
      </c>
      <c r="BF43" s="19">
        <f t="shared" ca="1" si="35"/>
        <v>41</v>
      </c>
      <c r="BG43" s="19">
        <f t="shared" ca="1" si="35"/>
        <v>98</v>
      </c>
      <c r="BH43" s="19">
        <f t="shared" ca="1" si="35"/>
        <v>63.9</v>
      </c>
      <c r="BI43" s="19">
        <f t="shared" ca="1" si="35"/>
        <v>24.1</v>
      </c>
      <c r="BJ43" s="19">
        <f t="shared" ca="1" si="35"/>
        <v>0.1</v>
      </c>
      <c r="BK43" s="19">
        <f t="shared" ca="1" si="35"/>
        <v>0</v>
      </c>
      <c r="BL43" s="19">
        <f t="shared" ca="1" si="35"/>
        <v>0</v>
      </c>
      <c r="BM43" s="15">
        <f t="shared" ca="1" si="36"/>
        <v>242.79999999999998</v>
      </c>
      <c r="BN43" s="14">
        <f t="shared" si="46"/>
        <v>2013</v>
      </c>
      <c r="BO43" s="19">
        <f t="shared" ca="1" si="37"/>
        <v>0</v>
      </c>
      <c r="BP43" s="19">
        <f t="shared" ca="1" si="37"/>
        <v>0</v>
      </c>
      <c r="BQ43" s="19">
        <f t="shared" ca="1" si="37"/>
        <v>0</v>
      </c>
      <c r="BR43" s="19">
        <f t="shared" ca="1" si="37"/>
        <v>0.7</v>
      </c>
      <c r="BS43" s="19">
        <f t="shared" ca="1" si="37"/>
        <v>34.1</v>
      </c>
      <c r="BT43" s="19">
        <f t="shared" ca="1" si="37"/>
        <v>65.900000000000006</v>
      </c>
      <c r="BU43" s="19">
        <f t="shared" ca="1" si="37"/>
        <v>153.9</v>
      </c>
      <c r="BV43" s="19">
        <f t="shared" ca="1" si="37"/>
        <v>113.9</v>
      </c>
      <c r="BW43" s="19">
        <f t="shared" ca="1" si="37"/>
        <v>43.8</v>
      </c>
      <c r="BX43" s="19">
        <f t="shared" ca="1" si="37"/>
        <v>2.6</v>
      </c>
      <c r="BY43" s="19">
        <f t="shared" ca="1" si="37"/>
        <v>0</v>
      </c>
      <c r="BZ43" s="19">
        <f t="shared" ca="1" si="37"/>
        <v>0</v>
      </c>
      <c r="CA43" s="14"/>
      <c r="CB43" s="14">
        <f t="shared" si="47"/>
        <v>2013</v>
      </c>
      <c r="CC43" s="19">
        <f t="shared" ca="1" si="38"/>
        <v>0</v>
      </c>
      <c r="CD43" s="19">
        <f t="shared" ca="1" si="38"/>
        <v>0</v>
      </c>
      <c r="CE43" s="19">
        <f t="shared" ca="1" si="38"/>
        <v>0</v>
      </c>
      <c r="CF43" s="19">
        <f t="shared" ca="1" si="38"/>
        <v>4.0999999999999996</v>
      </c>
      <c r="CG43" s="19">
        <f t="shared" ca="1" si="38"/>
        <v>56.2</v>
      </c>
      <c r="CH43" s="19">
        <f t="shared" ca="1" si="38"/>
        <v>100.9</v>
      </c>
      <c r="CI43" s="19">
        <f t="shared" ca="1" si="38"/>
        <v>215.7</v>
      </c>
      <c r="CJ43" s="19">
        <f t="shared" ca="1" si="38"/>
        <v>174.1</v>
      </c>
      <c r="CK43" s="19">
        <f t="shared" ca="1" si="38"/>
        <v>73</v>
      </c>
      <c r="CL43" s="19">
        <f t="shared" ca="1" si="38"/>
        <v>15.2</v>
      </c>
      <c r="CM43" s="19">
        <f t="shared" ca="1" si="38"/>
        <v>0</v>
      </c>
      <c r="CN43" s="19">
        <f t="shared" ca="1" si="38"/>
        <v>0</v>
      </c>
      <c r="CO43" s="14"/>
      <c r="CP43" s="14">
        <f t="shared" si="48"/>
        <v>2013</v>
      </c>
      <c r="CQ43" s="19">
        <f t="shared" ca="1" si="39"/>
        <v>0</v>
      </c>
      <c r="CR43" s="19">
        <f t="shared" ca="1" si="39"/>
        <v>0</v>
      </c>
      <c r="CS43" s="19">
        <f t="shared" ca="1" si="39"/>
        <v>0</v>
      </c>
      <c r="CT43" s="19">
        <f t="shared" ca="1" si="39"/>
        <v>11.4</v>
      </c>
      <c r="CU43" s="19">
        <f t="shared" ca="1" si="39"/>
        <v>86.9</v>
      </c>
      <c r="CV43" s="19">
        <f t="shared" ca="1" si="39"/>
        <v>149.9</v>
      </c>
      <c r="CW43" s="19">
        <f t="shared" ca="1" si="39"/>
        <v>277.7</v>
      </c>
      <c r="CX43" s="19">
        <f t="shared" ca="1" si="39"/>
        <v>236.1</v>
      </c>
      <c r="CY43" s="19">
        <f t="shared" ca="1" si="39"/>
        <v>114.4</v>
      </c>
      <c r="CZ43" s="19">
        <f t="shared" ca="1" si="39"/>
        <v>38.1</v>
      </c>
      <c r="DA43" s="19">
        <f t="shared" ca="1" si="39"/>
        <v>1.7</v>
      </c>
      <c r="DB43" s="19">
        <f t="shared" ca="1" si="39"/>
        <v>0</v>
      </c>
      <c r="DC43" s="14"/>
      <c r="DD43" s="14">
        <f t="shared" si="49"/>
        <v>2013</v>
      </c>
      <c r="DE43" s="19">
        <f t="shared" ca="1" si="40"/>
        <v>0</v>
      </c>
      <c r="DF43" s="19">
        <f t="shared" ca="1" si="40"/>
        <v>0</v>
      </c>
      <c r="DG43" s="19">
        <f t="shared" ca="1" si="40"/>
        <v>0</v>
      </c>
      <c r="DH43" s="19">
        <f t="shared" ca="1" si="40"/>
        <v>22.7</v>
      </c>
      <c r="DI43" s="19">
        <f t="shared" ca="1" si="40"/>
        <v>126.1</v>
      </c>
      <c r="DJ43" s="19">
        <f t="shared" ca="1" si="40"/>
        <v>206.5</v>
      </c>
      <c r="DK43" s="19">
        <f t="shared" ca="1" si="40"/>
        <v>339.7</v>
      </c>
      <c r="DL43" s="19">
        <f t="shared" ca="1" si="40"/>
        <v>298.10000000000002</v>
      </c>
      <c r="DM43" s="19">
        <f t="shared" ca="1" si="40"/>
        <v>163.5</v>
      </c>
      <c r="DN43" s="19">
        <f t="shared" ca="1" si="40"/>
        <v>68.8</v>
      </c>
      <c r="DO43" s="19">
        <f t="shared" ca="1" si="40"/>
        <v>6.6</v>
      </c>
      <c r="DP43" s="19">
        <f t="shared" ca="1" si="40"/>
        <v>0</v>
      </c>
      <c r="DQ43" s="14"/>
      <c r="DR43" s="14">
        <f t="shared" si="50"/>
        <v>2013</v>
      </c>
      <c r="DS43" s="19">
        <f t="shared" ca="1" si="41"/>
        <v>2.2000000000000002</v>
      </c>
      <c r="DT43" s="19">
        <f t="shared" ca="1" si="41"/>
        <v>0</v>
      </c>
      <c r="DU43" s="19">
        <f t="shared" ca="1" si="41"/>
        <v>0.5</v>
      </c>
      <c r="DV43" s="19">
        <f t="shared" ca="1" si="41"/>
        <v>39.4</v>
      </c>
      <c r="DW43" s="19">
        <f t="shared" ca="1" si="41"/>
        <v>172.7</v>
      </c>
      <c r="DX43" s="19">
        <f t="shared" ca="1" si="41"/>
        <v>266.5</v>
      </c>
      <c r="DY43" s="19">
        <f t="shared" ca="1" si="41"/>
        <v>401.7</v>
      </c>
      <c r="DZ43" s="19">
        <f t="shared" ca="1" si="41"/>
        <v>360.1</v>
      </c>
      <c r="EA43" s="19">
        <f t="shared" ca="1" si="41"/>
        <v>220.6</v>
      </c>
      <c r="EB43" s="19">
        <f t="shared" ca="1" si="41"/>
        <v>109.1</v>
      </c>
      <c r="EC43" s="19">
        <f t="shared" ca="1" si="41"/>
        <v>13.7</v>
      </c>
      <c r="ED43" s="19">
        <f t="shared" ca="1" si="41"/>
        <v>0</v>
      </c>
      <c r="EE43" s="14"/>
    </row>
    <row r="44" spans="1:135">
      <c r="A44">
        <v>2005</v>
      </c>
      <c r="B44">
        <v>7</v>
      </c>
      <c r="C44" s="11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4">
        <f t="shared" si="42"/>
        <v>2014</v>
      </c>
      <c r="Y44" s="19">
        <f t="shared" ca="1" si="43"/>
        <v>0</v>
      </c>
      <c r="Z44" s="19">
        <f t="shared" ca="1" si="33"/>
        <v>0</v>
      </c>
      <c r="AA44" s="19">
        <f t="shared" ca="1" si="33"/>
        <v>0</v>
      </c>
      <c r="AB44" s="19">
        <f t="shared" ca="1" si="33"/>
        <v>0</v>
      </c>
      <c r="AC44" s="19">
        <f t="shared" ca="1" si="33"/>
        <v>0</v>
      </c>
      <c r="AD44" s="19">
        <f t="shared" ca="1" si="33"/>
        <v>8.9</v>
      </c>
      <c r="AE44" s="19">
        <f t="shared" ca="1" si="33"/>
        <v>6.6</v>
      </c>
      <c r="AF44" s="19">
        <f t="shared" ca="1" si="33"/>
        <v>4.5</v>
      </c>
      <c r="AG44" s="19">
        <f t="shared" ca="1" si="33"/>
        <v>3.6</v>
      </c>
      <c r="AH44" s="19">
        <f t="shared" ca="1" si="33"/>
        <v>0</v>
      </c>
      <c r="AI44" s="19">
        <f t="shared" ca="1" si="33"/>
        <v>0</v>
      </c>
      <c r="AJ44" s="19">
        <f t="shared" ca="1" si="33"/>
        <v>0</v>
      </c>
      <c r="AK44" s="14"/>
      <c r="AL44" s="14">
        <f t="shared" si="44"/>
        <v>2014</v>
      </c>
      <c r="AM44" s="19">
        <f t="shared" ca="1" si="34"/>
        <v>0</v>
      </c>
      <c r="AN44" s="19">
        <f t="shared" ca="1" si="34"/>
        <v>0</v>
      </c>
      <c r="AO44" s="19">
        <f t="shared" ca="1" si="34"/>
        <v>0</v>
      </c>
      <c r="AP44" s="19">
        <f t="shared" ca="1" si="34"/>
        <v>0</v>
      </c>
      <c r="AQ44" s="19">
        <f t="shared" ca="1" si="34"/>
        <v>1.3</v>
      </c>
      <c r="AR44" s="19">
        <f t="shared" ca="1" si="34"/>
        <v>19.7</v>
      </c>
      <c r="AS44" s="19">
        <f t="shared" ca="1" si="34"/>
        <v>22.3</v>
      </c>
      <c r="AT44" s="19">
        <f t="shared" ca="1" si="34"/>
        <v>17.899999999999999</v>
      </c>
      <c r="AU44" s="19">
        <f t="shared" ca="1" si="34"/>
        <v>10</v>
      </c>
      <c r="AV44" s="19">
        <f t="shared" ca="1" si="34"/>
        <v>0</v>
      </c>
      <c r="AW44" s="19">
        <f t="shared" ca="1" si="34"/>
        <v>0</v>
      </c>
      <c r="AX44" s="19">
        <f t="shared" ca="1" si="34"/>
        <v>0</v>
      </c>
      <c r="AY44" s="15"/>
      <c r="AZ44" s="14">
        <f t="shared" si="45"/>
        <v>2014</v>
      </c>
      <c r="BA44" s="19">
        <f t="shared" ca="1" si="35"/>
        <v>0</v>
      </c>
      <c r="BB44" s="19">
        <f t="shared" ca="1" si="35"/>
        <v>0</v>
      </c>
      <c r="BC44" s="19">
        <f t="shared" ca="1" si="35"/>
        <v>0</v>
      </c>
      <c r="BD44" s="19">
        <f t="shared" ca="1" si="35"/>
        <v>0</v>
      </c>
      <c r="BE44" s="19">
        <f t="shared" ca="1" si="35"/>
        <v>7.2</v>
      </c>
      <c r="BF44" s="19">
        <f t="shared" ca="1" si="35"/>
        <v>41.5</v>
      </c>
      <c r="BG44" s="19">
        <f t="shared" ca="1" si="35"/>
        <v>50.3</v>
      </c>
      <c r="BH44" s="19">
        <f t="shared" ca="1" si="35"/>
        <v>45.9</v>
      </c>
      <c r="BI44" s="19">
        <f t="shared" ca="1" si="35"/>
        <v>21.4</v>
      </c>
      <c r="BJ44" s="19">
        <f t="shared" ca="1" si="35"/>
        <v>1.2</v>
      </c>
      <c r="BK44" s="19">
        <f t="shared" ca="1" si="35"/>
        <v>0</v>
      </c>
      <c r="BL44" s="19">
        <f t="shared" ca="1" si="35"/>
        <v>0</v>
      </c>
      <c r="BM44" s="15">
        <f t="shared" ca="1" si="36"/>
        <v>167.5</v>
      </c>
      <c r="BN44" s="14">
        <f t="shared" si="46"/>
        <v>2014</v>
      </c>
      <c r="BO44" s="19">
        <f t="shared" ca="1" si="37"/>
        <v>0</v>
      </c>
      <c r="BP44" s="19">
        <f t="shared" ca="1" si="37"/>
        <v>0</v>
      </c>
      <c r="BQ44" s="19">
        <f t="shared" ca="1" si="37"/>
        <v>0</v>
      </c>
      <c r="BR44" s="19">
        <f t="shared" ca="1" si="37"/>
        <v>0</v>
      </c>
      <c r="BS44" s="19">
        <f t="shared" ca="1" si="37"/>
        <v>14</v>
      </c>
      <c r="BT44" s="19">
        <f t="shared" ca="1" si="37"/>
        <v>68.599999999999994</v>
      </c>
      <c r="BU44" s="19">
        <f t="shared" ca="1" si="37"/>
        <v>88.9</v>
      </c>
      <c r="BV44" s="19">
        <f t="shared" ca="1" si="37"/>
        <v>91.4</v>
      </c>
      <c r="BW44" s="19">
        <f t="shared" ca="1" si="37"/>
        <v>41.1</v>
      </c>
      <c r="BX44" s="19">
        <f t="shared" ca="1" si="37"/>
        <v>6.3</v>
      </c>
      <c r="BY44" s="19">
        <f t="shared" ca="1" si="37"/>
        <v>0</v>
      </c>
      <c r="BZ44" s="19">
        <f t="shared" ca="1" si="37"/>
        <v>0</v>
      </c>
      <c r="CA44" s="14"/>
      <c r="CB44" s="14">
        <f t="shared" si="47"/>
        <v>2014</v>
      </c>
      <c r="CC44" s="19">
        <f t="shared" ca="1" si="38"/>
        <v>0</v>
      </c>
      <c r="CD44" s="19">
        <f t="shared" ca="1" si="38"/>
        <v>0</v>
      </c>
      <c r="CE44" s="19">
        <f t="shared" ca="1" si="38"/>
        <v>0</v>
      </c>
      <c r="CF44" s="19">
        <f t="shared" ca="1" si="38"/>
        <v>0</v>
      </c>
      <c r="CG44" s="19">
        <f t="shared" ca="1" si="38"/>
        <v>28.8</v>
      </c>
      <c r="CH44" s="19">
        <f t="shared" ca="1" si="38"/>
        <v>112.6</v>
      </c>
      <c r="CI44" s="19">
        <f t="shared" ca="1" si="38"/>
        <v>144.6</v>
      </c>
      <c r="CJ44" s="19">
        <f t="shared" ca="1" si="38"/>
        <v>147.1</v>
      </c>
      <c r="CK44" s="19">
        <f t="shared" ca="1" si="38"/>
        <v>80.099999999999994</v>
      </c>
      <c r="CL44" s="19">
        <f t="shared" ca="1" si="38"/>
        <v>15.3</v>
      </c>
      <c r="CM44" s="19">
        <f t="shared" ca="1" si="38"/>
        <v>0</v>
      </c>
      <c r="CN44" s="19">
        <f t="shared" ca="1" si="38"/>
        <v>0</v>
      </c>
      <c r="CO44" s="14"/>
      <c r="CP44" s="14">
        <f t="shared" si="48"/>
        <v>2014</v>
      </c>
      <c r="CQ44" s="19">
        <f t="shared" ca="1" si="39"/>
        <v>0</v>
      </c>
      <c r="CR44" s="19">
        <f t="shared" ca="1" si="39"/>
        <v>0</v>
      </c>
      <c r="CS44" s="19">
        <f t="shared" ca="1" si="39"/>
        <v>0</v>
      </c>
      <c r="CT44" s="19">
        <f t="shared" ca="1" si="39"/>
        <v>1.1000000000000001</v>
      </c>
      <c r="CU44" s="19">
        <f t="shared" ca="1" si="39"/>
        <v>58.5</v>
      </c>
      <c r="CV44" s="19">
        <f t="shared" ca="1" si="39"/>
        <v>165.9</v>
      </c>
      <c r="CW44" s="19">
        <f t="shared" ca="1" si="39"/>
        <v>206.6</v>
      </c>
      <c r="CX44" s="19">
        <f t="shared" ca="1" si="39"/>
        <v>207.8</v>
      </c>
      <c r="CY44" s="19">
        <f t="shared" ca="1" si="39"/>
        <v>126</v>
      </c>
      <c r="CZ44" s="19">
        <f t="shared" ca="1" si="39"/>
        <v>33.700000000000003</v>
      </c>
      <c r="DA44" s="19">
        <f t="shared" ca="1" si="39"/>
        <v>0</v>
      </c>
      <c r="DB44" s="19">
        <f t="shared" ca="1" si="39"/>
        <v>0</v>
      </c>
      <c r="DC44" s="14"/>
      <c r="DD44" s="14">
        <f t="shared" si="49"/>
        <v>2014</v>
      </c>
      <c r="DE44" s="19">
        <f t="shared" ca="1" si="40"/>
        <v>0</v>
      </c>
      <c r="DF44" s="19">
        <f t="shared" ca="1" si="40"/>
        <v>0</v>
      </c>
      <c r="DG44" s="19">
        <f t="shared" ca="1" si="40"/>
        <v>0</v>
      </c>
      <c r="DH44" s="19">
        <f t="shared" ca="1" si="40"/>
        <v>5.6</v>
      </c>
      <c r="DI44" s="19">
        <f t="shared" ca="1" si="40"/>
        <v>99.9</v>
      </c>
      <c r="DJ44" s="19">
        <f t="shared" ca="1" si="40"/>
        <v>224.3</v>
      </c>
      <c r="DK44" s="19">
        <f t="shared" ca="1" si="40"/>
        <v>268.60000000000002</v>
      </c>
      <c r="DL44" s="19">
        <f t="shared" ca="1" si="40"/>
        <v>269.8</v>
      </c>
      <c r="DM44" s="19">
        <f t="shared" ca="1" si="40"/>
        <v>178</v>
      </c>
      <c r="DN44" s="19">
        <f t="shared" ca="1" si="40"/>
        <v>57.7</v>
      </c>
      <c r="DO44" s="19">
        <f t="shared" ca="1" si="40"/>
        <v>2.2999999999999998</v>
      </c>
      <c r="DP44" s="19">
        <f t="shared" ca="1" si="40"/>
        <v>0</v>
      </c>
      <c r="DQ44" s="14"/>
      <c r="DR44" s="14">
        <f t="shared" si="50"/>
        <v>2014</v>
      </c>
      <c r="DS44" s="19">
        <f t="shared" ca="1" si="41"/>
        <v>0</v>
      </c>
      <c r="DT44" s="19">
        <f t="shared" ca="1" si="41"/>
        <v>0</v>
      </c>
      <c r="DU44" s="19">
        <f t="shared" ca="1" si="41"/>
        <v>0</v>
      </c>
      <c r="DV44" s="19">
        <f t="shared" ca="1" si="41"/>
        <v>15.4</v>
      </c>
      <c r="DW44" s="19">
        <f t="shared" ca="1" si="41"/>
        <v>146.30000000000001</v>
      </c>
      <c r="DX44" s="19">
        <f t="shared" ca="1" si="41"/>
        <v>284.3</v>
      </c>
      <c r="DY44" s="19">
        <f t="shared" ca="1" si="41"/>
        <v>330.6</v>
      </c>
      <c r="DZ44" s="19">
        <f t="shared" ca="1" si="41"/>
        <v>331.8</v>
      </c>
      <c r="EA44" s="19">
        <f t="shared" ca="1" si="41"/>
        <v>235.1</v>
      </c>
      <c r="EB44" s="19">
        <f t="shared" ca="1" si="41"/>
        <v>87.8</v>
      </c>
      <c r="EC44" s="19">
        <f t="shared" ca="1" si="41"/>
        <v>9.5</v>
      </c>
      <c r="ED44" s="19">
        <f t="shared" ca="1" si="41"/>
        <v>0</v>
      </c>
      <c r="EE44" s="14"/>
    </row>
    <row r="45" spans="1:135">
      <c r="A45">
        <v>2005</v>
      </c>
      <c r="B45">
        <v>8</v>
      </c>
      <c r="C45" s="11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4">
        <f t="shared" si="42"/>
        <v>2015</v>
      </c>
      <c r="Y45" s="19">
        <f t="shared" ca="1" si="43"/>
        <v>0</v>
      </c>
      <c r="Z45" s="19">
        <f t="shared" ca="1" si="33"/>
        <v>0</v>
      </c>
      <c r="AA45" s="19">
        <f t="shared" ca="1" si="33"/>
        <v>0</v>
      </c>
      <c r="AB45" s="19">
        <f t="shared" ca="1" si="33"/>
        <v>0</v>
      </c>
      <c r="AC45" s="19">
        <f t="shared" ca="1" si="33"/>
        <v>3.7</v>
      </c>
      <c r="AD45" s="19">
        <f t="shared" ca="1" si="33"/>
        <v>0</v>
      </c>
      <c r="AE45" s="19">
        <f t="shared" ca="1" si="33"/>
        <v>16.2</v>
      </c>
      <c r="AF45" s="19">
        <f t="shared" ca="1" si="33"/>
        <v>13.6</v>
      </c>
      <c r="AG45" s="19">
        <f t="shared" ca="1" si="33"/>
        <v>17.7</v>
      </c>
      <c r="AH45" s="19">
        <f t="shared" ca="1" si="33"/>
        <v>0</v>
      </c>
      <c r="AI45" s="19">
        <f t="shared" ca="1" si="33"/>
        <v>0</v>
      </c>
      <c r="AJ45" s="19">
        <f t="shared" ca="1" si="33"/>
        <v>0</v>
      </c>
      <c r="AK45" s="14"/>
      <c r="AL45" s="14">
        <f t="shared" si="44"/>
        <v>2015</v>
      </c>
      <c r="AM45" s="19">
        <f t="shared" ca="1" si="34"/>
        <v>0</v>
      </c>
      <c r="AN45" s="19">
        <f t="shared" ca="1" si="34"/>
        <v>0</v>
      </c>
      <c r="AO45" s="19">
        <f t="shared" ca="1" si="34"/>
        <v>0</v>
      </c>
      <c r="AP45" s="19">
        <f t="shared" ca="1" si="34"/>
        <v>0</v>
      </c>
      <c r="AQ45" s="19">
        <f t="shared" ca="1" si="34"/>
        <v>11</v>
      </c>
      <c r="AR45" s="19">
        <f t="shared" ca="1" si="34"/>
        <v>0.7</v>
      </c>
      <c r="AS45" s="19">
        <f t="shared" ca="1" si="34"/>
        <v>43.5</v>
      </c>
      <c r="AT45" s="19">
        <f t="shared" ca="1" si="34"/>
        <v>32.799999999999997</v>
      </c>
      <c r="AU45" s="19">
        <f t="shared" ca="1" si="34"/>
        <v>40.9</v>
      </c>
      <c r="AV45" s="19">
        <f t="shared" ca="1" si="34"/>
        <v>0.5</v>
      </c>
      <c r="AW45" s="19">
        <f t="shared" ca="1" si="34"/>
        <v>0</v>
      </c>
      <c r="AX45" s="19">
        <f t="shared" ca="1" si="34"/>
        <v>0</v>
      </c>
      <c r="AY45" s="15"/>
      <c r="AZ45" s="14">
        <f t="shared" si="45"/>
        <v>2015</v>
      </c>
      <c r="BA45" s="19">
        <f t="shared" ca="1" si="35"/>
        <v>0</v>
      </c>
      <c r="BB45" s="19">
        <f t="shared" ca="1" si="35"/>
        <v>0</v>
      </c>
      <c r="BC45" s="19">
        <f t="shared" ca="1" si="35"/>
        <v>0</v>
      </c>
      <c r="BD45" s="19">
        <f t="shared" ca="1" si="35"/>
        <v>0</v>
      </c>
      <c r="BE45" s="19">
        <f t="shared" ca="1" si="35"/>
        <v>25</v>
      </c>
      <c r="BF45" s="19">
        <f t="shared" ca="1" si="35"/>
        <v>6</v>
      </c>
      <c r="BG45" s="19">
        <f t="shared" ca="1" si="35"/>
        <v>79.8</v>
      </c>
      <c r="BH45" s="19">
        <f t="shared" ca="1" si="35"/>
        <v>65.599999999999994</v>
      </c>
      <c r="BI45" s="19">
        <f t="shared" ca="1" si="35"/>
        <v>70</v>
      </c>
      <c r="BJ45" s="19">
        <f t="shared" ca="1" si="35"/>
        <v>2.8</v>
      </c>
      <c r="BK45" s="19">
        <f t="shared" ca="1" si="35"/>
        <v>1.5</v>
      </c>
      <c r="BL45" s="19">
        <f t="shared" ca="1" si="35"/>
        <v>0</v>
      </c>
      <c r="BM45" s="15">
        <f t="shared" ca="1" si="36"/>
        <v>250.7</v>
      </c>
      <c r="BN45" s="14">
        <f t="shared" si="46"/>
        <v>2015</v>
      </c>
      <c r="BO45" s="19">
        <f t="shared" ca="1" si="37"/>
        <v>0</v>
      </c>
      <c r="BP45" s="19">
        <f t="shared" ca="1" si="37"/>
        <v>0</v>
      </c>
      <c r="BQ45" s="19">
        <f t="shared" ca="1" si="37"/>
        <v>0</v>
      </c>
      <c r="BR45" s="19">
        <f t="shared" ca="1" si="37"/>
        <v>0</v>
      </c>
      <c r="BS45" s="19">
        <f t="shared" ca="1" si="37"/>
        <v>42.5</v>
      </c>
      <c r="BT45" s="19">
        <f t="shared" ca="1" si="37"/>
        <v>25.3</v>
      </c>
      <c r="BU45" s="19">
        <f t="shared" ca="1" si="37"/>
        <v>129.19999999999999</v>
      </c>
      <c r="BV45" s="19">
        <f t="shared" ca="1" si="37"/>
        <v>115.8</v>
      </c>
      <c r="BW45" s="19">
        <f t="shared" ca="1" si="37"/>
        <v>113.7</v>
      </c>
      <c r="BX45" s="19">
        <f t="shared" ca="1" si="37"/>
        <v>6.8</v>
      </c>
      <c r="BY45" s="19">
        <f t="shared" ca="1" si="37"/>
        <v>3.5</v>
      </c>
      <c r="BZ45" s="19">
        <f t="shared" ca="1" si="37"/>
        <v>0</v>
      </c>
      <c r="CA45" s="14"/>
      <c r="CB45" s="14">
        <f t="shared" si="47"/>
        <v>2015</v>
      </c>
      <c r="CC45" s="19">
        <f t="shared" ca="1" si="38"/>
        <v>0</v>
      </c>
      <c r="CD45" s="19">
        <f t="shared" ca="1" si="38"/>
        <v>0</v>
      </c>
      <c r="CE45" s="19">
        <f t="shared" ca="1" si="38"/>
        <v>0</v>
      </c>
      <c r="CF45" s="19">
        <f t="shared" ca="1" si="38"/>
        <v>0</v>
      </c>
      <c r="CG45" s="19">
        <f t="shared" ca="1" si="38"/>
        <v>68.8</v>
      </c>
      <c r="CH45" s="19">
        <f t="shared" ca="1" si="38"/>
        <v>70.900000000000006</v>
      </c>
      <c r="CI45" s="19">
        <f t="shared" ca="1" si="38"/>
        <v>186.4</v>
      </c>
      <c r="CJ45" s="19">
        <f t="shared" ca="1" si="38"/>
        <v>177.4</v>
      </c>
      <c r="CK45" s="19">
        <f t="shared" ca="1" si="38"/>
        <v>164.9</v>
      </c>
      <c r="CL45" s="19">
        <f t="shared" ca="1" si="38"/>
        <v>10.8</v>
      </c>
      <c r="CM45" s="19">
        <f t="shared" ca="1" si="38"/>
        <v>7.4</v>
      </c>
      <c r="CN45" s="19">
        <f t="shared" ca="1" si="38"/>
        <v>0</v>
      </c>
      <c r="CO45" s="14"/>
      <c r="CP45" s="14">
        <f t="shared" si="48"/>
        <v>2015</v>
      </c>
      <c r="CQ45" s="19">
        <f t="shared" ca="1" si="39"/>
        <v>0</v>
      </c>
      <c r="CR45" s="19">
        <f t="shared" ca="1" si="39"/>
        <v>0</v>
      </c>
      <c r="CS45" s="19">
        <f t="shared" ca="1" si="39"/>
        <v>0</v>
      </c>
      <c r="CT45" s="19">
        <f t="shared" ca="1" si="39"/>
        <v>2.2000000000000002</v>
      </c>
      <c r="CU45" s="19">
        <f t="shared" ca="1" si="39"/>
        <v>98</v>
      </c>
      <c r="CV45" s="19">
        <f t="shared" ca="1" si="39"/>
        <v>122.5</v>
      </c>
      <c r="CW45" s="19">
        <f t="shared" ca="1" si="39"/>
        <v>248.4</v>
      </c>
      <c r="CX45" s="19">
        <f t="shared" ca="1" si="39"/>
        <v>239.4</v>
      </c>
      <c r="CY45" s="19">
        <f t="shared" ca="1" si="39"/>
        <v>222.4</v>
      </c>
      <c r="CZ45" s="19">
        <f t="shared" ca="1" si="39"/>
        <v>22.6</v>
      </c>
      <c r="DA45" s="19">
        <f t="shared" ca="1" si="39"/>
        <v>14.3</v>
      </c>
      <c r="DB45" s="19">
        <f t="shared" ca="1" si="39"/>
        <v>0</v>
      </c>
      <c r="DC45" s="14"/>
      <c r="DD45" s="14">
        <f t="shared" si="49"/>
        <v>2015</v>
      </c>
      <c r="DE45" s="19">
        <f t="shared" ca="1" si="40"/>
        <v>0</v>
      </c>
      <c r="DF45" s="19">
        <f t="shared" ca="1" si="40"/>
        <v>0</v>
      </c>
      <c r="DG45" s="19">
        <f t="shared" ca="1" si="40"/>
        <v>0</v>
      </c>
      <c r="DH45" s="19">
        <f t="shared" ca="1" si="40"/>
        <v>7.8</v>
      </c>
      <c r="DI45" s="19">
        <f t="shared" ca="1" si="40"/>
        <v>136.80000000000001</v>
      </c>
      <c r="DJ45" s="19">
        <f t="shared" ca="1" si="40"/>
        <v>177.6</v>
      </c>
      <c r="DK45" s="19">
        <f t="shared" ca="1" si="40"/>
        <v>310.39999999999998</v>
      </c>
      <c r="DL45" s="19">
        <f t="shared" ca="1" si="40"/>
        <v>301.39999999999998</v>
      </c>
      <c r="DM45" s="19">
        <f t="shared" ca="1" si="40"/>
        <v>282.39999999999998</v>
      </c>
      <c r="DN45" s="19">
        <f t="shared" ca="1" si="40"/>
        <v>45.1</v>
      </c>
      <c r="DO45" s="19">
        <f t="shared" ca="1" si="40"/>
        <v>27</v>
      </c>
      <c r="DP45" s="19">
        <f t="shared" ca="1" si="40"/>
        <v>1.8</v>
      </c>
      <c r="DQ45" s="14"/>
      <c r="DR45" s="14">
        <f t="shared" si="50"/>
        <v>2015</v>
      </c>
      <c r="DS45" s="19">
        <f t="shared" ca="1" si="41"/>
        <v>0</v>
      </c>
      <c r="DT45" s="19">
        <f t="shared" ca="1" si="41"/>
        <v>0</v>
      </c>
      <c r="DU45" s="19">
        <f t="shared" ca="1" si="41"/>
        <v>0</v>
      </c>
      <c r="DV45" s="19">
        <f t="shared" ca="1" si="41"/>
        <v>19.2</v>
      </c>
      <c r="DW45" s="19">
        <f t="shared" ca="1" si="41"/>
        <v>186</v>
      </c>
      <c r="DX45" s="19">
        <f t="shared" ca="1" si="41"/>
        <v>236.2</v>
      </c>
      <c r="DY45" s="19">
        <f t="shared" ca="1" si="41"/>
        <v>372.4</v>
      </c>
      <c r="DZ45" s="19">
        <f t="shared" ca="1" si="41"/>
        <v>363.4</v>
      </c>
      <c r="EA45" s="19">
        <f t="shared" ca="1" si="41"/>
        <v>342.4</v>
      </c>
      <c r="EB45" s="19">
        <f t="shared" ca="1" si="41"/>
        <v>82.3</v>
      </c>
      <c r="EC45" s="19">
        <f t="shared" ca="1" si="41"/>
        <v>45.3</v>
      </c>
      <c r="ED45" s="19">
        <f t="shared" ca="1" si="41"/>
        <v>7.1</v>
      </c>
      <c r="EE45" s="14"/>
    </row>
    <row r="46" spans="1:135">
      <c r="A46">
        <v>2005</v>
      </c>
      <c r="B46">
        <v>9</v>
      </c>
      <c r="C46" s="11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4">
        <f t="shared" si="42"/>
        <v>2016</v>
      </c>
      <c r="Y46" s="19">
        <f t="shared" ca="1" si="43"/>
        <v>0</v>
      </c>
      <c r="Z46" s="19">
        <f t="shared" ca="1" si="33"/>
        <v>0</v>
      </c>
      <c r="AA46" s="19">
        <f t="shared" ca="1" si="33"/>
        <v>0</v>
      </c>
      <c r="AB46" s="19">
        <f t="shared" ca="1" si="33"/>
        <v>0</v>
      </c>
      <c r="AC46" s="19">
        <f t="shared" ca="1" si="33"/>
        <v>6.4</v>
      </c>
      <c r="AD46" s="19">
        <f t="shared" ca="1" si="33"/>
        <v>8.3000000000000007</v>
      </c>
      <c r="AE46" s="19">
        <f t="shared" ca="1" si="33"/>
        <v>35.700000000000003</v>
      </c>
      <c r="AF46" s="19">
        <f t="shared" ca="1" si="33"/>
        <v>32.6</v>
      </c>
      <c r="AG46" s="19">
        <f t="shared" ca="1" si="33"/>
        <v>7.1</v>
      </c>
      <c r="AH46" s="19">
        <f t="shared" ca="1" si="33"/>
        <v>0</v>
      </c>
      <c r="AI46" s="19">
        <f t="shared" ca="1" si="33"/>
        <v>0</v>
      </c>
      <c r="AJ46" s="19">
        <f t="shared" ca="1" si="33"/>
        <v>0</v>
      </c>
      <c r="AK46" s="14"/>
      <c r="AL46" s="14">
        <f t="shared" si="44"/>
        <v>2016</v>
      </c>
      <c r="AM46" s="19">
        <f t="shared" ca="1" si="34"/>
        <v>0</v>
      </c>
      <c r="AN46" s="19">
        <f t="shared" ca="1" si="34"/>
        <v>0</v>
      </c>
      <c r="AO46" s="19">
        <f t="shared" ca="1" si="34"/>
        <v>0</v>
      </c>
      <c r="AP46" s="19">
        <f t="shared" ca="1" si="34"/>
        <v>0</v>
      </c>
      <c r="AQ46" s="19">
        <f t="shared" ca="1" si="34"/>
        <v>11.1</v>
      </c>
      <c r="AR46" s="19">
        <f t="shared" ca="1" si="34"/>
        <v>20.2</v>
      </c>
      <c r="AS46" s="19">
        <f t="shared" ca="1" si="34"/>
        <v>72.900000000000006</v>
      </c>
      <c r="AT46" s="19">
        <f t="shared" ca="1" si="34"/>
        <v>78.5</v>
      </c>
      <c r="AU46" s="19">
        <f t="shared" ca="1" si="34"/>
        <v>16.600000000000001</v>
      </c>
      <c r="AV46" s="19">
        <f t="shared" ca="1" si="34"/>
        <v>0.4</v>
      </c>
      <c r="AW46" s="19">
        <f t="shared" ca="1" si="34"/>
        <v>0</v>
      </c>
      <c r="AX46" s="19">
        <f t="shared" ca="1" si="34"/>
        <v>0</v>
      </c>
      <c r="AY46" s="15"/>
      <c r="AZ46" s="14">
        <f t="shared" si="45"/>
        <v>2016</v>
      </c>
      <c r="BA46" s="19">
        <f t="shared" ca="1" si="35"/>
        <v>0</v>
      </c>
      <c r="BB46" s="19">
        <f t="shared" ca="1" si="35"/>
        <v>0</v>
      </c>
      <c r="BC46" s="19">
        <f t="shared" ca="1" si="35"/>
        <v>0</v>
      </c>
      <c r="BD46" s="19">
        <f t="shared" ca="1" si="35"/>
        <v>0</v>
      </c>
      <c r="BE46" s="19">
        <f t="shared" ca="1" si="35"/>
        <v>18.399999999999999</v>
      </c>
      <c r="BF46" s="19">
        <f t="shared" ca="1" si="35"/>
        <v>37.299999999999997</v>
      </c>
      <c r="BG46" s="19">
        <f t="shared" ca="1" si="35"/>
        <v>123.3</v>
      </c>
      <c r="BH46" s="19">
        <f t="shared" ca="1" si="35"/>
        <v>136.5</v>
      </c>
      <c r="BI46" s="19">
        <f t="shared" ca="1" si="35"/>
        <v>41.4</v>
      </c>
      <c r="BJ46" s="19">
        <f t="shared" ca="1" si="35"/>
        <v>4.5</v>
      </c>
      <c r="BK46" s="19">
        <f t="shared" ca="1" si="35"/>
        <v>0</v>
      </c>
      <c r="BL46" s="19">
        <f t="shared" ca="1" si="35"/>
        <v>0</v>
      </c>
      <c r="BM46" s="15">
        <f t="shared" ca="1" si="36"/>
        <v>361.4</v>
      </c>
      <c r="BN46" s="14">
        <f t="shared" si="46"/>
        <v>2016</v>
      </c>
      <c r="BO46" s="19">
        <f t="shared" ca="1" si="37"/>
        <v>0</v>
      </c>
      <c r="BP46" s="19">
        <f t="shared" ca="1" si="37"/>
        <v>0</v>
      </c>
      <c r="BQ46" s="19">
        <f t="shared" ca="1" si="37"/>
        <v>0</v>
      </c>
      <c r="BR46" s="19">
        <f t="shared" ca="1" si="37"/>
        <v>0</v>
      </c>
      <c r="BS46" s="19">
        <f t="shared" ca="1" si="37"/>
        <v>30.6</v>
      </c>
      <c r="BT46" s="19">
        <f t="shared" ca="1" si="37"/>
        <v>67.5</v>
      </c>
      <c r="BU46" s="19">
        <f t="shared" ca="1" si="37"/>
        <v>182.4</v>
      </c>
      <c r="BV46" s="19">
        <f t="shared" ca="1" si="37"/>
        <v>198.1</v>
      </c>
      <c r="BW46" s="19">
        <f t="shared" ca="1" si="37"/>
        <v>75.5</v>
      </c>
      <c r="BX46" s="19">
        <f t="shared" ca="1" si="37"/>
        <v>15.8</v>
      </c>
      <c r="BY46" s="19">
        <f t="shared" ca="1" si="37"/>
        <v>0.1</v>
      </c>
      <c r="BZ46" s="19">
        <f t="shared" ca="1" si="37"/>
        <v>0</v>
      </c>
      <c r="CA46" s="14"/>
      <c r="CB46" s="14">
        <f t="shared" si="47"/>
        <v>2016</v>
      </c>
      <c r="CC46" s="19">
        <f t="shared" ca="1" si="38"/>
        <v>0</v>
      </c>
      <c r="CD46" s="19">
        <f t="shared" ca="1" si="38"/>
        <v>0</v>
      </c>
      <c r="CE46" s="19">
        <f t="shared" ca="1" si="38"/>
        <v>0</v>
      </c>
      <c r="CF46" s="19">
        <f t="shared" ca="1" si="38"/>
        <v>0</v>
      </c>
      <c r="CG46" s="19">
        <f t="shared" ca="1" si="38"/>
        <v>45.2</v>
      </c>
      <c r="CH46" s="19">
        <f t="shared" ca="1" si="38"/>
        <v>109.2</v>
      </c>
      <c r="CI46" s="19">
        <f t="shared" ca="1" si="38"/>
        <v>244.4</v>
      </c>
      <c r="CJ46" s="19">
        <f t="shared" ca="1" si="38"/>
        <v>260.10000000000002</v>
      </c>
      <c r="CK46" s="19">
        <f t="shared" ca="1" si="38"/>
        <v>120.4</v>
      </c>
      <c r="CL46" s="19">
        <f t="shared" ca="1" si="38"/>
        <v>35.1</v>
      </c>
      <c r="CM46" s="19">
        <f t="shared" ca="1" si="38"/>
        <v>2.1</v>
      </c>
      <c r="CN46" s="19">
        <f t="shared" ca="1" si="38"/>
        <v>0</v>
      </c>
      <c r="CO46" s="14"/>
      <c r="CP46" s="14">
        <f t="shared" si="48"/>
        <v>2016</v>
      </c>
      <c r="CQ46" s="19">
        <f t="shared" ca="1" si="39"/>
        <v>0</v>
      </c>
      <c r="CR46" s="19">
        <f t="shared" ca="1" si="39"/>
        <v>0</v>
      </c>
      <c r="CS46" s="19">
        <f t="shared" ca="1" si="39"/>
        <v>0.5</v>
      </c>
      <c r="CT46" s="19">
        <f t="shared" ca="1" si="39"/>
        <v>1.9</v>
      </c>
      <c r="CU46" s="19">
        <f t="shared" ca="1" si="39"/>
        <v>67.2</v>
      </c>
      <c r="CV46" s="19">
        <f t="shared" ca="1" si="39"/>
        <v>161</v>
      </c>
      <c r="CW46" s="19">
        <f t="shared" ca="1" si="39"/>
        <v>306.39999999999998</v>
      </c>
      <c r="CX46" s="19">
        <f t="shared" ca="1" si="39"/>
        <v>322.10000000000002</v>
      </c>
      <c r="CY46" s="19">
        <f t="shared" ca="1" si="39"/>
        <v>176.2</v>
      </c>
      <c r="CZ46" s="19">
        <f t="shared" ca="1" si="39"/>
        <v>63.3</v>
      </c>
      <c r="DA46" s="19">
        <f t="shared" ca="1" si="39"/>
        <v>6.1</v>
      </c>
      <c r="DB46" s="19">
        <f t="shared" ca="1" si="39"/>
        <v>0</v>
      </c>
      <c r="DC46" s="14"/>
      <c r="DD46" s="14">
        <f t="shared" si="49"/>
        <v>2016</v>
      </c>
      <c r="DE46" s="19">
        <f t="shared" ca="1" si="40"/>
        <v>0</v>
      </c>
      <c r="DF46" s="19">
        <f t="shared" ca="1" si="40"/>
        <v>0</v>
      </c>
      <c r="DG46" s="19">
        <f t="shared" ca="1" si="40"/>
        <v>3.4</v>
      </c>
      <c r="DH46" s="19">
        <f t="shared" ca="1" si="40"/>
        <v>6.5</v>
      </c>
      <c r="DI46" s="19">
        <f t="shared" ca="1" si="40"/>
        <v>102.1</v>
      </c>
      <c r="DJ46" s="19">
        <f t="shared" ca="1" si="40"/>
        <v>219</v>
      </c>
      <c r="DK46" s="19">
        <f t="shared" ca="1" si="40"/>
        <v>368.4</v>
      </c>
      <c r="DL46" s="19">
        <f t="shared" ca="1" si="40"/>
        <v>384.1</v>
      </c>
      <c r="DM46" s="19">
        <f t="shared" ca="1" si="40"/>
        <v>236</v>
      </c>
      <c r="DN46" s="19">
        <f t="shared" ca="1" si="40"/>
        <v>97.6</v>
      </c>
      <c r="DO46" s="19">
        <f t="shared" ca="1" si="40"/>
        <v>20.100000000000001</v>
      </c>
      <c r="DP46" s="19">
        <f t="shared" ca="1" si="40"/>
        <v>0</v>
      </c>
      <c r="DQ46" s="14"/>
      <c r="DR46" s="14">
        <f t="shared" si="50"/>
        <v>2016</v>
      </c>
      <c r="DS46" s="19">
        <f t="shared" ca="1" si="41"/>
        <v>0</v>
      </c>
      <c r="DT46" s="19">
        <f t="shared" ca="1" si="41"/>
        <v>0</v>
      </c>
      <c r="DU46" s="19">
        <f t="shared" ca="1" si="41"/>
        <v>7.4</v>
      </c>
      <c r="DV46" s="19">
        <f t="shared" ca="1" si="41"/>
        <v>15.4</v>
      </c>
      <c r="DW46" s="19">
        <f t="shared" ca="1" si="41"/>
        <v>140.9</v>
      </c>
      <c r="DX46" s="19">
        <f t="shared" ca="1" si="41"/>
        <v>279</v>
      </c>
      <c r="DY46" s="19">
        <f t="shared" ca="1" si="41"/>
        <v>430.4</v>
      </c>
      <c r="DZ46" s="19">
        <f t="shared" ca="1" si="41"/>
        <v>446.1</v>
      </c>
      <c r="EA46" s="19">
        <f t="shared" ca="1" si="41"/>
        <v>296</v>
      </c>
      <c r="EB46" s="19">
        <f t="shared" ca="1" si="41"/>
        <v>138.19999999999999</v>
      </c>
      <c r="EC46" s="19">
        <f t="shared" ca="1" si="41"/>
        <v>46.5</v>
      </c>
      <c r="ED46" s="19">
        <f t="shared" ca="1" si="41"/>
        <v>0</v>
      </c>
      <c r="EE46" s="14"/>
    </row>
    <row r="47" spans="1:135">
      <c r="A47">
        <v>2005</v>
      </c>
      <c r="B47">
        <v>10</v>
      </c>
      <c r="C47" s="11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4">
        <f t="shared" si="42"/>
        <v>2017</v>
      </c>
      <c r="Y47" s="19">
        <f t="shared" ca="1" si="43"/>
        <v>0</v>
      </c>
      <c r="Z47" s="19">
        <f t="shared" ca="1" si="33"/>
        <v>0</v>
      </c>
      <c r="AA47" s="19">
        <f t="shared" ca="1" si="33"/>
        <v>0</v>
      </c>
      <c r="AB47" s="19">
        <f t="shared" ca="1" si="33"/>
        <v>0</v>
      </c>
      <c r="AC47" s="19">
        <f t="shared" ca="1" si="33"/>
        <v>2.2999999999999998</v>
      </c>
      <c r="AD47" s="19">
        <f t="shared" ca="1" si="33"/>
        <v>7.4</v>
      </c>
      <c r="AE47" s="19">
        <f t="shared" ca="1" si="33"/>
        <v>1</v>
      </c>
      <c r="AF47" s="19">
        <f t="shared" ca="1" si="33"/>
        <v>1.6</v>
      </c>
      <c r="AG47" s="19">
        <f t="shared" ca="1" si="33"/>
        <v>10.7</v>
      </c>
      <c r="AH47" s="19">
        <f t="shared" ca="1" si="33"/>
        <v>0</v>
      </c>
      <c r="AI47" s="19">
        <f t="shared" ca="1" si="33"/>
        <v>0</v>
      </c>
      <c r="AJ47" s="19">
        <f t="shared" ca="1" si="33"/>
        <v>0</v>
      </c>
      <c r="AK47" s="14"/>
      <c r="AL47" s="14">
        <f t="shared" si="44"/>
        <v>2017</v>
      </c>
      <c r="AM47" s="19">
        <f t="shared" ca="1" si="34"/>
        <v>0</v>
      </c>
      <c r="AN47" s="19">
        <f t="shared" ca="1" si="34"/>
        <v>0</v>
      </c>
      <c r="AO47" s="19">
        <f t="shared" ca="1" si="34"/>
        <v>0</v>
      </c>
      <c r="AP47" s="19">
        <f t="shared" ca="1" si="34"/>
        <v>0</v>
      </c>
      <c r="AQ47" s="19">
        <f t="shared" ca="1" si="34"/>
        <v>4.3</v>
      </c>
      <c r="AR47" s="19">
        <f t="shared" ca="1" si="34"/>
        <v>20.100000000000001</v>
      </c>
      <c r="AS47" s="19">
        <f t="shared" ca="1" si="34"/>
        <v>16.5</v>
      </c>
      <c r="AT47" s="19">
        <f t="shared" ca="1" si="34"/>
        <v>15.1</v>
      </c>
      <c r="AU47" s="19">
        <f t="shared" ca="1" si="34"/>
        <v>26.5</v>
      </c>
      <c r="AV47" s="19">
        <f t="shared" ca="1" si="34"/>
        <v>0</v>
      </c>
      <c r="AW47" s="19">
        <f t="shared" ca="1" si="34"/>
        <v>0</v>
      </c>
      <c r="AX47" s="19">
        <f t="shared" ca="1" si="34"/>
        <v>0</v>
      </c>
      <c r="AY47" s="15"/>
      <c r="AZ47" s="14">
        <f t="shared" si="45"/>
        <v>2017</v>
      </c>
      <c r="BA47" s="19">
        <f t="shared" ca="1" si="35"/>
        <v>0</v>
      </c>
      <c r="BB47" s="19">
        <f t="shared" ca="1" si="35"/>
        <v>0</v>
      </c>
      <c r="BC47" s="19">
        <f t="shared" ca="1" si="35"/>
        <v>0</v>
      </c>
      <c r="BD47" s="19">
        <f t="shared" ca="1" si="35"/>
        <v>0.5</v>
      </c>
      <c r="BE47" s="19">
        <f t="shared" ca="1" si="35"/>
        <v>8.6</v>
      </c>
      <c r="BF47" s="19">
        <f t="shared" ca="1" si="35"/>
        <v>40.9</v>
      </c>
      <c r="BG47" s="19">
        <f t="shared" ca="1" si="35"/>
        <v>61.8</v>
      </c>
      <c r="BH47" s="19">
        <f t="shared" ca="1" si="35"/>
        <v>44.6</v>
      </c>
      <c r="BI47" s="19">
        <f t="shared" ca="1" si="35"/>
        <v>52</v>
      </c>
      <c r="BJ47" s="19">
        <f t="shared" ca="1" si="35"/>
        <v>5.5</v>
      </c>
      <c r="BK47" s="19">
        <f t="shared" ca="1" si="35"/>
        <v>0</v>
      </c>
      <c r="BL47" s="19">
        <f t="shared" ca="1" si="35"/>
        <v>0</v>
      </c>
      <c r="BM47" s="15">
        <f t="shared" ca="1" si="36"/>
        <v>213.9</v>
      </c>
      <c r="BN47" s="14">
        <f t="shared" si="46"/>
        <v>2017</v>
      </c>
      <c r="BO47" s="19">
        <f t="shared" ca="1" si="37"/>
        <v>0</v>
      </c>
      <c r="BP47" s="19">
        <f t="shared" ca="1" si="37"/>
        <v>0</v>
      </c>
      <c r="BQ47" s="19">
        <f t="shared" ca="1" si="37"/>
        <v>0</v>
      </c>
      <c r="BR47" s="19">
        <f t="shared" ca="1" si="37"/>
        <v>2.5</v>
      </c>
      <c r="BS47" s="19">
        <f t="shared" ca="1" si="37"/>
        <v>17.3</v>
      </c>
      <c r="BT47" s="19">
        <f t="shared" ca="1" si="37"/>
        <v>70.7</v>
      </c>
      <c r="BU47" s="19">
        <f t="shared" ca="1" si="37"/>
        <v>119.9</v>
      </c>
      <c r="BV47" s="19">
        <f t="shared" ca="1" si="37"/>
        <v>93.2</v>
      </c>
      <c r="BW47" s="19">
        <f t="shared" ca="1" si="37"/>
        <v>83.9</v>
      </c>
      <c r="BX47" s="19">
        <f t="shared" ca="1" si="37"/>
        <v>20.5</v>
      </c>
      <c r="BY47" s="19">
        <f t="shared" ca="1" si="37"/>
        <v>0</v>
      </c>
      <c r="BZ47" s="19">
        <f t="shared" ca="1" si="37"/>
        <v>0</v>
      </c>
      <c r="CA47" s="14"/>
      <c r="CB47" s="14">
        <f t="shared" si="47"/>
        <v>2017</v>
      </c>
      <c r="CC47" s="19">
        <f t="shared" ca="1" si="38"/>
        <v>0</v>
      </c>
      <c r="CD47" s="19">
        <f t="shared" ca="1" si="38"/>
        <v>0</v>
      </c>
      <c r="CE47" s="19">
        <f t="shared" ca="1" si="38"/>
        <v>0</v>
      </c>
      <c r="CF47" s="19">
        <f t="shared" ca="1" si="38"/>
        <v>6.8</v>
      </c>
      <c r="CG47" s="19">
        <f t="shared" ca="1" si="38"/>
        <v>29.2</v>
      </c>
      <c r="CH47" s="19">
        <f t="shared" ca="1" si="38"/>
        <v>109.8</v>
      </c>
      <c r="CI47" s="19">
        <f t="shared" ca="1" si="38"/>
        <v>181.9</v>
      </c>
      <c r="CJ47" s="19">
        <f t="shared" ca="1" si="38"/>
        <v>149.30000000000001</v>
      </c>
      <c r="CK47" s="19">
        <f t="shared" ca="1" si="38"/>
        <v>121.1</v>
      </c>
      <c r="CL47" s="19">
        <f t="shared" ca="1" si="38"/>
        <v>50</v>
      </c>
      <c r="CM47" s="19">
        <f t="shared" ca="1" si="38"/>
        <v>0</v>
      </c>
      <c r="CN47" s="19">
        <f t="shared" ca="1" si="38"/>
        <v>0</v>
      </c>
      <c r="CO47" s="14"/>
      <c r="CP47" s="14">
        <f t="shared" si="48"/>
        <v>2017</v>
      </c>
      <c r="CQ47" s="19">
        <f t="shared" ca="1" si="39"/>
        <v>0</v>
      </c>
      <c r="CR47" s="19">
        <f t="shared" ca="1" si="39"/>
        <v>0</v>
      </c>
      <c r="CS47" s="19">
        <f t="shared" ca="1" si="39"/>
        <v>0</v>
      </c>
      <c r="CT47" s="19">
        <f t="shared" ca="1" si="39"/>
        <v>16.5</v>
      </c>
      <c r="CU47" s="19">
        <f t="shared" ca="1" si="39"/>
        <v>49.2</v>
      </c>
      <c r="CV47" s="19">
        <f t="shared" ca="1" si="39"/>
        <v>157.6</v>
      </c>
      <c r="CW47" s="19">
        <f t="shared" ca="1" si="39"/>
        <v>243.9</v>
      </c>
      <c r="CX47" s="19">
        <f t="shared" ca="1" si="39"/>
        <v>211.3</v>
      </c>
      <c r="CY47" s="19">
        <f t="shared" ca="1" si="39"/>
        <v>168.2</v>
      </c>
      <c r="CZ47" s="19">
        <f t="shared" ca="1" si="39"/>
        <v>86.7</v>
      </c>
      <c r="DA47" s="19">
        <f t="shared" ca="1" si="39"/>
        <v>0</v>
      </c>
      <c r="DB47" s="19">
        <f t="shared" ca="1" si="39"/>
        <v>0</v>
      </c>
      <c r="DC47" s="14"/>
      <c r="DD47" s="14">
        <f t="shared" si="49"/>
        <v>2017</v>
      </c>
      <c r="DE47" s="19">
        <f t="shared" ca="1" si="40"/>
        <v>0</v>
      </c>
      <c r="DF47" s="19">
        <f t="shared" ca="1" si="40"/>
        <v>0</v>
      </c>
      <c r="DG47" s="19">
        <f t="shared" ca="1" si="40"/>
        <v>0</v>
      </c>
      <c r="DH47" s="19">
        <f t="shared" ca="1" si="40"/>
        <v>32.9</v>
      </c>
      <c r="DI47" s="19">
        <f t="shared" ca="1" si="40"/>
        <v>79.400000000000006</v>
      </c>
      <c r="DJ47" s="19">
        <f t="shared" ca="1" si="40"/>
        <v>216.6</v>
      </c>
      <c r="DK47" s="19">
        <f t="shared" ca="1" si="40"/>
        <v>305.89999999999998</v>
      </c>
      <c r="DL47" s="19">
        <f t="shared" ca="1" si="40"/>
        <v>273.3</v>
      </c>
      <c r="DM47" s="19">
        <f t="shared" ca="1" si="40"/>
        <v>224.6</v>
      </c>
      <c r="DN47" s="19">
        <f t="shared" ca="1" si="40"/>
        <v>126.7</v>
      </c>
      <c r="DO47" s="19">
        <f t="shared" ca="1" si="40"/>
        <v>0</v>
      </c>
      <c r="DP47" s="19">
        <f t="shared" ca="1" si="40"/>
        <v>0</v>
      </c>
      <c r="DQ47" s="14"/>
      <c r="DR47" s="14">
        <f t="shared" si="50"/>
        <v>2017</v>
      </c>
      <c r="DS47" s="19">
        <f t="shared" ca="1" si="41"/>
        <v>0</v>
      </c>
      <c r="DT47" s="19">
        <f t="shared" ca="1" si="41"/>
        <v>3.8</v>
      </c>
      <c r="DU47" s="19">
        <f t="shared" ca="1" si="41"/>
        <v>2</v>
      </c>
      <c r="DV47" s="19">
        <f t="shared" ca="1" si="41"/>
        <v>55.2</v>
      </c>
      <c r="DW47" s="19">
        <f t="shared" ca="1" si="41"/>
        <v>117.8</v>
      </c>
      <c r="DX47" s="19">
        <f t="shared" ca="1" si="41"/>
        <v>276.60000000000002</v>
      </c>
      <c r="DY47" s="19">
        <f t="shared" ca="1" si="41"/>
        <v>367.9</v>
      </c>
      <c r="DZ47" s="19">
        <f t="shared" ca="1" si="41"/>
        <v>335.3</v>
      </c>
      <c r="EA47" s="19">
        <f t="shared" ca="1" si="41"/>
        <v>283</v>
      </c>
      <c r="EB47" s="19">
        <f t="shared" ca="1" si="41"/>
        <v>171.1</v>
      </c>
      <c r="EC47" s="19">
        <f t="shared" ca="1" si="41"/>
        <v>3.4</v>
      </c>
      <c r="ED47" s="19">
        <f t="shared" ca="1" si="41"/>
        <v>0</v>
      </c>
      <c r="EE47" s="14"/>
    </row>
    <row r="48" spans="1:135">
      <c r="A48">
        <v>2005</v>
      </c>
      <c r="B48">
        <v>11</v>
      </c>
      <c r="C48" s="11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4">
        <f t="shared" si="42"/>
        <v>2018</v>
      </c>
      <c r="Y48" s="19">
        <f t="shared" ca="1" si="43"/>
        <v>0</v>
      </c>
      <c r="Z48" s="19">
        <f t="shared" ca="1" si="43"/>
        <v>0</v>
      </c>
      <c r="AA48" s="19">
        <f t="shared" ca="1" si="43"/>
        <v>0</v>
      </c>
      <c r="AB48" s="19">
        <f t="shared" ca="1" si="43"/>
        <v>0</v>
      </c>
      <c r="AC48" s="19">
        <f t="shared" ca="1" si="43"/>
        <v>4.8</v>
      </c>
      <c r="AD48" s="19">
        <f t="shared" ca="1" si="43"/>
        <v>9.8000000000000007</v>
      </c>
      <c r="AE48" s="19">
        <f t="shared" ca="1" si="43"/>
        <v>30.4</v>
      </c>
      <c r="AF48" s="19">
        <f t="shared" ca="1" si="43"/>
        <v>25.2</v>
      </c>
      <c r="AG48" s="19">
        <f t="shared" ca="1" si="43"/>
        <v>13.4</v>
      </c>
      <c r="AH48" s="19">
        <f t="shared" ca="1" si="43"/>
        <v>4.5999999999999996</v>
      </c>
      <c r="AI48" s="19">
        <f t="shared" ca="1" si="43"/>
        <v>0</v>
      </c>
      <c r="AJ48" s="19">
        <f t="shared" ca="1" si="43"/>
        <v>0</v>
      </c>
      <c r="AK48" s="14"/>
      <c r="AL48" s="14">
        <f t="shared" si="44"/>
        <v>2018</v>
      </c>
      <c r="AM48" s="19">
        <f t="shared" ref="AM48:AX51" ca="1" si="51">OFFSET($G$2,(ROW()-32)*12+COLUMN()-39,0)</f>
        <v>0</v>
      </c>
      <c r="AN48" s="19">
        <f t="shared" ca="1" si="51"/>
        <v>0</v>
      </c>
      <c r="AO48" s="19">
        <f t="shared" ca="1" si="51"/>
        <v>0</v>
      </c>
      <c r="AP48" s="19">
        <f t="shared" ca="1" si="51"/>
        <v>0</v>
      </c>
      <c r="AQ48" s="19">
        <f t="shared" ca="1" si="51"/>
        <v>13.7</v>
      </c>
      <c r="AR48" s="19">
        <f t="shared" ca="1" si="51"/>
        <v>19.8</v>
      </c>
      <c r="AS48" s="19">
        <f t="shared" ca="1" si="51"/>
        <v>62.5</v>
      </c>
      <c r="AT48" s="19">
        <f t="shared" ca="1" si="51"/>
        <v>66.400000000000006</v>
      </c>
      <c r="AU48" s="19">
        <f t="shared" ca="1" si="51"/>
        <v>31.2</v>
      </c>
      <c r="AV48" s="19">
        <f t="shared" ca="1" si="51"/>
        <v>8.6</v>
      </c>
      <c r="AW48" s="19">
        <f t="shared" ca="1" si="51"/>
        <v>0</v>
      </c>
      <c r="AX48" s="19">
        <f t="shared" ca="1" si="51"/>
        <v>0</v>
      </c>
      <c r="AY48" s="15"/>
      <c r="AZ48" s="14">
        <f t="shared" si="45"/>
        <v>2018</v>
      </c>
      <c r="BA48" s="19">
        <f t="shared" ref="BA48:BL51" ca="1" si="52">OFFSET($I$2,(ROW()-32)*12+COLUMN()-53,0)</f>
        <v>0</v>
      </c>
      <c r="BB48" s="19">
        <f t="shared" ca="1" si="52"/>
        <v>0</v>
      </c>
      <c r="BC48" s="19">
        <f t="shared" ca="1" si="52"/>
        <v>0</v>
      </c>
      <c r="BD48" s="19">
        <f t="shared" ca="1" si="52"/>
        <v>0</v>
      </c>
      <c r="BE48" s="19">
        <f t="shared" ca="1" si="52"/>
        <v>26.8</v>
      </c>
      <c r="BF48" s="19">
        <f t="shared" ca="1" si="52"/>
        <v>31.4</v>
      </c>
      <c r="BG48" s="19">
        <f t="shared" ca="1" si="52"/>
        <v>109.3</v>
      </c>
      <c r="BH48" s="19">
        <f t="shared" ca="1" si="52"/>
        <v>122.1</v>
      </c>
      <c r="BI48" s="19">
        <f t="shared" ca="1" si="52"/>
        <v>54.8</v>
      </c>
      <c r="BJ48" s="19">
        <f t="shared" ca="1" si="52"/>
        <v>12.6</v>
      </c>
      <c r="BK48" s="19">
        <f t="shared" ca="1" si="52"/>
        <v>0</v>
      </c>
      <c r="BL48" s="19">
        <f t="shared" ca="1" si="52"/>
        <v>0</v>
      </c>
      <c r="BM48" s="15">
        <f t="shared" ca="1" si="36"/>
        <v>357.00000000000006</v>
      </c>
      <c r="BN48" s="14">
        <f t="shared" si="46"/>
        <v>2018</v>
      </c>
      <c r="BO48" s="19">
        <f t="shared" ref="BO48:BZ51" ca="1" si="53">OFFSET($K$2,(ROW()-32)*12+COLUMN()-67,0)</f>
        <v>0</v>
      </c>
      <c r="BP48" s="19">
        <f t="shared" ca="1" si="53"/>
        <v>0</v>
      </c>
      <c r="BQ48" s="19">
        <f t="shared" ca="1" si="53"/>
        <v>0</v>
      </c>
      <c r="BR48" s="19">
        <f t="shared" ca="1" si="53"/>
        <v>0</v>
      </c>
      <c r="BS48" s="19">
        <f t="shared" ca="1" si="53"/>
        <v>45.5</v>
      </c>
      <c r="BT48" s="19">
        <f t="shared" ca="1" si="53"/>
        <v>54.4</v>
      </c>
      <c r="BU48" s="19">
        <f t="shared" ca="1" si="53"/>
        <v>166.5</v>
      </c>
      <c r="BV48" s="19">
        <f t="shared" ca="1" si="53"/>
        <v>181.5</v>
      </c>
      <c r="BW48" s="19">
        <f t="shared" ca="1" si="53"/>
        <v>82.6</v>
      </c>
      <c r="BX48" s="19">
        <f t="shared" ca="1" si="53"/>
        <v>17.100000000000001</v>
      </c>
      <c r="BY48" s="19">
        <f t="shared" ca="1" si="53"/>
        <v>0</v>
      </c>
      <c r="BZ48" s="19">
        <f t="shared" ca="1" si="53"/>
        <v>0</v>
      </c>
      <c r="CA48" s="14"/>
      <c r="CB48" s="14">
        <f t="shared" si="47"/>
        <v>2018</v>
      </c>
      <c r="CC48" s="19">
        <f t="shared" ref="CC48:CN51" ca="1" si="54">OFFSET($M$2,(ROW()-32)*12+COLUMN()-81,0)</f>
        <v>0</v>
      </c>
      <c r="CD48" s="19">
        <f t="shared" ca="1" si="54"/>
        <v>0</v>
      </c>
      <c r="CE48" s="19">
        <f t="shared" ca="1" si="54"/>
        <v>0</v>
      </c>
      <c r="CF48" s="19">
        <f t="shared" ca="1" si="54"/>
        <v>0</v>
      </c>
      <c r="CG48" s="19">
        <f t="shared" ca="1" si="54"/>
        <v>71.599999999999994</v>
      </c>
      <c r="CH48" s="19">
        <f t="shared" ca="1" si="54"/>
        <v>92.8</v>
      </c>
      <c r="CI48" s="19">
        <f t="shared" ca="1" si="54"/>
        <v>228.5</v>
      </c>
      <c r="CJ48" s="19">
        <f t="shared" ca="1" si="54"/>
        <v>242.4</v>
      </c>
      <c r="CK48" s="19">
        <f t="shared" ca="1" si="54"/>
        <v>118.9</v>
      </c>
      <c r="CL48" s="19">
        <f t="shared" ca="1" si="54"/>
        <v>25.9</v>
      </c>
      <c r="CM48" s="19">
        <f t="shared" ca="1" si="54"/>
        <v>0</v>
      </c>
      <c r="CN48" s="19">
        <f t="shared" ca="1" si="54"/>
        <v>0</v>
      </c>
      <c r="CO48" s="14"/>
      <c r="CP48" s="14">
        <f t="shared" si="48"/>
        <v>2018</v>
      </c>
      <c r="CQ48" s="19">
        <f t="shared" ref="CQ48:DB51" ca="1" si="55">OFFSET($O$2,(ROW()-32)*12+COLUMN()-95,0)</f>
        <v>0</v>
      </c>
      <c r="CR48" s="19">
        <f t="shared" ca="1" si="55"/>
        <v>0</v>
      </c>
      <c r="CS48" s="19">
        <f t="shared" ca="1" si="55"/>
        <v>0</v>
      </c>
      <c r="CT48" s="19">
        <f t="shared" ca="1" si="55"/>
        <v>0</v>
      </c>
      <c r="CU48" s="19">
        <f t="shared" ca="1" si="55"/>
        <v>106.2</v>
      </c>
      <c r="CV48" s="19">
        <f t="shared" ca="1" si="55"/>
        <v>146.30000000000001</v>
      </c>
      <c r="CW48" s="19">
        <f t="shared" ca="1" si="55"/>
        <v>290.5</v>
      </c>
      <c r="CX48" s="19">
        <f t="shared" ca="1" si="55"/>
        <v>304.39999999999998</v>
      </c>
      <c r="CY48" s="19">
        <f t="shared" ca="1" si="55"/>
        <v>165.5</v>
      </c>
      <c r="CZ48" s="19">
        <f t="shared" ca="1" si="55"/>
        <v>40.6</v>
      </c>
      <c r="DA48" s="19">
        <f t="shared" ca="1" si="55"/>
        <v>0</v>
      </c>
      <c r="DB48" s="19">
        <f t="shared" ca="1" si="55"/>
        <v>0</v>
      </c>
      <c r="DC48" s="14"/>
      <c r="DD48" s="14">
        <f t="shared" si="49"/>
        <v>2018</v>
      </c>
      <c r="DE48" s="19">
        <f t="shared" ca="1" si="40"/>
        <v>0</v>
      </c>
      <c r="DF48" s="19">
        <f t="shared" ca="1" si="40"/>
        <v>0</v>
      </c>
      <c r="DG48" s="19">
        <f t="shared" ca="1" si="40"/>
        <v>0</v>
      </c>
      <c r="DH48" s="19">
        <f t="shared" ca="1" si="40"/>
        <v>1.6</v>
      </c>
      <c r="DI48" s="19">
        <f t="shared" ca="1" si="40"/>
        <v>150</v>
      </c>
      <c r="DJ48" s="19">
        <f t="shared" ca="1" si="40"/>
        <v>203.5</v>
      </c>
      <c r="DK48" s="19">
        <f t="shared" ca="1" si="40"/>
        <v>352.5</v>
      </c>
      <c r="DL48" s="19">
        <f t="shared" ca="1" si="40"/>
        <v>366.4</v>
      </c>
      <c r="DM48" s="19">
        <f t="shared" ca="1" si="40"/>
        <v>220.1</v>
      </c>
      <c r="DN48" s="19">
        <f t="shared" ca="1" si="40"/>
        <v>58.1</v>
      </c>
      <c r="DO48" s="19">
        <f t="shared" ca="1" si="40"/>
        <v>1.3</v>
      </c>
      <c r="DP48" s="19">
        <f t="shared" ca="1" si="40"/>
        <v>0</v>
      </c>
      <c r="DQ48" s="14"/>
      <c r="DR48" s="14">
        <f t="shared" si="50"/>
        <v>2018</v>
      </c>
      <c r="DS48" s="19">
        <f t="shared" ca="1" si="41"/>
        <v>2</v>
      </c>
      <c r="DT48" s="19">
        <f t="shared" ca="1" si="41"/>
        <v>1.6</v>
      </c>
      <c r="DU48" s="19">
        <f t="shared" ca="1" si="41"/>
        <v>0</v>
      </c>
      <c r="DV48" s="19">
        <f t="shared" ca="1" si="41"/>
        <v>8.1999999999999993</v>
      </c>
      <c r="DW48" s="19">
        <f t="shared" ca="1" si="41"/>
        <v>203.9</v>
      </c>
      <c r="DX48" s="19">
        <f t="shared" ca="1" si="41"/>
        <v>263.5</v>
      </c>
      <c r="DY48" s="19">
        <f t="shared" ca="1" si="41"/>
        <v>414.5</v>
      </c>
      <c r="DZ48" s="19">
        <f t="shared" ca="1" si="41"/>
        <v>428.4</v>
      </c>
      <c r="EA48" s="19">
        <f t="shared" ca="1" si="41"/>
        <v>278.89999999999998</v>
      </c>
      <c r="EB48" s="19">
        <f t="shared" ca="1" si="41"/>
        <v>81.5</v>
      </c>
      <c r="EC48" s="19">
        <f t="shared" ca="1" si="41"/>
        <v>3.3</v>
      </c>
      <c r="ED48" s="19">
        <f t="shared" ca="1" si="41"/>
        <v>0</v>
      </c>
      <c r="EE48" s="14"/>
    </row>
    <row r="49" spans="1:135">
      <c r="A49">
        <v>2005</v>
      </c>
      <c r="B49">
        <v>12</v>
      </c>
      <c r="C49" s="11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4">
        <f t="shared" si="42"/>
        <v>2019</v>
      </c>
      <c r="Y49" s="19">
        <f t="shared" ca="1" si="43"/>
        <v>0</v>
      </c>
      <c r="Z49" s="19">
        <f t="shared" ca="1" si="43"/>
        <v>0</v>
      </c>
      <c r="AA49" s="19">
        <f t="shared" ca="1" si="43"/>
        <v>0</v>
      </c>
      <c r="AB49" s="19">
        <f t="shared" ca="1" si="43"/>
        <v>0</v>
      </c>
      <c r="AC49" s="19">
        <f t="shared" ca="1" si="43"/>
        <v>0</v>
      </c>
      <c r="AD49" s="19">
        <f t="shared" ca="1" si="43"/>
        <v>0</v>
      </c>
      <c r="AE49" s="19">
        <f t="shared" ca="1" si="43"/>
        <v>31.9</v>
      </c>
      <c r="AF49" s="19">
        <f t="shared" ca="1" si="43"/>
        <v>2.4</v>
      </c>
      <c r="AG49" s="19">
        <f t="shared" ca="1" si="43"/>
        <v>2.5</v>
      </c>
      <c r="AH49" s="19">
        <f t="shared" ca="1" si="43"/>
        <v>0</v>
      </c>
      <c r="AI49" s="19">
        <f t="shared" ca="1" si="43"/>
        <v>0</v>
      </c>
      <c r="AJ49" s="19">
        <f t="shared" ca="1" si="43"/>
        <v>0</v>
      </c>
      <c r="AK49" s="14"/>
      <c r="AL49" s="14">
        <f t="shared" si="44"/>
        <v>2019</v>
      </c>
      <c r="AM49" s="19">
        <f t="shared" ca="1" si="51"/>
        <v>0</v>
      </c>
      <c r="AN49" s="19">
        <f t="shared" ca="1" si="51"/>
        <v>0</v>
      </c>
      <c r="AO49" s="19">
        <f t="shared" ca="1" si="51"/>
        <v>0</v>
      </c>
      <c r="AP49" s="19">
        <f t="shared" ca="1" si="51"/>
        <v>0</v>
      </c>
      <c r="AQ49" s="19">
        <f t="shared" ca="1" si="51"/>
        <v>0</v>
      </c>
      <c r="AR49" s="19">
        <f t="shared" ca="1" si="51"/>
        <v>4.7</v>
      </c>
      <c r="AS49" s="19">
        <f t="shared" ca="1" si="51"/>
        <v>62.3</v>
      </c>
      <c r="AT49" s="19">
        <f t="shared" ca="1" si="51"/>
        <v>17.7</v>
      </c>
      <c r="AU49" s="19">
        <f t="shared" ca="1" si="51"/>
        <v>5.4</v>
      </c>
      <c r="AV49" s="19">
        <f t="shared" ca="1" si="51"/>
        <v>1.8</v>
      </c>
      <c r="AW49" s="19">
        <f t="shared" ca="1" si="51"/>
        <v>0</v>
      </c>
      <c r="AX49" s="19">
        <f t="shared" ca="1" si="51"/>
        <v>0</v>
      </c>
      <c r="AY49" s="15"/>
      <c r="AZ49" s="14">
        <f t="shared" si="45"/>
        <v>2019</v>
      </c>
      <c r="BA49" s="19">
        <f t="shared" ca="1" si="52"/>
        <v>0</v>
      </c>
      <c r="BB49" s="19">
        <f t="shared" ca="1" si="52"/>
        <v>0</v>
      </c>
      <c r="BC49" s="19">
        <f t="shared" ca="1" si="52"/>
        <v>0</v>
      </c>
      <c r="BD49" s="19">
        <f t="shared" ca="1" si="52"/>
        <v>0</v>
      </c>
      <c r="BE49" s="19">
        <f t="shared" ca="1" si="52"/>
        <v>0</v>
      </c>
      <c r="BF49" s="19">
        <f t="shared" ca="1" si="52"/>
        <v>16.899999999999999</v>
      </c>
      <c r="BG49" s="19">
        <f t="shared" ca="1" si="52"/>
        <v>105.3</v>
      </c>
      <c r="BH49" s="19">
        <f t="shared" ca="1" si="52"/>
        <v>56.7</v>
      </c>
      <c r="BI49" s="19">
        <f t="shared" ca="1" si="52"/>
        <v>14.8</v>
      </c>
      <c r="BJ49" s="19">
        <f t="shared" ca="1" si="52"/>
        <v>3.8</v>
      </c>
      <c r="BK49" s="19">
        <f t="shared" ca="1" si="52"/>
        <v>0</v>
      </c>
      <c r="BL49" s="19">
        <f t="shared" ca="1" si="52"/>
        <v>0</v>
      </c>
      <c r="BM49" s="15">
        <f t="shared" ca="1" si="36"/>
        <v>197.5</v>
      </c>
      <c r="BN49" s="14">
        <f t="shared" si="46"/>
        <v>2019</v>
      </c>
      <c r="BO49" s="19">
        <f t="shared" ca="1" si="53"/>
        <v>0</v>
      </c>
      <c r="BP49" s="19">
        <f t="shared" ca="1" si="53"/>
        <v>0</v>
      </c>
      <c r="BQ49" s="19">
        <f t="shared" ca="1" si="53"/>
        <v>0</v>
      </c>
      <c r="BR49" s="19">
        <f t="shared" ca="1" si="53"/>
        <v>0</v>
      </c>
      <c r="BS49" s="19">
        <f t="shared" ca="1" si="53"/>
        <v>4.5999999999999996</v>
      </c>
      <c r="BT49" s="19">
        <f t="shared" ca="1" si="53"/>
        <v>34.4</v>
      </c>
      <c r="BU49" s="19">
        <f t="shared" ca="1" si="53"/>
        <v>163.30000000000001</v>
      </c>
      <c r="BV49" s="19">
        <f t="shared" ca="1" si="53"/>
        <v>111.4</v>
      </c>
      <c r="BW49" s="19">
        <f t="shared" ca="1" si="53"/>
        <v>39</v>
      </c>
      <c r="BX49" s="19">
        <f t="shared" ca="1" si="53"/>
        <v>5.8</v>
      </c>
      <c r="BY49" s="19">
        <f t="shared" ca="1" si="53"/>
        <v>0</v>
      </c>
      <c r="BZ49" s="19">
        <f t="shared" ca="1" si="53"/>
        <v>0</v>
      </c>
      <c r="CA49" s="14"/>
      <c r="CB49" s="14">
        <f t="shared" si="47"/>
        <v>2019</v>
      </c>
      <c r="CC49" s="19">
        <f t="shared" ca="1" si="54"/>
        <v>0</v>
      </c>
      <c r="CD49" s="19">
        <f t="shared" ca="1" si="54"/>
        <v>0</v>
      </c>
      <c r="CE49" s="19">
        <f t="shared" ca="1" si="54"/>
        <v>0</v>
      </c>
      <c r="CF49" s="19">
        <f t="shared" ca="1" si="54"/>
        <v>0</v>
      </c>
      <c r="CG49" s="19">
        <f t="shared" ca="1" si="54"/>
        <v>13.3</v>
      </c>
      <c r="CH49" s="19">
        <f t="shared" ca="1" si="54"/>
        <v>64</v>
      </c>
      <c r="CI49" s="19">
        <f t="shared" ca="1" si="54"/>
        <v>225.3</v>
      </c>
      <c r="CJ49" s="19">
        <f t="shared" ca="1" si="54"/>
        <v>173.4</v>
      </c>
      <c r="CK49" s="19">
        <f t="shared" ca="1" si="54"/>
        <v>80.2</v>
      </c>
      <c r="CL49" s="19">
        <f t="shared" ca="1" si="54"/>
        <v>9.9</v>
      </c>
      <c r="CM49" s="19">
        <f t="shared" ca="1" si="54"/>
        <v>0</v>
      </c>
      <c r="CN49" s="19">
        <f t="shared" ca="1" si="54"/>
        <v>0</v>
      </c>
      <c r="CO49" s="14"/>
      <c r="CP49" s="14">
        <f t="shared" si="48"/>
        <v>2019</v>
      </c>
      <c r="CQ49" s="19">
        <f t="shared" ca="1" si="55"/>
        <v>0</v>
      </c>
      <c r="CR49" s="19">
        <f t="shared" ca="1" si="55"/>
        <v>0</v>
      </c>
      <c r="CS49" s="19">
        <f t="shared" ca="1" si="55"/>
        <v>0</v>
      </c>
      <c r="CT49" s="19">
        <f t="shared" ca="1" si="55"/>
        <v>0.9</v>
      </c>
      <c r="CU49" s="19">
        <f t="shared" ca="1" si="55"/>
        <v>25.1</v>
      </c>
      <c r="CV49" s="19">
        <f t="shared" ca="1" si="55"/>
        <v>108.1</v>
      </c>
      <c r="CW49" s="19">
        <f t="shared" ca="1" si="55"/>
        <v>287.3</v>
      </c>
      <c r="CX49" s="19">
        <f t="shared" ca="1" si="55"/>
        <v>235.4</v>
      </c>
      <c r="CY49" s="19">
        <f t="shared" ca="1" si="55"/>
        <v>133.4</v>
      </c>
      <c r="CZ49" s="19">
        <f t="shared" ca="1" si="55"/>
        <v>18.3</v>
      </c>
      <c r="DA49" s="19">
        <f t="shared" ca="1" si="55"/>
        <v>0</v>
      </c>
      <c r="DB49" s="19">
        <f t="shared" ca="1" si="55"/>
        <v>0</v>
      </c>
      <c r="DC49" s="14"/>
      <c r="DD49" s="14">
        <f t="shared" si="49"/>
        <v>2019</v>
      </c>
      <c r="DE49" s="19">
        <f t="shared" ca="1" si="40"/>
        <v>0</v>
      </c>
      <c r="DF49" s="19">
        <f t="shared" ca="1" si="40"/>
        <v>0</v>
      </c>
      <c r="DG49" s="19">
        <f t="shared" ca="1" si="40"/>
        <v>0</v>
      </c>
      <c r="DH49" s="19">
        <f t="shared" ca="1" si="40"/>
        <v>6.4</v>
      </c>
      <c r="DI49" s="19">
        <f t="shared" ca="1" si="40"/>
        <v>50.3</v>
      </c>
      <c r="DJ49" s="19">
        <f t="shared" ca="1" si="40"/>
        <v>161.1</v>
      </c>
      <c r="DK49" s="19">
        <f t="shared" ca="1" si="40"/>
        <v>349.3</v>
      </c>
      <c r="DL49" s="19">
        <f t="shared" ca="1" si="40"/>
        <v>297.39999999999998</v>
      </c>
      <c r="DM49" s="19">
        <f t="shared" ca="1" si="40"/>
        <v>193.2</v>
      </c>
      <c r="DN49" s="19">
        <f t="shared" ca="1" si="40"/>
        <v>40.9</v>
      </c>
      <c r="DO49" s="19">
        <f t="shared" ca="1" si="40"/>
        <v>0</v>
      </c>
      <c r="DP49" s="19">
        <f t="shared" ca="1" si="40"/>
        <v>0</v>
      </c>
      <c r="DQ49" s="14"/>
      <c r="DR49" s="14">
        <f t="shared" si="50"/>
        <v>2019</v>
      </c>
      <c r="DS49" s="19">
        <f t="shared" ca="1" si="41"/>
        <v>0</v>
      </c>
      <c r="DT49" s="19">
        <f t="shared" ca="1" si="41"/>
        <v>0.5</v>
      </c>
      <c r="DU49" s="19">
        <f t="shared" ca="1" si="41"/>
        <v>0</v>
      </c>
      <c r="DV49" s="19">
        <f t="shared" ca="1" si="41"/>
        <v>18.100000000000001</v>
      </c>
      <c r="DW49" s="19">
        <f t="shared" ca="1" si="41"/>
        <v>90.8</v>
      </c>
      <c r="DX49" s="19">
        <f t="shared" ca="1" si="41"/>
        <v>220.8</v>
      </c>
      <c r="DY49" s="19">
        <f t="shared" ca="1" si="41"/>
        <v>411.3</v>
      </c>
      <c r="DZ49" s="19">
        <f t="shared" ca="1" si="41"/>
        <v>359.4</v>
      </c>
      <c r="EA49" s="19">
        <f t="shared" ca="1" si="41"/>
        <v>253.2</v>
      </c>
      <c r="EB49" s="19">
        <f t="shared" ca="1" si="41"/>
        <v>76.099999999999994</v>
      </c>
      <c r="EC49" s="19">
        <f t="shared" ca="1" si="41"/>
        <v>0</v>
      </c>
      <c r="ED49" s="19">
        <f t="shared" ca="1" si="41"/>
        <v>0</v>
      </c>
      <c r="EE49" s="14"/>
    </row>
    <row r="50" spans="1:135">
      <c r="A50">
        <v>2006</v>
      </c>
      <c r="B50">
        <v>1</v>
      </c>
      <c r="C50" s="11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4">
        <f t="shared" si="42"/>
        <v>2020</v>
      </c>
      <c r="Y50" s="19">
        <f t="shared" ca="1" si="43"/>
        <v>0</v>
      </c>
      <c r="Z50" s="19">
        <f t="shared" ca="1" si="43"/>
        <v>0</v>
      </c>
      <c r="AA50" s="19">
        <f t="shared" ca="1" si="43"/>
        <v>0</v>
      </c>
      <c r="AB50" s="19">
        <f t="shared" ca="1" si="43"/>
        <v>0</v>
      </c>
      <c r="AC50" s="19">
        <f t="shared" ca="1" si="43"/>
        <v>4.3</v>
      </c>
      <c r="AD50" s="19">
        <f t="shared" ca="1" si="43"/>
        <v>7.8</v>
      </c>
      <c r="AE50" s="19">
        <f t="shared" ca="1" si="43"/>
        <v>40</v>
      </c>
      <c r="AF50" s="19">
        <f t="shared" ca="1" si="43"/>
        <v>15.7</v>
      </c>
      <c r="AG50" s="19">
        <f t="shared" ca="1" si="43"/>
        <v>0.4</v>
      </c>
      <c r="AH50" s="19">
        <f t="shared" ca="1" si="43"/>
        <v>0</v>
      </c>
      <c r="AI50" s="19">
        <f t="shared" ca="1" si="43"/>
        <v>0</v>
      </c>
      <c r="AJ50" s="19">
        <f t="shared" ca="1" si="43"/>
        <v>0</v>
      </c>
      <c r="AK50" s="14"/>
      <c r="AL50" s="14">
        <f t="shared" si="44"/>
        <v>2020</v>
      </c>
      <c r="AM50" s="19">
        <f t="shared" ca="1" si="51"/>
        <v>0</v>
      </c>
      <c r="AN50" s="19">
        <f t="shared" ca="1" si="51"/>
        <v>0</v>
      </c>
      <c r="AO50" s="19">
        <f t="shared" ca="1" si="51"/>
        <v>0</v>
      </c>
      <c r="AP50" s="19">
        <f t="shared" ca="1" si="51"/>
        <v>0</v>
      </c>
      <c r="AQ50" s="19">
        <f t="shared" ca="1" si="51"/>
        <v>11.4</v>
      </c>
      <c r="AR50" s="19">
        <f t="shared" ca="1" si="51"/>
        <v>21.2</v>
      </c>
      <c r="AS50" s="19">
        <f t="shared" ca="1" si="51"/>
        <v>80.2</v>
      </c>
      <c r="AT50" s="19">
        <f t="shared" ca="1" si="51"/>
        <v>38.299999999999997</v>
      </c>
      <c r="AU50" s="19">
        <f t="shared" ca="1" si="51"/>
        <v>6.9</v>
      </c>
      <c r="AV50" s="19">
        <f t="shared" ca="1" si="51"/>
        <v>0</v>
      </c>
      <c r="AW50" s="19">
        <f t="shared" ca="1" si="51"/>
        <v>1.8</v>
      </c>
      <c r="AX50" s="19">
        <f t="shared" ca="1" si="51"/>
        <v>0</v>
      </c>
      <c r="AY50" s="15"/>
      <c r="AZ50" s="14">
        <f t="shared" si="45"/>
        <v>2020</v>
      </c>
      <c r="BA50" s="19">
        <f t="shared" ca="1" si="52"/>
        <v>0</v>
      </c>
      <c r="BB50" s="19">
        <f t="shared" ca="1" si="52"/>
        <v>0</v>
      </c>
      <c r="BC50" s="19">
        <f t="shared" ca="1" si="52"/>
        <v>0</v>
      </c>
      <c r="BD50" s="19">
        <f t="shared" ca="1" si="52"/>
        <v>0</v>
      </c>
      <c r="BE50" s="19">
        <f t="shared" ca="1" si="52"/>
        <v>19.399999999999999</v>
      </c>
      <c r="BF50" s="19">
        <f t="shared" ca="1" si="52"/>
        <v>45.2</v>
      </c>
      <c r="BG50" s="19">
        <f t="shared" ca="1" si="52"/>
        <v>139.4</v>
      </c>
      <c r="BH50" s="19">
        <f t="shared" ca="1" si="52"/>
        <v>81.3</v>
      </c>
      <c r="BI50" s="19">
        <f t="shared" ca="1" si="52"/>
        <v>23</v>
      </c>
      <c r="BJ50" s="19">
        <f t="shared" ca="1" si="52"/>
        <v>0</v>
      </c>
      <c r="BK50" s="19">
        <f t="shared" ca="1" si="52"/>
        <v>5.4</v>
      </c>
      <c r="BL50" s="19">
        <f t="shared" ca="1" si="52"/>
        <v>0</v>
      </c>
      <c r="BM50" s="15">
        <f t="shared" ca="1" si="36"/>
        <v>313.7</v>
      </c>
      <c r="BN50" s="14">
        <f t="shared" si="46"/>
        <v>2020</v>
      </c>
      <c r="BO50" s="19">
        <f t="shared" ca="1" si="53"/>
        <v>0</v>
      </c>
      <c r="BP50" s="19">
        <f t="shared" ca="1" si="53"/>
        <v>0</v>
      </c>
      <c r="BQ50" s="19">
        <f t="shared" ca="1" si="53"/>
        <v>0</v>
      </c>
      <c r="BR50" s="19">
        <f t="shared" ca="1" si="53"/>
        <v>0</v>
      </c>
      <c r="BS50" s="19">
        <f t="shared" ca="1" si="53"/>
        <v>28.5</v>
      </c>
      <c r="BT50" s="19">
        <f t="shared" ca="1" si="53"/>
        <v>78.8</v>
      </c>
      <c r="BU50" s="19">
        <f t="shared" ca="1" si="53"/>
        <v>201.4</v>
      </c>
      <c r="BV50" s="19">
        <f t="shared" ca="1" si="53"/>
        <v>138</v>
      </c>
      <c r="BW50" s="19">
        <f t="shared" ca="1" si="53"/>
        <v>45.6</v>
      </c>
      <c r="BX50" s="19">
        <f t="shared" ca="1" si="53"/>
        <v>0.2</v>
      </c>
      <c r="BY50" s="19">
        <f t="shared" ca="1" si="53"/>
        <v>13.2</v>
      </c>
      <c r="BZ50" s="19">
        <f t="shared" ca="1" si="53"/>
        <v>0</v>
      </c>
      <c r="CA50" s="14"/>
      <c r="CB50" s="14">
        <f t="shared" si="47"/>
        <v>2020</v>
      </c>
      <c r="CC50" s="19">
        <f t="shared" ca="1" si="54"/>
        <v>0</v>
      </c>
      <c r="CD50" s="19">
        <f t="shared" ca="1" si="54"/>
        <v>0</v>
      </c>
      <c r="CE50" s="19">
        <f t="shared" ca="1" si="54"/>
        <v>0</v>
      </c>
      <c r="CF50" s="19">
        <f t="shared" ca="1" si="54"/>
        <v>0</v>
      </c>
      <c r="CG50" s="19">
        <f t="shared" ca="1" si="54"/>
        <v>40.6</v>
      </c>
      <c r="CH50" s="19">
        <f t="shared" ca="1" si="54"/>
        <v>124</v>
      </c>
      <c r="CI50" s="19">
        <f t="shared" ca="1" si="54"/>
        <v>263.39999999999998</v>
      </c>
      <c r="CJ50" s="19">
        <f t="shared" ca="1" si="54"/>
        <v>199.3</v>
      </c>
      <c r="CK50" s="19">
        <f t="shared" ca="1" si="54"/>
        <v>80.099999999999994</v>
      </c>
      <c r="CL50" s="19">
        <f t="shared" ca="1" si="54"/>
        <v>3.4</v>
      </c>
      <c r="CM50" s="19">
        <f t="shared" ca="1" si="54"/>
        <v>25.2</v>
      </c>
      <c r="CN50" s="19">
        <f t="shared" ca="1" si="54"/>
        <v>0</v>
      </c>
      <c r="CO50" s="14"/>
      <c r="CP50" s="14">
        <f t="shared" si="48"/>
        <v>2020</v>
      </c>
      <c r="CQ50" s="19">
        <f t="shared" ca="1" si="55"/>
        <v>0</v>
      </c>
      <c r="CR50" s="19">
        <f t="shared" ca="1" si="55"/>
        <v>0</v>
      </c>
      <c r="CS50" s="19">
        <f t="shared" ca="1" si="55"/>
        <v>0</v>
      </c>
      <c r="CT50" s="19">
        <f t="shared" ca="1" si="55"/>
        <v>0</v>
      </c>
      <c r="CU50" s="19">
        <f t="shared" ca="1" si="55"/>
        <v>61.4</v>
      </c>
      <c r="CV50" s="19">
        <f t="shared" ca="1" si="55"/>
        <v>173.7</v>
      </c>
      <c r="CW50" s="19">
        <f t="shared" ca="1" si="55"/>
        <v>325.39999999999998</v>
      </c>
      <c r="CX50" s="19">
        <f t="shared" ca="1" si="55"/>
        <v>261.3</v>
      </c>
      <c r="CY50" s="19">
        <f t="shared" ca="1" si="55"/>
        <v>126.5</v>
      </c>
      <c r="CZ50" s="19">
        <f t="shared" ca="1" si="55"/>
        <v>14.2</v>
      </c>
      <c r="DA50" s="19">
        <f t="shared" ca="1" si="55"/>
        <v>39.9</v>
      </c>
      <c r="DB50" s="19">
        <f t="shared" ca="1" si="55"/>
        <v>0</v>
      </c>
      <c r="DC50" s="14"/>
      <c r="DD50" s="14">
        <f t="shared" si="49"/>
        <v>2020</v>
      </c>
      <c r="DE50" s="19">
        <f t="shared" ca="1" si="40"/>
        <v>0</v>
      </c>
      <c r="DF50" s="19">
        <f t="shared" ca="1" si="40"/>
        <v>0</v>
      </c>
      <c r="DG50" s="19">
        <f t="shared" ca="1" si="40"/>
        <v>3.2</v>
      </c>
      <c r="DH50" s="19">
        <f t="shared" ca="1" si="40"/>
        <v>2.5</v>
      </c>
      <c r="DI50" s="19">
        <f t="shared" ca="1" si="40"/>
        <v>90</v>
      </c>
      <c r="DJ50" s="19">
        <f t="shared" ca="1" si="40"/>
        <v>229.1</v>
      </c>
      <c r="DK50" s="19">
        <f t="shared" ca="1" si="40"/>
        <v>387.4</v>
      </c>
      <c r="DL50" s="19">
        <f t="shared" ca="1" si="40"/>
        <v>323.3</v>
      </c>
      <c r="DM50" s="19">
        <f t="shared" ca="1" si="40"/>
        <v>180.8</v>
      </c>
      <c r="DN50" s="19">
        <f t="shared" ca="1" si="40"/>
        <v>35.1</v>
      </c>
      <c r="DO50" s="19">
        <f t="shared" ca="1" si="40"/>
        <v>57</v>
      </c>
      <c r="DP50" s="19">
        <f t="shared" ca="1" si="40"/>
        <v>0</v>
      </c>
      <c r="DQ50" s="14"/>
      <c r="DR50" s="14">
        <f t="shared" si="50"/>
        <v>2020</v>
      </c>
      <c r="DS50" s="19">
        <f t="shared" ca="1" si="41"/>
        <v>0</v>
      </c>
      <c r="DT50" s="19">
        <f t="shared" ca="1" si="41"/>
        <v>0</v>
      </c>
      <c r="DU50" s="19">
        <f t="shared" ca="1" si="41"/>
        <v>7.2</v>
      </c>
      <c r="DV50" s="19">
        <f t="shared" ca="1" si="41"/>
        <v>10.6</v>
      </c>
      <c r="DW50" s="19">
        <f t="shared" ca="1" si="41"/>
        <v>126</v>
      </c>
      <c r="DX50" s="19">
        <f t="shared" ca="1" si="41"/>
        <v>289.10000000000002</v>
      </c>
      <c r="DY50" s="19">
        <f t="shared" ca="1" si="41"/>
        <v>449.4</v>
      </c>
      <c r="DZ50" s="19">
        <f t="shared" ca="1" si="41"/>
        <v>385.3</v>
      </c>
      <c r="EA50" s="19">
        <f t="shared" ca="1" si="41"/>
        <v>238.4</v>
      </c>
      <c r="EB50" s="19">
        <f t="shared" ca="1" si="41"/>
        <v>65.900000000000006</v>
      </c>
      <c r="EC50" s="19">
        <f t="shared" ca="1" si="41"/>
        <v>77</v>
      </c>
      <c r="ED50" s="19">
        <f t="shared" ca="1" si="41"/>
        <v>0</v>
      </c>
      <c r="EE50" s="14"/>
    </row>
    <row r="51" spans="1:135">
      <c r="A51">
        <v>2006</v>
      </c>
      <c r="B51">
        <v>2</v>
      </c>
      <c r="C51" s="11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4">
        <f t="shared" si="42"/>
        <v>2021</v>
      </c>
      <c r="Y51" s="19">
        <f t="shared" ca="1" si="43"/>
        <v>0</v>
      </c>
      <c r="Z51" s="19">
        <f t="shared" ca="1" si="43"/>
        <v>0</v>
      </c>
      <c r="AA51" s="19">
        <f t="shared" ca="1" si="43"/>
        <v>0</v>
      </c>
      <c r="AB51" s="19">
        <f t="shared" ca="1" si="43"/>
        <v>0</v>
      </c>
      <c r="AC51" s="19">
        <f t="shared" ca="1" si="43"/>
        <v>2.7</v>
      </c>
      <c r="AD51" s="19">
        <f t="shared" ca="1" si="43"/>
        <v>21.7</v>
      </c>
      <c r="AE51" s="19">
        <f t="shared" ca="1" si="43"/>
        <v>12.8</v>
      </c>
      <c r="AF51" s="19">
        <f t="shared" ca="1" si="43"/>
        <v>39.299999999999997</v>
      </c>
      <c r="AG51" s="19">
        <f t="shared" ca="1" si="43"/>
        <v>0</v>
      </c>
      <c r="AH51" s="19">
        <f t="shared" ca="1" si="43"/>
        <v>0.4</v>
      </c>
      <c r="AI51" s="19">
        <f t="shared" ca="1" si="43"/>
        <v>0</v>
      </c>
      <c r="AJ51" s="19">
        <f t="shared" ca="1" si="43"/>
        <v>0</v>
      </c>
      <c r="AK51" s="14"/>
      <c r="AL51" s="14">
        <f t="shared" si="44"/>
        <v>2021</v>
      </c>
      <c r="AM51" s="19">
        <f t="shared" ca="1" si="51"/>
        <v>0</v>
      </c>
      <c r="AN51" s="19">
        <f t="shared" ca="1" si="51"/>
        <v>0</v>
      </c>
      <c r="AO51" s="19">
        <f t="shared" ca="1" si="51"/>
        <v>0</v>
      </c>
      <c r="AP51" s="19">
        <f t="shared" ca="1" si="51"/>
        <v>0</v>
      </c>
      <c r="AQ51" s="19">
        <f t="shared" ca="1" si="51"/>
        <v>8.4</v>
      </c>
      <c r="AR51" s="19">
        <f t="shared" ca="1" si="51"/>
        <v>47.9</v>
      </c>
      <c r="AS51" s="19">
        <f t="shared" ca="1" si="51"/>
        <v>31</v>
      </c>
      <c r="AT51" s="19">
        <f t="shared" ca="1" si="51"/>
        <v>79.2</v>
      </c>
      <c r="AU51" s="19">
        <f t="shared" ca="1" si="51"/>
        <v>3.9</v>
      </c>
      <c r="AV51" s="19">
        <f t="shared" ca="1" si="51"/>
        <v>3.8</v>
      </c>
      <c r="AW51" s="19">
        <f t="shared" ca="1" si="51"/>
        <v>0</v>
      </c>
      <c r="AX51" s="19">
        <f t="shared" ca="1" si="51"/>
        <v>0</v>
      </c>
      <c r="AY51" s="15"/>
      <c r="AZ51" s="14">
        <f t="shared" si="45"/>
        <v>2021</v>
      </c>
      <c r="BA51" s="19">
        <f t="shared" ca="1" si="52"/>
        <v>0</v>
      </c>
      <c r="BB51" s="19">
        <f t="shared" ca="1" si="52"/>
        <v>0</v>
      </c>
      <c r="BC51" s="19">
        <f t="shared" ca="1" si="52"/>
        <v>0</v>
      </c>
      <c r="BD51" s="19">
        <f t="shared" ca="1" si="52"/>
        <v>0.3</v>
      </c>
      <c r="BE51" s="19">
        <f t="shared" ca="1" si="52"/>
        <v>16</v>
      </c>
      <c r="BF51" s="19">
        <f t="shared" ca="1" si="52"/>
        <v>83</v>
      </c>
      <c r="BG51" s="19">
        <f t="shared" ca="1" si="52"/>
        <v>63.2</v>
      </c>
      <c r="BH51" s="19">
        <f t="shared" ca="1" si="52"/>
        <v>131.19999999999999</v>
      </c>
      <c r="BI51" s="19">
        <f t="shared" ca="1" si="52"/>
        <v>18.899999999999999</v>
      </c>
      <c r="BJ51" s="19">
        <f t="shared" ca="1" si="52"/>
        <v>14.2</v>
      </c>
      <c r="BK51" s="19">
        <f t="shared" ca="1" si="52"/>
        <v>0</v>
      </c>
      <c r="BL51" s="19">
        <f t="shared" ca="1" si="52"/>
        <v>0</v>
      </c>
      <c r="BM51" s="15">
        <f t="shared" ref="BM51" ca="1" si="56">SUM(BA51:BL51)</f>
        <v>326.79999999999995</v>
      </c>
      <c r="BN51" s="14">
        <f t="shared" si="46"/>
        <v>2021</v>
      </c>
      <c r="BO51" s="19">
        <f t="shared" ca="1" si="53"/>
        <v>0</v>
      </c>
      <c r="BP51" s="19">
        <f t="shared" ca="1" si="53"/>
        <v>0</v>
      </c>
      <c r="BQ51" s="19">
        <f t="shared" ca="1" si="53"/>
        <v>0</v>
      </c>
      <c r="BR51" s="19">
        <f t="shared" ca="1" si="53"/>
        <v>3.8</v>
      </c>
      <c r="BS51" s="19">
        <f t="shared" ca="1" si="53"/>
        <v>26.2</v>
      </c>
      <c r="BT51" s="19">
        <f t="shared" ca="1" si="53"/>
        <v>127.6</v>
      </c>
      <c r="BU51" s="19">
        <f t="shared" ca="1" si="53"/>
        <v>113.3</v>
      </c>
      <c r="BV51" s="19">
        <f t="shared" ca="1" si="53"/>
        <v>189.9</v>
      </c>
      <c r="BW51" s="19">
        <f t="shared" ca="1" si="53"/>
        <v>47.9</v>
      </c>
      <c r="BX51" s="19">
        <f t="shared" ca="1" si="53"/>
        <v>35.299999999999997</v>
      </c>
      <c r="BY51" s="19">
        <f t="shared" ca="1" si="53"/>
        <v>0</v>
      </c>
      <c r="BZ51" s="19">
        <f t="shared" ca="1" si="53"/>
        <v>0</v>
      </c>
      <c r="CA51" s="14"/>
      <c r="CB51" s="14">
        <f t="shared" si="47"/>
        <v>2021</v>
      </c>
      <c r="CC51" s="19">
        <f t="shared" ca="1" si="54"/>
        <v>0</v>
      </c>
      <c r="CD51" s="19">
        <f t="shared" ca="1" si="54"/>
        <v>0</v>
      </c>
      <c r="CE51" s="19">
        <f t="shared" ca="1" si="54"/>
        <v>2.4</v>
      </c>
      <c r="CF51" s="19">
        <f t="shared" ca="1" si="54"/>
        <v>10.8</v>
      </c>
      <c r="CG51" s="19">
        <f t="shared" ca="1" si="54"/>
        <v>42.6</v>
      </c>
      <c r="CH51" s="19">
        <f t="shared" ca="1" si="54"/>
        <v>181.9</v>
      </c>
      <c r="CI51" s="19">
        <f t="shared" ca="1" si="54"/>
        <v>173</v>
      </c>
      <c r="CJ51" s="19">
        <f t="shared" ca="1" si="54"/>
        <v>251.7</v>
      </c>
      <c r="CK51" s="19">
        <f t="shared" ca="1" si="54"/>
        <v>92.1</v>
      </c>
      <c r="CL51" s="19">
        <f t="shared" ca="1" si="54"/>
        <v>66.8</v>
      </c>
      <c r="CM51" s="19">
        <f t="shared" ca="1" si="54"/>
        <v>0.1</v>
      </c>
      <c r="CN51" s="19">
        <f t="shared" ca="1" si="54"/>
        <v>0</v>
      </c>
      <c r="CO51" s="14"/>
      <c r="CP51" s="14">
        <f t="shared" si="48"/>
        <v>2021</v>
      </c>
      <c r="CQ51" s="19">
        <f t="shared" ca="1" si="55"/>
        <v>0</v>
      </c>
      <c r="CR51" s="19">
        <f t="shared" ca="1" si="55"/>
        <v>0</v>
      </c>
      <c r="CS51" s="19">
        <f t="shared" ca="1" si="55"/>
        <v>6.4</v>
      </c>
      <c r="CT51" s="19">
        <f t="shared" ca="1" si="55"/>
        <v>20.6</v>
      </c>
      <c r="CU51" s="19">
        <f t="shared" ca="1" si="55"/>
        <v>65.2</v>
      </c>
      <c r="CV51" s="19">
        <f t="shared" ca="1" si="55"/>
        <v>240.3</v>
      </c>
      <c r="CW51" s="19">
        <f t="shared" ca="1" si="55"/>
        <v>235</v>
      </c>
      <c r="CX51" s="19">
        <f t="shared" ca="1" si="55"/>
        <v>313.7</v>
      </c>
      <c r="CY51" s="19">
        <f t="shared" ca="1" si="55"/>
        <v>146.69999999999999</v>
      </c>
      <c r="CZ51" s="19">
        <f t="shared" ca="1" si="55"/>
        <v>102.9</v>
      </c>
      <c r="DA51" s="19">
        <f t="shared" ca="1" si="55"/>
        <v>2.1</v>
      </c>
      <c r="DB51" s="19">
        <f t="shared" ca="1" si="55"/>
        <v>0</v>
      </c>
      <c r="DC51" s="14"/>
      <c r="DD51" s="14">
        <f t="shared" si="49"/>
        <v>2021</v>
      </c>
      <c r="DE51" s="19">
        <f t="shared" ca="1" si="40"/>
        <v>0</v>
      </c>
      <c r="DF51" s="19">
        <f t="shared" ca="1" si="40"/>
        <v>0</v>
      </c>
      <c r="DG51" s="19">
        <f t="shared" ca="1" si="40"/>
        <v>13.9</v>
      </c>
      <c r="DH51" s="19">
        <f t="shared" ca="1" si="40"/>
        <v>35.4</v>
      </c>
      <c r="DI51" s="19">
        <f t="shared" ca="1" si="40"/>
        <v>93.3</v>
      </c>
      <c r="DJ51" s="19">
        <f t="shared" ca="1" si="40"/>
        <v>300.3</v>
      </c>
      <c r="DK51" s="19">
        <f t="shared" ca="1" si="40"/>
        <v>297</v>
      </c>
      <c r="DL51" s="19">
        <f t="shared" ca="1" si="40"/>
        <v>375.7</v>
      </c>
      <c r="DM51" s="19">
        <f t="shared" ca="1" si="40"/>
        <v>206</v>
      </c>
      <c r="DN51" s="19">
        <f t="shared" ca="1" si="40"/>
        <v>143.6</v>
      </c>
      <c r="DO51" s="19">
        <f t="shared" ca="1" si="40"/>
        <v>5.0999999999999996</v>
      </c>
      <c r="DP51" s="19">
        <f t="shared" ca="1" si="40"/>
        <v>1.2</v>
      </c>
      <c r="DQ51" s="14"/>
      <c r="DR51" s="14">
        <f t="shared" si="50"/>
        <v>2021</v>
      </c>
      <c r="DS51" s="19">
        <f t="shared" ca="1" si="41"/>
        <v>0</v>
      </c>
      <c r="DT51" s="19">
        <f t="shared" ca="1" si="41"/>
        <v>0</v>
      </c>
      <c r="DU51" s="19">
        <f t="shared" ca="1" si="41"/>
        <v>27.8</v>
      </c>
      <c r="DV51" s="19">
        <f t="shared" ca="1" si="41"/>
        <v>57.1</v>
      </c>
      <c r="DW51" s="19">
        <f t="shared" ca="1" si="41"/>
        <v>133</v>
      </c>
      <c r="DX51" s="19">
        <f t="shared" ca="1" si="41"/>
        <v>360.3</v>
      </c>
      <c r="DY51" s="19">
        <f t="shared" ca="1" si="41"/>
        <v>359</v>
      </c>
      <c r="DZ51" s="19">
        <f t="shared" ca="1" si="41"/>
        <v>437.7</v>
      </c>
      <c r="EA51" s="19">
        <f t="shared" ca="1" si="41"/>
        <v>266</v>
      </c>
      <c r="EB51" s="19">
        <f t="shared" ca="1" si="41"/>
        <v>191.2</v>
      </c>
      <c r="EC51" s="19">
        <f t="shared" ca="1" si="41"/>
        <v>9.8000000000000007</v>
      </c>
      <c r="ED51" s="19">
        <f t="shared" ca="1" si="41"/>
        <v>3.7</v>
      </c>
      <c r="EE51" s="14"/>
    </row>
    <row r="52" spans="1:135" ht="15">
      <c r="A52">
        <v>2006</v>
      </c>
      <c r="B52">
        <v>3</v>
      </c>
      <c r="C52" s="11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16">
        <f>X51+1</f>
        <v>2022</v>
      </c>
      <c r="Y52" s="20">
        <f ca="1">MAX(TREND(Y$32:Y$51,X$32:X$51,X52),0)</f>
        <v>0</v>
      </c>
      <c r="Z52" s="20">
        <f ca="1">MAX(TREND(Z$32:Z$51,X$32:X$51,X52),0)</f>
        <v>0</v>
      </c>
      <c r="AA52" s="20">
        <f ca="1">MAX(TREND(AA$32:AA$51,X$32:X$51,X52),0)</f>
        <v>0</v>
      </c>
      <c r="AB52" s="20">
        <f ca="1">MAX(TREND(AB$32:AB$51,X$32:X$51,X52),0)</f>
        <v>0</v>
      </c>
      <c r="AC52" s="20">
        <f ca="1">MAX(TREND(AC$32:AC$51,X$32:X$51,X52),0)</f>
        <v>4.0084210526316042</v>
      </c>
      <c r="AD52" s="20">
        <f ca="1">MAX(TREND(AD$32:AD$51,X$32:X$51,X52),0)</f>
        <v>6.6999999999999318</v>
      </c>
      <c r="AE52" s="20">
        <f ca="1">MAX(TREND(AE$32:AE$51,X$32:X$51,X52),0)</f>
        <v>21.430000000000064</v>
      </c>
      <c r="AF52" s="20">
        <f ca="1">MAX(TREND(AF$32:AF$51,X$32:X$51,X52),0)</f>
        <v>17.139999999999986</v>
      </c>
      <c r="AG52" s="20">
        <f ca="1">MAX(TREND(AG$32:AG$51,X$32:X$51,X52),0)</f>
        <v>3.7773684210526426</v>
      </c>
      <c r="AH52" s="20">
        <f ca="1">MAX(TREND(AH$32:AH$51,X$32:X$51,X52),0)</f>
        <v>0.29105263157894967</v>
      </c>
      <c r="AI52" s="20">
        <f ca="1">MAX(TREND(AI$32:AI$51,X$32:X$51,X52),0)</f>
        <v>0</v>
      </c>
      <c r="AJ52" s="20">
        <f ca="1">MAX(TREND(AJ$32:AJ$51,X$32:X$51,X52),0)</f>
        <v>0</v>
      </c>
      <c r="AK52" s="14"/>
      <c r="AL52" s="16">
        <f>AL51+1</f>
        <v>2022</v>
      </c>
      <c r="AM52" s="20">
        <f ca="1">MAX(TREND(AM$32:AM$51,AL$32:AL$51,AL52),0)</f>
        <v>0</v>
      </c>
      <c r="AN52" s="20">
        <f ca="1">MAX(TREND(AN$32:AN$51,AL$32:AL$51,AL52),0)</f>
        <v>0</v>
      </c>
      <c r="AO52" s="20">
        <f ca="1">MAX(TREND(AO$32:AO$51,AL$32:AL$51,AL52),0)</f>
        <v>0</v>
      </c>
      <c r="AP52" s="20">
        <f ca="1">MAX(TREND(AP$32:AP$51,AL$32:AL$51,AL52),0)</f>
        <v>0</v>
      </c>
      <c r="AQ52" s="20">
        <f ca="1">MAX(TREND(AQ$32:AQ$51,AL$32:AL$51,AL52),0)</f>
        <v>10.225263157894801</v>
      </c>
      <c r="AR52" s="20">
        <f ca="1">MAX(TREND(AR$32:AR$51,AL$32:AL$51,AL52),0)</f>
        <v>18.433157894736837</v>
      </c>
      <c r="AS52" s="20">
        <f ca="1">MAX(TREND(AS$32:AS$51,AL$32:AL$51,AL52),0)</f>
        <v>49</v>
      </c>
      <c r="AT52" s="20">
        <f ca="1">MAX(TREND(AT$32:AT$51,AL$32:AL$51,AL52),0)</f>
        <v>44.803684210526342</v>
      </c>
      <c r="AU52" s="20">
        <f ca="1">MAX(TREND(AU$32:AU$51,AL$32:AL$51,AL52),0)</f>
        <v>11.538947368421077</v>
      </c>
      <c r="AV52" s="20">
        <f ca="1">MAX(TREND(AV$32:AV$51,AL$32:AL$51,AL52),0)</f>
        <v>1.2510526315789434</v>
      </c>
      <c r="AW52" s="20">
        <f ca="1">MAX(TREND(AW$32:AW$51,AL$32:AL$51,AL52),0)</f>
        <v>0.33157894736842053</v>
      </c>
      <c r="AX52" s="20">
        <f ca="1">MAX(TREND(AX$32:AX$51,AL$32:AL$51,AL52),0)</f>
        <v>0</v>
      </c>
      <c r="AY52" s="15"/>
      <c r="AZ52" s="16">
        <f>AZ51+1</f>
        <v>2022</v>
      </c>
      <c r="BA52" s="20">
        <f ca="1">MAX(TREND(BA$32:BA$51,AZ$32:AZ$51,AZ52),0)</f>
        <v>0</v>
      </c>
      <c r="BB52" s="20">
        <f ca="1">MAX(TREND(BB$32:BB$51,AZ$32:AZ$51,AZ52),0)</f>
        <v>0</v>
      </c>
      <c r="BC52" s="20">
        <f ca="1">MAX(TREND(BC$32:BC$51,AZ$32:AZ$51,AZ52),0)</f>
        <v>0.16210526315789497</v>
      </c>
      <c r="BD52" s="20">
        <f t="array" aca="1" ref="BD52" ca="1">TREND(BD$32:BD$51,AZ$32:AZ$51,AZ52)</f>
        <v>-1.3178947368421632</v>
      </c>
      <c r="BE52" s="20">
        <f ca="1">MAX(TREND(BE$32:BE$51,AZ$32:AZ$51,AZ52),0)</f>
        <v>19.581052631579041</v>
      </c>
      <c r="BF52" s="20">
        <f ca="1">MAX(TREND(BF$32:BF$51,AZ$32:AZ$51,AZ52),0)</f>
        <v>37.046842105263295</v>
      </c>
      <c r="BG52" s="20">
        <f ca="1">MAX(TREND(BG$32:BG$51,AZ$32:AZ$51,AZ52),0)</f>
        <v>92.682631578947394</v>
      </c>
      <c r="BH52" s="20">
        <f ca="1">MAX(TREND(BH$32:BH$51,AZ$32:AZ$51,AZ52),0)</f>
        <v>88.709473684210593</v>
      </c>
      <c r="BI52" s="20">
        <f ca="1">MAX(TREND(BI$32:BI$51,AZ$32:AZ$51,AZ52),0)</f>
        <v>27.929473684210507</v>
      </c>
      <c r="BJ52" s="20">
        <f ca="1">MAX(TREND(BJ$32:BJ$51,AZ$32:AZ$51,AZ52),0)</f>
        <v>4.7184210526315837</v>
      </c>
      <c r="BK52" s="20">
        <f ca="1">MAX(TREND(BK$32:BK$51,AZ$32:AZ$51,AZ52),0)</f>
        <v>1.1526315789473642</v>
      </c>
      <c r="BL52" s="20">
        <f ca="1">MAX(TREND(BL$32:BL$51,AZ$32:AZ$51,AZ52),0)</f>
        <v>0</v>
      </c>
      <c r="BM52" s="15">
        <f t="shared" ca="1" si="36"/>
        <v>270.66473684210553</v>
      </c>
      <c r="BN52" s="16">
        <f>BN51+1</f>
        <v>2022</v>
      </c>
      <c r="BO52" s="20">
        <f ca="1">MAX(TREND(BO$32:BO$51,BN$32:BN$51,BN52),0)</f>
        <v>0</v>
      </c>
      <c r="BP52" s="20">
        <f ca="1">MAX(TREND(BP$32:BP$51,BN$32:BN$51,BN52),0)</f>
        <v>0</v>
      </c>
      <c r="BQ52" s="20">
        <f ca="1">MAX(TREND(BQ$32:BQ$51,BN$32:BN$51,BN52),0)</f>
        <v>0.39368421052631497</v>
      </c>
      <c r="BR52" s="20">
        <f ca="1">MAX(TREND(BR$32:BR$51,BN$32:BN$51,BN52),0)</f>
        <v>0</v>
      </c>
      <c r="BS52" s="20">
        <f ca="1">MAX(TREND(BS$32:BS$51,BN$32:BN$51,BN52),0)</f>
        <v>33.213157894736923</v>
      </c>
      <c r="BT52" s="20">
        <f ca="1">MAX(TREND(BT$32:BT$51,BN$32:BN$51,BN52),0)</f>
        <v>65.03315789473686</v>
      </c>
      <c r="BU52" s="20">
        <f ca="1">MAX(TREND(BU$32:BU$51,BN$32:BN$51,BN52),0)</f>
        <v>147.73999999999978</v>
      </c>
      <c r="BV52" s="20">
        <f ca="1">MAX(TREND(BV$32:BV$51,BN$32:BN$51,BN52),0)</f>
        <v>144.39894736842098</v>
      </c>
      <c r="BW52" s="20">
        <f ca="1">MAX(TREND(BW$32:BW$51,BN$32:BN$51,BN52),0)</f>
        <v>52.741578947368453</v>
      </c>
      <c r="BX52" s="20">
        <f ca="1">MAX(TREND(BX$32:BX$51,BN$32:BN$51,BN52),0)</f>
        <v>12.624210526315807</v>
      </c>
      <c r="BY52" s="20">
        <f ca="1">MAX(TREND(BY$32:BY$51,BN$32:BN$51,BN52),0)</f>
        <v>2.8073684210526153</v>
      </c>
      <c r="BZ52" s="20">
        <f ca="1">MAX(TREND(BZ$32:BZ$51,BN$32:BN$51,BN52),0)</f>
        <v>0</v>
      </c>
      <c r="CA52" s="14"/>
      <c r="CB52" s="16">
        <f>CB51+1</f>
        <v>2022</v>
      </c>
      <c r="CC52" s="20">
        <f ca="1">MAX(TREND(CC$32:CC$51,CB$32:CB$51,CB52),0)</f>
        <v>0</v>
      </c>
      <c r="CD52" s="20">
        <f ca="1">MAX(TREND(CD$32:CD$51,CB$32:CB$51,CB52),0)</f>
        <v>0</v>
      </c>
      <c r="CE52" s="20">
        <f ca="1">MAX(TREND(CE$32:CE$51,CB$32:CB$51,CB52),0)</f>
        <v>1.1921052631578988</v>
      </c>
      <c r="CF52" s="20">
        <f ca="1">MAX(TREND(CF$32:CF$51,CB$32:CB$51,CB52),0)</f>
        <v>0</v>
      </c>
      <c r="CG52" s="20">
        <f ca="1">MAX(TREND(CG$32:CG$51,CB$32:CB$51,CB52),0)</f>
        <v>52.699473684210716</v>
      </c>
      <c r="CH52" s="20">
        <f ca="1">MAX(TREND(CH$32:CH$51,CB$32:CB$51,CB52),0)</f>
        <v>106.64210526315787</v>
      </c>
      <c r="CI52" s="20">
        <f ca="1">MAX(TREND(CI$32:CI$51,CB$32:CB$51,CB52),0)</f>
        <v>208.33684210526303</v>
      </c>
      <c r="CJ52" s="20">
        <f ca="1">MAX(TREND(CJ$32:CJ$51,CB$32:CB$51,CB52),0)</f>
        <v>204.82526315789482</v>
      </c>
      <c r="CK52" s="20">
        <f ca="1">MAX(TREND(CK$32:CK$51,CB$32:CB$51,CB52),0)</f>
        <v>89.382105263158337</v>
      </c>
      <c r="CL52" s="20">
        <f ca="1">MAX(TREND(CL$32:CL$51,CB$32:CB$51,CB52),0)</f>
        <v>27.653684210526308</v>
      </c>
      <c r="CM52" s="20">
        <f ca="1">MAX(TREND(CM$32:CM$51,CB$32:CB$51,CB52),0)</f>
        <v>5.5536842105262849</v>
      </c>
      <c r="CN52" s="20">
        <f ca="1">MAX(TREND(CN$32:CN$51,CB$32:CB$51,CB52),0)</f>
        <v>0</v>
      </c>
      <c r="CO52" s="14"/>
      <c r="CP52" s="16">
        <f>CP51+1</f>
        <v>2022</v>
      </c>
      <c r="CQ52" s="20">
        <f ca="1">MAX(TREND(CQ$32:CQ$51,CP$32:CP$51,CP52),0)</f>
        <v>0</v>
      </c>
      <c r="CR52" s="20">
        <f ca="1">MAX(TREND(CR$32:CR$51,CP$32:CP$51,CP52),0)</f>
        <v>0</v>
      </c>
      <c r="CS52" s="20">
        <f ca="1">MAX(TREND(CS$32:CS$51,CP$32:CP$51,CP52),0)</f>
        <v>2.7210526315789423</v>
      </c>
      <c r="CT52" s="20">
        <f ca="1">MAX(TREND(CT$32:CT$51,CP$32:CP$51,CP52),0)</f>
        <v>1.9615789473682526</v>
      </c>
      <c r="CU52" s="20">
        <f ca="1">MAX(TREND(CU$32:CU$51,CP$32:CP$51,CP52),0)</f>
        <v>78.49210526315801</v>
      </c>
      <c r="CV52" s="20">
        <f ca="1">MAX(TREND(CV$32:CV$51,CP$32:CP$51,CP52),0)</f>
        <v>157.73578947368424</v>
      </c>
      <c r="CW52" s="20">
        <f ca="1">MAX(TREND(CW$32:CW$51,CP$32:CP$51,CP52),0)</f>
        <v>270.33684210526303</v>
      </c>
      <c r="CX52" s="20">
        <f ca="1">MAX(TREND(CX$32:CX$51,CP$32:CP$51,CP52),0)</f>
        <v>266.71526315789481</v>
      </c>
      <c r="CY52" s="20">
        <f ca="1">MAX(TREND(CY$32:CY$51,CP$32:CP$51,CP52),0)</f>
        <v>137.95631578947359</v>
      </c>
      <c r="CZ52" s="20">
        <f ca="1">MAX(TREND(CZ$32:CZ$51,CP$32:CP$51,CP52),0)</f>
        <v>49.952631578947603</v>
      </c>
      <c r="DA52" s="20">
        <f ca="1">MAX(TREND(DA$32:DA$51,CP$32:CP$51,CP52),0)</f>
        <v>9.767894736842095</v>
      </c>
      <c r="DB52" s="20">
        <f ca="1">MAX(TREND(DB$32:DB$51,CP$32:CP$51,CP52),0)</f>
        <v>0</v>
      </c>
      <c r="DC52" s="14"/>
      <c r="DD52" s="16">
        <f>DD51+1</f>
        <v>2022</v>
      </c>
      <c r="DE52" s="20">
        <f ca="1">MAX(TREND(DE$32:DE$51,DD$32:DD$51,DD52),0)</f>
        <v>0</v>
      </c>
      <c r="DF52" s="20">
        <f ca="1">MAX(TREND(DF$32:DF$51,DD$32:DD$51,DD52),0)</f>
        <v>0</v>
      </c>
      <c r="DG52" s="20">
        <f ca="1">MAX(TREND(DG$32:DG$51,DD$32:DD$51,DD52),0)</f>
        <v>5.9768421052631311</v>
      </c>
      <c r="DH52" s="20">
        <f ca="1">MAX(TREND(DH$32:DH$51,DD$32:DD$51,DD52),0)</f>
        <v>8.4563157894735923</v>
      </c>
      <c r="DI52" s="20">
        <f ca="1">MAX(TREND(DI$32:DI$51,DD$32:DD$51,DD52),0)</f>
        <v>113.67000000000007</v>
      </c>
      <c r="DJ52" s="20">
        <f ca="1">MAX(TREND(DJ$32:DJ$51,DD$32:DD$51,DD52),0)</f>
        <v>214.79789473684195</v>
      </c>
      <c r="DK52" s="20">
        <f ca="1">MAX(TREND(DK$32:DK$51,DD$32:DD$51,DD52),0)</f>
        <v>332.33684210526303</v>
      </c>
      <c r="DL52" s="20">
        <f ca="1">MAX(TREND(DL$32:DL$51,DD$32:DD$51,DD52),0)</f>
        <v>328.71526315789481</v>
      </c>
      <c r="DM52" s="20">
        <f ca="1">MAX(TREND(DM$32:DM$51,DD$32:DD$51,DD52),0)</f>
        <v>194.15421052631609</v>
      </c>
      <c r="DN52" s="20">
        <f ca="1">MAX(TREND(DN$32:DN$51,DD$32:DD$51,DD52),0)</f>
        <v>79.846842105263022</v>
      </c>
      <c r="DO52" s="20">
        <f ca="1">MAX(TREND(DO$32:DO$51,DD$32:DD$51,DD52),0)</f>
        <v>16.799473684210398</v>
      </c>
      <c r="DP52" s="20">
        <f ca="1">MAX(TREND(DP$32:DP$51,DD$32:DD$51,DD52),0)</f>
        <v>0.4294736842105209</v>
      </c>
      <c r="DQ52" s="14"/>
      <c r="DR52" s="16">
        <f>DR51+1</f>
        <v>2022</v>
      </c>
      <c r="DS52" s="20">
        <f ca="1">MAX(TREND(DS$32:DS$51,DR$32:DR$51,DR52),0)</f>
        <v>0.39210526315789451</v>
      </c>
      <c r="DT52" s="20">
        <f ca="1">MAX(TREND(DT$32:DT$51,DR$32:DR$51,DR52),0)</f>
        <v>0.70842105263156441</v>
      </c>
      <c r="DU52" s="20">
        <f ca="1">MAX(TREND(DU$32:DU$51,DR$32:DR$51,DR52),0)</f>
        <v>10.853684210526353</v>
      </c>
      <c r="DV52" s="20">
        <f ca="1">MAX(TREND(DV$32:DV$51,DR$32:DR$51,DR52),0)</f>
        <v>20.901578947368307</v>
      </c>
      <c r="DW52" s="20">
        <f ca="1">MAX(TREND(DW$32:DW$51,DR$32:DR$51,DR52),0)</f>
        <v>158.34842105263169</v>
      </c>
      <c r="DX52" s="20">
        <f ca="1">MAX(TREND(DX$32:DX$51,DR$32:DR$51,DR52),0)</f>
        <v>274.747894736842</v>
      </c>
      <c r="DY52" s="20">
        <f ca="1">MAX(TREND(DY$32:DY$51,DR$32:DR$51,DR52),0)</f>
        <v>394.33684210526303</v>
      </c>
      <c r="DZ52" s="20">
        <f ca="1">MAX(TREND(DZ$32:DZ$51,DR$32:DR$51,DR52),0)</f>
        <v>390.71526315789492</v>
      </c>
      <c r="EA52" s="20">
        <f ca="1">MAX(TREND(EA$32:EA$51,DR$32:DR$51,DR52),0)</f>
        <v>252.94684210526293</v>
      </c>
      <c r="EB52" s="20">
        <f ca="1">MAX(TREND(EB$32:EB$51,DR$32:DR$51,DR52),0)</f>
        <v>118.29421052631596</v>
      </c>
      <c r="EC52" s="20">
        <f ca="1">MAX(TREND(EC$32:EC$51,DR$32:DR$51,DR52),0)</f>
        <v>26.398947368420977</v>
      </c>
      <c r="ED52" s="20">
        <f ca="1">MAX(TREND(ED$32:ED$51,DR$32:DR$51,DR52),0)</f>
        <v>1.6373684210526278</v>
      </c>
      <c r="EE52" s="14"/>
    </row>
    <row r="53" spans="1:135" ht="15">
      <c r="A53">
        <v>2006</v>
      </c>
      <c r="B53">
        <v>4</v>
      </c>
      <c r="C53" s="11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16">
        <f>X52+1</f>
        <v>2023</v>
      </c>
      <c r="Y53" s="20">
        <f ca="1">MAX(TREND(Y$32:Y$51,X$32:X$51,X53),0)</f>
        <v>0</v>
      </c>
      <c r="Z53" s="20">
        <f ca="1">MAX(TREND(Z$32:Z$51,X$32:X$51,X53),0)</f>
        <v>0</v>
      </c>
      <c r="AA53" s="20">
        <f ca="1">MAX(TREND(AA$32:AA$51,X$32:X$51,X53),0)</f>
        <v>0</v>
      </c>
      <c r="AB53" s="20">
        <f ca="1">MAX(TREND(AB$32:AB$51,X$32:X$51,X53),0)</f>
        <v>0</v>
      </c>
      <c r="AC53" s="20">
        <f ca="1">MAX(TREND(AC$32:AC$51,X$32:X$51,X53),0)</f>
        <v>4.1725563909774905</v>
      </c>
      <c r="AD53" s="20">
        <f ca="1">MAX(TREND(AD$32:AD$51,X$32:X$51,X53),0)</f>
        <v>6.3899999999999864</v>
      </c>
      <c r="AE53" s="20">
        <f ca="1">MAX(TREND(AE$32:AE$51,X$32:X$51,X53),0)</f>
        <v>20.948571428571427</v>
      </c>
      <c r="AF53" s="20">
        <f ca="1">MAX(TREND(AF$32:AF$51,X$32:X$51,X53),0)</f>
        <v>17.069999999999993</v>
      </c>
      <c r="AG53" s="20">
        <f ca="1">MAX(TREND(AG$32:AG$51,X$32:X$51,X53),0)</f>
        <v>3.4718796992482339</v>
      </c>
      <c r="AH53" s="20">
        <f ca="1">MAX(TREND(AH$32:AH$51,X$32:X$51,X53),0)</f>
        <v>0.26067669172932284</v>
      </c>
      <c r="AI53" s="20">
        <f ca="1">MAX(TREND(AI$32:AI$51,X$32:X$51,X53),0)</f>
        <v>0</v>
      </c>
      <c r="AJ53" s="20">
        <f ca="1">MAX(TREND(AJ$32:AJ$51,X$32:X$51,X53),0)</f>
        <v>0</v>
      </c>
      <c r="AK53" s="14"/>
      <c r="AL53" s="16">
        <f>AL52+1</f>
        <v>2023</v>
      </c>
      <c r="AM53" s="20">
        <f ca="1">MAX(TREND(AM$32:AM$51,AL$32:AL$51,AL53),0)</f>
        <v>0</v>
      </c>
      <c r="AN53" s="20">
        <f ca="1">MAX(TREND(AN$32:AN$51,AL$32:AL$51,AL53),0)</f>
        <v>0</v>
      </c>
      <c r="AO53" s="20">
        <f ca="1">MAX(TREND(AO$32:AO$51,AL$32:AL$51,AL53),0)</f>
        <v>0</v>
      </c>
      <c r="AP53" s="20">
        <f ca="1">MAX(TREND(AP$32:AP$51,AL$32:AL$51,AL53),0)</f>
        <v>0</v>
      </c>
      <c r="AQ53" s="20">
        <f ca="1">MAX(TREND(AQ$32:AQ$51,AL$32:AL$51,AL53),0)</f>
        <v>10.654812030075163</v>
      </c>
      <c r="AR53" s="20">
        <f ca="1">MAX(TREND(AR$32:AR$51,AL$32:AL$51,AL53),0)</f>
        <v>18.057744360902234</v>
      </c>
      <c r="AS53" s="20">
        <f ca="1">MAX(TREND(AS$32:AS$51,AL$32:AL$51,AL53),0)</f>
        <v>48.384285714285625</v>
      </c>
      <c r="AT53" s="20">
        <f ca="1">MAX(TREND(AT$32:AT$51,AL$32:AL$51,AL53),0)</f>
        <v>44.941654135338354</v>
      </c>
      <c r="AU53" s="20">
        <f ca="1">MAX(TREND(AU$32:AU$51,AL$32:AL$51,AL53),0)</f>
        <v>11.039323308270696</v>
      </c>
      <c r="AV53" s="20">
        <f ca="1">MAX(TREND(AV$32:AV$51,AL$32:AL$51,AL53),0)</f>
        <v>1.1806766917293317</v>
      </c>
      <c r="AW53" s="20">
        <f ca="1">MAX(TREND(AW$32:AW$51,AL$32:AL$51,AL53),0)</f>
        <v>0.354586466165415</v>
      </c>
      <c r="AX53" s="20">
        <f ca="1">MAX(TREND(AX$32:AX$51,AL$32:AL$51,AL53),0)</f>
        <v>0</v>
      </c>
      <c r="AY53" s="15"/>
      <c r="AZ53" s="16">
        <f>AZ52+1</f>
        <v>2023</v>
      </c>
      <c r="BA53" s="20">
        <f ca="1">MAX(TREND(BA$32:BA$51,AZ$32:AZ$51,AZ53),0)</f>
        <v>0</v>
      </c>
      <c r="BB53" s="20">
        <f ca="1">MAX(TREND(BB$32:BB$51,AZ$32:AZ$51,AZ53),0)</f>
        <v>0</v>
      </c>
      <c r="BC53" s="20">
        <f ca="1">MAX(TREND(BC$32:BC$51,AZ$32:AZ$51,AZ53),0)</f>
        <v>0.16421052631578981</v>
      </c>
      <c r="BD53" s="20">
        <f ca="1">MAX(TREND(BD$32:BD$51,AZ$32:AZ$51,AZ53),0)</f>
        <v>0</v>
      </c>
      <c r="BE53" s="20">
        <f ca="1">MAX(TREND(BE$32:BE$51,AZ$32:AZ$51,AZ53),0)</f>
        <v>20.263533834586497</v>
      </c>
      <c r="BF53" s="20">
        <f ca="1">MAX(TREND(BF$32:BF$51,AZ$32:AZ$51,AZ53),0)</f>
        <v>36.499398496240701</v>
      </c>
      <c r="BG53" s="20">
        <f ca="1">MAX(TREND(BG$32:BG$51,AZ$32:AZ$51,AZ53),0)</f>
        <v>92.063834586466101</v>
      </c>
      <c r="BH53" s="20">
        <f ca="1">MAX(TREND(BH$32:BH$51,AZ$32:AZ$51,AZ53),0)</f>
        <v>89.10180451127826</v>
      </c>
      <c r="BI53" s="20">
        <f ca="1">MAX(TREND(BI$32:BI$51,AZ$32:AZ$51,AZ53),0)</f>
        <v>27.306090225563821</v>
      </c>
      <c r="BJ53" s="20">
        <f ca="1">MAX(TREND(BJ$32:BJ$51,AZ$32:AZ$51,AZ53),0)</f>
        <v>4.6625563909774428</v>
      </c>
      <c r="BK53" s="20">
        <f ca="1">MAX(TREND(BK$32:BK$51,AZ$32:AZ$51,AZ53),0)</f>
        <v>1.2295488721804304</v>
      </c>
      <c r="BL53" s="20">
        <f ca="1">MAX(TREND(BL$32:BL$51,AZ$32:AZ$51,AZ53),0)</f>
        <v>0</v>
      </c>
      <c r="BM53" s="15">
        <f t="shared" ca="1" si="36"/>
        <v>271.29097744360905</v>
      </c>
      <c r="BN53" s="16">
        <f>BN52+1</f>
        <v>2023</v>
      </c>
      <c r="BO53" s="20">
        <f ca="1">MAX(TREND(BO$32:BO$51,BN$32:BN$51,BN53),0)</f>
        <v>0</v>
      </c>
      <c r="BP53" s="20">
        <f ca="1">MAX(TREND(BP$32:BP$51,BN$32:BN$51,BN53),0)</f>
        <v>0</v>
      </c>
      <c r="BQ53" s="20">
        <f ca="1">MAX(TREND(BQ$32:BQ$51,BN$32:BN$51,BN53),0)</f>
        <v>0.39879699248120204</v>
      </c>
      <c r="BR53" s="20">
        <f ca="1">MAX(TREND(BR$32:BR$51,BN$32:BN$51,BN53),0)</f>
        <v>0</v>
      </c>
      <c r="BS53" s="20">
        <f ca="1">MAX(TREND(BS$32:BS$51,BN$32:BN$51,BN53),0)</f>
        <v>34.173458646616837</v>
      </c>
      <c r="BT53" s="20">
        <f ca="1">MAX(TREND(BT$32:BT$51,BN$32:BN$51,BN53),0)</f>
        <v>64.226315789473801</v>
      </c>
      <c r="BU53" s="20">
        <f ca="1">MAX(TREND(BU$32:BU$51,BN$32:BN$51,BN53),0)</f>
        <v>147.12999999999988</v>
      </c>
      <c r="BV53" s="20">
        <f ca="1">MAX(TREND(BV$32:BV$51,BN$32:BN$51,BN53),0)</f>
        <v>144.9864661654135</v>
      </c>
      <c r="BW53" s="20">
        <f ca="1">MAX(TREND(BW$32:BW$51,BN$32:BN$51,BN53),0)</f>
        <v>51.796015037594088</v>
      </c>
      <c r="BX53" s="20">
        <f ca="1">MAX(TREND(BX$32:BX$51,BN$32:BN$51,BN53),0)</f>
        <v>12.695563909774449</v>
      </c>
      <c r="BY53" s="20">
        <f ca="1">MAX(TREND(BY$32:BY$51,BN$32:BN$51,BN53),0)</f>
        <v>2.99045112781954</v>
      </c>
      <c r="BZ53" s="20">
        <f ca="1">MAX(TREND(BZ$32:BZ$51,BN$32:BN$51,BN53),0)</f>
        <v>0</v>
      </c>
      <c r="CA53" s="14"/>
      <c r="CB53" s="16">
        <f>CB52+1</f>
        <v>2023</v>
      </c>
      <c r="CC53" s="20">
        <f ca="1">MAX(TREND(CC$32:CC$51,CB$32:CB$51,CB53),0)</f>
        <v>0</v>
      </c>
      <c r="CD53" s="20">
        <f ca="1">MAX(TREND(CD$32:CD$51,CB$32:CB$51,CB53),0)</f>
        <v>0</v>
      </c>
      <c r="CE53" s="20">
        <f ca="1">MAX(TREND(CE$32:CE$51,CB$32:CB$51,CB53),0)</f>
        <v>1.2356390977443681</v>
      </c>
      <c r="CF53" s="20">
        <f ca="1">MAX(TREND(CF$32:CF$51,CB$32:CB$51,CB53),0)</f>
        <v>0</v>
      </c>
      <c r="CG53" s="20">
        <f ca="1">MAX(TREND(CG$32:CG$51,CB$32:CB$51,CB53),0)</f>
        <v>54.007518796992827</v>
      </c>
      <c r="CH53" s="20">
        <f ca="1">MAX(TREND(CH$32:CH$51,CB$32:CB$51,CB53),0)</f>
        <v>105.73421052631579</v>
      </c>
      <c r="CI53" s="20">
        <f ca="1">MAX(TREND(CI$32:CI$51,CB$32:CB$51,CB53),0)</f>
        <v>207.69654135338351</v>
      </c>
      <c r="CJ53" s="20">
        <f ca="1">MAX(TREND(CJ$32:CJ$51,CB$32:CB$51,CB53),0)</f>
        <v>205.4505263157896</v>
      </c>
      <c r="CK53" s="20">
        <f ca="1">MAX(TREND(CK$32:CK$51,CB$32:CB$51,CB53),0)</f>
        <v>88.10421052631591</v>
      </c>
      <c r="CL53" s="20">
        <f ca="1">MAX(TREND(CL$32:CL$51,CB$32:CB$51,CB53),0)</f>
        <v>28.073082706766968</v>
      </c>
      <c r="CM53" s="20">
        <f ca="1">MAX(TREND(CM$32:CM$51,CB$32:CB$51,CB53),0)</f>
        <v>5.8873684210525425</v>
      </c>
      <c r="CN53" s="20">
        <f ca="1">MAX(TREND(CN$32:CN$51,CB$32:CB$51,CB53),0)</f>
        <v>0</v>
      </c>
      <c r="CO53" s="14"/>
      <c r="CP53" s="16">
        <f>CP52+1</f>
        <v>2023</v>
      </c>
      <c r="CQ53" s="20">
        <f ca="1">MAX(TREND(CQ$32:CQ$51,CP$32:CP$51,CP53),0)</f>
        <v>0</v>
      </c>
      <c r="CR53" s="20">
        <f ca="1">MAX(TREND(CR$32:CR$51,CP$32:CP$51,CP53),0)</f>
        <v>0</v>
      </c>
      <c r="CS53" s="20">
        <f ca="1">MAX(TREND(CS$32:CS$51,CP$32:CP$51,CP53),0)</f>
        <v>2.8135338345864511</v>
      </c>
      <c r="CT53" s="20">
        <f ca="1">MAX(TREND(CT$32:CT$51,CP$32:CP$51,CP53),0)</f>
        <v>0.94315789473694167</v>
      </c>
      <c r="CU53" s="20">
        <f ca="1">MAX(TREND(CU$32:CU$51,CP$32:CP$51,CP53),0)</f>
        <v>79.941353383459045</v>
      </c>
      <c r="CV53" s="20">
        <f ca="1">MAX(TREND(CV$32:CV$51,CP$32:CP$51,CP53),0)</f>
        <v>156.75157894736844</v>
      </c>
      <c r="CW53" s="20">
        <f ca="1">MAX(TREND(CW$32:CW$51,CP$32:CP$51,CP53),0)</f>
        <v>269.69654135338351</v>
      </c>
      <c r="CX53" s="20">
        <f ca="1">MAX(TREND(CX$32:CX$51,CP$32:CP$51,CP53),0)</f>
        <v>267.33766917293235</v>
      </c>
      <c r="CY53" s="20">
        <f ca="1">MAX(TREND(CY$32:CY$51,CP$32:CP$51,CP53),0)</f>
        <v>136.55406015037579</v>
      </c>
      <c r="CZ53" s="20">
        <f ca="1">MAX(TREND(CZ$32:CZ$51,CP$32:CP$51,CP53),0)</f>
        <v>50.816691729323338</v>
      </c>
      <c r="DA53" s="20">
        <f ca="1">MAX(TREND(DA$32:DA$51,CP$32:CP$51,CP53),0)</f>
        <v>10.257218045112722</v>
      </c>
      <c r="DB53" s="20">
        <f ca="1">MAX(TREND(DB$32:DB$51,CP$32:CP$51,CP53),0)</f>
        <v>0</v>
      </c>
      <c r="DC53" s="14"/>
      <c r="DD53" s="16">
        <f>DD52+1</f>
        <v>2023</v>
      </c>
      <c r="DE53" s="20">
        <f ca="1">MAX(TREND(DE$32:DE$51,DD$32:DD$51,DD53),0)</f>
        <v>0</v>
      </c>
      <c r="DF53" s="20">
        <f ca="1">MAX(TREND(DF$32:DF$51,DD$32:DD$51,DD53),0)</f>
        <v>0</v>
      </c>
      <c r="DG53" s="20">
        <f ca="1">MAX(TREND(DG$32:DG$51,DD$32:DD$51,DD53),0)</f>
        <v>6.1636842105262986</v>
      </c>
      <c r="DH53" s="20">
        <f ca="1">MAX(TREND(DH$32:DH$51,DD$32:DD$51,DD53),0)</f>
        <v>7.1712030075186703</v>
      </c>
      <c r="DI53" s="20">
        <f ca="1">MAX(TREND(DI$32:DI$51,DD$32:DD$51,DD53),0)</f>
        <v>115.1828571428573</v>
      </c>
      <c r="DJ53" s="20">
        <f ca="1">MAX(TREND(DJ$32:DJ$51,DD$32:DD$51,DD53),0)</f>
        <v>213.79007518796993</v>
      </c>
      <c r="DK53" s="20">
        <f ca="1">MAX(TREND(DK$32:DK$51,DD$32:DD$51,DD53),0)</f>
        <v>331.69654135338328</v>
      </c>
      <c r="DL53" s="20">
        <f ca="1">MAX(TREND(DL$32:DL$51,DD$32:DD$51,DD53),0)</f>
        <v>329.33766917293235</v>
      </c>
      <c r="DM53" s="20">
        <f ca="1">MAX(TREND(DM$32:DM$51,DD$32:DD$51,DD53),0)</f>
        <v>192.72984962406053</v>
      </c>
      <c r="DN53" s="20">
        <f ca="1">MAX(TREND(DN$32:DN$51,DD$32:DD$51,DD53),0)</f>
        <v>81.116541353383127</v>
      </c>
      <c r="DO53" s="20">
        <f ca="1">MAX(TREND(DO$32:DO$51,DD$32:DD$51,DD53),0)</f>
        <v>17.450375939849664</v>
      </c>
      <c r="DP53" s="20">
        <f ca="1">MAX(TREND(DP$32:DP$51,DD$32:DD$51,DD53),0)</f>
        <v>0.45609022556390499</v>
      </c>
      <c r="DQ53" s="14"/>
      <c r="DR53" s="16">
        <f>DR52+1</f>
        <v>2023</v>
      </c>
      <c r="DS53" s="20">
        <f ca="1">MAX(TREND(DS$32:DS$51,DR$32:DR$51,DR53),0)</f>
        <v>0.36706766917293265</v>
      </c>
      <c r="DT53" s="20">
        <f ca="1">MAX(TREND(DT$32:DT$51,DR$32:DR$51,DR53),0)</f>
        <v>0.74112781954886486</v>
      </c>
      <c r="DU53" s="20">
        <f ca="1">MAX(TREND(DU$32:DU$51,DR$32:DR$51,DR53),0)</f>
        <v>11.123082706766922</v>
      </c>
      <c r="DV53" s="20">
        <f ca="1">MAX(TREND(DV$32:DV$51,DR$32:DR$51,DR53),0)</f>
        <v>19.414586466165474</v>
      </c>
      <c r="DW53" s="20">
        <f ca="1">MAX(TREND(DW$32:DW$51,DR$32:DR$51,DR53),0)</f>
        <v>159.98255639097761</v>
      </c>
      <c r="DX53" s="20">
        <f ca="1">MAX(TREND(DX$32:DX$51,DR$32:DR$51,DR53),0)</f>
        <v>273.77293233082696</v>
      </c>
      <c r="DY53" s="20">
        <f ca="1">MAX(TREND(DY$32:DY$51,DR$32:DR$51,DR53),0)</f>
        <v>393.69654135338328</v>
      </c>
      <c r="DZ53" s="20">
        <f ca="1">MAX(TREND(DZ$32:DZ$51,DR$32:DR$51,DR53),0)</f>
        <v>391.33766917293246</v>
      </c>
      <c r="EA53" s="20">
        <f ca="1">MAX(TREND(EA$32:EA$51,DR$32:DR$51,DR53),0)</f>
        <v>251.49368421052623</v>
      </c>
      <c r="EB53" s="20">
        <f ca="1">MAX(TREND(EB$32:EB$51,DR$32:DR$51,DR53),0)</f>
        <v>119.80842105263173</v>
      </c>
      <c r="EC53" s="20">
        <f ca="1">MAX(TREND(EC$32:EC$51,DR$32:DR$51,DR53),0)</f>
        <v>27.013609022556466</v>
      </c>
      <c r="ED53" s="20">
        <f ca="1">MAX(TREND(ED$32:ED$51,DR$32:DR$51,DR53),0)</f>
        <v>1.7275939849623967</v>
      </c>
      <c r="EE53" s="14"/>
    </row>
    <row r="54" spans="1:135">
      <c r="A54">
        <v>2006</v>
      </c>
      <c r="B54">
        <v>5</v>
      </c>
      <c r="C54" s="11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4" t="s">
        <v>50</v>
      </c>
      <c r="Y55" s="19">
        <f t="shared" ref="Y55:AJ55" ca="1" si="57">AVERAGE(Y42:Y51)</f>
        <v>0</v>
      </c>
      <c r="Z55" s="19">
        <f t="shared" ca="1" si="57"/>
        <v>0</v>
      </c>
      <c r="AA55" s="19">
        <f t="shared" ca="1" si="57"/>
        <v>0</v>
      </c>
      <c r="AB55" s="19">
        <f t="shared" ca="1" si="57"/>
        <v>0</v>
      </c>
      <c r="AC55" s="19">
        <f t="shared" ca="1" si="57"/>
        <v>3.0200000000000005</v>
      </c>
      <c r="AD55" s="19">
        <f t="shared" ca="1" si="57"/>
        <v>9.82</v>
      </c>
      <c r="AE55" s="19">
        <f t="shared" ca="1" si="57"/>
        <v>24.080000000000002</v>
      </c>
      <c r="AF55" s="19">
        <f t="shared" ca="1" si="57"/>
        <v>16.52</v>
      </c>
      <c r="AG55" s="19">
        <f t="shared" ca="1" si="57"/>
        <v>6.3</v>
      </c>
      <c r="AH55" s="19">
        <f t="shared" ca="1" si="57"/>
        <v>0.5</v>
      </c>
      <c r="AI55" s="19">
        <f t="shared" ca="1" si="57"/>
        <v>0</v>
      </c>
      <c r="AJ55" s="19">
        <f t="shared" ca="1" si="57"/>
        <v>0</v>
      </c>
      <c r="AK55" s="14"/>
      <c r="AL55" s="14" t="s">
        <v>50</v>
      </c>
      <c r="AM55" s="19">
        <f t="shared" ref="AM55:AX55" ca="1" si="58">AVERAGE(AM42:AM51)</f>
        <v>0</v>
      </c>
      <c r="AN55" s="19">
        <f t="shared" ca="1" si="58"/>
        <v>0</v>
      </c>
      <c r="AO55" s="19">
        <f t="shared" ca="1" si="58"/>
        <v>0</v>
      </c>
      <c r="AP55" s="19">
        <f t="shared" ca="1" si="58"/>
        <v>0</v>
      </c>
      <c r="AQ55" s="19">
        <f t="shared" ca="1" si="58"/>
        <v>7.9300000000000015</v>
      </c>
      <c r="AR55" s="19">
        <f t="shared" ca="1" si="58"/>
        <v>22.410000000000004</v>
      </c>
      <c r="AS55" s="19">
        <f t="shared" ca="1" si="58"/>
        <v>52.15</v>
      </c>
      <c r="AT55" s="19">
        <f t="shared" ca="1" si="58"/>
        <v>42.39</v>
      </c>
      <c r="AU55" s="19">
        <f t="shared" ca="1" si="58"/>
        <v>16.240000000000002</v>
      </c>
      <c r="AV55" s="19">
        <f t="shared" ca="1" si="58"/>
        <v>1.5100000000000002</v>
      </c>
      <c r="AW55" s="19">
        <f t="shared" ca="1" si="58"/>
        <v>0.18</v>
      </c>
      <c r="AX55" s="19">
        <f t="shared" ca="1" si="58"/>
        <v>0</v>
      </c>
      <c r="AY55" s="15"/>
      <c r="AZ55" s="14" t="s">
        <v>50</v>
      </c>
      <c r="BA55" s="19">
        <f t="shared" ref="BA55:BL55" ca="1" si="59">AVERAGE(BA42:BA51)</f>
        <v>0</v>
      </c>
      <c r="BB55" s="19">
        <f t="shared" ca="1" si="59"/>
        <v>0</v>
      </c>
      <c r="BC55" s="19">
        <f t="shared" ca="1" si="59"/>
        <v>0.27999999999999997</v>
      </c>
      <c r="BD55" s="19">
        <f t="shared" ca="1" si="59"/>
        <v>0.08</v>
      </c>
      <c r="BE55" s="19">
        <f t="shared" ca="1" si="59"/>
        <v>16.149999999999999</v>
      </c>
      <c r="BF55" s="19">
        <f t="shared" ca="1" si="59"/>
        <v>42.1</v>
      </c>
      <c r="BG55" s="19">
        <f t="shared" ca="1" si="59"/>
        <v>95.609999999999985</v>
      </c>
      <c r="BH55" s="19">
        <f t="shared" ca="1" si="59"/>
        <v>83.75</v>
      </c>
      <c r="BI55" s="19">
        <f t="shared" ca="1" si="59"/>
        <v>34.480000000000004</v>
      </c>
      <c r="BJ55" s="19">
        <f t="shared" ca="1" si="59"/>
        <v>4.62</v>
      </c>
      <c r="BK55" s="19">
        <f t="shared" ca="1" si="59"/>
        <v>0.69000000000000006</v>
      </c>
      <c r="BL55" s="19">
        <f t="shared" ca="1" si="59"/>
        <v>0</v>
      </c>
      <c r="BM55" s="15">
        <f ca="1">SUM(BA55:BL55)</f>
        <v>277.76</v>
      </c>
      <c r="BN55" s="14" t="s">
        <v>50</v>
      </c>
      <c r="BO55" s="19">
        <f t="shared" ref="BO55:BZ55" ca="1" si="60">AVERAGE(BO42:BO51)</f>
        <v>0</v>
      </c>
      <c r="BP55" s="19">
        <f t="shared" ca="1" si="60"/>
        <v>0</v>
      </c>
      <c r="BQ55" s="19">
        <f t="shared" ca="1" si="60"/>
        <v>0.67999999999999994</v>
      </c>
      <c r="BR55" s="19">
        <f t="shared" ca="1" si="60"/>
        <v>0.78</v>
      </c>
      <c r="BS55" s="19">
        <f t="shared" ca="1" si="60"/>
        <v>28.54</v>
      </c>
      <c r="BT55" s="19">
        <f t="shared" ca="1" si="60"/>
        <v>71.179999999999993</v>
      </c>
      <c r="BU55" s="19">
        <f t="shared" ca="1" si="60"/>
        <v>150.63</v>
      </c>
      <c r="BV55" s="19">
        <f t="shared" ca="1" si="60"/>
        <v>138.02000000000001</v>
      </c>
      <c r="BW55" s="19">
        <f t="shared" ca="1" si="60"/>
        <v>62.11</v>
      </c>
      <c r="BX55" s="19">
        <f t="shared" ca="1" si="60"/>
        <v>11.59</v>
      </c>
      <c r="BY55" s="19">
        <f t="shared" ca="1" si="60"/>
        <v>1.6800000000000002</v>
      </c>
      <c r="BZ55" s="19">
        <f t="shared" ca="1" si="60"/>
        <v>0</v>
      </c>
      <c r="CA55" s="14"/>
      <c r="CB55" s="14" t="s">
        <v>50</v>
      </c>
      <c r="CC55" s="19">
        <f t="shared" ref="CC55:CN55" ca="1" si="61">AVERAGE(CC42:CC51)</f>
        <v>0</v>
      </c>
      <c r="CD55" s="19">
        <f t="shared" ca="1" si="61"/>
        <v>0</v>
      </c>
      <c r="CE55" s="19">
        <f t="shared" ca="1" si="61"/>
        <v>1.4700000000000002</v>
      </c>
      <c r="CF55" s="19">
        <f t="shared" ca="1" si="61"/>
        <v>2.58</v>
      </c>
      <c r="CG55" s="19">
        <f t="shared" ca="1" si="61"/>
        <v>46.33</v>
      </c>
      <c r="CH55" s="19">
        <f t="shared" ca="1" si="61"/>
        <v>113.05999999999999</v>
      </c>
      <c r="CI55" s="19">
        <f t="shared" ca="1" si="61"/>
        <v>211.26999999999998</v>
      </c>
      <c r="CJ55" s="19">
        <f t="shared" ca="1" si="61"/>
        <v>198.38000000000002</v>
      </c>
      <c r="CK55" s="19">
        <f t="shared" ca="1" si="61"/>
        <v>100.94000000000001</v>
      </c>
      <c r="CL55" s="19">
        <f t="shared" ca="1" si="61"/>
        <v>24.5</v>
      </c>
      <c r="CM55" s="19">
        <f t="shared" ca="1" si="61"/>
        <v>3.4800000000000004</v>
      </c>
      <c r="CN55" s="19">
        <f t="shared" ca="1" si="61"/>
        <v>0</v>
      </c>
      <c r="CO55" s="14"/>
      <c r="CP55" s="14" t="s">
        <v>50</v>
      </c>
      <c r="CQ55" s="19">
        <f t="shared" ref="CQ55:DB55" ca="1" si="62">AVERAGE(CQ42:CQ51)</f>
        <v>0</v>
      </c>
      <c r="CR55" s="19">
        <f t="shared" ca="1" si="62"/>
        <v>0</v>
      </c>
      <c r="CS55" s="19">
        <f t="shared" ca="1" si="62"/>
        <v>3.22</v>
      </c>
      <c r="CT55" s="19">
        <f t="shared" ca="1" si="62"/>
        <v>6.3599999999999994</v>
      </c>
      <c r="CU55" s="19">
        <f t="shared" ca="1" si="62"/>
        <v>71.710000000000008</v>
      </c>
      <c r="CV55" s="19">
        <f t="shared" ca="1" si="62"/>
        <v>164.28</v>
      </c>
      <c r="CW55" s="19">
        <f t="shared" ca="1" si="62"/>
        <v>273.27000000000004</v>
      </c>
      <c r="CX55" s="19">
        <f t="shared" ca="1" si="62"/>
        <v>260.25</v>
      </c>
      <c r="CY55" s="19">
        <f t="shared" ca="1" si="62"/>
        <v>149.90000000000003</v>
      </c>
      <c r="CZ55" s="19">
        <f t="shared" ca="1" si="62"/>
        <v>44.970000000000006</v>
      </c>
      <c r="DA55" s="19">
        <f t="shared" ca="1" si="62"/>
        <v>6.4700000000000006</v>
      </c>
      <c r="DB55" s="19">
        <f t="shared" ca="1" si="62"/>
        <v>0</v>
      </c>
      <c r="DC55" s="14"/>
      <c r="DD55" s="14" t="s">
        <v>50</v>
      </c>
      <c r="DE55" s="19">
        <f t="shared" ref="DE55:DP55" ca="1" si="63">AVERAGE(DE42:DE51)</f>
        <v>0</v>
      </c>
      <c r="DF55" s="19">
        <f t="shared" ca="1" si="63"/>
        <v>0</v>
      </c>
      <c r="DG55" s="19">
        <f t="shared" ca="1" si="63"/>
        <v>6.7600000000000007</v>
      </c>
      <c r="DH55" s="19">
        <f t="shared" ca="1" si="63"/>
        <v>13.7</v>
      </c>
      <c r="DI55" s="19">
        <f t="shared" ca="1" si="63"/>
        <v>107.41</v>
      </c>
      <c r="DJ55" s="19">
        <f t="shared" ca="1" si="63"/>
        <v>221.5</v>
      </c>
      <c r="DK55" s="19">
        <f t="shared" ca="1" si="63"/>
        <v>335.27000000000004</v>
      </c>
      <c r="DL55" s="19">
        <f t="shared" ca="1" si="63"/>
        <v>322.25</v>
      </c>
      <c r="DM55" s="19">
        <f t="shared" ca="1" si="63"/>
        <v>205.87999999999997</v>
      </c>
      <c r="DN55" s="19">
        <f t="shared" ca="1" si="63"/>
        <v>73.080000000000013</v>
      </c>
      <c r="DO55" s="19">
        <f t="shared" ca="1" si="63"/>
        <v>12.36</v>
      </c>
      <c r="DP55" s="19">
        <f t="shared" ca="1" si="63"/>
        <v>0.3</v>
      </c>
      <c r="DQ55" s="14"/>
      <c r="DR55" s="14" t="s">
        <v>50</v>
      </c>
      <c r="DS55" s="19">
        <f t="shared" ref="DS55:ED55" ca="1" si="64">AVERAGE(DS42:DS51)</f>
        <v>0.42000000000000004</v>
      </c>
      <c r="DT55" s="19">
        <f t="shared" ca="1" si="64"/>
        <v>0.59000000000000008</v>
      </c>
      <c r="DU55" s="19">
        <f t="shared" ca="1" si="64"/>
        <v>11.9</v>
      </c>
      <c r="DV55" s="19">
        <f t="shared" ca="1" si="64"/>
        <v>26.310000000000002</v>
      </c>
      <c r="DW55" s="19">
        <f t="shared" ca="1" si="64"/>
        <v>151.95999999999998</v>
      </c>
      <c r="DX55" s="19">
        <f t="shared" ca="1" si="64"/>
        <v>281.33000000000004</v>
      </c>
      <c r="DY55" s="19">
        <f t="shared" ca="1" si="64"/>
        <v>397.2700000000001</v>
      </c>
      <c r="DZ55" s="19">
        <f t="shared" ca="1" si="64"/>
        <v>384.25000000000006</v>
      </c>
      <c r="EA55" s="19">
        <f t="shared" ca="1" si="64"/>
        <v>264.77999999999997</v>
      </c>
      <c r="EB55" s="19">
        <f t="shared" ca="1" si="64"/>
        <v>109.62</v>
      </c>
      <c r="EC55" s="19">
        <f t="shared" ca="1" si="64"/>
        <v>21.85</v>
      </c>
      <c r="ED55" s="19">
        <f t="shared" ca="1" si="64"/>
        <v>1.2899999999999998</v>
      </c>
      <c r="EE55" s="14"/>
    </row>
    <row r="56" spans="1:135">
      <c r="A56">
        <v>2006</v>
      </c>
      <c r="B56">
        <v>7</v>
      </c>
      <c r="C56" s="11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1" t="s">
        <v>51</v>
      </c>
      <c r="Y59" s="14"/>
      <c r="Z59" s="14"/>
      <c r="AA59" s="14"/>
      <c r="AB59" s="14"/>
      <c r="AC59" s="21" t="s">
        <v>52</v>
      </c>
      <c r="AD59" s="14"/>
      <c r="AE59" s="14"/>
      <c r="AF59" s="14"/>
      <c r="AG59" s="14"/>
      <c r="AH59" s="14"/>
      <c r="AI59" s="14"/>
      <c r="AJ59" s="14"/>
      <c r="AK59" s="14"/>
      <c r="AL59" s="21" t="s">
        <v>51</v>
      </c>
      <c r="AM59" s="14"/>
      <c r="AN59" s="14"/>
      <c r="AO59" s="14"/>
      <c r="AP59" s="14"/>
      <c r="AQ59" s="21" t="s">
        <v>52</v>
      </c>
      <c r="AR59" s="14"/>
      <c r="AS59" s="14"/>
      <c r="AT59" s="14"/>
      <c r="AU59" s="14"/>
      <c r="AV59" s="14"/>
      <c r="AW59" s="14"/>
      <c r="AX59" s="14"/>
      <c r="AY59" s="14"/>
      <c r="AZ59" s="21" t="s">
        <v>51</v>
      </c>
      <c r="BA59" s="14"/>
      <c r="BB59" s="14"/>
      <c r="BC59" s="14"/>
      <c r="BD59" s="14"/>
      <c r="BE59" s="21" t="s">
        <v>52</v>
      </c>
      <c r="BF59" s="14"/>
      <c r="BG59" s="14"/>
      <c r="BH59" s="14"/>
      <c r="BI59" s="14"/>
      <c r="BJ59" s="14"/>
      <c r="BK59" s="14"/>
      <c r="BL59" s="14"/>
      <c r="BM59" s="14"/>
      <c r="BN59" s="21" t="s">
        <v>51</v>
      </c>
      <c r="BO59" s="14"/>
      <c r="BP59" s="14"/>
      <c r="BQ59" s="14"/>
      <c r="BR59" s="14"/>
      <c r="BS59" s="21" t="s">
        <v>52</v>
      </c>
      <c r="BT59" s="14"/>
      <c r="BU59" s="14"/>
      <c r="BV59" s="14"/>
      <c r="BW59" s="14"/>
      <c r="BX59" s="14"/>
      <c r="BY59" s="14"/>
      <c r="BZ59" s="14"/>
      <c r="CA59" s="14"/>
      <c r="CB59" s="21" t="s">
        <v>51</v>
      </c>
      <c r="CC59" s="14"/>
      <c r="CD59" s="14"/>
      <c r="CE59" s="14"/>
      <c r="CF59" s="14"/>
      <c r="CG59" s="21" t="s">
        <v>52</v>
      </c>
      <c r="CH59" s="14"/>
      <c r="CI59" s="14"/>
      <c r="CJ59" s="14"/>
      <c r="CK59" s="14"/>
      <c r="CL59" s="14"/>
      <c r="CM59" s="14"/>
      <c r="CN59" s="14"/>
      <c r="CO59" s="14"/>
      <c r="CP59" s="21" t="s">
        <v>51</v>
      </c>
      <c r="CQ59" s="14"/>
      <c r="CR59" s="14"/>
      <c r="CS59" s="14"/>
      <c r="CT59" s="14"/>
      <c r="CU59" s="21" t="s">
        <v>52</v>
      </c>
      <c r="CV59" s="14"/>
      <c r="CW59" s="14"/>
      <c r="CX59" s="14"/>
      <c r="CY59" s="14"/>
      <c r="CZ59" s="14"/>
      <c r="DA59" s="14"/>
      <c r="DB59" s="14"/>
      <c r="DC59" s="14"/>
      <c r="DD59" s="21" t="s">
        <v>51</v>
      </c>
      <c r="DE59" s="14"/>
      <c r="DF59" s="14"/>
      <c r="DG59" s="14"/>
      <c r="DH59" s="14"/>
      <c r="DI59" s="21" t="s">
        <v>52</v>
      </c>
      <c r="DJ59" s="14"/>
      <c r="DK59" s="14"/>
      <c r="DL59" s="14"/>
      <c r="DM59" s="14"/>
      <c r="DN59" s="14"/>
      <c r="DO59" s="14"/>
      <c r="DP59" s="14"/>
      <c r="DQ59" s="14"/>
      <c r="DR59" s="21" t="s">
        <v>51</v>
      </c>
      <c r="DS59" s="14"/>
      <c r="DT59" s="14"/>
      <c r="DU59" s="14"/>
      <c r="DV59" s="14"/>
      <c r="DW59" s="21" t="s">
        <v>52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4" t="s">
        <v>186</v>
      </c>
      <c r="Y61" s="14" t="s">
        <v>53</v>
      </c>
      <c r="Z61" s="23">
        <f t="shared" ref="Z61:Z72" ca="1" si="65">OFFSET($Y$28,0,(ROW()-ROW(Z$61)))</f>
        <v>820.43</v>
      </c>
      <c r="AA61" s="23">
        <f t="shared" ref="AA61:AA72" ca="1" si="66">OFFSET($Y$55,0,(ROW()-ROW(AA$61)))</f>
        <v>0</v>
      </c>
      <c r="AB61" s="14"/>
      <c r="AC61" s="14" t="s">
        <v>186</v>
      </c>
      <c r="AD61" s="14" t="s">
        <v>53</v>
      </c>
      <c r="AE61" s="23">
        <f t="shared" ref="AE61:AE72" ca="1" si="67">OFFSET($Y$26,0,(ROW()-ROW(AE$61)))</f>
        <v>810.78699248120347</v>
      </c>
      <c r="AF61" s="23">
        <f t="shared" ref="AF61:AF72" ca="1" si="68">OFFSET($Y$53,0,(ROW()-ROW(AF$61)))</f>
        <v>0</v>
      </c>
      <c r="AG61" s="14"/>
      <c r="AH61" s="14"/>
      <c r="AI61" s="14"/>
      <c r="AJ61" s="14"/>
      <c r="AK61" s="14"/>
      <c r="AL61" s="14" t="s">
        <v>186</v>
      </c>
      <c r="AM61" s="14" t="s">
        <v>53</v>
      </c>
      <c r="AN61" s="23">
        <f t="shared" ref="AN61:AN72" ca="1" si="69">OFFSET(AM$28,0,(ROW()-ROW(AN$61)))</f>
        <v>758.43</v>
      </c>
      <c r="AO61" s="23">
        <f t="shared" ref="AO61:AO72" ca="1" si="70">OFFSET(AM$55,0,(ROW()-ROW(AO$61)))</f>
        <v>0</v>
      </c>
      <c r="AP61" s="14"/>
      <c r="AQ61" s="14" t="s">
        <v>186</v>
      </c>
      <c r="AR61" s="14" t="s">
        <v>53</v>
      </c>
      <c r="AS61" s="23">
        <f t="shared" ref="AS61:AS72" ca="1" si="71">OFFSET(AM$26,0,(ROW()-ROW(AS$61)))</f>
        <v>748.78699248120347</v>
      </c>
      <c r="AT61" s="23">
        <f t="shared" ref="AT61:AT72" ca="1" si="72">OFFSET(AM$53,0,(ROW()-ROW(AT$61)))</f>
        <v>0</v>
      </c>
      <c r="AU61" s="14"/>
      <c r="AV61" s="14"/>
      <c r="AW61" s="14"/>
      <c r="AX61" s="14"/>
      <c r="AY61" s="14"/>
      <c r="AZ61" s="14" t="s">
        <v>186</v>
      </c>
      <c r="BA61" s="14" t="s">
        <v>53</v>
      </c>
      <c r="BB61" s="23">
        <f t="shared" ref="BB61:BB72" ca="1" si="73">OFFSET(BA$28,0,(ROW()-ROW(BB$61)))</f>
        <v>696.43</v>
      </c>
      <c r="BC61" s="23">
        <f t="shared" ref="BC61:BC72" ca="1" si="74">OFFSET(BA$55,0,(ROW()-ROW(BC$61)))</f>
        <v>0</v>
      </c>
      <c r="BD61" s="14"/>
      <c r="BE61" s="14" t="s">
        <v>186</v>
      </c>
      <c r="BF61" s="14" t="s">
        <v>53</v>
      </c>
      <c r="BG61" s="23">
        <f t="shared" ref="BG61:BG72" ca="1" si="75">OFFSET(BA$26,0,(ROW()-ROW(BG$61)))</f>
        <v>686.78699248120347</v>
      </c>
      <c r="BH61" s="23">
        <f t="shared" ref="BH61:BH72" ca="1" si="76">OFFSET(BA$53,0,(ROW()-ROW(BH$61)))</f>
        <v>0</v>
      </c>
      <c r="BI61" s="14"/>
      <c r="BJ61" s="14"/>
      <c r="BK61" s="14"/>
      <c r="BL61" s="14"/>
      <c r="BM61" s="14"/>
      <c r="BN61" s="14" t="s">
        <v>186</v>
      </c>
      <c r="BO61" s="14" t="s">
        <v>53</v>
      </c>
      <c r="BP61" s="23">
        <f t="shared" ref="BP61:BP72" ca="1" si="77">OFFSET(BO$28,0,(ROW()-ROW(BP$61)))</f>
        <v>634.42999999999995</v>
      </c>
      <c r="BQ61" s="23">
        <f t="shared" ref="BQ61:BQ72" ca="1" si="78">OFFSET(BO$55,0,(ROW()-ROW(BQ$61)))</f>
        <v>0</v>
      </c>
      <c r="BR61" s="14"/>
      <c r="BS61" s="14" t="s">
        <v>186</v>
      </c>
      <c r="BT61" s="14" t="s">
        <v>53</v>
      </c>
      <c r="BU61" s="23">
        <f t="shared" ref="BU61:BU72" ca="1" si="79">OFFSET(BO$26,0,(ROW()-ROW(BU$61)))</f>
        <v>624.78699248120347</v>
      </c>
      <c r="BV61" s="23">
        <f t="shared" ref="BV61:BV72" ca="1" si="80">OFFSET(BO$53,0,(ROW()-ROW(BV$61)))</f>
        <v>0</v>
      </c>
      <c r="BW61" s="14"/>
      <c r="BX61" s="14"/>
      <c r="BY61" s="14"/>
      <c r="BZ61" s="14"/>
      <c r="CA61" s="14"/>
      <c r="CB61" s="14" t="s">
        <v>186</v>
      </c>
      <c r="CC61" s="14" t="s">
        <v>53</v>
      </c>
      <c r="CD61" s="23">
        <f t="shared" ref="CD61:CD72" ca="1" si="81">OFFSET(CC$28,0,(ROW()-ROW(CD$61)))</f>
        <v>572.42999999999995</v>
      </c>
      <c r="CE61" s="23">
        <f t="shared" ref="CE61:CE72" ca="1" si="82">OFFSET(CC$55,0,(ROW()-ROW(CE$61)))</f>
        <v>0</v>
      </c>
      <c r="CF61" s="14"/>
      <c r="CG61" s="14" t="s">
        <v>186</v>
      </c>
      <c r="CH61" s="14" t="s">
        <v>53</v>
      </c>
      <c r="CI61" s="23">
        <f t="shared" ref="CI61:CI72" ca="1" si="83">OFFSET(CC$26,0,(ROW()-ROW(CI$61)))</f>
        <v>562.78699248120301</v>
      </c>
      <c r="CJ61" s="23">
        <f t="shared" ref="CJ61:CJ72" ca="1" si="84">OFFSET(CC$53,0,(ROW()-ROW(CJ$61)))</f>
        <v>0</v>
      </c>
      <c r="CK61" s="14"/>
      <c r="CL61" s="14"/>
      <c r="CM61" s="14"/>
      <c r="CN61" s="14"/>
      <c r="CO61" s="14"/>
      <c r="CP61" s="14" t="s">
        <v>186</v>
      </c>
      <c r="CQ61" s="14" t="s">
        <v>53</v>
      </c>
      <c r="CR61" s="23">
        <f t="shared" ref="CR61:CR72" ca="1" si="85">OFFSET(CQ$28,0,(ROW()-ROW(CR$61)))</f>
        <v>510.42999999999995</v>
      </c>
      <c r="CS61" s="23">
        <f t="shared" ref="CS61:CS72" ca="1" si="86">OFFSET(CQ$55,0,(ROW()-ROW(CS$61)))</f>
        <v>0</v>
      </c>
      <c r="CT61" s="14"/>
      <c r="CU61" s="14" t="s">
        <v>186</v>
      </c>
      <c r="CV61" s="14" t="s">
        <v>53</v>
      </c>
      <c r="CW61" s="23">
        <f t="shared" ref="CW61:CW72" ca="1" si="87">OFFSET(CQ$26,0,(ROW()-ROW(CW$61)))</f>
        <v>500.78699248120347</v>
      </c>
      <c r="CX61" s="23">
        <f t="shared" ref="CX61:CX72" ca="1" si="88">OFFSET(CQ$53,0,(ROW()-ROW(CX$61)))</f>
        <v>0</v>
      </c>
      <c r="CY61" s="14"/>
      <c r="CZ61" s="14"/>
      <c r="DA61" s="14"/>
      <c r="DB61" s="14"/>
      <c r="DC61" s="14"/>
      <c r="DD61" s="14" t="s">
        <v>186</v>
      </c>
      <c r="DE61" s="14" t="s">
        <v>53</v>
      </c>
      <c r="DF61" s="23">
        <f t="shared" ref="DF61:DF72" ca="1" si="89">OFFSET(DE$28,0,(ROW()-ROW(DF$61)))</f>
        <v>448.43</v>
      </c>
      <c r="DG61" s="23">
        <f t="shared" ref="DG61:DG72" ca="1" si="90">OFFSET(DE$55,0,(ROW()-ROW(DG$61)))</f>
        <v>0</v>
      </c>
      <c r="DH61" s="14"/>
      <c r="DI61" s="14" t="s">
        <v>186</v>
      </c>
      <c r="DJ61" s="14" t="s">
        <v>53</v>
      </c>
      <c r="DK61" s="23">
        <f t="shared" ref="DK61:DK72" ca="1" si="91">OFFSET(DE$26,0,(ROW()-ROW(DK$61)))</f>
        <v>438.75436090225503</v>
      </c>
      <c r="DL61" s="23">
        <f t="shared" ref="DL61:DL72" ca="1" si="92">OFFSET(DE$53,0,(ROW()-ROW(DL$61)))</f>
        <v>0</v>
      </c>
      <c r="DM61" s="14"/>
      <c r="DN61" s="14"/>
      <c r="DO61" s="14"/>
      <c r="DP61" s="14"/>
      <c r="DQ61" s="14"/>
      <c r="DR61" s="14" t="s">
        <v>186</v>
      </c>
      <c r="DS61" s="14" t="s">
        <v>53</v>
      </c>
      <c r="DT61" s="23">
        <f t="shared" ref="DT61:DT72" ca="1" si="93">OFFSET(DS$28,0,(ROW()-ROW(DT$61)))</f>
        <v>386.85</v>
      </c>
      <c r="DU61" s="23">
        <f t="shared" ref="DU61:DU72" ca="1" si="94">OFFSET(DS$55,0,(ROW()-ROW(DU$61)))</f>
        <v>0.42000000000000004</v>
      </c>
      <c r="DV61" s="14"/>
      <c r="DW61" s="14" t="s">
        <v>186</v>
      </c>
      <c r="DX61" s="14" t="s">
        <v>53</v>
      </c>
      <c r="DY61" s="23">
        <f t="shared" ref="DY61:DY72" ca="1" si="95">OFFSET(DS$26,0,(ROW()-ROW(DY$61)))</f>
        <v>377.15406015037615</v>
      </c>
      <c r="DZ61" s="23">
        <f t="shared" ref="DZ61:DZ72" ca="1" si="96">OFFSET(DS$53,0,(ROW()-ROW(DZ$61)))</f>
        <v>0.36706766917293265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4" t="s">
        <v>186</v>
      </c>
      <c r="Y62" s="14" t="s">
        <v>54</v>
      </c>
      <c r="Z62" s="23">
        <f t="shared" ca="1" si="65"/>
        <v>751.8</v>
      </c>
      <c r="AA62" s="23">
        <f t="shared" ca="1" si="66"/>
        <v>0</v>
      </c>
      <c r="AB62" s="14"/>
      <c r="AC62" s="14" t="s">
        <v>186</v>
      </c>
      <c r="AD62" s="14" t="s">
        <v>54</v>
      </c>
      <c r="AE62" s="23">
        <f t="shared" ca="1" si="67"/>
        <v>741.06947368421106</v>
      </c>
      <c r="AF62" s="23">
        <f t="shared" ca="1" si="68"/>
        <v>0</v>
      </c>
      <c r="AG62" s="14"/>
      <c r="AH62" s="14"/>
      <c r="AI62" s="14"/>
      <c r="AJ62" s="14"/>
      <c r="AK62" s="14"/>
      <c r="AL62" s="14" t="s">
        <v>186</v>
      </c>
      <c r="AM62" s="14" t="s">
        <v>54</v>
      </c>
      <c r="AN62" s="23">
        <f t="shared" ca="1" si="69"/>
        <v>695.19999999999993</v>
      </c>
      <c r="AO62" s="23">
        <f t="shared" ca="1" si="70"/>
        <v>0</v>
      </c>
      <c r="AP62" s="14"/>
      <c r="AQ62" s="14" t="s">
        <v>186</v>
      </c>
      <c r="AR62" s="14" t="s">
        <v>54</v>
      </c>
      <c r="AS62" s="23">
        <f t="shared" ca="1" si="71"/>
        <v>684.48300751879742</v>
      </c>
      <c r="AT62" s="23">
        <f t="shared" ca="1" si="72"/>
        <v>0</v>
      </c>
      <c r="AU62" s="14"/>
      <c r="AV62" s="14"/>
      <c r="AW62" s="14"/>
      <c r="AX62" s="14"/>
      <c r="AY62" s="14"/>
      <c r="AZ62" s="14" t="s">
        <v>186</v>
      </c>
      <c r="BA62" s="14" t="s">
        <v>54</v>
      </c>
      <c r="BB62" s="23">
        <f t="shared" ca="1" si="73"/>
        <v>638.6</v>
      </c>
      <c r="BC62" s="23">
        <f t="shared" ca="1" si="74"/>
        <v>0</v>
      </c>
      <c r="BD62" s="14"/>
      <c r="BE62" s="14" t="s">
        <v>186</v>
      </c>
      <c r="BF62" s="14" t="s">
        <v>54</v>
      </c>
      <c r="BG62" s="23">
        <f t="shared" ca="1" si="75"/>
        <v>627.89654135338378</v>
      </c>
      <c r="BH62" s="23">
        <f t="shared" ca="1" si="76"/>
        <v>0</v>
      </c>
      <c r="BI62" s="14"/>
      <c r="BJ62" s="14"/>
      <c r="BK62" s="14"/>
      <c r="BL62" s="14"/>
      <c r="BM62" s="14"/>
      <c r="BN62" s="14" t="s">
        <v>186</v>
      </c>
      <c r="BO62" s="14" t="s">
        <v>54</v>
      </c>
      <c r="BP62" s="23">
        <f t="shared" ca="1" si="77"/>
        <v>582</v>
      </c>
      <c r="BQ62" s="23">
        <f t="shared" ca="1" si="78"/>
        <v>0</v>
      </c>
      <c r="BR62" s="14"/>
      <c r="BS62" s="14" t="s">
        <v>186</v>
      </c>
      <c r="BT62" s="14" t="s">
        <v>54</v>
      </c>
      <c r="BU62" s="23">
        <f t="shared" ca="1" si="79"/>
        <v>571.31007518797014</v>
      </c>
      <c r="BV62" s="23">
        <f t="shared" ca="1" si="80"/>
        <v>0</v>
      </c>
      <c r="BW62" s="14"/>
      <c r="BX62" s="14"/>
      <c r="BY62" s="14"/>
      <c r="BZ62" s="14"/>
      <c r="CA62" s="14"/>
      <c r="CB62" s="14" t="s">
        <v>186</v>
      </c>
      <c r="CC62" s="14" t="s">
        <v>54</v>
      </c>
      <c r="CD62" s="23">
        <f t="shared" ca="1" si="81"/>
        <v>525.4</v>
      </c>
      <c r="CE62" s="23">
        <f t="shared" ca="1" si="82"/>
        <v>0</v>
      </c>
      <c r="CF62" s="14"/>
      <c r="CG62" s="14" t="s">
        <v>186</v>
      </c>
      <c r="CH62" s="14" t="s">
        <v>54</v>
      </c>
      <c r="CI62" s="23">
        <f t="shared" ca="1" si="83"/>
        <v>514.72360902255605</v>
      </c>
      <c r="CJ62" s="23">
        <f t="shared" ca="1" si="84"/>
        <v>0</v>
      </c>
      <c r="CK62" s="14"/>
      <c r="CL62" s="14"/>
      <c r="CM62" s="14"/>
      <c r="CN62" s="14"/>
      <c r="CO62" s="14"/>
      <c r="CP62" s="14" t="s">
        <v>186</v>
      </c>
      <c r="CQ62" s="14" t="s">
        <v>54</v>
      </c>
      <c r="CR62" s="23">
        <f t="shared" ca="1" si="85"/>
        <v>468.8</v>
      </c>
      <c r="CS62" s="23">
        <f t="shared" ca="1" si="86"/>
        <v>0</v>
      </c>
      <c r="CT62" s="14"/>
      <c r="CU62" s="14" t="s">
        <v>186</v>
      </c>
      <c r="CV62" s="14" t="s">
        <v>54</v>
      </c>
      <c r="CW62" s="23">
        <f t="shared" ca="1" si="87"/>
        <v>458.13714285714286</v>
      </c>
      <c r="CX62" s="23">
        <f t="shared" ca="1" si="88"/>
        <v>0</v>
      </c>
      <c r="CY62" s="14"/>
      <c r="CZ62" s="14"/>
      <c r="DA62" s="14"/>
      <c r="DB62" s="14"/>
      <c r="DC62" s="14"/>
      <c r="DD62" s="14" t="s">
        <v>186</v>
      </c>
      <c r="DE62" s="14" t="s">
        <v>54</v>
      </c>
      <c r="DF62" s="23">
        <f t="shared" ca="1" si="89"/>
        <v>412.2</v>
      </c>
      <c r="DG62" s="23">
        <f t="shared" ca="1" si="90"/>
        <v>0</v>
      </c>
      <c r="DH62" s="14"/>
      <c r="DI62" s="14" t="s">
        <v>186</v>
      </c>
      <c r="DJ62" s="14" t="s">
        <v>54</v>
      </c>
      <c r="DK62" s="23">
        <f t="shared" ca="1" si="91"/>
        <v>401.55067669172922</v>
      </c>
      <c r="DL62" s="23">
        <f t="shared" ca="1" si="92"/>
        <v>0</v>
      </c>
      <c r="DM62" s="14"/>
      <c r="DN62" s="14"/>
      <c r="DO62" s="14"/>
      <c r="DP62" s="14"/>
      <c r="DQ62" s="14"/>
      <c r="DR62" s="14" t="s">
        <v>186</v>
      </c>
      <c r="DS62" s="14" t="s">
        <v>54</v>
      </c>
      <c r="DT62" s="23">
        <f t="shared" ca="1" si="93"/>
        <v>356.19</v>
      </c>
      <c r="DU62" s="23">
        <f t="shared" ca="1" si="94"/>
        <v>0.59000000000000008</v>
      </c>
      <c r="DV62" s="14"/>
      <c r="DW62" s="14" t="s">
        <v>186</v>
      </c>
      <c r="DX62" s="14" t="s">
        <v>54</v>
      </c>
      <c r="DY62" s="23">
        <f t="shared" ca="1" si="95"/>
        <v>345.70533834586467</v>
      </c>
      <c r="DZ62" s="23">
        <f t="shared" ca="1" si="96"/>
        <v>0.74112781954886486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4" t="s">
        <v>186</v>
      </c>
      <c r="Y63" s="14" t="s">
        <v>55</v>
      </c>
      <c r="Z63" s="23">
        <f t="shared" ca="1" si="65"/>
        <v>683.63000000000011</v>
      </c>
      <c r="AA63" s="23">
        <f t="shared" ca="1" si="66"/>
        <v>0</v>
      </c>
      <c r="AB63" s="14"/>
      <c r="AC63" s="14" t="s">
        <v>186</v>
      </c>
      <c r="AD63" s="14" t="s">
        <v>55</v>
      </c>
      <c r="AE63" s="23">
        <f t="shared" ca="1" si="67"/>
        <v>670.85669172932376</v>
      </c>
      <c r="AF63" s="23">
        <f t="shared" ca="1" si="68"/>
        <v>0</v>
      </c>
      <c r="AG63" s="14"/>
      <c r="AH63" s="14"/>
      <c r="AI63" s="14"/>
      <c r="AJ63" s="14"/>
      <c r="AK63" s="14"/>
      <c r="AL63" s="14" t="s">
        <v>186</v>
      </c>
      <c r="AM63" s="14" t="s">
        <v>55</v>
      </c>
      <c r="AN63" s="23">
        <f t="shared" ca="1" si="69"/>
        <v>621.63</v>
      </c>
      <c r="AO63" s="23">
        <f t="shared" ca="1" si="70"/>
        <v>0</v>
      </c>
      <c r="AP63" s="14"/>
      <c r="AQ63" s="14" t="s">
        <v>186</v>
      </c>
      <c r="AR63" s="14" t="s">
        <v>55</v>
      </c>
      <c r="AS63" s="23">
        <f t="shared" ca="1" si="71"/>
        <v>608.85669172932376</v>
      </c>
      <c r="AT63" s="23">
        <f t="shared" ca="1" si="72"/>
        <v>0</v>
      </c>
      <c r="AU63" s="14"/>
      <c r="AV63" s="14"/>
      <c r="AW63" s="14"/>
      <c r="AX63" s="14"/>
      <c r="AY63" s="14"/>
      <c r="AZ63" s="14" t="s">
        <v>186</v>
      </c>
      <c r="BA63" s="14" t="s">
        <v>55</v>
      </c>
      <c r="BB63" s="23">
        <f t="shared" ca="1" si="73"/>
        <v>559.91000000000008</v>
      </c>
      <c r="BC63" s="23">
        <f t="shared" ca="1" si="74"/>
        <v>0.27999999999999997</v>
      </c>
      <c r="BD63" s="14"/>
      <c r="BE63" s="14" t="s">
        <v>186</v>
      </c>
      <c r="BF63" s="14" t="s">
        <v>55</v>
      </c>
      <c r="BG63" s="23">
        <f t="shared" ca="1" si="75"/>
        <v>547.02090225563916</v>
      </c>
      <c r="BH63" s="23">
        <f t="shared" ca="1" si="76"/>
        <v>0.16421052631578981</v>
      </c>
      <c r="BI63" s="14"/>
      <c r="BJ63" s="14"/>
      <c r="BK63" s="14"/>
      <c r="BL63" s="14"/>
      <c r="BM63" s="14"/>
      <c r="BN63" s="14" t="s">
        <v>186</v>
      </c>
      <c r="BO63" s="14" t="s">
        <v>55</v>
      </c>
      <c r="BP63" s="23">
        <f t="shared" ca="1" si="77"/>
        <v>498.31000000000006</v>
      </c>
      <c r="BQ63" s="23">
        <f t="shared" ca="1" si="78"/>
        <v>0.67999999999999994</v>
      </c>
      <c r="BR63" s="14"/>
      <c r="BS63" s="14" t="s">
        <v>186</v>
      </c>
      <c r="BT63" s="14" t="s">
        <v>55</v>
      </c>
      <c r="BU63" s="23">
        <f t="shared" ca="1" si="79"/>
        <v>485.2554887218048</v>
      </c>
      <c r="BV63" s="23">
        <f t="shared" ca="1" si="80"/>
        <v>0.39879699248120204</v>
      </c>
      <c r="BW63" s="14"/>
      <c r="BX63" s="14"/>
      <c r="BY63" s="14"/>
      <c r="BZ63" s="14"/>
      <c r="CA63" s="14"/>
      <c r="CB63" s="14" t="s">
        <v>186</v>
      </c>
      <c r="CC63" s="14" t="s">
        <v>55</v>
      </c>
      <c r="CD63" s="23">
        <f t="shared" ca="1" si="81"/>
        <v>437.1</v>
      </c>
      <c r="CE63" s="23">
        <f t="shared" ca="1" si="82"/>
        <v>1.4700000000000002</v>
      </c>
      <c r="CF63" s="14"/>
      <c r="CG63" s="14" t="s">
        <v>186</v>
      </c>
      <c r="CH63" s="14" t="s">
        <v>55</v>
      </c>
      <c r="CI63" s="23">
        <f t="shared" ca="1" si="83"/>
        <v>424.09233082706805</v>
      </c>
      <c r="CJ63" s="23">
        <f t="shared" ca="1" si="84"/>
        <v>1.2356390977443681</v>
      </c>
      <c r="CK63" s="14"/>
      <c r="CL63" s="14"/>
      <c r="CM63" s="14"/>
      <c r="CN63" s="14"/>
      <c r="CO63" s="14"/>
      <c r="CP63" s="14" t="s">
        <v>186</v>
      </c>
      <c r="CQ63" s="14" t="s">
        <v>55</v>
      </c>
      <c r="CR63" s="23">
        <f t="shared" ca="1" si="85"/>
        <v>376.85</v>
      </c>
      <c r="CS63" s="23">
        <f t="shared" ca="1" si="86"/>
        <v>3.22</v>
      </c>
      <c r="CT63" s="14"/>
      <c r="CU63" s="14" t="s">
        <v>186</v>
      </c>
      <c r="CV63" s="14" t="s">
        <v>55</v>
      </c>
      <c r="CW63" s="23">
        <f t="shared" ca="1" si="87"/>
        <v>363.67022556390975</v>
      </c>
      <c r="CX63" s="23">
        <f t="shared" ca="1" si="88"/>
        <v>2.8135338345864511</v>
      </c>
      <c r="CY63" s="14"/>
      <c r="CZ63" s="14"/>
      <c r="DA63" s="14"/>
      <c r="DB63" s="14"/>
      <c r="DC63" s="14"/>
      <c r="DD63" s="14" t="s">
        <v>186</v>
      </c>
      <c r="DE63" s="14" t="s">
        <v>55</v>
      </c>
      <c r="DF63" s="23">
        <f t="shared" ca="1" si="89"/>
        <v>318.39000000000004</v>
      </c>
      <c r="DG63" s="23">
        <f t="shared" ca="1" si="90"/>
        <v>6.7600000000000007</v>
      </c>
      <c r="DH63" s="14"/>
      <c r="DI63" s="14" t="s">
        <v>186</v>
      </c>
      <c r="DJ63" s="14" t="s">
        <v>55</v>
      </c>
      <c r="DK63" s="23">
        <f t="shared" ca="1" si="91"/>
        <v>305.0203759398496</v>
      </c>
      <c r="DL63" s="23">
        <f t="shared" ca="1" si="92"/>
        <v>6.1636842105262986</v>
      </c>
      <c r="DM63" s="14"/>
      <c r="DN63" s="14"/>
      <c r="DO63" s="14"/>
      <c r="DP63" s="14"/>
      <c r="DQ63" s="14"/>
      <c r="DR63" s="14" t="s">
        <v>186</v>
      </c>
      <c r="DS63" s="14" t="s">
        <v>55</v>
      </c>
      <c r="DT63" s="23">
        <f t="shared" ca="1" si="93"/>
        <v>261.53000000000003</v>
      </c>
      <c r="DU63" s="23">
        <f t="shared" ca="1" si="94"/>
        <v>11.9</v>
      </c>
      <c r="DV63" s="14"/>
      <c r="DW63" s="14" t="s">
        <v>186</v>
      </c>
      <c r="DX63" s="14" t="s">
        <v>55</v>
      </c>
      <c r="DY63" s="23">
        <f t="shared" ca="1" si="95"/>
        <v>247.97977443609034</v>
      </c>
      <c r="DZ63" s="23">
        <f t="shared" ca="1" si="96"/>
        <v>11.123082706766922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4" t="s">
        <v>186</v>
      </c>
      <c r="Y64" s="14" t="s">
        <v>56</v>
      </c>
      <c r="Z64" s="23">
        <f t="shared" ca="1" si="65"/>
        <v>501.82</v>
      </c>
      <c r="AA64" s="23">
        <f t="shared" ca="1" si="66"/>
        <v>0</v>
      </c>
      <c r="AB64" s="14"/>
      <c r="AC64" s="14" t="s">
        <v>186</v>
      </c>
      <c r="AD64" s="14" t="s">
        <v>56</v>
      </c>
      <c r="AE64" s="23">
        <f t="shared" ca="1" si="67"/>
        <v>503.94924812030058</v>
      </c>
      <c r="AF64" s="23">
        <f t="shared" ca="1" si="68"/>
        <v>0</v>
      </c>
      <c r="AG64" s="14"/>
      <c r="AH64" s="14"/>
      <c r="AI64" s="14"/>
      <c r="AJ64" s="14"/>
      <c r="AK64" s="14"/>
      <c r="AL64" s="14" t="s">
        <v>186</v>
      </c>
      <c r="AM64" s="14" t="s">
        <v>56</v>
      </c>
      <c r="AN64" s="23">
        <f t="shared" ca="1" si="69"/>
        <v>441.82</v>
      </c>
      <c r="AO64" s="23">
        <f t="shared" ca="1" si="70"/>
        <v>0</v>
      </c>
      <c r="AP64" s="14"/>
      <c r="AQ64" s="14" t="s">
        <v>186</v>
      </c>
      <c r="AR64" s="14" t="s">
        <v>56</v>
      </c>
      <c r="AS64" s="23">
        <f t="shared" ca="1" si="71"/>
        <v>443.38052631578921</v>
      </c>
      <c r="AT64" s="23">
        <f t="shared" ca="1" si="72"/>
        <v>0</v>
      </c>
      <c r="AU64" s="14"/>
      <c r="AV64" s="14"/>
      <c r="AW64" s="14"/>
      <c r="AX64" s="14"/>
      <c r="AY64" s="14"/>
      <c r="AZ64" s="14" t="s">
        <v>186</v>
      </c>
      <c r="BA64" s="14" t="s">
        <v>56</v>
      </c>
      <c r="BB64" s="23">
        <f t="shared" ca="1" si="73"/>
        <v>381.9</v>
      </c>
      <c r="BC64" s="23">
        <f t="shared" ca="1" si="74"/>
        <v>0.08</v>
      </c>
      <c r="BD64" s="14"/>
      <c r="BE64" s="14" t="s">
        <v>186</v>
      </c>
      <c r="BF64" s="14" t="s">
        <v>56</v>
      </c>
      <c r="BG64" s="23">
        <f t="shared" ca="1" si="75"/>
        <v>382.6475939849629</v>
      </c>
      <c r="BH64" s="23">
        <f t="shared" ca="1" si="76"/>
        <v>0</v>
      </c>
      <c r="BI64" s="14"/>
      <c r="BJ64" s="14"/>
      <c r="BK64" s="14"/>
      <c r="BL64" s="14"/>
      <c r="BM64" s="14"/>
      <c r="BN64" s="14" t="s">
        <v>186</v>
      </c>
      <c r="BO64" s="14" t="s">
        <v>56</v>
      </c>
      <c r="BP64" s="23">
        <f t="shared" ca="1" si="77"/>
        <v>322.59999999999997</v>
      </c>
      <c r="BQ64" s="23">
        <f t="shared" ca="1" si="78"/>
        <v>0.78</v>
      </c>
      <c r="BR64" s="14"/>
      <c r="BS64" s="14" t="s">
        <v>186</v>
      </c>
      <c r="BT64" s="14" t="s">
        <v>56</v>
      </c>
      <c r="BU64" s="23">
        <f t="shared" ca="1" si="79"/>
        <v>322.4706766917293</v>
      </c>
      <c r="BV64" s="23">
        <f t="shared" ca="1" si="80"/>
        <v>0</v>
      </c>
      <c r="BW64" s="14"/>
      <c r="BX64" s="14"/>
      <c r="BY64" s="14"/>
      <c r="BZ64" s="14"/>
      <c r="CA64" s="14"/>
      <c r="CB64" s="14" t="s">
        <v>186</v>
      </c>
      <c r="CC64" s="14" t="s">
        <v>56</v>
      </c>
      <c r="CD64" s="23">
        <f t="shared" ca="1" si="81"/>
        <v>264.39999999999998</v>
      </c>
      <c r="CE64" s="23">
        <f t="shared" ca="1" si="82"/>
        <v>2.58</v>
      </c>
      <c r="CF64" s="14"/>
      <c r="CG64" s="14" t="s">
        <v>186</v>
      </c>
      <c r="CH64" s="14" t="s">
        <v>56</v>
      </c>
      <c r="CI64" s="23">
        <f t="shared" ca="1" si="83"/>
        <v>262.7935338345867</v>
      </c>
      <c r="CJ64" s="23">
        <f t="shared" ca="1" si="84"/>
        <v>0</v>
      </c>
      <c r="CK64" s="14"/>
      <c r="CL64" s="14"/>
      <c r="CM64" s="14"/>
      <c r="CN64" s="14"/>
      <c r="CO64" s="14"/>
      <c r="CP64" s="14" t="s">
        <v>186</v>
      </c>
      <c r="CQ64" s="14" t="s">
        <v>56</v>
      </c>
      <c r="CR64" s="23">
        <f t="shared" ca="1" si="85"/>
        <v>208.18</v>
      </c>
      <c r="CS64" s="23">
        <f t="shared" ca="1" si="86"/>
        <v>6.3599999999999994</v>
      </c>
      <c r="CT64" s="14"/>
      <c r="CU64" s="14" t="s">
        <v>186</v>
      </c>
      <c r="CV64" s="14" t="s">
        <v>56</v>
      </c>
      <c r="CW64" s="23">
        <f t="shared" ca="1" si="87"/>
        <v>205.13796992481207</v>
      </c>
      <c r="CX64" s="23">
        <f t="shared" ca="1" si="88"/>
        <v>0.94315789473694167</v>
      </c>
      <c r="CY64" s="14"/>
      <c r="CZ64" s="14"/>
      <c r="DA64" s="14"/>
      <c r="DB64" s="14"/>
      <c r="DC64" s="14"/>
      <c r="DD64" s="14" t="s">
        <v>186</v>
      </c>
      <c r="DE64" s="14" t="s">
        <v>56</v>
      </c>
      <c r="DF64" s="23">
        <f t="shared" ca="1" si="89"/>
        <v>155.51999999999998</v>
      </c>
      <c r="DG64" s="23">
        <f t="shared" ca="1" si="90"/>
        <v>13.7</v>
      </c>
      <c r="DH64" s="14"/>
      <c r="DI64" s="14" t="s">
        <v>186</v>
      </c>
      <c r="DJ64" s="14" t="s">
        <v>56</v>
      </c>
      <c r="DK64" s="23">
        <f t="shared" ca="1" si="91"/>
        <v>151.36601503759402</v>
      </c>
      <c r="DL64" s="23">
        <f t="shared" ca="1" si="92"/>
        <v>7.1712030075186703</v>
      </c>
      <c r="DM64" s="14"/>
      <c r="DN64" s="14"/>
      <c r="DO64" s="14"/>
      <c r="DP64" s="14"/>
      <c r="DQ64" s="14"/>
      <c r="DR64" s="14" t="s">
        <v>186</v>
      </c>
      <c r="DS64" s="14" t="s">
        <v>56</v>
      </c>
      <c r="DT64" s="23">
        <f t="shared" ca="1" si="93"/>
        <v>108.13000000000002</v>
      </c>
      <c r="DU64" s="23">
        <f t="shared" ca="1" si="94"/>
        <v>26.310000000000002</v>
      </c>
      <c r="DV64" s="14"/>
      <c r="DW64" s="14" t="s">
        <v>186</v>
      </c>
      <c r="DX64" s="14" t="s">
        <v>56</v>
      </c>
      <c r="DY64" s="23">
        <f t="shared" ca="1" si="95"/>
        <v>103.6093984962406</v>
      </c>
      <c r="DZ64" s="23">
        <f t="shared" ca="1" si="96"/>
        <v>19.414586466165474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4" t="s">
        <v>186</v>
      </c>
      <c r="Y65" s="14" t="s">
        <v>42</v>
      </c>
      <c r="Z65" s="23">
        <f t="shared" ca="1" si="65"/>
        <v>300.26</v>
      </c>
      <c r="AA65" s="23">
        <f t="shared" ca="1" si="66"/>
        <v>3.0200000000000005</v>
      </c>
      <c r="AB65" s="14"/>
      <c r="AC65" s="14" t="s">
        <v>186</v>
      </c>
      <c r="AD65" s="14" t="s">
        <v>42</v>
      </c>
      <c r="AE65" s="23">
        <f t="shared" ca="1" si="67"/>
        <v>296.00781954887225</v>
      </c>
      <c r="AF65" s="23">
        <f t="shared" ca="1" si="68"/>
        <v>4.1725563909774905</v>
      </c>
      <c r="AG65" s="14"/>
      <c r="AH65" s="14"/>
      <c r="AI65" s="14"/>
      <c r="AJ65" s="14"/>
      <c r="AK65" s="14"/>
      <c r="AL65" s="14" t="s">
        <v>186</v>
      </c>
      <c r="AM65" s="14" t="s">
        <v>42</v>
      </c>
      <c r="AN65" s="23">
        <f t="shared" ca="1" si="69"/>
        <v>243.17000000000002</v>
      </c>
      <c r="AO65" s="23">
        <f t="shared" ca="1" si="70"/>
        <v>7.9300000000000015</v>
      </c>
      <c r="AP65" s="14"/>
      <c r="AQ65" s="14" t="s">
        <v>186</v>
      </c>
      <c r="AR65" s="14" t="s">
        <v>42</v>
      </c>
      <c r="AS65" s="23">
        <f t="shared" ca="1" si="71"/>
        <v>240.49007518796998</v>
      </c>
      <c r="AT65" s="23">
        <f t="shared" ca="1" si="72"/>
        <v>10.654812030075163</v>
      </c>
      <c r="AU65" s="14"/>
      <c r="AV65" s="14"/>
      <c r="AW65" s="14"/>
      <c r="AX65" s="14"/>
      <c r="AY65" s="14"/>
      <c r="AZ65" s="14" t="s">
        <v>186</v>
      </c>
      <c r="BA65" s="14" t="s">
        <v>42</v>
      </c>
      <c r="BB65" s="23">
        <f t="shared" ca="1" si="73"/>
        <v>189.39000000000001</v>
      </c>
      <c r="BC65" s="23">
        <f t="shared" ca="1" si="74"/>
        <v>16.149999999999999</v>
      </c>
      <c r="BD65" s="14"/>
      <c r="BE65" s="14" t="s">
        <v>186</v>
      </c>
      <c r="BF65" s="14" t="s">
        <v>42</v>
      </c>
      <c r="BG65" s="23">
        <f t="shared" ca="1" si="75"/>
        <v>188.09879699248131</v>
      </c>
      <c r="BH65" s="23">
        <f t="shared" ca="1" si="76"/>
        <v>20.263533834586497</v>
      </c>
      <c r="BI65" s="14"/>
      <c r="BJ65" s="14"/>
      <c r="BK65" s="14"/>
      <c r="BL65" s="14"/>
      <c r="BM65" s="14"/>
      <c r="BN65" s="14" t="s">
        <v>186</v>
      </c>
      <c r="BO65" s="14" t="s">
        <v>42</v>
      </c>
      <c r="BP65" s="23">
        <f t="shared" ca="1" si="77"/>
        <v>139.78</v>
      </c>
      <c r="BQ65" s="23">
        <f t="shared" ca="1" si="78"/>
        <v>28.54</v>
      </c>
      <c r="BR65" s="14"/>
      <c r="BS65" s="14" t="s">
        <v>186</v>
      </c>
      <c r="BT65" s="14" t="s">
        <v>42</v>
      </c>
      <c r="BU65" s="23">
        <f t="shared" ca="1" si="79"/>
        <v>140.00939849624058</v>
      </c>
      <c r="BV65" s="23">
        <f t="shared" ca="1" si="80"/>
        <v>34.173458646616837</v>
      </c>
      <c r="BW65" s="14"/>
      <c r="BX65" s="14"/>
      <c r="BY65" s="14"/>
      <c r="BZ65" s="14"/>
      <c r="CA65" s="14"/>
      <c r="CB65" s="14" t="s">
        <v>186</v>
      </c>
      <c r="CC65" s="14" t="s">
        <v>42</v>
      </c>
      <c r="CD65" s="23">
        <f t="shared" ca="1" si="81"/>
        <v>95.570000000000007</v>
      </c>
      <c r="CE65" s="23">
        <f t="shared" ca="1" si="82"/>
        <v>46.33</v>
      </c>
      <c r="CF65" s="14"/>
      <c r="CG65" s="14" t="s">
        <v>186</v>
      </c>
      <c r="CH65" s="14" t="s">
        <v>42</v>
      </c>
      <c r="CI65" s="23">
        <f t="shared" ca="1" si="83"/>
        <v>97.842781954887201</v>
      </c>
      <c r="CJ65" s="23">
        <f t="shared" ca="1" si="84"/>
        <v>54.007518796992827</v>
      </c>
      <c r="CK65" s="14"/>
      <c r="CL65" s="14"/>
      <c r="CM65" s="14"/>
      <c r="CN65" s="14"/>
      <c r="CO65" s="14"/>
      <c r="CP65" s="14" t="s">
        <v>186</v>
      </c>
      <c r="CQ65" s="14" t="s">
        <v>42</v>
      </c>
      <c r="CR65" s="23">
        <f t="shared" ca="1" si="85"/>
        <v>58.95</v>
      </c>
      <c r="CS65" s="23">
        <f t="shared" ca="1" si="86"/>
        <v>71.710000000000008</v>
      </c>
      <c r="CT65" s="14"/>
      <c r="CU65" s="14" t="s">
        <v>186</v>
      </c>
      <c r="CV65" s="14" t="s">
        <v>42</v>
      </c>
      <c r="CW65" s="23">
        <f t="shared" ca="1" si="87"/>
        <v>61.776616541353377</v>
      </c>
      <c r="CX65" s="23">
        <f t="shared" ca="1" si="88"/>
        <v>79.941353383459045</v>
      </c>
      <c r="CY65" s="14"/>
      <c r="CZ65" s="14"/>
      <c r="DA65" s="14"/>
      <c r="DB65" s="14"/>
      <c r="DC65" s="14"/>
      <c r="DD65" s="14" t="s">
        <v>186</v>
      </c>
      <c r="DE65" s="14" t="s">
        <v>42</v>
      </c>
      <c r="DF65" s="23">
        <f t="shared" ca="1" si="89"/>
        <v>32.65</v>
      </c>
      <c r="DG65" s="23">
        <f t="shared" ca="1" si="90"/>
        <v>107.41</v>
      </c>
      <c r="DH65" s="14"/>
      <c r="DI65" s="14" t="s">
        <v>186</v>
      </c>
      <c r="DJ65" s="14" t="s">
        <v>42</v>
      </c>
      <c r="DK65" s="23">
        <f t="shared" ca="1" si="91"/>
        <v>35.018120300751832</v>
      </c>
      <c r="DL65" s="23">
        <f t="shared" ca="1" si="92"/>
        <v>115.1828571428573</v>
      </c>
      <c r="DM65" s="14"/>
      <c r="DN65" s="14"/>
      <c r="DO65" s="14"/>
      <c r="DP65" s="14"/>
      <c r="DQ65" s="14"/>
      <c r="DR65" s="14" t="s">
        <v>186</v>
      </c>
      <c r="DS65" s="14" t="s">
        <v>42</v>
      </c>
      <c r="DT65" s="23">
        <f t="shared" ca="1" si="93"/>
        <v>15.2</v>
      </c>
      <c r="DU65" s="23">
        <f t="shared" ca="1" si="94"/>
        <v>151.95999999999998</v>
      </c>
      <c r="DV65" s="14"/>
      <c r="DW65" s="14" t="s">
        <v>186</v>
      </c>
      <c r="DX65" s="14" t="s">
        <v>42</v>
      </c>
      <c r="DY65" s="23">
        <f t="shared" ca="1" si="95"/>
        <v>17.817819548872194</v>
      </c>
      <c r="DZ65" s="23">
        <f t="shared" ca="1" si="96"/>
        <v>159.98255639097761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4" t="s">
        <v>186</v>
      </c>
      <c r="Y66" s="14" t="s">
        <v>43</v>
      </c>
      <c r="Z66" s="23">
        <f t="shared" ca="1" si="65"/>
        <v>148.49</v>
      </c>
      <c r="AA66" s="23">
        <f t="shared" ca="1" si="66"/>
        <v>9.82</v>
      </c>
      <c r="AB66" s="14"/>
      <c r="AC66" s="14" t="s">
        <v>186</v>
      </c>
      <c r="AD66" s="14" t="s">
        <v>43</v>
      </c>
      <c r="AE66" s="23">
        <f t="shared" ca="1" si="67"/>
        <v>152.61706766917291</v>
      </c>
      <c r="AF66" s="23">
        <f t="shared" ca="1" si="68"/>
        <v>6.3899999999999864</v>
      </c>
      <c r="AG66" s="14"/>
      <c r="AH66" s="14"/>
      <c r="AI66" s="14"/>
      <c r="AJ66" s="14"/>
      <c r="AK66" s="14"/>
      <c r="AL66" s="14" t="s">
        <v>186</v>
      </c>
      <c r="AM66" s="14" t="s">
        <v>43</v>
      </c>
      <c r="AN66" s="23">
        <f t="shared" ca="1" si="69"/>
        <v>101.08000000000001</v>
      </c>
      <c r="AO66" s="23">
        <f t="shared" ca="1" si="70"/>
        <v>22.410000000000004</v>
      </c>
      <c r="AP66" s="14"/>
      <c r="AQ66" s="14" t="s">
        <v>186</v>
      </c>
      <c r="AR66" s="14" t="s">
        <v>43</v>
      </c>
      <c r="AS66" s="23">
        <f t="shared" ca="1" si="71"/>
        <v>104.28481203007527</v>
      </c>
      <c r="AT66" s="23">
        <f t="shared" ca="1" si="72"/>
        <v>18.057744360902234</v>
      </c>
      <c r="AU66" s="14"/>
      <c r="AV66" s="14"/>
      <c r="AW66" s="14"/>
      <c r="AX66" s="14"/>
      <c r="AY66" s="14"/>
      <c r="AZ66" s="14" t="s">
        <v>186</v>
      </c>
      <c r="BA66" s="14" t="s">
        <v>43</v>
      </c>
      <c r="BB66" s="23">
        <f t="shared" ca="1" si="73"/>
        <v>60.770000000000017</v>
      </c>
      <c r="BC66" s="23">
        <f t="shared" ca="1" si="74"/>
        <v>42.1</v>
      </c>
      <c r="BD66" s="14"/>
      <c r="BE66" s="14" t="s">
        <v>186</v>
      </c>
      <c r="BF66" s="14" t="s">
        <v>43</v>
      </c>
      <c r="BG66" s="23">
        <f t="shared" ca="1" si="75"/>
        <v>62.726466165413512</v>
      </c>
      <c r="BH66" s="23">
        <f t="shared" ca="1" si="76"/>
        <v>36.499398496240701</v>
      </c>
      <c r="BI66" s="14"/>
      <c r="BJ66" s="14"/>
      <c r="BK66" s="14"/>
      <c r="BL66" s="14"/>
      <c r="BM66" s="14"/>
      <c r="BN66" s="14" t="s">
        <v>186</v>
      </c>
      <c r="BO66" s="14" t="s">
        <v>43</v>
      </c>
      <c r="BP66" s="23">
        <f t="shared" ca="1" si="77"/>
        <v>29.85</v>
      </c>
      <c r="BQ66" s="23">
        <f t="shared" ca="1" si="78"/>
        <v>71.179999999999993</v>
      </c>
      <c r="BR66" s="14"/>
      <c r="BS66" s="14" t="s">
        <v>186</v>
      </c>
      <c r="BT66" s="14" t="s">
        <v>43</v>
      </c>
      <c r="BU66" s="23">
        <f t="shared" ca="1" si="79"/>
        <v>30.453383458646613</v>
      </c>
      <c r="BV66" s="23">
        <f t="shared" ca="1" si="80"/>
        <v>64.226315789473801</v>
      </c>
      <c r="BW66" s="14"/>
      <c r="BX66" s="14"/>
      <c r="BY66" s="14"/>
      <c r="BZ66" s="14"/>
      <c r="CA66" s="14"/>
      <c r="CB66" s="14" t="s">
        <v>186</v>
      </c>
      <c r="CC66" s="14" t="s">
        <v>43</v>
      </c>
      <c r="CD66" s="23">
        <f t="shared" ca="1" si="81"/>
        <v>11.73</v>
      </c>
      <c r="CE66" s="23">
        <f t="shared" ca="1" si="82"/>
        <v>113.05999999999999</v>
      </c>
      <c r="CF66" s="14"/>
      <c r="CG66" s="14" t="s">
        <v>186</v>
      </c>
      <c r="CH66" s="14" t="s">
        <v>43</v>
      </c>
      <c r="CI66" s="23">
        <f t="shared" ca="1" si="83"/>
        <v>11.961278195488745</v>
      </c>
      <c r="CJ66" s="23">
        <f t="shared" ca="1" si="84"/>
        <v>105.73421052631579</v>
      </c>
      <c r="CK66" s="14"/>
      <c r="CL66" s="14"/>
      <c r="CM66" s="14"/>
      <c r="CN66" s="14"/>
      <c r="CO66" s="14"/>
      <c r="CP66" s="14" t="s">
        <v>186</v>
      </c>
      <c r="CQ66" s="14" t="s">
        <v>43</v>
      </c>
      <c r="CR66" s="23">
        <f t="shared" ca="1" si="85"/>
        <v>2.95</v>
      </c>
      <c r="CS66" s="23">
        <f t="shared" ca="1" si="86"/>
        <v>164.28</v>
      </c>
      <c r="CT66" s="14"/>
      <c r="CU66" s="14" t="s">
        <v>186</v>
      </c>
      <c r="CV66" s="14" t="s">
        <v>43</v>
      </c>
      <c r="CW66" s="23">
        <f t="shared" ca="1" si="87"/>
        <v>2.9786466165413543</v>
      </c>
      <c r="CX66" s="23">
        <f t="shared" ca="1" si="88"/>
        <v>156.75157894736844</v>
      </c>
      <c r="CY66" s="14"/>
      <c r="CZ66" s="14"/>
      <c r="DA66" s="14"/>
      <c r="DB66" s="14"/>
      <c r="DC66" s="14"/>
      <c r="DD66" s="14" t="s">
        <v>186</v>
      </c>
      <c r="DE66" s="14" t="s">
        <v>43</v>
      </c>
      <c r="DF66" s="23">
        <f t="shared" ca="1" si="89"/>
        <v>0.16999999999999998</v>
      </c>
      <c r="DG66" s="23">
        <f t="shared" ca="1" si="90"/>
        <v>221.5</v>
      </c>
      <c r="DH66" s="14"/>
      <c r="DI66" s="14" t="s">
        <v>186</v>
      </c>
      <c r="DJ66" s="14" t="s">
        <v>43</v>
      </c>
      <c r="DK66" s="23">
        <f t="shared" ca="1" si="91"/>
        <v>1.7142857142857792E-2</v>
      </c>
      <c r="DL66" s="23">
        <f t="shared" ca="1" si="92"/>
        <v>213.79007518796993</v>
      </c>
      <c r="DM66" s="14"/>
      <c r="DN66" s="14"/>
      <c r="DO66" s="14"/>
      <c r="DP66" s="14"/>
      <c r="DQ66" s="14"/>
      <c r="DR66" s="14" t="s">
        <v>186</v>
      </c>
      <c r="DS66" s="14" t="s">
        <v>43</v>
      </c>
      <c r="DT66" s="23">
        <f t="shared" ca="1" si="93"/>
        <v>0</v>
      </c>
      <c r="DU66" s="23">
        <f t="shared" ca="1" si="94"/>
        <v>281.33000000000004</v>
      </c>
      <c r="DV66" s="14"/>
      <c r="DW66" s="14" t="s">
        <v>186</v>
      </c>
      <c r="DX66" s="14" t="s">
        <v>43</v>
      </c>
      <c r="DY66" s="23">
        <f t="shared" ca="1" si="95"/>
        <v>0</v>
      </c>
      <c r="DZ66" s="23">
        <f t="shared" ca="1" si="96"/>
        <v>273.77293233082696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4" t="s">
        <v>186</v>
      </c>
      <c r="Y67" s="14" t="s">
        <v>44</v>
      </c>
      <c r="Z67" s="23">
        <f t="shared" ca="1" si="65"/>
        <v>60.81</v>
      </c>
      <c r="AA67" s="23">
        <f t="shared" ca="1" si="66"/>
        <v>24.080000000000002</v>
      </c>
      <c r="AB67" s="14"/>
      <c r="AC67" s="14" t="s">
        <v>186</v>
      </c>
      <c r="AD67" s="14" t="s">
        <v>44</v>
      </c>
      <c r="AE67" s="23">
        <f t="shared" ca="1" si="67"/>
        <v>61.252030075187974</v>
      </c>
      <c r="AF67" s="23">
        <f t="shared" ca="1" si="68"/>
        <v>20.948571428571427</v>
      </c>
      <c r="AG67" s="14"/>
      <c r="AH67" s="14"/>
      <c r="AI67" s="14"/>
      <c r="AJ67" s="14"/>
      <c r="AK67" s="14"/>
      <c r="AL67" s="14" t="s">
        <v>186</v>
      </c>
      <c r="AM67" s="14" t="s">
        <v>44</v>
      </c>
      <c r="AN67" s="23">
        <f t="shared" ca="1" si="69"/>
        <v>26.880000000000003</v>
      </c>
      <c r="AO67" s="23">
        <f t="shared" ca="1" si="70"/>
        <v>52.15</v>
      </c>
      <c r="AP67" s="14"/>
      <c r="AQ67" s="14" t="s">
        <v>186</v>
      </c>
      <c r="AR67" s="14" t="s">
        <v>44</v>
      </c>
      <c r="AS67" s="23">
        <f t="shared" ca="1" si="71"/>
        <v>26.687744360902265</v>
      </c>
      <c r="AT67" s="23">
        <f t="shared" ca="1" si="72"/>
        <v>48.384285714285625</v>
      </c>
      <c r="AU67" s="14"/>
      <c r="AV67" s="14"/>
      <c r="AW67" s="14"/>
      <c r="AX67" s="14"/>
      <c r="AY67" s="14"/>
      <c r="AZ67" s="14" t="s">
        <v>186</v>
      </c>
      <c r="BA67" s="14" t="s">
        <v>44</v>
      </c>
      <c r="BB67" s="23">
        <f t="shared" ca="1" si="73"/>
        <v>8.34</v>
      </c>
      <c r="BC67" s="23">
        <f t="shared" ca="1" si="74"/>
        <v>95.609999999999985</v>
      </c>
      <c r="BD67" s="14"/>
      <c r="BE67" s="14" t="s">
        <v>186</v>
      </c>
      <c r="BF67" s="14" t="s">
        <v>44</v>
      </c>
      <c r="BG67" s="23">
        <f t="shared" ca="1" si="75"/>
        <v>8.3672932330827123</v>
      </c>
      <c r="BH67" s="23">
        <f t="shared" ca="1" si="76"/>
        <v>92.063834586466101</v>
      </c>
      <c r="BI67" s="14"/>
      <c r="BJ67" s="14"/>
      <c r="BK67" s="14"/>
      <c r="BL67" s="14"/>
      <c r="BM67" s="14"/>
      <c r="BN67" s="14" t="s">
        <v>186</v>
      </c>
      <c r="BO67" s="14" t="s">
        <v>44</v>
      </c>
      <c r="BP67" s="23">
        <f t="shared" ca="1" si="77"/>
        <v>1.36</v>
      </c>
      <c r="BQ67" s="23">
        <f t="shared" ca="1" si="78"/>
        <v>150.63</v>
      </c>
      <c r="BR67" s="14"/>
      <c r="BS67" s="14" t="s">
        <v>186</v>
      </c>
      <c r="BT67" s="14" t="s">
        <v>44</v>
      </c>
      <c r="BU67" s="23">
        <f t="shared" ca="1" si="79"/>
        <v>1.4334586466165433</v>
      </c>
      <c r="BV67" s="23">
        <f t="shared" ca="1" si="80"/>
        <v>147.12999999999988</v>
      </c>
      <c r="BW67" s="14"/>
      <c r="BX67" s="14"/>
      <c r="BY67" s="14"/>
      <c r="BZ67" s="14"/>
      <c r="CA67" s="14"/>
      <c r="CB67" s="14" t="s">
        <v>186</v>
      </c>
      <c r="CC67" s="14" t="s">
        <v>44</v>
      </c>
      <c r="CD67" s="23">
        <f t="shared" ca="1" si="81"/>
        <v>0</v>
      </c>
      <c r="CE67" s="23">
        <f t="shared" ca="1" si="82"/>
        <v>211.26999999999998</v>
      </c>
      <c r="CF67" s="14"/>
      <c r="CG67" s="14" t="s">
        <v>186</v>
      </c>
      <c r="CH67" s="14" t="s">
        <v>44</v>
      </c>
      <c r="CI67" s="23">
        <f t="shared" ca="1" si="83"/>
        <v>0</v>
      </c>
      <c r="CJ67" s="23">
        <f t="shared" ca="1" si="84"/>
        <v>207.69654135338351</v>
      </c>
      <c r="CK67" s="14"/>
      <c r="CL67" s="14"/>
      <c r="CM67" s="14"/>
      <c r="CN67" s="14"/>
      <c r="CO67" s="14"/>
      <c r="CP67" s="14" t="s">
        <v>186</v>
      </c>
      <c r="CQ67" s="14" t="s">
        <v>44</v>
      </c>
      <c r="CR67" s="23">
        <f t="shared" ca="1" si="85"/>
        <v>0</v>
      </c>
      <c r="CS67" s="23">
        <f t="shared" ca="1" si="86"/>
        <v>273.27000000000004</v>
      </c>
      <c r="CT67" s="14"/>
      <c r="CU67" s="14" t="s">
        <v>186</v>
      </c>
      <c r="CV67" s="14" t="s">
        <v>44</v>
      </c>
      <c r="CW67" s="23">
        <f t="shared" ca="1" si="87"/>
        <v>0</v>
      </c>
      <c r="CX67" s="23">
        <f t="shared" ca="1" si="88"/>
        <v>269.69654135338351</v>
      </c>
      <c r="CY67" s="14"/>
      <c r="CZ67" s="14"/>
      <c r="DA67" s="14"/>
      <c r="DB67" s="14"/>
      <c r="DC67" s="14"/>
      <c r="DD67" s="14" t="s">
        <v>186</v>
      </c>
      <c r="DE67" s="14" t="s">
        <v>44</v>
      </c>
      <c r="DF67" s="23">
        <f t="shared" ca="1" si="89"/>
        <v>0</v>
      </c>
      <c r="DG67" s="23">
        <f t="shared" ca="1" si="90"/>
        <v>335.27000000000004</v>
      </c>
      <c r="DH67" s="14"/>
      <c r="DI67" s="14" t="s">
        <v>186</v>
      </c>
      <c r="DJ67" s="14" t="s">
        <v>44</v>
      </c>
      <c r="DK67" s="23">
        <f t="shared" ca="1" si="91"/>
        <v>0</v>
      </c>
      <c r="DL67" s="23">
        <f t="shared" ca="1" si="92"/>
        <v>331.69654135338328</v>
      </c>
      <c r="DM67" s="14"/>
      <c r="DN67" s="14"/>
      <c r="DO67" s="14"/>
      <c r="DP67" s="14"/>
      <c r="DQ67" s="14"/>
      <c r="DR67" s="14" t="s">
        <v>186</v>
      </c>
      <c r="DS67" s="14" t="s">
        <v>44</v>
      </c>
      <c r="DT67" s="23">
        <f t="shared" ca="1" si="93"/>
        <v>0</v>
      </c>
      <c r="DU67" s="23">
        <f t="shared" ca="1" si="94"/>
        <v>397.2700000000001</v>
      </c>
      <c r="DV67" s="14"/>
      <c r="DW67" s="14" t="s">
        <v>186</v>
      </c>
      <c r="DX67" s="14" t="s">
        <v>44</v>
      </c>
      <c r="DY67" s="23">
        <f t="shared" ca="1" si="95"/>
        <v>0</v>
      </c>
      <c r="DZ67" s="23">
        <f t="shared" ca="1" si="96"/>
        <v>393.69654135338328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4" t="s">
        <v>186</v>
      </c>
      <c r="Y68" s="14" t="s">
        <v>45</v>
      </c>
      <c r="Z68" s="23">
        <f t="shared" ca="1" si="65"/>
        <v>66.27000000000001</v>
      </c>
      <c r="AA68" s="23">
        <f t="shared" ca="1" si="66"/>
        <v>16.52</v>
      </c>
      <c r="AB68" s="14"/>
      <c r="AC68" s="14" t="s">
        <v>186</v>
      </c>
      <c r="AD68" s="14" t="s">
        <v>45</v>
      </c>
      <c r="AE68" s="23">
        <f t="shared" ca="1" si="67"/>
        <v>59.732330827067699</v>
      </c>
      <c r="AF68" s="23">
        <f t="shared" ca="1" si="68"/>
        <v>17.069999999999993</v>
      </c>
      <c r="AG68" s="14"/>
      <c r="AH68" s="14"/>
      <c r="AI68" s="14"/>
      <c r="AJ68" s="14"/>
      <c r="AK68" s="14"/>
      <c r="AL68" s="14" t="s">
        <v>186</v>
      </c>
      <c r="AM68" s="14" t="s">
        <v>45</v>
      </c>
      <c r="AN68" s="23">
        <f t="shared" ca="1" si="69"/>
        <v>30.140000000000004</v>
      </c>
      <c r="AO68" s="23">
        <f t="shared" ca="1" si="70"/>
        <v>42.39</v>
      </c>
      <c r="AP68" s="14"/>
      <c r="AQ68" s="14" t="s">
        <v>186</v>
      </c>
      <c r="AR68" s="14" t="s">
        <v>45</v>
      </c>
      <c r="AS68" s="23">
        <f t="shared" ca="1" si="71"/>
        <v>25.603984962406003</v>
      </c>
      <c r="AT68" s="23">
        <f t="shared" ca="1" si="72"/>
        <v>44.941654135338354</v>
      </c>
      <c r="AU68" s="14"/>
      <c r="AV68" s="14"/>
      <c r="AW68" s="14"/>
      <c r="AX68" s="14"/>
      <c r="AY68" s="14"/>
      <c r="AZ68" s="14" t="s">
        <v>186</v>
      </c>
      <c r="BA68" s="14" t="s">
        <v>45</v>
      </c>
      <c r="BB68" s="23">
        <f t="shared" ca="1" si="73"/>
        <v>9.5</v>
      </c>
      <c r="BC68" s="23">
        <f t="shared" ca="1" si="74"/>
        <v>83.75</v>
      </c>
      <c r="BD68" s="14"/>
      <c r="BE68" s="14" t="s">
        <v>186</v>
      </c>
      <c r="BF68" s="14" t="s">
        <v>45</v>
      </c>
      <c r="BG68" s="23">
        <f t="shared" ca="1" si="75"/>
        <v>7.7641353383458522</v>
      </c>
      <c r="BH68" s="23">
        <f t="shared" ca="1" si="76"/>
        <v>89.10180451127826</v>
      </c>
      <c r="BI68" s="14"/>
      <c r="BJ68" s="14"/>
      <c r="BK68" s="14"/>
      <c r="BL68" s="14"/>
      <c r="BM68" s="14"/>
      <c r="BN68" s="14" t="s">
        <v>186</v>
      </c>
      <c r="BO68" s="14" t="s">
        <v>45</v>
      </c>
      <c r="BP68" s="23">
        <f t="shared" ca="1" si="77"/>
        <v>1.77</v>
      </c>
      <c r="BQ68" s="23">
        <f t="shared" ca="1" si="78"/>
        <v>138.02000000000001</v>
      </c>
      <c r="BR68" s="14"/>
      <c r="BS68" s="14" t="s">
        <v>186</v>
      </c>
      <c r="BT68" s="14" t="s">
        <v>45</v>
      </c>
      <c r="BU68" s="23">
        <f t="shared" ca="1" si="79"/>
        <v>1.6487969924811949</v>
      </c>
      <c r="BV68" s="23">
        <f t="shared" ca="1" si="80"/>
        <v>144.9864661654135</v>
      </c>
      <c r="BW68" s="14"/>
      <c r="BX68" s="14"/>
      <c r="BY68" s="14"/>
      <c r="BZ68" s="14"/>
      <c r="CA68" s="14"/>
      <c r="CB68" s="14" t="s">
        <v>186</v>
      </c>
      <c r="CC68" s="14" t="s">
        <v>45</v>
      </c>
      <c r="CD68" s="23">
        <f t="shared" ca="1" si="81"/>
        <v>0.13</v>
      </c>
      <c r="CE68" s="23">
        <f t="shared" ca="1" si="82"/>
        <v>198.38000000000002</v>
      </c>
      <c r="CF68" s="14"/>
      <c r="CG68" s="14" t="s">
        <v>186</v>
      </c>
      <c r="CH68" s="14" t="s">
        <v>45</v>
      </c>
      <c r="CI68" s="23">
        <f t="shared" ca="1" si="83"/>
        <v>0.11285714285714299</v>
      </c>
      <c r="CJ68" s="23">
        <f t="shared" ca="1" si="84"/>
        <v>205.4505263157896</v>
      </c>
      <c r="CK68" s="14"/>
      <c r="CL68" s="14"/>
      <c r="CM68" s="14"/>
      <c r="CN68" s="14"/>
      <c r="CO68" s="14"/>
      <c r="CP68" s="14" t="s">
        <v>186</v>
      </c>
      <c r="CQ68" s="14" t="s">
        <v>45</v>
      </c>
      <c r="CR68" s="23">
        <f t="shared" ca="1" si="85"/>
        <v>0</v>
      </c>
      <c r="CS68" s="23">
        <f t="shared" ca="1" si="86"/>
        <v>260.25</v>
      </c>
      <c r="CT68" s="14"/>
      <c r="CU68" s="14" t="s">
        <v>186</v>
      </c>
      <c r="CV68" s="14" t="s">
        <v>45</v>
      </c>
      <c r="CW68" s="23">
        <f t="shared" ca="1" si="87"/>
        <v>0</v>
      </c>
      <c r="CX68" s="23">
        <f t="shared" ca="1" si="88"/>
        <v>267.33766917293235</v>
      </c>
      <c r="CY68" s="14"/>
      <c r="CZ68" s="14"/>
      <c r="DA68" s="14"/>
      <c r="DB68" s="14"/>
      <c r="DC68" s="14"/>
      <c r="DD68" s="14" t="s">
        <v>186</v>
      </c>
      <c r="DE68" s="14" t="s">
        <v>45</v>
      </c>
      <c r="DF68" s="23">
        <f t="shared" ca="1" si="89"/>
        <v>0</v>
      </c>
      <c r="DG68" s="23">
        <f t="shared" ca="1" si="90"/>
        <v>322.25</v>
      </c>
      <c r="DH68" s="14"/>
      <c r="DI68" s="14" t="s">
        <v>186</v>
      </c>
      <c r="DJ68" s="14" t="s">
        <v>45</v>
      </c>
      <c r="DK68" s="23">
        <f t="shared" ca="1" si="91"/>
        <v>0</v>
      </c>
      <c r="DL68" s="23">
        <f t="shared" ca="1" si="92"/>
        <v>329.33766917293235</v>
      </c>
      <c r="DM68" s="14"/>
      <c r="DN68" s="14"/>
      <c r="DO68" s="14"/>
      <c r="DP68" s="14"/>
      <c r="DQ68" s="14"/>
      <c r="DR68" s="14" t="s">
        <v>186</v>
      </c>
      <c r="DS68" s="14" t="s">
        <v>45</v>
      </c>
      <c r="DT68" s="23">
        <f t="shared" ca="1" si="93"/>
        <v>0</v>
      </c>
      <c r="DU68" s="23">
        <f t="shared" ca="1" si="94"/>
        <v>384.25000000000006</v>
      </c>
      <c r="DV68" s="14"/>
      <c r="DW68" s="14" t="s">
        <v>186</v>
      </c>
      <c r="DX68" s="14" t="s">
        <v>45</v>
      </c>
      <c r="DY68" s="23">
        <f t="shared" ca="1" si="95"/>
        <v>0</v>
      </c>
      <c r="DZ68" s="23">
        <f t="shared" ca="1" si="96"/>
        <v>391.33766917293246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4" t="s">
        <v>186</v>
      </c>
      <c r="Y69" s="14" t="s">
        <v>57</v>
      </c>
      <c r="Z69" s="23">
        <f t="shared" ca="1" si="65"/>
        <v>161.51999999999998</v>
      </c>
      <c r="AA69" s="23">
        <f t="shared" ca="1" si="66"/>
        <v>6.3</v>
      </c>
      <c r="AB69" s="14"/>
      <c r="AC69" s="14" t="s">
        <v>186</v>
      </c>
      <c r="AD69" s="14" t="s">
        <v>57</v>
      </c>
      <c r="AE69" s="23">
        <f t="shared" ca="1" si="67"/>
        <v>171.98428571428576</v>
      </c>
      <c r="AF69" s="23">
        <f t="shared" ca="1" si="68"/>
        <v>3.4718796992482339</v>
      </c>
      <c r="AG69" s="14"/>
      <c r="AH69" s="14"/>
      <c r="AI69" s="14"/>
      <c r="AJ69" s="14"/>
      <c r="AK69" s="14"/>
      <c r="AL69" s="14" t="s">
        <v>186</v>
      </c>
      <c r="AM69" s="14" t="s">
        <v>57</v>
      </c>
      <c r="AN69" s="23">
        <f t="shared" ca="1" si="69"/>
        <v>111.46000000000001</v>
      </c>
      <c r="AO69" s="23">
        <f t="shared" ca="1" si="70"/>
        <v>16.240000000000002</v>
      </c>
      <c r="AP69" s="14"/>
      <c r="AQ69" s="14" t="s">
        <v>186</v>
      </c>
      <c r="AR69" s="14" t="s">
        <v>57</v>
      </c>
      <c r="AS69" s="23">
        <f t="shared" ca="1" si="71"/>
        <v>119.55172932330834</v>
      </c>
      <c r="AT69" s="23">
        <f t="shared" ca="1" si="72"/>
        <v>11.039323308270696</v>
      </c>
      <c r="AU69" s="14"/>
      <c r="AV69" s="14"/>
      <c r="AW69" s="14"/>
      <c r="AX69" s="14"/>
      <c r="AY69" s="14"/>
      <c r="AZ69" s="14" t="s">
        <v>186</v>
      </c>
      <c r="BA69" s="14" t="s">
        <v>57</v>
      </c>
      <c r="BB69" s="23">
        <f t="shared" ca="1" si="73"/>
        <v>69.7</v>
      </c>
      <c r="BC69" s="23">
        <f t="shared" ca="1" si="74"/>
        <v>34.480000000000004</v>
      </c>
      <c r="BD69" s="14"/>
      <c r="BE69" s="14" t="s">
        <v>186</v>
      </c>
      <c r="BF69" s="14" t="s">
        <v>57</v>
      </c>
      <c r="BG69" s="23">
        <f t="shared" ca="1" si="75"/>
        <v>75.818496240601689</v>
      </c>
      <c r="BH69" s="23">
        <f t="shared" ca="1" si="76"/>
        <v>27.306090225563821</v>
      </c>
      <c r="BI69" s="14"/>
      <c r="BJ69" s="14"/>
      <c r="BK69" s="14"/>
      <c r="BL69" s="14"/>
      <c r="BM69" s="14"/>
      <c r="BN69" s="14" t="s">
        <v>186</v>
      </c>
      <c r="BO69" s="14" t="s">
        <v>57</v>
      </c>
      <c r="BP69" s="23">
        <f t="shared" ca="1" si="77"/>
        <v>37.33</v>
      </c>
      <c r="BQ69" s="23">
        <f t="shared" ca="1" si="78"/>
        <v>62.11</v>
      </c>
      <c r="BR69" s="14"/>
      <c r="BS69" s="14" t="s">
        <v>186</v>
      </c>
      <c r="BT69" s="14" t="s">
        <v>57</v>
      </c>
      <c r="BU69" s="23">
        <f t="shared" ca="1" si="79"/>
        <v>40.308421052631502</v>
      </c>
      <c r="BV69" s="23">
        <f t="shared" ca="1" si="80"/>
        <v>51.796015037594088</v>
      </c>
      <c r="BW69" s="14"/>
      <c r="BX69" s="14"/>
      <c r="BY69" s="14"/>
      <c r="BZ69" s="14"/>
      <c r="CA69" s="14"/>
      <c r="CB69" s="14" t="s">
        <v>186</v>
      </c>
      <c r="CC69" s="14" t="s">
        <v>57</v>
      </c>
      <c r="CD69" s="23">
        <f t="shared" ca="1" si="81"/>
        <v>16.16</v>
      </c>
      <c r="CE69" s="23">
        <f t="shared" ca="1" si="82"/>
        <v>100.94000000000001</v>
      </c>
      <c r="CF69" s="14"/>
      <c r="CG69" s="14" t="s">
        <v>186</v>
      </c>
      <c r="CH69" s="14" t="s">
        <v>57</v>
      </c>
      <c r="CI69" s="23">
        <f t="shared" ca="1" si="83"/>
        <v>16.61661654135338</v>
      </c>
      <c r="CJ69" s="23">
        <f t="shared" ca="1" si="84"/>
        <v>88.10421052631591</v>
      </c>
      <c r="CK69" s="14"/>
      <c r="CL69" s="14"/>
      <c r="CM69" s="14"/>
      <c r="CN69" s="14"/>
      <c r="CO69" s="14"/>
      <c r="CP69" s="14" t="s">
        <v>186</v>
      </c>
      <c r="CQ69" s="14" t="s">
        <v>57</v>
      </c>
      <c r="CR69" s="23">
        <f t="shared" ca="1" si="85"/>
        <v>5.120000000000001</v>
      </c>
      <c r="CS69" s="23">
        <f t="shared" ca="1" si="86"/>
        <v>149.90000000000003</v>
      </c>
      <c r="CT69" s="14"/>
      <c r="CU69" s="14" t="s">
        <v>186</v>
      </c>
      <c r="CV69" s="14" t="s">
        <v>57</v>
      </c>
      <c r="CW69" s="23">
        <f t="shared" ca="1" si="87"/>
        <v>5.0664661654135301</v>
      </c>
      <c r="CX69" s="23">
        <f t="shared" ca="1" si="88"/>
        <v>136.55406015037579</v>
      </c>
      <c r="CY69" s="14"/>
      <c r="CZ69" s="14"/>
      <c r="DA69" s="14"/>
      <c r="DB69" s="14"/>
      <c r="DC69" s="14"/>
      <c r="DD69" s="14" t="s">
        <v>186</v>
      </c>
      <c r="DE69" s="14" t="s">
        <v>57</v>
      </c>
      <c r="DF69" s="23">
        <f t="shared" ca="1" si="89"/>
        <v>1.1000000000000001</v>
      </c>
      <c r="DG69" s="23">
        <f t="shared" ca="1" si="90"/>
        <v>205.87999999999997</v>
      </c>
      <c r="DH69" s="14"/>
      <c r="DI69" s="14" t="s">
        <v>186</v>
      </c>
      <c r="DJ69" s="14" t="s">
        <v>57</v>
      </c>
      <c r="DK69" s="23">
        <f t="shared" ca="1" si="91"/>
        <v>1.2422556390977491</v>
      </c>
      <c r="DL69" s="23">
        <f t="shared" ca="1" si="92"/>
        <v>192.72984962406053</v>
      </c>
      <c r="DM69" s="14"/>
      <c r="DN69" s="14"/>
      <c r="DO69" s="14"/>
      <c r="DP69" s="14"/>
      <c r="DQ69" s="14"/>
      <c r="DR69" s="14" t="s">
        <v>186</v>
      </c>
      <c r="DS69" s="14" t="s">
        <v>57</v>
      </c>
      <c r="DT69" s="23">
        <f t="shared" ca="1" si="93"/>
        <v>0</v>
      </c>
      <c r="DU69" s="23">
        <f t="shared" ca="1" si="94"/>
        <v>264.77999999999997</v>
      </c>
      <c r="DV69" s="14"/>
      <c r="DW69" s="14" t="s">
        <v>186</v>
      </c>
      <c r="DX69" s="14" t="s">
        <v>57</v>
      </c>
      <c r="DY69" s="23">
        <f t="shared" ca="1" si="95"/>
        <v>6.0902255639101455E-3</v>
      </c>
      <c r="DZ69" s="23">
        <f t="shared" ca="1" si="96"/>
        <v>251.49368421052623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4" t="s">
        <v>186</v>
      </c>
      <c r="Y70" s="14" t="s">
        <v>58</v>
      </c>
      <c r="Z70" s="23">
        <f t="shared" ca="1" si="65"/>
        <v>348.65999999999997</v>
      </c>
      <c r="AA70" s="23">
        <f t="shared" ca="1" si="66"/>
        <v>0.5</v>
      </c>
      <c r="AB70" s="14"/>
      <c r="AC70" s="14" t="s">
        <v>186</v>
      </c>
      <c r="AD70" s="14" t="s">
        <v>58</v>
      </c>
      <c r="AE70" s="23">
        <f t="shared" ca="1" si="67"/>
        <v>333.14436090225536</v>
      </c>
      <c r="AF70" s="23">
        <f t="shared" ca="1" si="68"/>
        <v>0.26067669172932284</v>
      </c>
      <c r="AG70" s="14"/>
      <c r="AH70" s="14"/>
      <c r="AI70" s="14"/>
      <c r="AJ70" s="14"/>
      <c r="AK70" s="14"/>
      <c r="AL70" s="14" t="s">
        <v>186</v>
      </c>
      <c r="AM70" s="14" t="s">
        <v>58</v>
      </c>
      <c r="AN70" s="23">
        <f t="shared" ca="1" si="69"/>
        <v>287.67</v>
      </c>
      <c r="AO70" s="23">
        <f t="shared" ca="1" si="70"/>
        <v>1.5100000000000002</v>
      </c>
      <c r="AP70" s="14"/>
      <c r="AQ70" s="14" t="s">
        <v>186</v>
      </c>
      <c r="AR70" s="14" t="s">
        <v>58</v>
      </c>
      <c r="AS70" s="23">
        <f t="shared" ca="1" si="71"/>
        <v>272.06436090225543</v>
      </c>
      <c r="AT70" s="23">
        <f t="shared" ca="1" si="72"/>
        <v>1.1806766917293317</v>
      </c>
      <c r="AU70" s="14"/>
      <c r="AV70" s="14"/>
      <c r="AW70" s="14"/>
      <c r="AX70" s="14"/>
      <c r="AY70" s="14"/>
      <c r="AZ70" s="14" t="s">
        <v>186</v>
      </c>
      <c r="BA70" s="14" t="s">
        <v>58</v>
      </c>
      <c r="BB70" s="23">
        <f t="shared" ca="1" si="73"/>
        <v>228.78000000000003</v>
      </c>
      <c r="BC70" s="23">
        <f t="shared" ca="1" si="74"/>
        <v>4.62</v>
      </c>
      <c r="BD70" s="14"/>
      <c r="BE70" s="14" t="s">
        <v>186</v>
      </c>
      <c r="BF70" s="14" t="s">
        <v>58</v>
      </c>
      <c r="BG70" s="23">
        <f t="shared" ca="1" si="75"/>
        <v>213.546240601504</v>
      </c>
      <c r="BH70" s="23">
        <f t="shared" ca="1" si="76"/>
        <v>4.6625563909774428</v>
      </c>
      <c r="BI70" s="14"/>
      <c r="BJ70" s="14"/>
      <c r="BK70" s="14"/>
      <c r="BL70" s="14"/>
      <c r="BM70" s="14"/>
      <c r="BN70" s="14" t="s">
        <v>186</v>
      </c>
      <c r="BO70" s="14" t="s">
        <v>58</v>
      </c>
      <c r="BP70" s="23">
        <f t="shared" ca="1" si="77"/>
        <v>173.75</v>
      </c>
      <c r="BQ70" s="23">
        <f t="shared" ca="1" si="78"/>
        <v>11.59</v>
      </c>
      <c r="BR70" s="14"/>
      <c r="BS70" s="14" t="s">
        <v>186</v>
      </c>
      <c r="BT70" s="14" t="s">
        <v>58</v>
      </c>
      <c r="BU70" s="23">
        <f t="shared" ca="1" si="79"/>
        <v>159.5792481203016</v>
      </c>
      <c r="BV70" s="23">
        <f t="shared" ca="1" si="80"/>
        <v>12.695563909774449</v>
      </c>
      <c r="BW70" s="14"/>
      <c r="BX70" s="14"/>
      <c r="BY70" s="14"/>
      <c r="BZ70" s="14"/>
      <c r="CA70" s="14"/>
      <c r="CB70" s="14" t="s">
        <v>186</v>
      </c>
      <c r="CC70" s="14" t="s">
        <v>58</v>
      </c>
      <c r="CD70" s="23">
        <f t="shared" ca="1" si="81"/>
        <v>124.66000000000001</v>
      </c>
      <c r="CE70" s="23">
        <f t="shared" ca="1" si="82"/>
        <v>24.5</v>
      </c>
      <c r="CF70" s="14"/>
      <c r="CG70" s="14" t="s">
        <v>186</v>
      </c>
      <c r="CH70" s="14" t="s">
        <v>58</v>
      </c>
      <c r="CI70" s="23">
        <f t="shared" ca="1" si="83"/>
        <v>112.95676691729295</v>
      </c>
      <c r="CJ70" s="23">
        <f t="shared" ca="1" si="84"/>
        <v>28.073082706766968</v>
      </c>
      <c r="CK70" s="14"/>
      <c r="CL70" s="14"/>
      <c r="CM70" s="14"/>
      <c r="CN70" s="14"/>
      <c r="CO70" s="14"/>
      <c r="CP70" s="14" t="s">
        <v>186</v>
      </c>
      <c r="CQ70" s="14" t="s">
        <v>58</v>
      </c>
      <c r="CR70" s="23">
        <f t="shared" ca="1" si="85"/>
        <v>83.13000000000001</v>
      </c>
      <c r="CS70" s="23">
        <f t="shared" ca="1" si="86"/>
        <v>44.970000000000006</v>
      </c>
      <c r="CT70" s="14"/>
      <c r="CU70" s="14" t="s">
        <v>186</v>
      </c>
      <c r="CV70" s="14" t="s">
        <v>58</v>
      </c>
      <c r="CW70" s="23">
        <f t="shared" ca="1" si="87"/>
        <v>73.700375939849437</v>
      </c>
      <c r="CX70" s="23">
        <f t="shared" ca="1" si="88"/>
        <v>50.816691729323338</v>
      </c>
      <c r="CY70" s="14"/>
      <c r="CZ70" s="14"/>
      <c r="DA70" s="14"/>
      <c r="DB70" s="14"/>
      <c r="DC70" s="14"/>
      <c r="DD70" s="14" t="s">
        <v>186</v>
      </c>
      <c r="DE70" s="14" t="s">
        <v>58</v>
      </c>
      <c r="DF70" s="23">
        <f t="shared" ca="1" si="89"/>
        <v>49.239999999999995</v>
      </c>
      <c r="DG70" s="23">
        <f t="shared" ca="1" si="90"/>
        <v>73.080000000000013</v>
      </c>
      <c r="DH70" s="14"/>
      <c r="DI70" s="14" t="s">
        <v>186</v>
      </c>
      <c r="DJ70" s="14" t="s">
        <v>58</v>
      </c>
      <c r="DK70" s="23">
        <f t="shared" ca="1" si="91"/>
        <v>42.000225563909908</v>
      </c>
      <c r="DL70" s="23">
        <f t="shared" ca="1" si="92"/>
        <v>81.116541353383127</v>
      </c>
      <c r="DM70" s="14"/>
      <c r="DN70" s="14"/>
      <c r="DO70" s="14"/>
      <c r="DP70" s="14"/>
      <c r="DQ70" s="14"/>
      <c r="DR70" s="14" t="s">
        <v>186</v>
      </c>
      <c r="DS70" s="14" t="s">
        <v>58</v>
      </c>
      <c r="DT70" s="23">
        <f t="shared" ca="1" si="93"/>
        <v>23.78</v>
      </c>
      <c r="DU70" s="23">
        <f t="shared" ca="1" si="94"/>
        <v>109.62</v>
      </c>
      <c r="DV70" s="14"/>
      <c r="DW70" s="14" t="s">
        <v>186</v>
      </c>
      <c r="DX70" s="14" t="s">
        <v>58</v>
      </c>
      <c r="DY70" s="23">
        <f t="shared" ca="1" si="95"/>
        <v>18.692105263157828</v>
      </c>
      <c r="DZ70" s="23">
        <f t="shared" ca="1" si="96"/>
        <v>119.80842105263173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4" t="s">
        <v>186</v>
      </c>
      <c r="Y71" s="14" t="s">
        <v>59</v>
      </c>
      <c r="Z71" s="23">
        <f t="shared" ca="1" si="65"/>
        <v>544.56999999999994</v>
      </c>
      <c r="AA71" s="23">
        <f t="shared" ca="1" si="66"/>
        <v>0</v>
      </c>
      <c r="AB71" s="14"/>
      <c r="AC71" s="14" t="s">
        <v>186</v>
      </c>
      <c r="AD71" s="14" t="s">
        <v>59</v>
      </c>
      <c r="AE71" s="23">
        <f t="shared" ca="1" si="67"/>
        <v>540.80481203007537</v>
      </c>
      <c r="AF71" s="23">
        <f t="shared" ca="1" si="68"/>
        <v>0</v>
      </c>
      <c r="AG71" s="14"/>
      <c r="AH71" s="14"/>
      <c r="AI71" s="14"/>
      <c r="AJ71" s="14"/>
      <c r="AK71" s="14"/>
      <c r="AL71" s="14" t="s">
        <v>186</v>
      </c>
      <c r="AM71" s="14" t="s">
        <v>59</v>
      </c>
      <c r="AN71" s="23">
        <f t="shared" ca="1" si="69"/>
        <v>484.75</v>
      </c>
      <c r="AO71" s="23">
        <f t="shared" ca="1" si="70"/>
        <v>0.18</v>
      </c>
      <c r="AP71" s="14"/>
      <c r="AQ71" s="14" t="s">
        <v>186</v>
      </c>
      <c r="AR71" s="14" t="s">
        <v>59</v>
      </c>
      <c r="AS71" s="23">
        <f t="shared" ca="1" si="71"/>
        <v>481.15939849624078</v>
      </c>
      <c r="AT71" s="23">
        <f t="shared" ca="1" si="72"/>
        <v>0.354586466165415</v>
      </c>
      <c r="AU71" s="14"/>
      <c r="AV71" s="14"/>
      <c r="AW71" s="14"/>
      <c r="AX71" s="14"/>
      <c r="AY71" s="14"/>
      <c r="AZ71" s="14" t="s">
        <v>186</v>
      </c>
      <c r="BA71" s="14" t="s">
        <v>59</v>
      </c>
      <c r="BB71" s="23">
        <f t="shared" ca="1" si="73"/>
        <v>425.26000000000005</v>
      </c>
      <c r="BC71" s="23">
        <f t="shared" ca="1" si="74"/>
        <v>0.69000000000000006</v>
      </c>
      <c r="BD71" s="14"/>
      <c r="BE71" s="14" t="s">
        <v>186</v>
      </c>
      <c r="BF71" s="14" t="s">
        <v>59</v>
      </c>
      <c r="BG71" s="23">
        <f t="shared" ca="1" si="75"/>
        <v>422.03436090225591</v>
      </c>
      <c r="BH71" s="23">
        <f t="shared" ca="1" si="76"/>
        <v>1.2295488721804304</v>
      </c>
      <c r="BI71" s="14"/>
      <c r="BJ71" s="14"/>
      <c r="BK71" s="14"/>
      <c r="BL71" s="14"/>
      <c r="BM71" s="14"/>
      <c r="BN71" s="14" t="s">
        <v>186</v>
      </c>
      <c r="BO71" s="14" t="s">
        <v>59</v>
      </c>
      <c r="BP71" s="23">
        <f t="shared" ca="1" si="77"/>
        <v>366.25</v>
      </c>
      <c r="BQ71" s="23">
        <f t="shared" ca="1" si="78"/>
        <v>1.6800000000000002</v>
      </c>
      <c r="BR71" s="14"/>
      <c r="BS71" s="14" t="s">
        <v>186</v>
      </c>
      <c r="BT71" s="14" t="s">
        <v>59</v>
      </c>
      <c r="BU71" s="23">
        <f t="shared" ca="1" si="79"/>
        <v>363.79526315789462</v>
      </c>
      <c r="BV71" s="23">
        <f t="shared" ca="1" si="80"/>
        <v>2.99045112781954</v>
      </c>
      <c r="BW71" s="14"/>
      <c r="BX71" s="14"/>
      <c r="BY71" s="14"/>
      <c r="BZ71" s="14"/>
      <c r="CA71" s="14"/>
      <c r="CB71" s="14" t="s">
        <v>186</v>
      </c>
      <c r="CC71" s="14" t="s">
        <v>59</v>
      </c>
      <c r="CD71" s="23">
        <f t="shared" ca="1" si="81"/>
        <v>308.05</v>
      </c>
      <c r="CE71" s="23">
        <f t="shared" ca="1" si="82"/>
        <v>3.4800000000000004</v>
      </c>
      <c r="CF71" s="14"/>
      <c r="CG71" s="14" t="s">
        <v>186</v>
      </c>
      <c r="CH71" s="14" t="s">
        <v>59</v>
      </c>
      <c r="CI71" s="23">
        <f t="shared" ca="1" si="83"/>
        <v>306.69218045112757</v>
      </c>
      <c r="CJ71" s="23">
        <f t="shared" ca="1" si="84"/>
        <v>5.8873684210525425</v>
      </c>
      <c r="CK71" s="14"/>
      <c r="CL71" s="14"/>
      <c r="CM71" s="14"/>
      <c r="CN71" s="14"/>
      <c r="CO71" s="14"/>
      <c r="CP71" s="14" t="s">
        <v>186</v>
      </c>
      <c r="CQ71" s="14" t="s">
        <v>59</v>
      </c>
      <c r="CR71" s="23">
        <f t="shared" ca="1" si="85"/>
        <v>251.03999999999996</v>
      </c>
      <c r="CS71" s="23">
        <f t="shared" ca="1" si="86"/>
        <v>6.4700000000000006</v>
      </c>
      <c r="CT71" s="14"/>
      <c r="CU71" s="14" t="s">
        <v>186</v>
      </c>
      <c r="CV71" s="14" t="s">
        <v>59</v>
      </c>
      <c r="CW71" s="23">
        <f t="shared" ca="1" si="87"/>
        <v>251.06203007518843</v>
      </c>
      <c r="CX71" s="23">
        <f t="shared" ca="1" si="88"/>
        <v>10.257218045112722</v>
      </c>
      <c r="CY71" s="14"/>
      <c r="CZ71" s="14"/>
      <c r="DA71" s="14"/>
      <c r="DB71" s="14"/>
      <c r="DC71" s="14"/>
      <c r="DD71" s="14" t="s">
        <v>186</v>
      </c>
      <c r="DE71" s="14" t="s">
        <v>59</v>
      </c>
      <c r="DF71" s="23">
        <f t="shared" ca="1" si="89"/>
        <v>196.93</v>
      </c>
      <c r="DG71" s="23">
        <f t="shared" ca="1" si="90"/>
        <v>12.36</v>
      </c>
      <c r="DH71" s="14"/>
      <c r="DI71" s="14" t="s">
        <v>186</v>
      </c>
      <c r="DJ71" s="14" t="s">
        <v>59</v>
      </c>
      <c r="DK71" s="23">
        <f t="shared" ca="1" si="91"/>
        <v>198.25518796992492</v>
      </c>
      <c r="DL71" s="23">
        <f t="shared" ca="1" si="92"/>
        <v>17.450375939849664</v>
      </c>
      <c r="DM71" s="14"/>
      <c r="DN71" s="14"/>
      <c r="DO71" s="14"/>
      <c r="DP71" s="14"/>
      <c r="DQ71" s="14"/>
      <c r="DR71" s="14" t="s">
        <v>186</v>
      </c>
      <c r="DS71" s="14" t="s">
        <v>59</v>
      </c>
      <c r="DT71" s="23">
        <f t="shared" ca="1" si="93"/>
        <v>146.42000000000002</v>
      </c>
      <c r="DU71" s="23">
        <f t="shared" ca="1" si="94"/>
        <v>21.85</v>
      </c>
      <c r="DV71" s="14"/>
      <c r="DW71" s="14" t="s">
        <v>186</v>
      </c>
      <c r="DX71" s="14" t="s">
        <v>59</v>
      </c>
      <c r="DY71" s="23">
        <f t="shared" ca="1" si="95"/>
        <v>147.81842105263149</v>
      </c>
      <c r="DZ71" s="23">
        <f t="shared" ca="1" si="96"/>
        <v>27.013609022556466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4" t="s">
        <v>186</v>
      </c>
      <c r="Y72" s="14" t="s">
        <v>60</v>
      </c>
      <c r="Z72" s="23">
        <f t="shared" ca="1" si="65"/>
        <v>709.60000000000014</v>
      </c>
      <c r="AA72" s="23">
        <f t="shared" ca="1" si="66"/>
        <v>0</v>
      </c>
      <c r="AB72" s="14"/>
      <c r="AC72" s="14" t="s">
        <v>186</v>
      </c>
      <c r="AD72" s="14" t="s">
        <v>60</v>
      </c>
      <c r="AE72" s="23">
        <f t="shared" ca="1" si="67"/>
        <v>692.70616541353411</v>
      </c>
      <c r="AF72" s="23">
        <f t="shared" ca="1" si="68"/>
        <v>0</v>
      </c>
      <c r="AG72" s="14"/>
      <c r="AH72" s="14"/>
      <c r="AI72" s="14"/>
      <c r="AJ72" s="14"/>
      <c r="AK72" s="14"/>
      <c r="AL72" s="14" t="s">
        <v>186</v>
      </c>
      <c r="AM72" s="14" t="s">
        <v>60</v>
      </c>
      <c r="AN72" s="23">
        <f t="shared" ca="1" si="69"/>
        <v>647.60000000000014</v>
      </c>
      <c r="AO72" s="23">
        <f t="shared" ca="1" si="70"/>
        <v>0</v>
      </c>
      <c r="AP72" s="14"/>
      <c r="AQ72" s="14" t="s">
        <v>186</v>
      </c>
      <c r="AR72" s="14" t="s">
        <v>60</v>
      </c>
      <c r="AS72" s="23">
        <f t="shared" ca="1" si="71"/>
        <v>630.70616541353411</v>
      </c>
      <c r="AT72" s="23">
        <f t="shared" ca="1" si="72"/>
        <v>0</v>
      </c>
      <c r="AU72" s="14"/>
      <c r="AV72" s="14"/>
      <c r="AW72" s="14"/>
      <c r="AX72" s="14"/>
      <c r="AY72" s="14"/>
      <c r="AZ72" s="14" t="s">
        <v>186</v>
      </c>
      <c r="BA72" s="14" t="s">
        <v>60</v>
      </c>
      <c r="BB72" s="23">
        <f t="shared" ca="1" si="73"/>
        <v>585.60000000000014</v>
      </c>
      <c r="BC72" s="23">
        <f t="shared" ca="1" si="74"/>
        <v>0</v>
      </c>
      <c r="BD72" s="14"/>
      <c r="BE72" s="14" t="s">
        <v>186</v>
      </c>
      <c r="BF72" s="14" t="s">
        <v>60</v>
      </c>
      <c r="BG72" s="23">
        <f t="shared" ca="1" si="75"/>
        <v>568.70616541353411</v>
      </c>
      <c r="BH72" s="23">
        <f t="shared" ca="1" si="76"/>
        <v>0</v>
      </c>
      <c r="BI72" s="14"/>
      <c r="BJ72" s="14"/>
      <c r="BK72" s="14"/>
      <c r="BL72" s="14"/>
      <c r="BM72" s="14"/>
      <c r="BN72" s="14" t="s">
        <v>186</v>
      </c>
      <c r="BO72" s="14" t="s">
        <v>60</v>
      </c>
      <c r="BP72" s="23">
        <f t="shared" ca="1" si="77"/>
        <v>523.60000000000014</v>
      </c>
      <c r="BQ72" s="23">
        <f t="shared" ca="1" si="78"/>
        <v>0</v>
      </c>
      <c r="BR72" s="14"/>
      <c r="BS72" s="14" t="s">
        <v>186</v>
      </c>
      <c r="BT72" s="14" t="s">
        <v>60</v>
      </c>
      <c r="BU72" s="23">
        <f t="shared" ca="1" si="79"/>
        <v>506.7061654135332</v>
      </c>
      <c r="BV72" s="23">
        <f t="shared" ca="1" si="80"/>
        <v>0</v>
      </c>
      <c r="BW72" s="14"/>
      <c r="BX72" s="14"/>
      <c r="BY72" s="14"/>
      <c r="BZ72" s="14"/>
      <c r="CA72" s="14"/>
      <c r="CB72" s="14" t="s">
        <v>186</v>
      </c>
      <c r="CC72" s="14" t="s">
        <v>60</v>
      </c>
      <c r="CD72" s="23">
        <f t="shared" ca="1" si="81"/>
        <v>461.6</v>
      </c>
      <c r="CE72" s="23">
        <f t="shared" ca="1" si="82"/>
        <v>0</v>
      </c>
      <c r="CF72" s="14"/>
      <c r="CG72" s="14" t="s">
        <v>186</v>
      </c>
      <c r="CH72" s="14" t="s">
        <v>60</v>
      </c>
      <c r="CI72" s="23">
        <f t="shared" ca="1" si="83"/>
        <v>444.7061654135332</v>
      </c>
      <c r="CJ72" s="23">
        <f t="shared" ca="1" si="84"/>
        <v>0</v>
      </c>
      <c r="CK72" s="14"/>
      <c r="CL72" s="14"/>
      <c r="CM72" s="14"/>
      <c r="CN72" s="14"/>
      <c r="CO72" s="14"/>
      <c r="CP72" s="14" t="s">
        <v>186</v>
      </c>
      <c r="CQ72" s="14" t="s">
        <v>60</v>
      </c>
      <c r="CR72" s="23">
        <f t="shared" ca="1" si="85"/>
        <v>399.6</v>
      </c>
      <c r="CS72" s="23">
        <f t="shared" ca="1" si="86"/>
        <v>0</v>
      </c>
      <c r="CT72" s="14"/>
      <c r="CU72" s="14" t="s">
        <v>186</v>
      </c>
      <c r="CV72" s="14" t="s">
        <v>60</v>
      </c>
      <c r="CW72" s="23">
        <f t="shared" ca="1" si="87"/>
        <v>382.7061654135332</v>
      </c>
      <c r="CX72" s="23">
        <f t="shared" ca="1" si="88"/>
        <v>0</v>
      </c>
      <c r="CY72" s="14"/>
      <c r="CZ72" s="14"/>
      <c r="DA72" s="14"/>
      <c r="DB72" s="14"/>
      <c r="DC72" s="14"/>
      <c r="DD72" s="14" t="s">
        <v>186</v>
      </c>
      <c r="DE72" s="14" t="s">
        <v>60</v>
      </c>
      <c r="DF72" s="23">
        <f t="shared" ca="1" si="89"/>
        <v>337.9</v>
      </c>
      <c r="DG72" s="23">
        <f t="shared" ca="1" si="90"/>
        <v>0.3</v>
      </c>
      <c r="DH72" s="14"/>
      <c r="DI72" s="14" t="s">
        <v>186</v>
      </c>
      <c r="DJ72" s="14" t="s">
        <v>60</v>
      </c>
      <c r="DK72" s="23">
        <f t="shared" ca="1" si="91"/>
        <v>321.16225563909848</v>
      </c>
      <c r="DL72" s="23">
        <f t="shared" ca="1" si="92"/>
        <v>0.45609022556390499</v>
      </c>
      <c r="DM72" s="14"/>
      <c r="DN72" s="14"/>
      <c r="DO72" s="14"/>
      <c r="DP72" s="14"/>
      <c r="DQ72" s="14"/>
      <c r="DR72" s="14" t="s">
        <v>186</v>
      </c>
      <c r="DS72" s="14" t="s">
        <v>60</v>
      </c>
      <c r="DT72" s="23">
        <f t="shared" ca="1" si="93"/>
        <v>276.89</v>
      </c>
      <c r="DU72" s="23">
        <f t="shared" ca="1" si="94"/>
        <v>1.2899999999999998</v>
      </c>
      <c r="DV72" s="14"/>
      <c r="DW72" s="14" t="s">
        <v>186</v>
      </c>
      <c r="DX72" s="14" t="s">
        <v>60</v>
      </c>
      <c r="DY72" s="23">
        <f t="shared" ca="1" si="95"/>
        <v>260.43375939849648</v>
      </c>
      <c r="DZ72" s="23">
        <f t="shared" ca="1" si="96"/>
        <v>1.7275939849623967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1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1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1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1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1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1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1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1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1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1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1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1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1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101" t="s">
        <v>190</v>
      </c>
      <c r="EM92" s="102"/>
      <c r="EN92" s="102"/>
      <c r="EO92" s="102"/>
      <c r="EP92" s="102"/>
      <c r="EQ92" s="103"/>
    </row>
    <row r="93" spans="1:147">
      <c r="A93">
        <v>2009</v>
      </c>
      <c r="B93">
        <v>8</v>
      </c>
      <c r="C93" s="11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104" t="s">
        <v>119</v>
      </c>
      <c r="EQ93" s="105"/>
    </row>
    <row r="94" spans="1:147">
      <c r="A94">
        <v>2009</v>
      </c>
      <c r="B94">
        <v>9</v>
      </c>
      <c r="C94" s="11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104" t="s">
        <v>191</v>
      </c>
      <c r="EQ94" s="105"/>
    </row>
    <row r="95" spans="1:147">
      <c r="A95">
        <v>2009</v>
      </c>
      <c r="B95">
        <v>10</v>
      </c>
      <c r="C95" s="11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104"/>
      <c r="EQ95" s="105"/>
    </row>
    <row r="96" spans="1:147">
      <c r="A96">
        <v>2009</v>
      </c>
      <c r="B96">
        <v>11</v>
      </c>
      <c r="C96" s="11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104"/>
      <c r="EM96" t="s">
        <v>120</v>
      </c>
      <c r="EN96" t="s">
        <v>121</v>
      </c>
      <c r="EO96" t="s">
        <v>122</v>
      </c>
      <c r="EP96" t="s">
        <v>123</v>
      </c>
      <c r="EQ96" s="105"/>
    </row>
    <row r="97" spans="1:153">
      <c r="A97">
        <v>2009</v>
      </c>
      <c r="B97">
        <v>12</v>
      </c>
      <c r="C97" s="11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104" t="s">
        <v>124</v>
      </c>
      <c r="EM97">
        <v>6831623.0055515897</v>
      </c>
      <c r="EN97">
        <v>207065.607140868</v>
      </c>
      <c r="EO97">
        <v>32.9925529395327</v>
      </c>
      <c r="EP97" s="99">
        <v>3.7352773301419298E-60</v>
      </c>
      <c r="EQ97" s="105"/>
    </row>
    <row r="98" spans="1:153">
      <c r="A98">
        <v>2010</v>
      </c>
      <c r="B98">
        <v>1</v>
      </c>
      <c r="C98" s="11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104" t="s">
        <v>28</v>
      </c>
      <c r="EM98">
        <v>9587.1973936290797</v>
      </c>
      <c r="EN98">
        <v>418.422218384921</v>
      </c>
      <c r="EO98">
        <v>22.912734965736199</v>
      </c>
      <c r="EP98" s="99">
        <v>1.7566272308654801E-44</v>
      </c>
      <c r="EQ98" s="105"/>
    </row>
    <row r="99" spans="1:153">
      <c r="A99">
        <v>2010</v>
      </c>
      <c r="B99">
        <v>2</v>
      </c>
      <c r="C99" s="11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104" t="s">
        <v>29</v>
      </c>
      <c r="EM99">
        <v>22163.638601719402</v>
      </c>
      <c r="EN99">
        <v>1409.1971466320399</v>
      </c>
      <c r="EO99">
        <v>15.7278480549653</v>
      </c>
      <c r="EP99" s="99">
        <v>2.4760861950287098E-30</v>
      </c>
      <c r="EQ99" s="105"/>
    </row>
    <row r="100" spans="1:153">
      <c r="A100">
        <v>2010</v>
      </c>
      <c r="B100">
        <v>3</v>
      </c>
      <c r="C100" s="11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104"/>
      <c r="EQ100" s="105"/>
    </row>
    <row r="101" spans="1:153">
      <c r="A101">
        <v>2010</v>
      </c>
      <c r="B101">
        <v>4</v>
      </c>
      <c r="C101" s="11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104" t="s">
        <v>128</v>
      </c>
      <c r="EQ101" s="105"/>
    </row>
    <row r="102" spans="1:153">
      <c r="A102">
        <v>2010</v>
      </c>
      <c r="B102">
        <v>5</v>
      </c>
      <c r="C102" s="11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104" t="s">
        <v>129</v>
      </c>
      <c r="EM102">
        <v>10321895.181466199</v>
      </c>
      <c r="EN102" t="s">
        <v>130</v>
      </c>
      <c r="EO102">
        <v>1883507.46857908</v>
      </c>
      <c r="EQ102" s="105"/>
    </row>
    <row r="103" spans="1:153">
      <c r="A103">
        <v>2010</v>
      </c>
      <c r="B103">
        <v>6</v>
      </c>
      <c r="C103" s="11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104" t="s">
        <v>131</v>
      </c>
      <c r="EM103">
        <v>37133204941423</v>
      </c>
      <c r="EN103" t="s">
        <v>132</v>
      </c>
      <c r="EO103">
        <v>570727.49005739996</v>
      </c>
      <c r="EQ103" s="105"/>
    </row>
    <row r="104" spans="1:153">
      <c r="A104">
        <v>2010</v>
      </c>
      <c r="B104">
        <v>7</v>
      </c>
      <c r="C104" s="11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104" t="s">
        <v>133</v>
      </c>
      <c r="EM104">
        <v>0.90977893571436497</v>
      </c>
      <c r="EN104" t="s">
        <v>134</v>
      </c>
      <c r="EO104">
        <v>0.908196110025144</v>
      </c>
      <c r="EQ104" s="105"/>
    </row>
    <row r="105" spans="1:153">
      <c r="A105">
        <v>2010</v>
      </c>
      <c r="B105">
        <v>8</v>
      </c>
      <c r="C105" s="11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104" t="s">
        <v>189</v>
      </c>
      <c r="EM105">
        <v>331.96187032965298</v>
      </c>
      <c r="EN105" t="s">
        <v>135</v>
      </c>
      <c r="EO105" s="99">
        <v>2.8851345648656598E-48</v>
      </c>
      <c r="EQ105" s="105"/>
    </row>
    <row r="106" spans="1:153">
      <c r="A106">
        <v>2010</v>
      </c>
      <c r="B106">
        <v>9</v>
      </c>
      <c r="C106" s="11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106" t="s">
        <v>136</v>
      </c>
      <c r="EM106" s="107">
        <v>-0.16216818999784699</v>
      </c>
      <c r="EN106" s="107" t="s">
        <v>137</v>
      </c>
      <c r="EO106" s="107">
        <v>2.31875863646049</v>
      </c>
      <c r="EP106" s="107"/>
      <c r="EQ106" s="108"/>
    </row>
    <row r="107" spans="1:153">
      <c r="A107">
        <v>2010</v>
      </c>
      <c r="B107">
        <v>10</v>
      </c>
      <c r="C107" s="11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1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1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101" t="s">
        <v>195</v>
      </c>
      <c r="EM109" s="102"/>
      <c r="EN109" s="102"/>
      <c r="EO109" s="102"/>
      <c r="EP109" s="102"/>
      <c r="EQ109" s="103"/>
    </row>
    <row r="110" spans="1:153">
      <c r="A110">
        <v>2011</v>
      </c>
      <c r="B110">
        <v>1</v>
      </c>
      <c r="C110" s="11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8"/>
      <c r="EH110" s="8"/>
      <c r="EI110" s="8"/>
      <c r="EL110" s="104" t="s">
        <v>142</v>
      </c>
      <c r="EQ110" s="105"/>
      <c r="EU110" s="8"/>
      <c r="EV110" s="8"/>
      <c r="EW110" s="8"/>
    </row>
    <row r="111" spans="1:153">
      <c r="A111">
        <v>2011</v>
      </c>
      <c r="B111">
        <v>2</v>
      </c>
      <c r="C111" s="11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8"/>
      <c r="EH111" s="8"/>
      <c r="EI111" s="8"/>
      <c r="EL111" s="104" t="s">
        <v>192</v>
      </c>
      <c r="EQ111" s="105"/>
      <c r="EU111" s="8"/>
      <c r="EV111" s="8"/>
      <c r="EW111" s="8"/>
    </row>
    <row r="112" spans="1:153">
      <c r="A112">
        <v>2011</v>
      </c>
      <c r="B112">
        <v>3</v>
      </c>
      <c r="C112" s="11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8"/>
      <c r="EH112" s="8"/>
      <c r="EI112" s="8"/>
      <c r="EL112" s="104"/>
      <c r="EQ112" s="105"/>
      <c r="EU112" s="8"/>
      <c r="EV112" s="8"/>
      <c r="EW112" s="8"/>
    </row>
    <row r="113" spans="1:153">
      <c r="A113">
        <v>2011</v>
      </c>
      <c r="B113">
        <v>4</v>
      </c>
      <c r="C113" s="11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8"/>
      <c r="EH113" s="8"/>
      <c r="EI113" s="8"/>
      <c r="EL113" s="104"/>
      <c r="EM113" t="s">
        <v>120</v>
      </c>
      <c r="EN113" t="s">
        <v>121</v>
      </c>
      <c r="EO113" t="s">
        <v>122</v>
      </c>
      <c r="EP113" t="s">
        <v>123</v>
      </c>
      <c r="EQ113" s="105"/>
      <c r="EU113" s="8"/>
      <c r="EV113" s="8"/>
      <c r="EW113" s="8"/>
    </row>
    <row r="114" spans="1:153">
      <c r="A114">
        <v>2011</v>
      </c>
      <c r="B114">
        <v>5</v>
      </c>
      <c r="C114" s="11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8"/>
      <c r="EH114" s="8"/>
      <c r="EI114" s="8"/>
      <c r="EL114" s="104" t="s">
        <v>124</v>
      </c>
      <c r="EM114">
        <v>3065446.4206743501</v>
      </c>
      <c r="EN114">
        <v>52118.422243738598</v>
      </c>
      <c r="EO114">
        <v>58.816945884094302</v>
      </c>
      <c r="EP114" s="99">
        <v>3.9549982867152201E-87</v>
      </c>
      <c r="EQ114" s="105"/>
      <c r="EU114" s="8"/>
      <c r="EV114" s="8"/>
      <c r="EW114" s="8"/>
    </row>
    <row r="115" spans="1:153">
      <c r="A115">
        <v>2011</v>
      </c>
      <c r="B115">
        <v>6</v>
      </c>
      <c r="C115" s="11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8"/>
      <c r="EH115" s="8"/>
      <c r="EI115" s="8"/>
      <c r="EL115" s="104" t="s">
        <v>30</v>
      </c>
      <c r="EM115">
        <v>2296.4205253342798</v>
      </c>
      <c r="EN115">
        <v>125.577565014112</v>
      </c>
      <c r="EO115">
        <v>18.286869355017402</v>
      </c>
      <c r="EP115" s="99">
        <v>1.07912989198348E-35</v>
      </c>
      <c r="EQ115" s="105"/>
      <c r="EU115" s="8"/>
      <c r="EV115" s="8"/>
      <c r="EW115" s="8"/>
    </row>
    <row r="116" spans="1:153">
      <c r="A116">
        <v>2011</v>
      </c>
      <c r="B116">
        <v>7</v>
      </c>
      <c r="C116" s="11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8"/>
      <c r="EH116" s="8"/>
      <c r="EI116" s="8"/>
      <c r="EL116" s="104" t="s">
        <v>31</v>
      </c>
      <c r="EM116">
        <v>4120.2546125174104</v>
      </c>
      <c r="EN116">
        <v>315.34899818393899</v>
      </c>
      <c r="EO116">
        <v>13.065697485153001</v>
      </c>
      <c r="EP116" s="99">
        <v>2.10643651190788E-24</v>
      </c>
      <c r="EQ116" s="105"/>
      <c r="EU116" s="8"/>
      <c r="EV116" s="8"/>
      <c r="EW116" s="8"/>
    </row>
    <row r="117" spans="1:153">
      <c r="A117">
        <v>2011</v>
      </c>
      <c r="B117">
        <v>8</v>
      </c>
      <c r="C117" s="11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8"/>
      <c r="EH117" s="8"/>
      <c r="EI117" s="8"/>
      <c r="EL117" s="104"/>
      <c r="EQ117" s="105"/>
      <c r="EU117" s="8"/>
      <c r="EV117" s="8"/>
      <c r="EW117" s="8"/>
    </row>
    <row r="118" spans="1:153">
      <c r="A118">
        <v>2011</v>
      </c>
      <c r="B118">
        <v>9</v>
      </c>
      <c r="C118" s="11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8"/>
      <c r="EH118" s="8"/>
      <c r="EI118" s="8"/>
      <c r="EL118" s="104" t="s">
        <v>128</v>
      </c>
      <c r="EQ118" s="105"/>
      <c r="EU118" s="8"/>
      <c r="EV118" s="8"/>
      <c r="EW118" s="8"/>
    </row>
    <row r="119" spans="1:153">
      <c r="A119">
        <v>2011</v>
      </c>
      <c r="B119">
        <v>10</v>
      </c>
      <c r="C119" s="11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8"/>
      <c r="EH119" s="8"/>
      <c r="EI119" s="8"/>
      <c r="EL119" s="104" t="s">
        <v>129</v>
      </c>
      <c r="EM119">
        <v>3846467.9798530801</v>
      </c>
      <c r="EN119" t="s">
        <v>130</v>
      </c>
      <c r="EO119">
        <v>407218.99633702397</v>
      </c>
      <c r="EQ119" s="105"/>
      <c r="EU119" s="8"/>
      <c r="EV119" s="8"/>
      <c r="EW119" s="8"/>
    </row>
    <row r="120" spans="1:153">
      <c r="A120">
        <v>2011</v>
      </c>
      <c r="B120">
        <v>11</v>
      </c>
      <c r="C120" s="11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8"/>
      <c r="EH120" s="8"/>
      <c r="EI120" s="8"/>
      <c r="EL120" s="104" t="s">
        <v>131</v>
      </c>
      <c r="EM120">
        <v>3083992493416</v>
      </c>
      <c r="EN120" t="s">
        <v>132</v>
      </c>
      <c r="EO120">
        <v>164476.641903096</v>
      </c>
      <c r="EQ120" s="105"/>
      <c r="EU120" s="8"/>
      <c r="EV120" s="8"/>
      <c r="EW120" s="8"/>
    </row>
    <row r="121" spans="1:153">
      <c r="A121">
        <v>2011</v>
      </c>
      <c r="B121">
        <v>12</v>
      </c>
      <c r="C121" s="11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8"/>
      <c r="EH121" s="8"/>
      <c r="EI121" s="8"/>
      <c r="EL121" s="104" t="s">
        <v>133</v>
      </c>
      <c r="EM121">
        <v>0.83974661265430195</v>
      </c>
      <c r="EN121" t="s">
        <v>134</v>
      </c>
      <c r="EO121">
        <v>0.83693514971841199</v>
      </c>
      <c r="EQ121" s="105"/>
      <c r="EU121" s="8"/>
      <c r="EV121" s="8"/>
      <c r="EW121" s="8"/>
    </row>
    <row r="122" spans="1:153">
      <c r="A122">
        <v>2012</v>
      </c>
      <c r="B122">
        <v>1</v>
      </c>
      <c r="C122" s="11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8">
        <f>Dataset!D2</f>
        <v>12827420.298623217</v>
      </c>
      <c r="EH122" s="8">
        <f>Dataset!G2</f>
        <v>4478351.0672541764</v>
      </c>
      <c r="EI122" s="8">
        <f>Dataset!J2</f>
        <v>12990962.837961996</v>
      </c>
      <c r="EL122" s="104" t="s">
        <v>189</v>
      </c>
      <c r="EM122">
        <v>237.751179261099</v>
      </c>
      <c r="EN122" t="s">
        <v>135</v>
      </c>
      <c r="EO122" s="99">
        <v>2.11787511647574E-41</v>
      </c>
      <c r="EQ122" s="105"/>
      <c r="EU122" s="8">
        <f>$EM$97+J122*$EM$98+K122*$EM$99</f>
        <v>12312623.755489334</v>
      </c>
      <c r="EV122" s="8">
        <f>$EM$114+L122*$EM$115+M122*$EM$116</f>
        <v>4235931.962437233</v>
      </c>
      <c r="EW122" s="8">
        <f>$EM$131+J122*$EM$132+I122*$EM$133</f>
        <v>10768811.220676798</v>
      </c>
    </row>
    <row r="123" spans="1:153">
      <c r="A123">
        <v>2012</v>
      </c>
      <c r="B123">
        <v>2</v>
      </c>
      <c r="C123" s="11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8">
        <f>Dataset!D3</f>
        <v>11197440.04167104</v>
      </c>
      <c r="EH123" s="8">
        <f>Dataset!G3</f>
        <v>4065707.5581034366</v>
      </c>
      <c r="EI123" s="8">
        <f>Dataset!J3</f>
        <v>12511988.18141382</v>
      </c>
      <c r="EL123" s="106" t="s">
        <v>136</v>
      </c>
      <c r="EM123" s="107">
        <v>-0.15409177894287199</v>
      </c>
      <c r="EN123" s="107" t="s">
        <v>137</v>
      </c>
      <c r="EO123" s="107">
        <v>2.2928719322868401</v>
      </c>
      <c r="EP123" s="107"/>
      <c r="EQ123" s="108"/>
      <c r="EU123" s="8">
        <f t="shared" ref="EU123:EU186" si="97">$EM$97+J123*$EM$98+K123*$EM$99</f>
        <v>11563863.639046904</v>
      </c>
      <c r="EV123" s="8">
        <f t="shared" ref="EV123:EV186" si="98">$EM$114+L123*$EM$115+M123*$EM$116</f>
        <v>4065767.2015099623</v>
      </c>
      <c r="EW123" s="8">
        <f t="shared" ref="EW123:EW186" si="99">$EM$131+J123*$EM$132+I123*$EM$133</f>
        <v>10623717.584548179</v>
      </c>
    </row>
    <row r="124" spans="1:153">
      <c r="A124">
        <v>2012</v>
      </c>
      <c r="B124">
        <v>3</v>
      </c>
      <c r="C124" s="11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8">
        <f>Dataset!D4</f>
        <v>10111651.608718148</v>
      </c>
      <c r="EH124" s="8">
        <f>Dataset!G4</f>
        <v>3961602.6327651269</v>
      </c>
      <c r="EI124" s="8">
        <f>Dataset!J4</f>
        <v>12515628.791895019</v>
      </c>
      <c r="EU124" s="8">
        <f t="shared" si="97"/>
        <v>9900678.634663973</v>
      </c>
      <c r="EV124" s="8">
        <f t="shared" si="98"/>
        <v>3685408.2006386821</v>
      </c>
      <c r="EW124" s="8">
        <f t="shared" si="99"/>
        <v>10294864.81190527</v>
      </c>
    </row>
    <row r="125" spans="1:153">
      <c r="A125">
        <v>2012</v>
      </c>
      <c r="B125">
        <v>4</v>
      </c>
      <c r="C125" s="11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8">
        <f>Dataset!D5</f>
        <v>8478796.54526967</v>
      </c>
      <c r="EH125" s="8">
        <f>Dataset!G5</f>
        <v>3489558.9725733865</v>
      </c>
      <c r="EI125" s="8">
        <f>Dataset!J5</f>
        <v>11581560.752751157</v>
      </c>
      <c r="EU125" s="8">
        <f t="shared" si="97"/>
        <v>9904793.7257825527</v>
      </c>
      <c r="EV125" s="8">
        <f t="shared" si="98"/>
        <v>3684001.6422232529</v>
      </c>
      <c r="EW125" s="8">
        <f t="shared" si="99"/>
        <v>10298789.582513668</v>
      </c>
    </row>
    <row r="126" spans="1:153">
      <c r="A126">
        <v>2012</v>
      </c>
      <c r="B126">
        <v>5</v>
      </c>
      <c r="C126" s="11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8">
        <f>Dataset!D6</f>
        <v>7926945.9205015553</v>
      </c>
      <c r="EH126" s="8">
        <f>Dataset!G6</f>
        <v>3594919.6695303437</v>
      </c>
      <c r="EI126" s="8">
        <f>Dataset!J6</f>
        <v>12251017.851641623</v>
      </c>
      <c r="EL126" s="101" t="s">
        <v>246</v>
      </c>
      <c r="EM126" s="102"/>
      <c r="EN126" s="102"/>
      <c r="EO126" s="102"/>
      <c r="EP126" s="102"/>
      <c r="EQ126" s="103"/>
      <c r="EU126" s="8">
        <f t="shared" si="97"/>
        <v>8619890.1981956903</v>
      </c>
      <c r="EV126" s="8">
        <f t="shared" si="98"/>
        <v>3461146.9890829325</v>
      </c>
      <c r="EW126" s="8">
        <f t="shared" si="99"/>
        <v>10069732.060470333</v>
      </c>
    </row>
    <row r="127" spans="1:153">
      <c r="A127">
        <v>2012</v>
      </c>
      <c r="B127">
        <v>6</v>
      </c>
      <c r="C127" s="11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8">
        <f>Dataset!D7</f>
        <v>8454655.5354389474</v>
      </c>
      <c r="EH127" s="8">
        <f>Dataset!G7</f>
        <v>3781481.9837417374</v>
      </c>
      <c r="EI127" s="8">
        <f>Dataset!J7</f>
        <v>12310028.390929945</v>
      </c>
      <c r="EL127" s="104" t="s">
        <v>144</v>
      </c>
      <c r="EQ127" s="105"/>
      <c r="EU127" s="8">
        <f t="shared" si="97"/>
        <v>9667314.0074178986</v>
      </c>
      <c r="EV127" s="8">
        <f t="shared" si="98"/>
        <v>3760451.4583734712</v>
      </c>
      <c r="EW127" s="8">
        <f t="shared" si="99"/>
        <v>10375954.239732143</v>
      </c>
    </row>
    <row r="128" spans="1:153">
      <c r="A128">
        <v>2012</v>
      </c>
      <c r="B128">
        <v>7</v>
      </c>
      <c r="C128" s="11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8">
        <f>Dataset!D8</f>
        <v>9826603.0632330216</v>
      </c>
      <c r="EH128" s="8">
        <f>Dataset!G8</f>
        <v>4207305.3270734232</v>
      </c>
      <c r="EI128" s="8">
        <f>Dataset!J8</f>
        <v>11300716.156588657</v>
      </c>
      <c r="EL128" s="104" t="s">
        <v>193</v>
      </c>
      <c r="EQ128" s="105"/>
      <c r="EU128" s="8">
        <f t="shared" si="97"/>
        <v>10987305.243373977</v>
      </c>
      <c r="EV128" s="8">
        <f t="shared" si="98"/>
        <v>4093449.9464974441</v>
      </c>
      <c r="EW128" s="8">
        <f t="shared" si="99"/>
        <v>10723160.190105557</v>
      </c>
    </row>
    <row r="129" spans="1:153">
      <c r="A129">
        <v>2012</v>
      </c>
      <c r="B129">
        <v>8</v>
      </c>
      <c r="C129" s="11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8">
        <f>Dataset!D9</f>
        <v>9147834.0091446079</v>
      </c>
      <c r="EH129" s="8">
        <f>Dataset!G9</f>
        <v>4030620.2912917547</v>
      </c>
      <c r="EI129" s="8">
        <f>Dataset!J9</f>
        <v>10221475.762723412</v>
      </c>
      <c r="EL129" s="104"/>
      <c r="EQ129" s="105"/>
      <c r="EU129" s="8">
        <f t="shared" si="97"/>
        <v>10089677.880004343</v>
      </c>
      <c r="EV129" s="8">
        <f t="shared" si="98"/>
        <v>3926579.6346904887</v>
      </c>
      <c r="EW129" s="8">
        <f t="shared" si="99"/>
        <v>10432053.006840296</v>
      </c>
    </row>
    <row r="130" spans="1:153">
      <c r="A130">
        <v>2012</v>
      </c>
      <c r="B130">
        <v>9</v>
      </c>
      <c r="C130" s="11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8">
        <f>Dataset!D10</f>
        <v>7812356.94077376</v>
      </c>
      <c r="EH130" s="8">
        <f>Dataset!G10</f>
        <v>3577087.4095730796</v>
      </c>
      <c r="EI130" s="8">
        <f>Dataset!J10</f>
        <v>9495774.282707544</v>
      </c>
      <c r="EL130" s="104"/>
      <c r="EM130" t="s">
        <v>120</v>
      </c>
      <c r="EN130" t="s">
        <v>121</v>
      </c>
      <c r="EO130" t="s">
        <v>122</v>
      </c>
      <c r="EP130" t="s">
        <v>123</v>
      </c>
      <c r="EQ130" s="105"/>
      <c r="EU130" s="8">
        <f t="shared" si="97"/>
        <v>8411268.8782113642</v>
      </c>
      <c r="EV130" s="8">
        <f t="shared" si="98"/>
        <v>3445331.0940363747</v>
      </c>
      <c r="EW130" s="8">
        <f t="shared" si="99"/>
        <v>10003966.18698822</v>
      </c>
    </row>
    <row r="131" spans="1:153">
      <c r="A131">
        <v>2012</v>
      </c>
      <c r="B131">
        <v>10</v>
      </c>
      <c r="C131" s="11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8">
        <f>Dataset!D11</f>
        <v>8482688.6504607759</v>
      </c>
      <c r="EH131" s="8">
        <f>Dataset!G11</f>
        <v>3583266.3542476725</v>
      </c>
      <c r="EI131" s="8">
        <f>Dataset!J11</f>
        <v>10069244.846842447</v>
      </c>
      <c r="EL131" s="104" t="s">
        <v>124</v>
      </c>
      <c r="EM131">
        <v>9706710.9418710191</v>
      </c>
      <c r="EN131">
        <v>201666.11533179099</v>
      </c>
      <c r="EO131">
        <v>48.132582540706103</v>
      </c>
      <c r="EP131" s="99">
        <v>1.3778671448584101E-77</v>
      </c>
      <c r="EQ131" s="105"/>
      <c r="EU131" s="8">
        <f t="shared" si="97"/>
        <v>8675383.6697568279</v>
      </c>
      <c r="EV131" s="8">
        <f t="shared" si="98"/>
        <v>3403725.2683012541</v>
      </c>
      <c r="EW131" s="8">
        <f t="shared" si="99"/>
        <v>10052500.037145142</v>
      </c>
    </row>
    <row r="132" spans="1:153">
      <c r="A132">
        <v>2012</v>
      </c>
      <c r="B132">
        <v>11</v>
      </c>
      <c r="C132" s="11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8">
        <f>Dataset!D12</f>
        <v>9857148.4128671885</v>
      </c>
      <c r="EH132" s="8">
        <f>Dataset!G12</f>
        <v>3885581.043925914</v>
      </c>
      <c r="EI132" s="8">
        <f>Dataset!J12</f>
        <v>9879832.7372840885</v>
      </c>
      <c r="EL132" s="104" t="s">
        <v>28</v>
      </c>
      <c r="EM132">
        <v>1857.79303621791</v>
      </c>
      <c r="EN132">
        <v>413.56540463391502</v>
      </c>
      <c r="EO132">
        <v>4.4921384027815598</v>
      </c>
      <c r="EP132" s="99">
        <v>1.6996191457777402E-5</v>
      </c>
      <c r="EQ132" s="105"/>
      <c r="EU132" s="8">
        <f t="shared" si="97"/>
        <v>10532281.199492414</v>
      </c>
      <c r="EV132" s="8">
        <f t="shared" si="98"/>
        <v>3814079.5119333253</v>
      </c>
      <c r="EW132" s="8">
        <f t="shared" si="99"/>
        <v>10423819.053851131</v>
      </c>
    </row>
    <row r="133" spans="1:153">
      <c r="A133">
        <v>2012</v>
      </c>
      <c r="B133">
        <v>12</v>
      </c>
      <c r="C133" s="11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8">
        <f>Dataset!D13</f>
        <v>12044245.788790239</v>
      </c>
      <c r="EH133" s="8">
        <f>Dataset!G13</f>
        <v>4326765.4926572656</v>
      </c>
      <c r="EI133" s="8">
        <f>Dataset!J13</f>
        <v>9921360.8879205063</v>
      </c>
      <c r="EL133" s="104" t="s">
        <v>27</v>
      </c>
      <c r="EM133">
        <v>8086.3106462572696</v>
      </c>
      <c r="EN133">
        <v>2033.0442101286999</v>
      </c>
      <c r="EO133">
        <v>3.9774396473873801</v>
      </c>
      <c r="EP133" s="99">
        <v>1.22731712539816E-4</v>
      </c>
      <c r="EQ133" s="105"/>
      <c r="EU133" s="8">
        <f t="shared" si="97"/>
        <v>11446899.83084463</v>
      </c>
      <c r="EV133" s="8">
        <f t="shared" si="98"/>
        <v>4028565.1889995472</v>
      </c>
      <c r="EW133" s="8">
        <f t="shared" si="99"/>
        <v>10601052.509506321</v>
      </c>
    </row>
    <row r="134" spans="1:153">
      <c r="A134">
        <v>2013</v>
      </c>
      <c r="B134">
        <v>1</v>
      </c>
      <c r="C134" s="11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8">
        <f>Dataset!D14</f>
        <v>13215525.720835192</v>
      </c>
      <c r="EH134" s="8">
        <f>Dataset!G14</f>
        <v>4635815.4090870637</v>
      </c>
      <c r="EI134" s="8">
        <f>Dataset!J14</f>
        <v>10592340.05771707</v>
      </c>
      <c r="EL134" s="104"/>
      <c r="EQ134" s="105"/>
      <c r="EU134" s="8">
        <f t="shared" si="97"/>
        <v>12362477.181936204</v>
      </c>
      <c r="EV134" s="8">
        <f t="shared" si="98"/>
        <v>4247873.3491689712</v>
      </c>
      <c r="EW134" s="8">
        <f t="shared" si="99"/>
        <v>10778471.744465131</v>
      </c>
    </row>
    <row r="135" spans="1:153">
      <c r="A135">
        <v>2013</v>
      </c>
      <c r="B135">
        <v>2</v>
      </c>
      <c r="C135" s="11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8">
        <f>Dataset!D15</f>
        <v>11933004.618414706</v>
      </c>
      <c r="EH135" s="8">
        <f>Dataset!G15</f>
        <v>4293515.4118769756</v>
      </c>
      <c r="EI135" s="8">
        <f>Dataset!J15</f>
        <v>10066435.971520996</v>
      </c>
      <c r="EL135" s="104" t="s">
        <v>128</v>
      </c>
      <c r="EQ135" s="105"/>
      <c r="EU135" s="8">
        <f t="shared" si="97"/>
        <v>12505326.42310128</v>
      </c>
      <c r="EV135" s="8">
        <f t="shared" si="98"/>
        <v>4295868.5381484572</v>
      </c>
      <c r="EW135" s="8">
        <f t="shared" si="99"/>
        <v>10806152.860704778</v>
      </c>
    </row>
    <row r="136" spans="1:153">
      <c r="A136">
        <v>2013</v>
      </c>
      <c r="B136">
        <v>3</v>
      </c>
      <c r="C136" s="11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8">
        <f>Dataset!D16</f>
        <v>11808394.102076609</v>
      </c>
      <c r="EH136" s="8">
        <f>Dataset!G16</f>
        <v>4374623.3602313511</v>
      </c>
      <c r="EI136" s="8">
        <f>Dataset!J16</f>
        <v>10688896.11731804</v>
      </c>
      <c r="EL136" s="104" t="s">
        <v>129</v>
      </c>
      <c r="EM136">
        <v>10382218.777244201</v>
      </c>
      <c r="EN136" t="s">
        <v>130</v>
      </c>
      <c r="EO136">
        <v>833469.22405481304</v>
      </c>
      <c r="EQ136" s="105"/>
      <c r="EU136" s="8">
        <f t="shared" si="97"/>
        <v>11818883.089717437</v>
      </c>
      <c r="EV136" s="8">
        <f t="shared" si="98"/>
        <v>4117666.3053825172</v>
      </c>
      <c r="EW136" s="8">
        <f t="shared" si="99"/>
        <v>10673134.879311576</v>
      </c>
    </row>
    <row r="137" spans="1:153">
      <c r="A137">
        <v>2013</v>
      </c>
      <c r="B137">
        <v>4</v>
      </c>
      <c r="C137" s="11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8">
        <f>Dataset!D17</f>
        <v>9226248.1237747781</v>
      </c>
      <c r="EH137" s="8">
        <f>Dataset!G17</f>
        <v>3746140.2054161387</v>
      </c>
      <c r="EI137" s="8">
        <f>Dataset!J17</f>
        <v>9803120.9883631151</v>
      </c>
      <c r="EL137" s="104" t="s">
        <v>131</v>
      </c>
      <c r="EM137">
        <v>38839230201037.797</v>
      </c>
      <c r="EN137" t="s">
        <v>132</v>
      </c>
      <c r="EO137">
        <v>583690.84433755605</v>
      </c>
      <c r="EQ137" s="105"/>
      <c r="EU137" s="8">
        <f t="shared" si="97"/>
        <v>9813416.4261616301</v>
      </c>
      <c r="EV137" s="8">
        <f t="shared" si="98"/>
        <v>3662874.5733901775</v>
      </c>
      <c r="EW137" s="8">
        <f t="shared" si="99"/>
        <v>10281512.10727684</v>
      </c>
    </row>
    <row r="138" spans="1:153">
      <c r="A138">
        <v>2013</v>
      </c>
      <c r="B138">
        <v>5</v>
      </c>
      <c r="C138" s="11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8">
        <f>Dataset!D18</f>
        <v>8145944.877643276</v>
      </c>
      <c r="EH138" s="8">
        <f>Dataset!G18</f>
        <v>3595184.8228466981</v>
      </c>
      <c r="EI138" s="8">
        <f>Dataset!J18</f>
        <v>9546584.7656909451</v>
      </c>
      <c r="EL138" s="104" t="s">
        <v>133</v>
      </c>
      <c r="EM138">
        <v>0.51849041723026801</v>
      </c>
      <c r="EN138" t="s">
        <v>134</v>
      </c>
      <c r="EO138">
        <v>0.51004288069044801</v>
      </c>
      <c r="EQ138" s="105"/>
      <c r="EU138" s="8">
        <f t="shared" si="97"/>
        <v>8738825.4888450727</v>
      </c>
      <c r="EV138" s="8">
        <f t="shared" si="98"/>
        <v>3481177.6560296379</v>
      </c>
      <c r="EW138" s="8">
        <f t="shared" si="99"/>
        <v>10056786.962667029</v>
      </c>
    </row>
    <row r="139" spans="1:153">
      <c r="A139">
        <v>2013</v>
      </c>
      <c r="B139">
        <v>6</v>
      </c>
      <c r="C139" s="11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8">
        <f>Dataset!D19</f>
        <v>8158035.0975392917</v>
      </c>
      <c r="EH139" s="8">
        <f>Dataset!G19</f>
        <v>3650453.6258274256</v>
      </c>
      <c r="EI139" s="8">
        <f>Dataset!J19</f>
        <v>9600861.3503311947</v>
      </c>
      <c r="EL139" s="104" t="s">
        <v>189</v>
      </c>
      <c r="EM139">
        <v>64.130975710214003</v>
      </c>
      <c r="EN139" t="s">
        <v>135</v>
      </c>
      <c r="EO139" s="99">
        <v>2.1843362395579702E-19</v>
      </c>
      <c r="EQ139" s="105"/>
      <c r="EU139" s="8">
        <f t="shared" si="97"/>
        <v>8669942.3667138834</v>
      </c>
      <c r="EV139" s="8">
        <f t="shared" si="98"/>
        <v>3514248.5666421708</v>
      </c>
      <c r="EW139" s="8">
        <f t="shared" si="99"/>
        <v>10111446.723994551</v>
      </c>
    </row>
    <row r="140" spans="1:153">
      <c r="A140">
        <v>2013</v>
      </c>
      <c r="B140">
        <v>7</v>
      </c>
      <c r="C140" s="11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8">
        <f>Dataset!D20</f>
        <v>9381527.0858831536</v>
      </c>
      <c r="EH140" s="8">
        <f>Dataset!G20</f>
        <v>4069837.8484544731</v>
      </c>
      <c r="EI140" s="8">
        <f>Dataset!J20</f>
        <v>9700292.7916630208</v>
      </c>
      <c r="EL140" s="106" t="s">
        <v>136</v>
      </c>
      <c r="EM140" s="107">
        <v>-0.19316947004654</v>
      </c>
      <c r="EN140" s="107" t="s">
        <v>137</v>
      </c>
      <c r="EO140" s="107">
        <v>2.3038106683337598</v>
      </c>
      <c r="EP140" s="107"/>
      <c r="EQ140" s="108"/>
      <c r="EU140" s="8">
        <f t="shared" si="97"/>
        <v>10244524.425834931</v>
      </c>
      <c r="EV140" s="8">
        <f t="shared" si="98"/>
        <v>3954185.3405943555</v>
      </c>
      <c r="EW140" s="8">
        <f t="shared" si="99"/>
        <v>10499540.943811474</v>
      </c>
    </row>
    <row r="141" spans="1:153">
      <c r="A141">
        <v>2013</v>
      </c>
      <c r="B141">
        <v>8</v>
      </c>
      <c r="C141" s="11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8">
        <f>Dataset!D21</f>
        <v>8900086.9413107354</v>
      </c>
      <c r="EH141" s="8">
        <f>Dataset!G21</f>
        <v>3921872.9498774898</v>
      </c>
      <c r="EI141" s="8">
        <f>Dataset!J21</f>
        <v>9644399.6486493591</v>
      </c>
      <c r="EU141" s="8">
        <f t="shared" si="97"/>
        <v>9373318.3975959625</v>
      </c>
      <c r="EV141" s="8">
        <f t="shared" si="98"/>
        <v>3782782.7487136312</v>
      </c>
      <c r="EW141" s="8">
        <f t="shared" si="99"/>
        <v>10226770.219632052</v>
      </c>
    </row>
    <row r="142" spans="1:153">
      <c r="A142">
        <v>2013</v>
      </c>
      <c r="B142">
        <v>9</v>
      </c>
      <c r="C142" s="11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8">
        <f>Dataset!D22</f>
        <v>7939283.2786467914</v>
      </c>
      <c r="EH142" s="8">
        <f>Dataset!G22</f>
        <v>3601551.1249350826</v>
      </c>
      <c r="EI142" s="8">
        <f>Dataset!J22</f>
        <v>9357221.2777383216</v>
      </c>
      <c r="EU142" s="8">
        <f t="shared" si="97"/>
        <v>8408301.2515842579</v>
      </c>
      <c r="EV142" s="8">
        <f t="shared" si="98"/>
        <v>3440629.0324089518</v>
      </c>
      <c r="EW142" s="8">
        <f t="shared" si="99"/>
        <v>10019003.54833479</v>
      </c>
    </row>
    <row r="143" spans="1:153">
      <c r="A143">
        <v>2013</v>
      </c>
      <c r="B143">
        <v>10</v>
      </c>
      <c r="C143" s="11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8">
        <f>Dataset!D23</f>
        <v>8433400.4425314926</v>
      </c>
      <c r="EH143" s="8">
        <f>Dataset!G23</f>
        <v>3638006.1988442158</v>
      </c>
      <c r="EI143" s="8">
        <f>Dataset!J23</f>
        <v>9397512.7869254183</v>
      </c>
      <c r="EU143" s="8">
        <f t="shared" si="97"/>
        <v>8570842.8887585998</v>
      </c>
      <c r="EV143" s="8">
        <f t="shared" si="98"/>
        <v>3417423.2769767339</v>
      </c>
      <c r="EW143" s="8">
        <f t="shared" si="99"/>
        <v>10033376.471488265</v>
      </c>
    </row>
    <row r="144" spans="1:153">
      <c r="A144">
        <v>2013</v>
      </c>
      <c r="B144">
        <v>11</v>
      </c>
      <c r="C144" s="11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8">
        <f>Dataset!D24</f>
        <v>10562999.854916623</v>
      </c>
      <c r="EH144" s="8">
        <f>Dataset!G24</f>
        <v>3996946.5825713533</v>
      </c>
      <c r="EI144" s="8">
        <f>Dataset!J24</f>
        <v>9866184.0170310847</v>
      </c>
      <c r="EU144" s="8">
        <f t="shared" si="97"/>
        <v>10826608.159476828</v>
      </c>
      <c r="EV144" s="8">
        <f t="shared" si="98"/>
        <v>3884579.6220610877</v>
      </c>
      <c r="EW144" s="8">
        <f t="shared" si="99"/>
        <v>10480853.300063021</v>
      </c>
    </row>
    <row r="145" spans="1:153">
      <c r="A145">
        <v>2013</v>
      </c>
      <c r="B145">
        <v>12</v>
      </c>
      <c r="C145" s="11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8">
        <f>Dataset!D25</f>
        <v>13687777.934921203</v>
      </c>
      <c r="EH145" s="8">
        <f>Dataset!G25</f>
        <v>4631276.4678350054</v>
      </c>
      <c r="EI145" s="8">
        <f>Dataset!J25</f>
        <v>9592904.3171253409</v>
      </c>
      <c r="EU145" s="8">
        <f t="shared" si="97"/>
        <v>13116030.897075452</v>
      </c>
      <c r="EV145" s="8">
        <f t="shared" si="98"/>
        <v>4428372.002460245</v>
      </c>
      <c r="EW145" s="8">
        <f t="shared" si="99"/>
        <v>10924494.277111858</v>
      </c>
    </row>
    <row r="146" spans="1:153">
      <c r="A146">
        <v>2014</v>
      </c>
      <c r="B146">
        <v>1</v>
      </c>
      <c r="C146" s="11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8">
        <f>Dataset!D26</f>
        <v>14704397.908763388</v>
      </c>
      <c r="EH146" s="8">
        <f>Dataset!G26</f>
        <v>4934336.5870424351</v>
      </c>
      <c r="EI146" s="8">
        <f>Dataset!J26</f>
        <v>10681837.157593889</v>
      </c>
      <c r="EU146" s="8">
        <f t="shared" si="97"/>
        <v>14157200.53402357</v>
      </c>
      <c r="EV146" s="8">
        <f t="shared" si="98"/>
        <v>4677763.2715115482</v>
      </c>
      <c r="EW146" s="8">
        <f t="shared" si="99"/>
        <v>11126250.600845125</v>
      </c>
    </row>
    <row r="147" spans="1:153">
      <c r="A147">
        <v>2014</v>
      </c>
      <c r="B147">
        <v>2</v>
      </c>
      <c r="C147" s="11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8">
        <f>Dataset!D27</f>
        <v>12967153.882261178</v>
      </c>
      <c r="EH147" s="8">
        <f>Dataset!G27</f>
        <v>4526857.3424909981</v>
      </c>
      <c r="EI147" s="8">
        <f>Dataset!J27</f>
        <v>9655716.0824489109</v>
      </c>
      <c r="EU147" s="8">
        <f t="shared" si="97"/>
        <v>13390224.742533244</v>
      </c>
      <c r="EV147" s="8">
        <f t="shared" si="98"/>
        <v>4507828.1526368111</v>
      </c>
      <c r="EW147" s="8">
        <f t="shared" si="99"/>
        <v>10977627.157947691</v>
      </c>
    </row>
    <row r="148" spans="1:153">
      <c r="A148">
        <v>2014</v>
      </c>
      <c r="B148">
        <v>3</v>
      </c>
      <c r="C148" s="11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8">
        <f>Dataset!D28</f>
        <v>12728700.391282</v>
      </c>
      <c r="EH148" s="8">
        <f>Dataset!G28</f>
        <v>4605272.0758394049</v>
      </c>
      <c r="EI148" s="8">
        <f>Dataset!J28</f>
        <v>10469185.0488049</v>
      </c>
      <c r="EU148" s="8">
        <f t="shared" si="97"/>
        <v>13235870.864495814</v>
      </c>
      <c r="EV148" s="8">
        <f t="shared" si="98"/>
        <v>4457077.2590269241</v>
      </c>
      <c r="EW148" s="8">
        <f t="shared" si="99"/>
        <v>10947716.690064583</v>
      </c>
    </row>
    <row r="149" spans="1:153">
      <c r="A149">
        <v>2014</v>
      </c>
      <c r="B149">
        <v>4</v>
      </c>
      <c r="C149" s="11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8">
        <f>Dataset!D29</f>
        <v>9846452.6827491652</v>
      </c>
      <c r="EH149" s="8">
        <f>Dataset!G29</f>
        <v>3814954.5675877719</v>
      </c>
      <c r="EI149" s="8">
        <f>Dataset!J29</f>
        <v>9607017.8016199935</v>
      </c>
      <c r="EU149" s="8">
        <f t="shared" si="97"/>
        <v>9992521.9862310961</v>
      </c>
      <c r="EV149" s="8">
        <f t="shared" si="98"/>
        <v>3684791.0363570051</v>
      </c>
      <c r="EW149" s="8">
        <f t="shared" si="99"/>
        <v>10319225.305912064</v>
      </c>
    </row>
    <row r="150" spans="1:153">
      <c r="A150">
        <v>2014</v>
      </c>
      <c r="B150">
        <v>5</v>
      </c>
      <c r="C150" s="11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8">
        <f>Dataset!D30</f>
        <v>8148601.8313937848</v>
      </c>
      <c r="EH150" s="8">
        <f>Dataset!G30</f>
        <v>3559502.1545901899</v>
      </c>
      <c r="EI150" s="8">
        <f>Dataset!J30</f>
        <v>9541194.3539682645</v>
      </c>
      <c r="EU150" s="8">
        <f t="shared" si="97"/>
        <v>8345107.2188761104</v>
      </c>
      <c r="EV150" s="8">
        <f t="shared" si="98"/>
        <v>3363919.4806485255</v>
      </c>
      <c r="EW150" s="8">
        <f t="shared" si="99"/>
        <v>9998085.4045694191</v>
      </c>
    </row>
    <row r="151" spans="1:153">
      <c r="A151">
        <v>2014</v>
      </c>
      <c r="B151">
        <v>6</v>
      </c>
      <c r="C151" s="11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8">
        <f>Dataset!D31</f>
        <v>7885359.6153971031</v>
      </c>
      <c r="EH151" s="8">
        <f>Dataset!G31</f>
        <v>3502908.2119836737</v>
      </c>
      <c r="EI151" s="8">
        <f>Dataset!J31</f>
        <v>9642768.5336195827</v>
      </c>
      <c r="EU151" s="8">
        <f t="shared" si="97"/>
        <v>8585017.510294728</v>
      </c>
      <c r="EV151" s="8">
        <f t="shared" si="98"/>
        <v>3548447.3804040854</v>
      </c>
      <c r="EW151" s="8">
        <f t="shared" si="99"/>
        <v>10087437.204470791</v>
      </c>
    </row>
    <row r="152" spans="1:153">
      <c r="A152">
        <v>2014</v>
      </c>
      <c r="B152">
        <v>7</v>
      </c>
      <c r="C152" s="11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8">
        <f>Dataset!D32</f>
        <v>8590753.1089520808</v>
      </c>
      <c r="EH152" s="8">
        <f>Dataset!G32</f>
        <v>3728634.3077657744</v>
      </c>
      <c r="EI152" s="8">
        <f>Dataset!J32</f>
        <v>9404652.669062797</v>
      </c>
      <c r="EU152" s="8">
        <f t="shared" si="97"/>
        <v>8862369.8208243083</v>
      </c>
      <c r="EV152" s="8">
        <f t="shared" si="98"/>
        <v>3661235.2376443679</v>
      </c>
      <c r="EW152" s="8">
        <f t="shared" si="99"/>
        <v>10125156.463505933</v>
      </c>
    </row>
    <row r="153" spans="1:153">
      <c r="A153">
        <v>2014</v>
      </c>
      <c r="B153">
        <v>8</v>
      </c>
      <c r="C153" s="11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8">
        <f>Dataset!D33</f>
        <v>8488281.9783843793</v>
      </c>
      <c r="EH153" s="8">
        <f>Dataset!G33</f>
        <v>3693949.5644368851</v>
      </c>
      <c r="EI153" s="8">
        <f>Dataset!J33</f>
        <v>9443378.8379370309</v>
      </c>
      <c r="EU153" s="8">
        <f t="shared" si="97"/>
        <v>8930242.2739403248</v>
      </c>
      <c r="EV153" s="8">
        <f t="shared" si="98"/>
        <v>3674521.2208585958</v>
      </c>
      <c r="EW153" s="8">
        <f t="shared" si="99"/>
        <v>10091991.827609485</v>
      </c>
    </row>
    <row r="154" spans="1:153">
      <c r="A154">
        <v>2014</v>
      </c>
      <c r="B154">
        <v>9</v>
      </c>
      <c r="C154" s="11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8">
        <f>Dataset!D34</f>
        <v>7873770.8945107814</v>
      </c>
      <c r="EH154" s="8">
        <f>Dataset!G34</f>
        <v>3459435.1614624569</v>
      </c>
      <c r="EI154" s="8">
        <f>Dataset!J34</f>
        <v>9519586.1219706144</v>
      </c>
      <c r="EU154" s="8">
        <f t="shared" si="97"/>
        <v>8183559.6321891947</v>
      </c>
      <c r="EV154" s="8">
        <f t="shared" si="98"/>
        <v>3452889.3282703515</v>
      </c>
      <c r="EW154" s="8">
        <f t="shared" si="99"/>
        <v>9965216.4693669491</v>
      </c>
    </row>
    <row r="155" spans="1:153">
      <c r="A155">
        <v>2014</v>
      </c>
      <c r="B155">
        <v>10</v>
      </c>
      <c r="C155" s="11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8">
        <f>Dataset!D35</f>
        <v>8547840.0610966906</v>
      </c>
      <c r="EH155" s="8">
        <f>Dataset!G35</f>
        <v>3530281.7067659004</v>
      </c>
      <c r="EI155" s="8">
        <f>Dataset!J35</f>
        <v>9907377.3413100634</v>
      </c>
      <c r="EU155" s="8">
        <f t="shared" si="97"/>
        <v>8715165.134643551</v>
      </c>
      <c r="EV155" s="8">
        <f t="shared" si="98"/>
        <v>3424494.9219614551</v>
      </c>
      <c r="EW155" s="8">
        <f t="shared" si="99"/>
        <v>10054347.067934565</v>
      </c>
    </row>
    <row r="156" spans="1:153">
      <c r="A156">
        <v>2014</v>
      </c>
      <c r="B156">
        <v>11</v>
      </c>
      <c r="C156" s="11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8">
        <f>Dataset!D36</f>
        <v>10325715.434604436</v>
      </c>
      <c r="EH156" s="8">
        <f>Dataset!G36</f>
        <v>3852411.9955413882</v>
      </c>
      <c r="EI156" s="8">
        <f>Dataset!J36</f>
        <v>9984378.5274509564</v>
      </c>
      <c r="EU156" s="8">
        <f t="shared" si="97"/>
        <v>10841947.675306633</v>
      </c>
      <c r="EV156" s="8">
        <f t="shared" si="98"/>
        <v>3888253.8949016226</v>
      </c>
      <c r="EW156" s="8">
        <f t="shared" si="99"/>
        <v>10483825.768920971</v>
      </c>
    </row>
    <row r="157" spans="1:153">
      <c r="A157">
        <v>2014</v>
      </c>
      <c r="B157">
        <v>12</v>
      </c>
      <c r="C157" s="11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8">
        <f>Dataset!D37</f>
        <v>12627538.647057986</v>
      </c>
      <c r="EH157" s="8">
        <f>Dataset!G37</f>
        <v>4331408.3686589152</v>
      </c>
      <c r="EI157" s="8">
        <f>Dataset!J37</f>
        <v>10635777.259713342</v>
      </c>
      <c r="EU157" s="8">
        <f t="shared" si="97"/>
        <v>11798749.975190816</v>
      </c>
      <c r="EV157" s="8">
        <f t="shared" si="98"/>
        <v>4112843.8222793154</v>
      </c>
      <c r="EW157" s="8">
        <f t="shared" si="99"/>
        <v>10669233.513935518</v>
      </c>
    </row>
    <row r="158" spans="1:153">
      <c r="A158">
        <v>2015</v>
      </c>
      <c r="B158">
        <v>1</v>
      </c>
      <c r="C158" s="11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8">
        <f>Dataset!D38</f>
        <v>14310997.558754904</v>
      </c>
      <c r="EH158" s="8">
        <f>Dataset!G38</f>
        <v>4747575.1332602715</v>
      </c>
      <c r="EI158" s="8">
        <f>Dataset!J38</f>
        <v>11168744.574688978</v>
      </c>
      <c r="EU158" s="8">
        <f t="shared" si="97"/>
        <v>14143778.457672488</v>
      </c>
      <c r="EV158" s="8">
        <f t="shared" si="98"/>
        <v>4674548.2827760801</v>
      </c>
      <c r="EW158" s="8">
        <f t="shared" si="99"/>
        <v>11123649.69059442</v>
      </c>
    </row>
    <row r="159" spans="1:153">
      <c r="A159">
        <v>2015</v>
      </c>
      <c r="B159">
        <v>2</v>
      </c>
      <c r="C159" s="11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8">
        <f>Dataset!D39</f>
        <v>13534834.082463285</v>
      </c>
      <c r="EH159" s="8">
        <f>Dataset!G39</f>
        <v>4458878.8390508816</v>
      </c>
      <c r="EI159" s="8">
        <f>Dataset!J39</f>
        <v>10648933.92287242</v>
      </c>
      <c r="EU159" s="8">
        <f t="shared" si="97"/>
        <v>14546440.748204909</v>
      </c>
      <c r="EV159" s="8">
        <f t="shared" si="98"/>
        <v>4784776.4679921251</v>
      </c>
      <c r="EW159" s="8">
        <f t="shared" si="99"/>
        <v>11201676.998115571</v>
      </c>
    </row>
    <row r="160" spans="1:153">
      <c r="A160">
        <v>2015</v>
      </c>
      <c r="B160">
        <v>3</v>
      </c>
      <c r="C160" s="11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8">
        <f>Dataset!D40</f>
        <v>12423634.157129707</v>
      </c>
      <c r="EH160" s="8">
        <f>Dataset!G40</f>
        <v>4415788.6061008582</v>
      </c>
      <c r="EI160" s="8">
        <f>Dataset!J40</f>
        <v>11290607.310703058</v>
      </c>
      <c r="EU160" s="8">
        <f t="shared" si="97"/>
        <v>12437257.321606513</v>
      </c>
      <c r="EV160" s="8">
        <f t="shared" si="98"/>
        <v>4265785.4292665785</v>
      </c>
      <c r="EW160" s="8">
        <f t="shared" si="99"/>
        <v>10792962.530147631</v>
      </c>
    </row>
    <row r="161" spans="1:153">
      <c r="A161">
        <v>2015</v>
      </c>
      <c r="B161">
        <v>4</v>
      </c>
      <c r="C161" s="11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8">
        <f>Dataset!D41</f>
        <v>9170383.7196450848</v>
      </c>
      <c r="EH161" s="8">
        <f>Dataset!G41</f>
        <v>3591413.2612323491</v>
      </c>
      <c r="EI161" s="8">
        <f>Dataset!J41</f>
        <v>10090976.863627547</v>
      </c>
      <c r="EU161" s="8">
        <f t="shared" si="97"/>
        <v>9772975.1659169905</v>
      </c>
      <c r="EV161" s="8">
        <f t="shared" si="98"/>
        <v>3632203.0063268505</v>
      </c>
      <c r="EW161" s="8">
        <f t="shared" si="99"/>
        <v>10276681.845382674</v>
      </c>
    </row>
    <row r="162" spans="1:153">
      <c r="A162">
        <v>2015</v>
      </c>
      <c r="B162">
        <v>5</v>
      </c>
      <c r="C162" s="11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8">
        <f>Dataset!D42</f>
        <v>7979071.440675417</v>
      </c>
      <c r="EH162" s="8">
        <f>Dataset!G42</f>
        <v>3494942.4666425884</v>
      </c>
      <c r="EI162" s="8">
        <f>Dataset!J42</f>
        <v>10181971.20838315</v>
      </c>
      <c r="EU162" s="8">
        <f t="shared" si="97"/>
        <v>8842550.1555143073</v>
      </c>
      <c r="EV162" s="8">
        <f t="shared" si="98"/>
        <v>3522988.6138358866</v>
      </c>
      <c r="EW162" s="8">
        <f t="shared" si="99"/>
        <v>10116012.631565748</v>
      </c>
    </row>
    <row r="163" spans="1:153">
      <c r="A163">
        <v>2015</v>
      </c>
      <c r="B163">
        <v>6</v>
      </c>
      <c r="C163" s="11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8">
        <f>Dataset!D43</f>
        <v>7688038.7902676361</v>
      </c>
      <c r="EH163" s="8">
        <f>Dataset!G43</f>
        <v>3453507.4561756663</v>
      </c>
      <c r="EI163" s="8">
        <f>Dataset!J43</f>
        <v>10080433.895753382</v>
      </c>
      <c r="EU163" s="8">
        <f t="shared" si="97"/>
        <v>7671350.5063296966</v>
      </c>
      <c r="EV163" s="8">
        <f t="shared" si="98"/>
        <v>3391329.8544242484</v>
      </c>
      <c r="EW163" s="8">
        <f t="shared" si="99"/>
        <v>9809290.5831025038</v>
      </c>
    </row>
    <row r="164" spans="1:153">
      <c r="A164">
        <v>2015</v>
      </c>
      <c r="B164">
        <v>7</v>
      </c>
      <c r="C164" s="11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8">
        <f>Dataset!D44</f>
        <v>9081583.0670188833</v>
      </c>
      <c r="EH164" s="8">
        <f>Dataset!G44</f>
        <v>3795705.2883885819</v>
      </c>
      <c r="EI164" s="8">
        <f>Dataset!J44</f>
        <v>10316241.169859968</v>
      </c>
      <c r="EU164" s="8">
        <f t="shared" si="97"/>
        <v>9741183.6603831556</v>
      </c>
      <c r="EV164" s="8">
        <f t="shared" si="98"/>
        <v>3833461.8804475954</v>
      </c>
      <c r="EW164" s="8">
        <f t="shared" si="99"/>
        <v>10360915.938016195</v>
      </c>
    </row>
    <row r="165" spans="1:153">
      <c r="A165">
        <v>2015</v>
      </c>
      <c r="B165">
        <v>8</v>
      </c>
      <c r="C165" s="11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8">
        <f>Dataset!D45</f>
        <v>9402564.3072489761</v>
      </c>
      <c r="EH165" s="8">
        <f>Dataset!G45</f>
        <v>3871441.4692591028</v>
      </c>
      <c r="EI165" s="8">
        <f>Dataset!J45</f>
        <v>10245247.731799951</v>
      </c>
      <c r="EU165" s="8">
        <f t="shared" si="97"/>
        <v>9402007.2345881481</v>
      </c>
      <c r="EV165" s="8">
        <f t="shared" si="98"/>
        <v>3796379.5889349389</v>
      </c>
      <c r="EW165" s="8">
        <f t="shared" si="99"/>
        <v>10237916.037479984</v>
      </c>
    </row>
    <row r="166" spans="1:153">
      <c r="A166">
        <v>2015</v>
      </c>
      <c r="B166">
        <v>9</v>
      </c>
      <c r="C166" s="11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8">
        <f>Dataset!D46</f>
        <v>8349296.8423407869</v>
      </c>
      <c r="EH166" s="8">
        <f>Dataset!G46</f>
        <v>3542652.7940073246</v>
      </c>
      <c r="EI166" s="8">
        <f>Dataset!J46</f>
        <v>10545472.108495729</v>
      </c>
      <c r="EU166" s="8">
        <f t="shared" si="97"/>
        <v>9459964.0451150946</v>
      </c>
      <c r="EV166" s="8">
        <f t="shared" si="98"/>
        <v>3750617.4575918065</v>
      </c>
      <c r="EW166" s="8">
        <f t="shared" si="99"/>
        <v>10293745.74841829</v>
      </c>
    </row>
    <row r="167" spans="1:153">
      <c r="A167">
        <v>2015</v>
      </c>
      <c r="B167">
        <v>10</v>
      </c>
      <c r="C167" s="11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8">
        <f>Dataset!D47</f>
        <v>8336110.0678547379</v>
      </c>
      <c r="EH167" s="8">
        <f>Dataset!G47</f>
        <v>3362242.4135304871</v>
      </c>
      <c r="EI167" s="8">
        <f>Dataset!J47</f>
        <v>10479372.680286597</v>
      </c>
      <c r="EU167" s="8">
        <f t="shared" si="97"/>
        <v>8891146.7491148319</v>
      </c>
      <c r="EV167" s="8">
        <f t="shared" si="98"/>
        <v>3433970.1066142051</v>
      </c>
      <c r="EW167" s="8">
        <f t="shared" si="99"/>
        <v>10099239.205191525</v>
      </c>
    </row>
    <row r="168" spans="1:153">
      <c r="A168">
        <v>2015</v>
      </c>
      <c r="B168">
        <v>11</v>
      </c>
      <c r="C168" s="11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8">
        <f>Dataset!D48</f>
        <v>8980827.0355639309</v>
      </c>
      <c r="EH168" s="8">
        <f>Dataset!G48</f>
        <v>3419201.7465737243</v>
      </c>
      <c r="EI168" s="8">
        <f>Dataset!J48</f>
        <v>10130386.734693833</v>
      </c>
      <c r="EU168" s="8">
        <f t="shared" si="97"/>
        <v>9604156.9280067421</v>
      </c>
      <c r="EV168" s="8">
        <f t="shared" si="98"/>
        <v>3612630.9230071916</v>
      </c>
      <c r="EW168" s="8">
        <f t="shared" si="99"/>
        <v>10241066.030321259</v>
      </c>
    </row>
    <row r="169" spans="1:153">
      <c r="A169">
        <v>2015</v>
      </c>
      <c r="B169">
        <v>12</v>
      </c>
      <c r="C169" s="11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8">
        <f>Dataset!D49</f>
        <v>11013126.286381325</v>
      </c>
      <c r="EH169" s="8">
        <f>Dataset!G49</f>
        <v>3821023.3920277664</v>
      </c>
      <c r="EI169" s="8">
        <f>Dataset!J49</f>
        <v>10183472.099666435</v>
      </c>
      <c r="EU169" s="8">
        <f t="shared" si="97"/>
        <v>10422987.149205044</v>
      </c>
      <c r="EV169" s="8">
        <f t="shared" si="98"/>
        <v>3783307.4768938459</v>
      </c>
      <c r="EW169" s="8">
        <f t="shared" si="99"/>
        <v>10402640.213238249</v>
      </c>
    </row>
    <row r="170" spans="1:153">
      <c r="A170">
        <v>2016</v>
      </c>
      <c r="B170">
        <v>1</v>
      </c>
      <c r="C170" s="11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8">
        <f>Dataset!D50</f>
        <v>12387821.568398194</v>
      </c>
      <c r="EH170" s="8">
        <f>Dataset!G50</f>
        <v>4269798.7353650993</v>
      </c>
      <c r="EI170" s="8">
        <f>Dataset!J50</f>
        <v>11266540.085255619</v>
      </c>
      <c r="EU170" s="8">
        <f t="shared" si="97"/>
        <v>12778561.548819708</v>
      </c>
      <c r="EV170" s="8">
        <f t="shared" si="98"/>
        <v>4347537.9999684785</v>
      </c>
      <c r="EW170" s="8">
        <f t="shared" si="99"/>
        <v>10859099.962236989</v>
      </c>
    </row>
    <row r="171" spans="1:153">
      <c r="A171">
        <v>2016</v>
      </c>
      <c r="B171">
        <v>2</v>
      </c>
      <c r="C171" s="11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8">
        <f>Dataset!D51</f>
        <v>11677569.979080239</v>
      </c>
      <c r="EH171" s="8">
        <f>Dataset!G51</f>
        <v>4152083.7733572423</v>
      </c>
      <c r="EI171" s="8">
        <f>Dataset!J51</f>
        <v>11106545.541198021</v>
      </c>
      <c r="EU171" s="8">
        <f t="shared" si="97"/>
        <v>12253183.131648835</v>
      </c>
      <c r="EV171" s="8">
        <f t="shared" si="98"/>
        <v>4230879.8372814972</v>
      </c>
      <c r="EW171" s="8">
        <f t="shared" si="99"/>
        <v>10757292.903852247</v>
      </c>
    </row>
    <row r="172" spans="1:153">
      <c r="A172">
        <v>2016</v>
      </c>
      <c r="B172">
        <v>3</v>
      </c>
      <c r="C172" s="11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8">
        <f>Dataset!D52</f>
        <v>11211169.235502606</v>
      </c>
      <c r="EH172" s="8">
        <f>Dataset!G52</f>
        <v>4135689.9597290251</v>
      </c>
      <c r="EI172" s="8">
        <f>Dataset!J52</f>
        <v>11187739.524963889</v>
      </c>
      <c r="EU172" s="8">
        <f t="shared" si="97"/>
        <v>11158325.189296395</v>
      </c>
      <c r="EV172" s="8">
        <f t="shared" si="98"/>
        <v>3959442.9311869852</v>
      </c>
      <c r="EW172" s="8">
        <f t="shared" si="99"/>
        <v>10545132.939116161</v>
      </c>
    </row>
    <row r="173" spans="1:153">
      <c r="A173">
        <v>2016</v>
      </c>
      <c r="B173">
        <v>4</v>
      </c>
      <c r="C173" s="11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8">
        <f>Dataset!D53</f>
        <v>9324741.16342129</v>
      </c>
      <c r="EH173" s="8">
        <f>Dataset!G53</f>
        <v>3689399.7142583006</v>
      </c>
      <c r="EI173" s="8">
        <f>Dataset!J53</f>
        <v>10070952.854873979</v>
      </c>
      <c r="EU173" s="8">
        <f t="shared" si="97"/>
        <v>10472840.575651914</v>
      </c>
      <c r="EV173" s="8">
        <f t="shared" si="98"/>
        <v>3799841.7046762528</v>
      </c>
      <c r="EW173" s="8">
        <f t="shared" si="99"/>
        <v>10412300.737026582</v>
      </c>
    </row>
    <row r="174" spans="1:153">
      <c r="A174">
        <v>2016</v>
      </c>
      <c r="B174">
        <v>5</v>
      </c>
      <c r="C174" s="11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8">
        <f>Dataset!D54</f>
        <v>8202425.032766467</v>
      </c>
      <c r="EH174" s="8">
        <f>Dataset!G54</f>
        <v>3635237.4133716091</v>
      </c>
      <c r="EI174" s="8">
        <f>Dataset!J54</f>
        <v>10734126.733036427</v>
      </c>
      <c r="EU174" s="8">
        <f t="shared" si="97"/>
        <v>9007350.5796490666</v>
      </c>
      <c r="EV174" s="8">
        <f t="shared" si="98"/>
        <v>3501532.482316507</v>
      </c>
      <c r="EW174" s="8">
        <f t="shared" si="99"/>
        <v>10145686.33001939</v>
      </c>
    </row>
    <row r="175" spans="1:153">
      <c r="A175">
        <v>2016</v>
      </c>
      <c r="B175">
        <v>6</v>
      </c>
      <c r="C175" s="11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8">
        <f>Dataset!D55</f>
        <v>8210837.070834836</v>
      </c>
      <c r="EH175" s="8">
        <f>Dataset!G55</f>
        <v>3724923.8132245392</v>
      </c>
      <c r="EI175" s="8">
        <f>Dataset!J55</f>
        <v>10682680.940668745</v>
      </c>
      <c r="EU175" s="8">
        <f t="shared" si="97"/>
        <v>8600903.7368860785</v>
      </c>
      <c r="EV175" s="8">
        <f t="shared" si="98"/>
        <v>3538801.7137196613</v>
      </c>
      <c r="EW175" s="8">
        <f t="shared" si="99"/>
        <v>10061277.430508625</v>
      </c>
    </row>
    <row r="176" spans="1:153">
      <c r="A176">
        <v>2016</v>
      </c>
      <c r="B176">
        <v>7</v>
      </c>
      <c r="C176" s="11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8">
        <f>Dataset!D56</f>
        <v>10177405.283162512</v>
      </c>
      <c r="EH176" s="8">
        <f>Dataset!G56</f>
        <v>4130566.7417025785</v>
      </c>
      <c r="EI176" s="8">
        <f>Dataset!J56</f>
        <v>10785755.642805133</v>
      </c>
      <c r="EU176" s="8">
        <f t="shared" si="97"/>
        <v>10874270.68650521</v>
      </c>
      <c r="EV176" s="8">
        <f t="shared" si="98"/>
        <v>4072436.6479736054</v>
      </c>
      <c r="EW176" s="8">
        <f t="shared" si="99"/>
        <v>10703753.044554541</v>
      </c>
    </row>
    <row r="177" spans="1:153">
      <c r="A177">
        <v>2016</v>
      </c>
      <c r="B177">
        <v>8</v>
      </c>
      <c r="C177" s="11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8">
        <f>Dataset!D57</f>
        <v>10526912.745510558</v>
      </c>
      <c r="EH177" s="8">
        <f>Dataset!G57</f>
        <v>4169701.2309280368</v>
      </c>
      <c r="EI177" s="8">
        <f>Dataset!J57</f>
        <v>11225991.63333085</v>
      </c>
      <c r="EU177" s="8">
        <f t="shared" si="97"/>
        <v>11222239.812552202</v>
      </c>
      <c r="EV177" s="8">
        <f t="shared" si="98"/>
        <v>4137124.6453901287</v>
      </c>
      <c r="EW177" s="8">
        <f t="shared" si="99"/>
        <v>10810492.345085137</v>
      </c>
    </row>
    <row r="178" spans="1:153">
      <c r="A178">
        <v>2016</v>
      </c>
      <c r="B178">
        <v>9</v>
      </c>
      <c r="C178" s="11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8">
        <f>Dataset!D58</f>
        <v>8416839.4938610476</v>
      </c>
      <c r="EH178" s="8">
        <f>Dataset!G58</f>
        <v>3609723.9205128388</v>
      </c>
      <c r="EI178" s="8">
        <f>Dataset!J58</f>
        <v>10573681.34794176</v>
      </c>
      <c r="EU178" s="8">
        <f t="shared" si="97"/>
        <v>8691928.069157172</v>
      </c>
      <c r="EV178" s="8">
        <f t="shared" si="98"/>
        <v>3571629.3263329174</v>
      </c>
      <c r="EW178" s="8">
        <f t="shared" si="99"/>
        <v>10077711.166832319</v>
      </c>
    </row>
    <row r="179" spans="1:153">
      <c r="A179">
        <v>2016</v>
      </c>
      <c r="B179">
        <v>10</v>
      </c>
      <c r="C179" s="11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8">
        <f>Dataset!D59</f>
        <v>8058372.0394760324</v>
      </c>
      <c r="EH179" s="8">
        <f>Dataset!G59</f>
        <v>3420216.3146130797</v>
      </c>
      <c r="EI179" s="8">
        <f>Dataset!J59</f>
        <v>10860702.399528233</v>
      </c>
      <c r="EU179" s="8">
        <f t="shared" si="97"/>
        <v>8596878.8307584077</v>
      </c>
      <c r="EV179" s="8">
        <f t="shared" si="98"/>
        <v>3450961.8706812775</v>
      </c>
      <c r="EW179" s="8">
        <f t="shared" si="99"/>
        <v>10017309.591924941</v>
      </c>
    </row>
    <row r="180" spans="1:153">
      <c r="A180">
        <v>2016</v>
      </c>
      <c r="B180">
        <v>11</v>
      </c>
      <c r="C180" s="11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8">
        <f>Dataset!D60</f>
        <v>9135930.7174679395</v>
      </c>
      <c r="EH180" s="8">
        <f>Dataset!G60</f>
        <v>3591797.4753896496</v>
      </c>
      <c r="EI180" s="8">
        <f>Dataset!J60</f>
        <v>10718526.344199492</v>
      </c>
      <c r="EU180" s="8">
        <f t="shared" si="97"/>
        <v>9297749.0995744355</v>
      </c>
      <c r="EV180" s="8">
        <f t="shared" si="98"/>
        <v>3531086.6399021582</v>
      </c>
      <c r="EW180" s="8">
        <f t="shared" si="99"/>
        <v>10184163.752179023</v>
      </c>
    </row>
    <row r="181" spans="1:153">
      <c r="A181">
        <v>2016</v>
      </c>
      <c r="B181">
        <v>12</v>
      </c>
      <c r="C181" s="11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8">
        <f>Dataset!D61</f>
        <v>12042494.786609141</v>
      </c>
      <c r="EH181" s="8">
        <f>Dataset!G61</f>
        <v>4193924.0553414854</v>
      </c>
      <c r="EI181" s="8">
        <f>Dataset!J61</f>
        <v>10221670.924776817</v>
      </c>
      <c r="EU181" s="8">
        <f t="shared" si="97"/>
        <v>11955021.29270697</v>
      </c>
      <c r="EV181" s="8">
        <f t="shared" si="98"/>
        <v>4150275.4768422637</v>
      </c>
      <c r="EW181" s="8">
        <f t="shared" si="99"/>
        <v>10699515.540425871</v>
      </c>
    </row>
    <row r="182" spans="1:153">
      <c r="A182">
        <v>2017</v>
      </c>
      <c r="B182">
        <v>1</v>
      </c>
      <c r="C182" s="11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8">
        <f>Dataset!D62</f>
        <v>12402016.336484401</v>
      </c>
      <c r="EH182" s="8">
        <f>Dataset!G62</f>
        <v>4320040.4514866741</v>
      </c>
      <c r="EI182" s="8">
        <f>Dataset!J62</f>
        <v>11262659.046966342</v>
      </c>
      <c r="EU182" s="8">
        <f t="shared" si="97"/>
        <v>12123755.966834841</v>
      </c>
      <c r="EV182" s="8">
        <f t="shared" si="98"/>
        <v>4190692.478088147</v>
      </c>
      <c r="EW182" s="8">
        <f t="shared" si="99"/>
        <v>10732212.697863305</v>
      </c>
    </row>
    <row r="183" spans="1:153">
      <c r="A183">
        <v>2017</v>
      </c>
      <c r="B183">
        <v>2</v>
      </c>
      <c r="C183" s="11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8">
        <f>Dataset!D63</f>
        <v>10732724.525906282</v>
      </c>
      <c r="EH183" s="8">
        <f>Dataset!G63</f>
        <v>3893047.7223456632</v>
      </c>
      <c r="EI183" s="8">
        <f>Dataset!J63</f>
        <v>10276279.219916252</v>
      </c>
      <c r="EU183" s="8">
        <f t="shared" si="97"/>
        <v>11207219.896003902</v>
      </c>
      <c r="EV183" s="8">
        <f t="shared" si="98"/>
        <v>3984933.1990181957</v>
      </c>
      <c r="EW183" s="8">
        <f t="shared" si="99"/>
        <v>10554607.683600873</v>
      </c>
    </row>
    <row r="184" spans="1:153">
      <c r="A184">
        <v>2017</v>
      </c>
      <c r="B184">
        <v>3</v>
      </c>
      <c r="C184" s="11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8">
        <f>Dataset!D64</f>
        <v>11246900.818313407</v>
      </c>
      <c r="EH184" s="8">
        <f>Dataset!G64</f>
        <v>4171063.5601851279</v>
      </c>
      <c r="EI184" s="8">
        <f>Dataset!J64</f>
        <v>11335383.600888738</v>
      </c>
      <c r="EU184" s="8">
        <f t="shared" si="97"/>
        <v>12076778.699606059</v>
      </c>
      <c r="EV184" s="8">
        <f t="shared" si="98"/>
        <v>4179440.017514009</v>
      </c>
      <c r="EW184" s="8">
        <f t="shared" si="99"/>
        <v>10723109.511985838</v>
      </c>
    </row>
    <row r="185" spans="1:153">
      <c r="A185">
        <v>2017</v>
      </c>
      <c r="B185">
        <v>4</v>
      </c>
      <c r="C185" s="11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8">
        <f>Dataset!D65</f>
        <v>8824164.5158211607</v>
      </c>
      <c r="EH185" s="8">
        <f>Dataset!G65</f>
        <v>3496506.3587449682</v>
      </c>
      <c r="EI185" s="8">
        <f>Dataset!J65</f>
        <v>9494360.7801229116</v>
      </c>
      <c r="EU185" s="8">
        <f t="shared" si="97"/>
        <v>9196587.9541811328</v>
      </c>
      <c r="EV185" s="8">
        <f t="shared" si="98"/>
        <v>3518761.2333313767</v>
      </c>
      <c r="EW185" s="8">
        <f t="shared" si="99"/>
        <v>10158296.439619042</v>
      </c>
    </row>
    <row r="186" spans="1:153">
      <c r="A186">
        <v>2017</v>
      </c>
      <c r="B186">
        <v>5</v>
      </c>
      <c r="C186" s="11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8">
        <f>Dataset!D66</f>
        <v>8161256.906336261</v>
      </c>
      <c r="EH186" s="8">
        <f>Dataset!G66</f>
        <v>3468969.0901791146</v>
      </c>
      <c r="EI186" s="8">
        <f>Dataset!J66</f>
        <v>10255185.620479725</v>
      </c>
      <c r="EU186" s="8">
        <f t="shared" si="97"/>
        <v>8822826.9562729318</v>
      </c>
      <c r="EV186" s="8">
        <f t="shared" si="98"/>
        <v>3455816.9091391698</v>
      </c>
      <c r="EW186" s="8">
        <f t="shared" si="99"/>
        <v>10087805.105602574</v>
      </c>
    </row>
    <row r="187" spans="1:153">
      <c r="A187">
        <v>2017</v>
      </c>
      <c r="B187">
        <v>6</v>
      </c>
      <c r="C187" s="11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8">
        <f>Dataset!D67</f>
        <v>8070742.9147809604</v>
      </c>
      <c r="EH187" s="8">
        <f>Dataset!G67</f>
        <v>3471006.0375395976</v>
      </c>
      <c r="EI187" s="8">
        <f>Dataset!J67</f>
        <v>10162898.99275995</v>
      </c>
      <c r="EU187" s="8">
        <f t="shared" ref="EU187:EU238" si="100">$EM$97+J187*$EM$98+K187*$EM$99</f>
        <v>8725515.6858159043</v>
      </c>
      <c r="EV187" s="8">
        <f t="shared" ref="EV187:EV238" si="101">$EM$114+L187*$EM$115+M187*$EM$116</f>
        <v>3548163.1280631744</v>
      </c>
      <c r="EW187" s="8">
        <f t="shared" ref="EW187:EW238" si="102">$EM$131+J187*$EM$132+I187*$EM$133</f>
        <v>10100791.789837971</v>
      </c>
    </row>
    <row r="188" spans="1:153">
      <c r="A188">
        <v>2017</v>
      </c>
      <c r="B188">
        <v>7</v>
      </c>
      <c r="C188" s="11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8">
        <f>Dataset!D68</f>
        <v>9056278.6867618226</v>
      </c>
      <c r="EH188" s="8">
        <f>Dataset!G68</f>
        <v>3789392.472789696</v>
      </c>
      <c r="EI188" s="8">
        <f>Dataset!J68</f>
        <v>9531247.6077796426</v>
      </c>
      <c r="EU188" s="8">
        <f t="shared" si="100"/>
        <v>9489043.2738977466</v>
      </c>
      <c r="EV188" s="8">
        <f t="shared" si="101"/>
        <v>3814920.7346912669</v>
      </c>
      <c r="EW188" s="8">
        <f t="shared" si="102"/>
        <v>10206444.939809719</v>
      </c>
    </row>
    <row r="189" spans="1:153">
      <c r="A189">
        <v>2017</v>
      </c>
      <c r="B189">
        <v>8</v>
      </c>
      <c r="C189" s="11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8">
        <f>Dataset!D69</f>
        <v>8724675.0009408221</v>
      </c>
      <c r="EH189" s="8">
        <f>Dataset!G69</f>
        <v>3707499.9391524931</v>
      </c>
      <c r="EI189" s="8">
        <f>Dataset!J69</f>
        <v>10132328.04433449</v>
      </c>
      <c r="EU189" s="8">
        <f t="shared" si="100"/>
        <v>8953838.5878542494</v>
      </c>
      <c r="EV189" s="8">
        <f t="shared" si="101"/>
        <v>3680600.4343231996</v>
      </c>
      <c r="EW189" s="8">
        <f t="shared" si="102"/>
        <v>10078321.375607779</v>
      </c>
    </row>
    <row r="190" spans="1:153">
      <c r="A190">
        <v>2017</v>
      </c>
      <c r="B190">
        <v>9</v>
      </c>
      <c r="C190" s="11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8">
        <f>Dataset!D70</f>
        <v>8151924.7321264194</v>
      </c>
      <c r="EH190" s="8">
        <f>Dataset!G70</f>
        <v>3428070.8388424739</v>
      </c>
      <c r="EI190" s="8">
        <f>Dataset!J70</f>
        <v>10432795.834865717</v>
      </c>
      <c r="EU190" s="8">
        <f t="shared" si="100"/>
        <v>9083268.6576352771</v>
      </c>
      <c r="EV190" s="8">
        <f t="shared" si="101"/>
        <v>3605974.4657587591</v>
      </c>
      <c r="EW190" s="8">
        <f t="shared" si="102"/>
        <v>10203182.830657709</v>
      </c>
    </row>
    <row r="191" spans="1:153">
      <c r="A191">
        <v>2017</v>
      </c>
      <c r="B191">
        <v>10</v>
      </c>
      <c r="C191" s="11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8">
        <f>Dataset!D71</f>
        <v>8318972.3384735566</v>
      </c>
      <c r="EH191" s="8">
        <f>Dataset!G71</f>
        <v>3435622.3948252881</v>
      </c>
      <c r="EI191" s="8">
        <f>Dataset!J71</f>
        <v>10910463.653396899</v>
      </c>
      <c r="EU191" s="8">
        <f t="shared" si="100"/>
        <v>8352073.9470583908</v>
      </c>
      <c r="EV191" s="8">
        <f t="shared" si="101"/>
        <v>3452187.4466440286</v>
      </c>
      <c r="EW191" s="8">
        <f t="shared" si="102"/>
        <v>9957772.2360528652</v>
      </c>
    </row>
    <row r="192" spans="1:153">
      <c r="A192">
        <v>2017</v>
      </c>
      <c r="B192">
        <v>11</v>
      </c>
      <c r="C192" s="11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8">
        <f>Dataset!D72</f>
        <v>9874516.6713623516</v>
      </c>
      <c r="EH192" s="8">
        <f>Dataset!G72</f>
        <v>3671837.9661032245</v>
      </c>
      <c r="EI192" s="8">
        <f>Dataset!J72</f>
        <v>10855073.548756536</v>
      </c>
      <c r="EU192" s="8">
        <f t="shared" si="100"/>
        <v>10520776.562620059</v>
      </c>
      <c r="EV192" s="8">
        <f t="shared" si="101"/>
        <v>3811323.8073029243</v>
      </c>
      <c r="EW192" s="8">
        <f t="shared" si="102"/>
        <v>10421589.702207671</v>
      </c>
    </row>
    <row r="193" spans="1:153">
      <c r="A193">
        <v>2017</v>
      </c>
      <c r="B193">
        <v>12</v>
      </c>
      <c r="C193" s="11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8">
        <f>Dataset!D73</f>
        <v>13025738.641533405</v>
      </c>
      <c r="EH193" s="8">
        <f>Dataset!G73</f>
        <v>4345470.8652827246</v>
      </c>
      <c r="EI193" s="8">
        <f>Dataset!J73</f>
        <v>10712352.511391768</v>
      </c>
      <c r="EU193" s="8">
        <f t="shared" si="100"/>
        <v>13098773.94176692</v>
      </c>
      <c r="EV193" s="8">
        <f t="shared" si="101"/>
        <v>4424238.4455146436</v>
      </c>
      <c r="EW193" s="8">
        <f t="shared" si="102"/>
        <v>10921150.249646667</v>
      </c>
    </row>
    <row r="194" spans="1:153">
      <c r="A194">
        <v>2018</v>
      </c>
      <c r="B194">
        <v>1</v>
      </c>
      <c r="C194" s="11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8">
        <f>Dataset!D74</f>
        <v>13883435.471597927</v>
      </c>
      <c r="EH194" s="8">
        <f>Dataset!G74</f>
        <v>4634616.9582139906</v>
      </c>
      <c r="EI194" s="8">
        <f>Dataset!J74</f>
        <v>12061651.908779878</v>
      </c>
      <c r="EU194" s="8">
        <f t="shared" si="100"/>
        <v>13103567.540463734</v>
      </c>
      <c r="EV194" s="8">
        <f t="shared" si="101"/>
        <v>4425386.655777311</v>
      </c>
      <c r="EW194" s="8">
        <f t="shared" si="102"/>
        <v>10922079.146164775</v>
      </c>
    </row>
    <row r="195" spans="1:153">
      <c r="A195">
        <v>2018</v>
      </c>
      <c r="B195">
        <v>2</v>
      </c>
      <c r="C195" s="11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8">
        <f>Dataset!D75</f>
        <v>11384940.451659728</v>
      </c>
      <c r="EH195" s="8">
        <f>Dataset!G75</f>
        <v>3979045.0294086551</v>
      </c>
      <c r="EI195" s="8">
        <f>Dataset!J75</f>
        <v>10569743.405669795</v>
      </c>
      <c r="EU195" s="8">
        <f t="shared" si="100"/>
        <v>11607964.747057598</v>
      </c>
      <c r="EV195" s="8">
        <f t="shared" si="101"/>
        <v>4080923.5769771687</v>
      </c>
      <c r="EW195" s="8">
        <f t="shared" si="102"/>
        <v>10632263.432514781</v>
      </c>
    </row>
    <row r="196" spans="1:153">
      <c r="A196">
        <v>2018</v>
      </c>
      <c r="B196">
        <v>3</v>
      </c>
      <c r="C196" s="11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8">
        <f>Dataset!D76</f>
        <v>11501016.11392805</v>
      </c>
      <c r="EH196" s="8">
        <f>Dataset!G76</f>
        <v>4130187.8020749432</v>
      </c>
      <c r="EI196" s="8">
        <f>Dataset!J76</f>
        <v>11369524.37695927</v>
      </c>
      <c r="EU196" s="8">
        <f t="shared" si="100"/>
        <v>11961732.33088251</v>
      </c>
      <c r="EV196" s="8">
        <f t="shared" si="101"/>
        <v>4151882.9712099982</v>
      </c>
      <c r="EW196" s="8">
        <f t="shared" si="102"/>
        <v>10700815.995551223</v>
      </c>
    </row>
    <row r="197" spans="1:153">
      <c r="A197">
        <v>2018</v>
      </c>
      <c r="B197">
        <v>4</v>
      </c>
      <c r="C197" s="11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8">
        <f>Dataset!D77</f>
        <v>9828482.6727534514</v>
      </c>
      <c r="EH197" s="8">
        <f>Dataset!G77</f>
        <v>3695184.3068528124</v>
      </c>
      <c r="EI197" s="8">
        <f>Dataset!J77</f>
        <v>10356480.107455384</v>
      </c>
      <c r="EU197" s="8">
        <f t="shared" si="100"/>
        <v>10785383.210684221</v>
      </c>
      <c r="EV197" s="8">
        <f t="shared" si="101"/>
        <v>3874705.0138021503</v>
      </c>
      <c r="EW197" s="8">
        <f t="shared" si="102"/>
        <v>10472864.790007286</v>
      </c>
    </row>
    <row r="198" spans="1:153">
      <c r="A198">
        <v>2018</v>
      </c>
      <c r="B198">
        <v>5</v>
      </c>
      <c r="C198" s="11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8">
        <f>Dataset!D78</f>
        <v>8619745.1538112145</v>
      </c>
      <c r="EH198" s="8">
        <f>Dataset!G78</f>
        <v>3545274.159342139</v>
      </c>
      <c r="EI198" s="8">
        <f>Dataset!J78</f>
        <v>10469681.680061162</v>
      </c>
      <c r="EU198" s="8">
        <f t="shared" si="100"/>
        <v>8755645.9130213987</v>
      </c>
      <c r="EV198" s="8">
        <f t="shared" si="101"/>
        <v>3497323.3142405194</v>
      </c>
      <c r="EW198" s="8">
        <f t="shared" si="102"/>
        <v>10100843.302149525</v>
      </c>
    </row>
    <row r="199" spans="1:153">
      <c r="A199">
        <v>2018</v>
      </c>
      <c r="B199">
        <v>6</v>
      </c>
      <c r="C199" s="11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8">
        <f>Dataset!D79</f>
        <v>8910906.6055843309</v>
      </c>
      <c r="EH199" s="8">
        <f>Dataset!G79</f>
        <v>3630673.8203668571</v>
      </c>
      <c r="EI199" s="8">
        <f>Dataset!J79</f>
        <v>10520542.293892801</v>
      </c>
      <c r="EU199" s="8">
        <f t="shared" si="100"/>
        <v>8333569.3449482638</v>
      </c>
      <c r="EV199" s="8">
        <f t="shared" si="101"/>
        <v>3469162.7596015749</v>
      </c>
      <c r="EW199" s="8">
        <f t="shared" si="102"/>
        <v>10018026.900982631</v>
      </c>
    </row>
    <row r="200" spans="1:153">
      <c r="A200">
        <v>2018</v>
      </c>
      <c r="B200">
        <v>7</v>
      </c>
      <c r="C200" s="11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8">
        <f>Dataset!D80</f>
        <v>10787521.686098501</v>
      </c>
      <c r="EH200" s="8">
        <f>Dataset!G80</f>
        <v>4072890.0386634632</v>
      </c>
      <c r="EI200" s="8">
        <f>Dataset!J80</f>
        <v>11306706.940156406</v>
      </c>
      <c r="EU200" s="8">
        <f t="shared" si="100"/>
        <v>10521868.832737871</v>
      </c>
      <c r="EV200" s="8">
        <f t="shared" si="101"/>
        <v>4006924.5996345785</v>
      </c>
      <c r="EW200" s="8">
        <f t="shared" si="102"/>
        <v>10590544.695506938</v>
      </c>
    </row>
    <row r="201" spans="1:153">
      <c r="A201">
        <v>2018</v>
      </c>
      <c r="B201">
        <v>8</v>
      </c>
      <c r="C201" s="11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8">
        <f>Dataset!D81</f>
        <v>10868070.741826534</v>
      </c>
      <c r="EH201" s="8">
        <f>Dataset!G81</f>
        <v>4102194.03058438</v>
      </c>
      <c r="EI201" s="8">
        <f>Dataset!J81</f>
        <v>11053462.956202352</v>
      </c>
      <c r="EU201" s="8">
        <f t="shared" si="100"/>
        <v>10864869.328896653</v>
      </c>
      <c r="EV201" s="8">
        <f t="shared" si="101"/>
        <v>4064196.1387485703</v>
      </c>
      <c r="EW201" s="8">
        <f t="shared" si="102"/>
        <v>10696093.044118872</v>
      </c>
    </row>
    <row r="202" spans="1:153">
      <c r="A202">
        <v>2018</v>
      </c>
      <c r="B202">
        <v>9</v>
      </c>
      <c r="C202" s="11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8">
        <f>Dataset!D82</f>
        <v>8995048.0537879672</v>
      </c>
      <c r="EH202" s="8">
        <f>Dataset!G82</f>
        <v>3619310.0644468875</v>
      </c>
      <c r="EI202" s="8">
        <f>Dataset!J82</f>
        <v>10606362.106846716</v>
      </c>
      <c r="EU202" s="8">
        <f t="shared" si="100"/>
        <v>9081300.0801552031</v>
      </c>
      <c r="EV202" s="8">
        <f t="shared" si="101"/>
        <v>3601273.1046093558</v>
      </c>
      <c r="EW202" s="8">
        <f t="shared" si="102"/>
        <v>10231026.320968639</v>
      </c>
    </row>
    <row r="203" spans="1:153">
      <c r="A203">
        <v>2018</v>
      </c>
      <c r="B203">
        <v>10</v>
      </c>
      <c r="C203" s="11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8">
        <f>Dataset!D83</f>
        <v>9113753.8751770835</v>
      </c>
      <c r="EH203" s="8">
        <f>Dataset!G83</f>
        <v>3571668.7528973552</v>
      </c>
      <c r="EI203" s="8">
        <f>Dataset!J83</f>
        <v>10844362.25206094</v>
      </c>
      <c r="EU203" s="8">
        <f t="shared" si="100"/>
        <v>9469364.9315800034</v>
      </c>
      <c r="EV203" s="8">
        <f t="shared" si="101"/>
        <v>3591028.1189595237</v>
      </c>
      <c r="EW203" s="8">
        <f t="shared" si="102"/>
        <v>10246294.495346799</v>
      </c>
    </row>
    <row r="204" spans="1:153">
      <c r="A204">
        <v>2018</v>
      </c>
      <c r="B204">
        <v>11</v>
      </c>
      <c r="C204" s="11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8">
        <f>Dataset!D84</f>
        <v>10631086.823455051</v>
      </c>
      <c r="EH204" s="8">
        <f>Dataset!G84</f>
        <v>3898850.2739227014</v>
      </c>
      <c r="EI204" s="8">
        <f>Dataset!J84</f>
        <v>10980433.192465497</v>
      </c>
      <c r="EU204" s="8">
        <f t="shared" si="100"/>
        <v>11078751.450929273</v>
      </c>
      <c r="EV204" s="8">
        <f t="shared" si="101"/>
        <v>3944975.4818773791</v>
      </c>
      <c r="EW204" s="8">
        <f t="shared" si="102"/>
        <v>10529713.256915553</v>
      </c>
    </row>
    <row r="205" spans="1:153">
      <c r="A205">
        <v>2018</v>
      </c>
      <c r="B205">
        <v>12</v>
      </c>
      <c r="C205" s="11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8">
        <f>Dataset!D85</f>
        <v>12518380.889968332</v>
      </c>
      <c r="EH205" s="8">
        <f>Dataset!G85</f>
        <v>4282117.5597159071</v>
      </c>
      <c r="EI205" s="8">
        <f>Dataset!J85</f>
        <v>10851681.686155614</v>
      </c>
      <c r="EU205" s="8">
        <f t="shared" si="100"/>
        <v>11877364.993818574</v>
      </c>
      <c r="EV205" s="8">
        <f t="shared" si="101"/>
        <v>4131674.4705870561</v>
      </c>
      <c r="EW205" s="8">
        <f t="shared" si="102"/>
        <v>10684467.416832505</v>
      </c>
    </row>
    <row r="206" spans="1:153">
      <c r="A206">
        <v>2019</v>
      </c>
      <c r="B206">
        <v>1</v>
      </c>
      <c r="C206" s="11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8">
        <f>Dataset!D86</f>
        <v>13960982.808591014</v>
      </c>
      <c r="EH206" s="8">
        <f>Dataset!G86</f>
        <v>4609255.6079716161</v>
      </c>
      <c r="EI206" s="8">
        <f>Dataset!J86</f>
        <v>11617271.757342085</v>
      </c>
      <c r="EU206" s="8">
        <f t="shared" si="100"/>
        <v>13695097.619650647</v>
      </c>
      <c r="EV206" s="8">
        <f t="shared" si="101"/>
        <v>4567075.8021904361</v>
      </c>
      <c r="EW206" s="8">
        <f t="shared" si="102"/>
        <v>11036704.976499422</v>
      </c>
    </row>
    <row r="207" spans="1:153">
      <c r="A207">
        <v>2019</v>
      </c>
      <c r="B207">
        <v>2</v>
      </c>
      <c r="C207" s="11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8">
        <f>Dataset!D87</f>
        <v>12392903.762277057</v>
      </c>
      <c r="EH207" s="8">
        <f>Dataset!G87</f>
        <v>4226698.7559959963</v>
      </c>
      <c r="EI207" s="8">
        <f>Dataset!J87</f>
        <v>10508434.241887977</v>
      </c>
      <c r="EU207" s="8">
        <f t="shared" si="100"/>
        <v>12376857.978026649</v>
      </c>
      <c r="EV207" s="8">
        <f t="shared" si="101"/>
        <v>4265096.5031089783</v>
      </c>
      <c r="EW207" s="8">
        <f t="shared" si="102"/>
        <v>10781258.434019458</v>
      </c>
    </row>
    <row r="208" spans="1:153">
      <c r="A208">
        <v>2019</v>
      </c>
      <c r="B208">
        <v>3</v>
      </c>
      <c r="C208" s="11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8">
        <f>Dataset!D88</f>
        <v>12063604.824753724</v>
      </c>
      <c r="EH208" s="8">
        <f>Dataset!G88</f>
        <v>4292846.5750633525</v>
      </c>
      <c r="EI208" s="8">
        <f>Dataset!J88</f>
        <v>11100930.956588307</v>
      </c>
      <c r="EU208" s="8">
        <f t="shared" si="100"/>
        <v>12097870.533872042</v>
      </c>
      <c r="EV208" s="8">
        <f t="shared" si="101"/>
        <v>4184492.1426697448</v>
      </c>
      <c r="EW208" s="8">
        <f t="shared" si="102"/>
        <v>10727196.656665517</v>
      </c>
    </row>
    <row r="209" spans="1:153">
      <c r="A209">
        <v>2019</v>
      </c>
      <c r="B209">
        <v>4</v>
      </c>
      <c r="C209" s="11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8">
        <f>Dataset!D89</f>
        <v>9719917.2265057545</v>
      </c>
      <c r="EH209" s="8">
        <f>Dataset!G89</f>
        <v>3630067.6142082894</v>
      </c>
      <c r="EI209" s="8">
        <f>Dataset!J89</f>
        <v>10142281.579204079</v>
      </c>
      <c r="EU209" s="8">
        <f t="shared" si="100"/>
        <v>10005944.062582178</v>
      </c>
      <c r="EV209" s="8">
        <f t="shared" si="101"/>
        <v>3688006.0250924733</v>
      </c>
      <c r="EW209" s="8">
        <f t="shared" si="102"/>
        <v>10321826.216162769</v>
      </c>
    </row>
    <row r="210" spans="1:153">
      <c r="A210">
        <v>2019</v>
      </c>
      <c r="B210">
        <v>5</v>
      </c>
      <c r="C210" s="11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8">
        <f>Dataset!D90</f>
        <v>8671238.6385931578</v>
      </c>
      <c r="EH210" s="8">
        <f>Dataset!G90</f>
        <v>3445346.0237181168</v>
      </c>
      <c r="EI210" s="8">
        <f>Dataset!J90</f>
        <v>10207613.684272055</v>
      </c>
      <c r="EU210" s="8">
        <f t="shared" si="100"/>
        <v>8655436.3950152807</v>
      </c>
      <c r="EV210" s="8">
        <f t="shared" si="101"/>
        <v>3410283.7193705514</v>
      </c>
      <c r="EW210" s="8">
        <f t="shared" si="102"/>
        <v>10040370.571175756</v>
      </c>
    </row>
    <row r="211" spans="1:153">
      <c r="A211">
        <v>2019</v>
      </c>
      <c r="B211">
        <v>6</v>
      </c>
      <c r="C211" s="11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8">
        <f>Dataset!D91</f>
        <v>8331102.5462989938</v>
      </c>
      <c r="EH211" s="8">
        <f>Dataset!G91</f>
        <v>3448489.9909632192</v>
      </c>
      <c r="EI211" s="8">
        <f>Dataset!J91</f>
        <v>10060825.489111267</v>
      </c>
      <c r="EU211" s="8">
        <f t="shared" si="100"/>
        <v>8107925.9537492562</v>
      </c>
      <c r="EV211" s="8">
        <f t="shared" si="101"/>
        <v>3382419.6720632198</v>
      </c>
      <c r="EW211" s="8">
        <f t="shared" si="102"/>
        <v>9942947.2985340469</v>
      </c>
    </row>
    <row r="212" spans="1:153">
      <c r="A212">
        <v>2019</v>
      </c>
      <c r="B212">
        <v>7</v>
      </c>
      <c r="C212" s="11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8">
        <f>Dataset!D92</f>
        <v>10609156.907327704</v>
      </c>
      <c r="EH212" s="8">
        <f>Dataset!G92</f>
        <v>4014350.0624655569</v>
      </c>
      <c r="EI212" s="8">
        <f>Dataset!J92</f>
        <v>10411256.698898302</v>
      </c>
      <c r="EU212" s="8">
        <f t="shared" si="100"/>
        <v>10450945.189212369</v>
      </c>
      <c r="EV212" s="8">
        <f t="shared" si="101"/>
        <v>3993739.7848745226</v>
      </c>
      <c r="EW212" s="8">
        <f t="shared" si="102"/>
        <v>10558199.45292191</v>
      </c>
    </row>
    <row r="213" spans="1:153">
      <c r="A213">
        <v>2019</v>
      </c>
      <c r="B213">
        <v>8</v>
      </c>
      <c r="C213" s="11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8">
        <f>Dataset!D93</f>
        <v>9801261.3353332076</v>
      </c>
      <c r="EH213" s="8">
        <f>Dataset!G93</f>
        <v>3882002.7717145048</v>
      </c>
      <c r="EI213" s="8">
        <f>Dataset!J93</f>
        <v>10709168.986959817</v>
      </c>
      <c r="EU213" s="8">
        <f t="shared" si="100"/>
        <v>9300652.3457831312</v>
      </c>
      <c r="EV213" s="8">
        <f t="shared" si="101"/>
        <v>3779898.5704848692</v>
      </c>
      <c r="EW213" s="8">
        <f t="shared" si="102"/>
        <v>10165204.755513806</v>
      </c>
    </row>
    <row r="214" spans="1:153">
      <c r="A214">
        <v>2019</v>
      </c>
      <c r="B214">
        <v>9</v>
      </c>
      <c r="C214" s="11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8">
        <f>Dataset!D94</f>
        <v>8061127.0845380994</v>
      </c>
      <c r="EH214" s="8">
        <f>Dataset!G94</f>
        <v>3448393.0346508492</v>
      </c>
      <c r="EI214" s="8">
        <f>Dataset!J94</f>
        <v>10395119.136384932</v>
      </c>
      <c r="EU214" s="8">
        <f t="shared" si="100"/>
        <v>7943354.6037742766</v>
      </c>
      <c r="EV214" s="8">
        <f t="shared" si="101"/>
        <v>3411965.7842755867</v>
      </c>
      <c r="EW214" s="8">
        <f t="shared" si="102"/>
        <v>9874319.3997700475</v>
      </c>
    </row>
    <row r="215" spans="1:153">
      <c r="A215">
        <v>2019</v>
      </c>
      <c r="B215">
        <v>10</v>
      </c>
      <c r="C215" s="11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8">
        <f>Dataset!D95</f>
        <v>8747393.621830821</v>
      </c>
      <c r="EH215" s="8">
        <f>Dataset!G95</f>
        <v>3461001.7663835487</v>
      </c>
      <c r="EI215" s="8">
        <f>Dataset!J95</f>
        <v>10416127.544557648</v>
      </c>
      <c r="EU215" s="8">
        <f t="shared" si="100"/>
        <v>8806666.3274545223</v>
      </c>
      <c r="EV215" s="8">
        <f t="shared" si="101"/>
        <v>3415564.7861007997</v>
      </c>
      <c r="EW215" s="8">
        <f t="shared" si="102"/>
        <v>10095249.861102367</v>
      </c>
    </row>
    <row r="216" spans="1:153">
      <c r="A216">
        <v>2019</v>
      </c>
      <c r="B216">
        <v>11</v>
      </c>
      <c r="C216" s="11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8">
        <f>Dataset!D96</f>
        <v>10760571.810268486</v>
      </c>
      <c r="EH216" s="8">
        <f>Dataset!G96</f>
        <v>3839348.9308264251</v>
      </c>
      <c r="EI216" s="8">
        <f>Dataset!J96</f>
        <v>10847244.234261472</v>
      </c>
      <c r="EU216" s="8">
        <f t="shared" si="100"/>
        <v>11272412.838280579</v>
      </c>
      <c r="EV216" s="8">
        <f t="shared" si="101"/>
        <v>3991363.1764891315</v>
      </c>
      <c r="EW216" s="8">
        <f t="shared" si="102"/>
        <v>10567240.676247155</v>
      </c>
    </row>
    <row r="217" spans="1:153">
      <c r="A217">
        <v>2019</v>
      </c>
      <c r="B217">
        <v>12</v>
      </c>
      <c r="C217" s="11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8">
        <f>Dataset!D97</f>
        <v>12817933.095966045</v>
      </c>
      <c r="EH217" s="8">
        <f>Dataset!G97</f>
        <v>4227042.4814835032</v>
      </c>
      <c r="EI217" s="8">
        <f>Dataset!J97</f>
        <v>10361685.654034983</v>
      </c>
      <c r="EU217" s="8">
        <f t="shared" si="100"/>
        <v>11827511.567371704</v>
      </c>
      <c r="EV217" s="8">
        <f t="shared" si="101"/>
        <v>4119733.0838553179</v>
      </c>
      <c r="EW217" s="8">
        <f t="shared" si="102"/>
        <v>10674806.893044172</v>
      </c>
    </row>
    <row r="218" spans="1:153">
      <c r="A218">
        <v>2020</v>
      </c>
      <c r="B218">
        <v>1</v>
      </c>
      <c r="C218" s="11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8">
        <f>Dataset!D98</f>
        <v>12866456.17026085</v>
      </c>
      <c r="EH218" s="8">
        <f>Dataset!G98</f>
        <v>4377026.2665486429</v>
      </c>
      <c r="EI218" s="8">
        <f>Dataset!J98</f>
        <v>10810342.446760129</v>
      </c>
      <c r="EU218" s="8">
        <f t="shared" si="100"/>
        <v>12121838.527356114</v>
      </c>
      <c r="EV218" s="8">
        <f t="shared" si="101"/>
        <v>4190233.1939830803</v>
      </c>
      <c r="EW218" s="8">
        <f t="shared" si="102"/>
        <v>10731841.139256062</v>
      </c>
    </row>
    <row r="219" spans="1:153">
      <c r="A219">
        <v>2020</v>
      </c>
      <c r="B219">
        <v>2</v>
      </c>
      <c r="C219" s="11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8">
        <f>Dataset!D99</f>
        <v>12122959.291194474</v>
      </c>
      <c r="EH219" s="8">
        <f>Dataset!G99</f>
        <v>4137486.5177108715</v>
      </c>
      <c r="EI219" s="8">
        <f>Dataset!J99</f>
        <v>10409882.874438919</v>
      </c>
      <c r="EU219" s="8">
        <f t="shared" si="100"/>
        <v>12235926.176340302</v>
      </c>
      <c r="EV219" s="8">
        <f t="shared" si="101"/>
        <v>4226746.2803358957</v>
      </c>
      <c r="EW219" s="8">
        <f t="shared" si="102"/>
        <v>10753948.876387056</v>
      </c>
    </row>
    <row r="220" spans="1:153">
      <c r="A220">
        <v>2020</v>
      </c>
      <c r="B220">
        <v>3</v>
      </c>
      <c r="C220" s="11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8">
        <f>Dataset!D100</f>
        <v>11708936.147119425</v>
      </c>
      <c r="EH220" s="8">
        <f>Dataset!G100</f>
        <v>3689100.3264955725</v>
      </c>
      <c r="EI220" s="8">
        <f>Dataset!J100</f>
        <v>9916764.6526984535</v>
      </c>
      <c r="EU220" s="8">
        <f t="shared" si="100"/>
        <v>10897553.420189682</v>
      </c>
      <c r="EV220" s="8">
        <f t="shared" si="101"/>
        <v>3896980.2928978931</v>
      </c>
      <c r="EW220" s="8">
        <f t="shared" si="102"/>
        <v>10494600.968531035</v>
      </c>
    </row>
    <row r="221" spans="1:153">
      <c r="A221">
        <v>2020</v>
      </c>
      <c r="B221">
        <v>4</v>
      </c>
      <c r="C221" s="11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8">
        <f>Dataset!D101</f>
        <v>10594411.679266052</v>
      </c>
      <c r="EH221" s="8">
        <f>Dataset!G101</f>
        <v>2848033.2428459735</v>
      </c>
      <c r="EI221" s="8">
        <f>Dataset!J101</f>
        <v>7038118.2699119393</v>
      </c>
      <c r="EU221" s="8">
        <f t="shared" si="100"/>
        <v>10077848.043034397</v>
      </c>
      <c r="EV221" s="8">
        <f t="shared" si="101"/>
        <v>3705229.1790324803</v>
      </c>
      <c r="EW221" s="8">
        <f t="shared" si="102"/>
        <v>10335759.663934404</v>
      </c>
    </row>
    <row r="222" spans="1:153">
      <c r="A222">
        <v>2020</v>
      </c>
      <c r="B222">
        <v>5</v>
      </c>
      <c r="C222" s="11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8">
        <f>Dataset!D102</f>
        <v>10075897.739323296</v>
      </c>
      <c r="EH222" s="8">
        <f>Dataset!G102</f>
        <v>2839173.9438523706</v>
      </c>
      <c r="EI222" s="8">
        <f>Dataset!J102</f>
        <v>7851278.3061691457</v>
      </c>
      <c r="EU222" s="8">
        <f t="shared" si="100"/>
        <v>9364427.9488572404</v>
      </c>
      <c r="EV222" s="8">
        <f t="shared" si="101"/>
        <v>3573517.5639021639</v>
      </c>
      <c r="EW222" s="8">
        <f t="shared" si="102"/>
        <v>10231985.727490421</v>
      </c>
    </row>
    <row r="223" spans="1:153">
      <c r="A223">
        <v>2020</v>
      </c>
      <c r="B223">
        <v>6</v>
      </c>
      <c r="C223" s="11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8">
        <f>Dataset!D103</f>
        <v>9987467.2126085386</v>
      </c>
      <c r="EH223" s="8">
        <f>Dataset!G103</f>
        <v>3055159.5702205976</v>
      </c>
      <c r="EI223" s="8">
        <f>Dataset!J103</f>
        <v>9093235.5826156083</v>
      </c>
      <c r="EU223" s="8">
        <f t="shared" si="100"/>
        <v>8862857.4899578616</v>
      </c>
      <c r="EV223" s="8">
        <f t="shared" si="101"/>
        <v>3610574.6584539898</v>
      </c>
      <c r="EW223" s="8">
        <f t="shared" si="102"/>
        <v>10127388.63625752</v>
      </c>
    </row>
    <row r="224" spans="1:153">
      <c r="A224">
        <v>2020</v>
      </c>
      <c r="B224">
        <v>7</v>
      </c>
      <c r="C224" s="11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8">
        <f>Dataset!D104</f>
        <v>13156024.823692113</v>
      </c>
      <c r="EH224" s="8">
        <f>Dataset!G104</f>
        <v>3836853.5976870866</v>
      </c>
      <c r="EI224" s="8">
        <f>Dataset!J104</f>
        <v>10422144.205792543</v>
      </c>
      <c r="EU224" s="8">
        <f t="shared" si="100"/>
        <v>11295379.819937877</v>
      </c>
      <c r="EV224" s="8">
        <f t="shared" si="101"/>
        <v>4150721.485611436</v>
      </c>
      <c r="EW224" s="8">
        <f t="shared" si="102"/>
        <v>10833942.645959282</v>
      </c>
    </row>
    <row r="225" spans="1:153">
      <c r="A225">
        <v>2020</v>
      </c>
      <c r="B225">
        <v>8</v>
      </c>
      <c r="C225" s="11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8">
        <f>Dataset!D105</f>
        <v>11624511.125675922</v>
      </c>
      <c r="EH225" s="8">
        <f>Dataset!G105</f>
        <v>3688140.2678477252</v>
      </c>
      <c r="EI225" s="8">
        <f>Dataset!J105</f>
        <v>10192016.210357649</v>
      </c>
      <c r="EU225" s="8">
        <f t="shared" si="100"/>
        <v>9896916.1707644071</v>
      </c>
      <c r="EV225" s="8">
        <f t="shared" si="101"/>
        <v>3886613.1649490702</v>
      </c>
      <c r="EW225" s="8">
        <f t="shared" si="102"/>
        <v>10365428.452537088</v>
      </c>
    </row>
    <row r="226" spans="1:153">
      <c r="A226">
        <v>2020</v>
      </c>
      <c r="B226">
        <v>9</v>
      </c>
      <c r="C226" s="11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8">
        <f>Dataset!D106</f>
        <v>8863050.2273658421</v>
      </c>
      <c r="EH226" s="8">
        <f>Dataset!G106</f>
        <v>3202707.6551847798</v>
      </c>
      <c r="EI226" s="8">
        <f>Dataset!J106</f>
        <v>9646470.7241184711</v>
      </c>
      <c r="EU226" s="8">
        <f t="shared" si="100"/>
        <v>8294800.6427692864</v>
      </c>
      <c r="EV226" s="8">
        <f t="shared" si="101"/>
        <v>3445311.1405367483</v>
      </c>
      <c r="EW226" s="8">
        <f t="shared" si="102"/>
        <v>9980383.9180444218</v>
      </c>
    </row>
    <row r="227" spans="1:153">
      <c r="A227">
        <v>2020</v>
      </c>
      <c r="B227">
        <v>10</v>
      </c>
      <c r="C227" s="11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8">
        <f>Dataset!D107</f>
        <v>9752297.8944030479</v>
      </c>
      <c r="EH227" s="8">
        <f>Dataset!G107</f>
        <v>3288621.8524205163</v>
      </c>
      <c r="EI227" s="8">
        <f>Dataset!J107</f>
        <v>10119827.822303513</v>
      </c>
      <c r="EU227" s="8">
        <f t="shared" si="100"/>
        <v>8927023.4848224353</v>
      </c>
      <c r="EV227" s="8">
        <f t="shared" si="101"/>
        <v>3445275.07604266</v>
      </c>
      <c r="EW227" s="8">
        <f t="shared" si="102"/>
        <v>10111895.603070145</v>
      </c>
    </row>
    <row r="228" spans="1:153">
      <c r="A228">
        <v>2020</v>
      </c>
      <c r="B228">
        <v>11</v>
      </c>
      <c r="C228" s="11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8">
        <f>Dataset!D108</f>
        <v>10443762.540943094</v>
      </c>
      <c r="EH228" s="8">
        <f>Dataset!G108</f>
        <v>3516537.53517573</v>
      </c>
      <c r="EI228" s="8">
        <f>Dataset!J108</f>
        <v>10208460.217914181</v>
      </c>
      <c r="EU228" s="8">
        <f t="shared" si="100"/>
        <v>9615895.6376984827</v>
      </c>
      <c r="EV228" s="8">
        <f t="shared" si="101"/>
        <v>3655888.3462281227</v>
      </c>
      <c r="EW228" s="8">
        <f t="shared" si="102"/>
        <v>10233217.429473843</v>
      </c>
    </row>
    <row r="229" spans="1:153">
      <c r="A229">
        <v>2020</v>
      </c>
      <c r="B229">
        <v>12</v>
      </c>
      <c r="C229" s="11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8">
        <f>Dataset!D109</f>
        <v>13579930.831677185</v>
      </c>
      <c r="EH229" s="8">
        <f>Dataset!G109</f>
        <v>4068467.9093758743</v>
      </c>
      <c r="EI229" s="8">
        <f>Dataset!J109</f>
        <v>10223304.079936288</v>
      </c>
      <c r="EU229" s="8">
        <f t="shared" si="100"/>
        <v>11688497.205164082</v>
      </c>
      <c r="EV229" s="8">
        <f t="shared" si="101"/>
        <v>4086434.9862379711</v>
      </c>
      <c r="EW229" s="8">
        <f t="shared" si="102"/>
        <v>10647868.894019011</v>
      </c>
    </row>
    <row r="230" spans="1:153">
      <c r="A230">
        <v>2021</v>
      </c>
      <c r="B230">
        <v>1</v>
      </c>
      <c r="C230" s="11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8">
        <f>Dataset!D110</f>
        <v>14015137.930928187</v>
      </c>
      <c r="EH230" s="8">
        <f>Dataset!G110</f>
        <v>4010206.7576686703</v>
      </c>
      <c r="EI230" s="8">
        <f>Dataset!J110</f>
        <v>10805859.095122466</v>
      </c>
      <c r="EU230" s="8">
        <f t="shared" si="100"/>
        <v>12341385.347670224</v>
      </c>
      <c r="EV230" s="8">
        <f t="shared" si="101"/>
        <v>4242821.2240132354</v>
      </c>
      <c r="EW230" s="8">
        <f t="shared" si="102"/>
        <v>10774384.599785453</v>
      </c>
    </row>
    <row r="231" spans="1:153">
      <c r="A231">
        <v>2021</v>
      </c>
      <c r="B231">
        <v>2</v>
      </c>
      <c r="C231" s="11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8">
        <f>Dataset!D111</f>
        <v>13340787.779683679</v>
      </c>
      <c r="EH231" s="8">
        <f>Dataset!G111</f>
        <v>3893947.1031557391</v>
      </c>
      <c r="EI231" s="8">
        <f>Dataset!J111</f>
        <v>10132845.567464894</v>
      </c>
      <c r="EU231" s="8">
        <f t="shared" si="100"/>
        <v>12426711.404473521</v>
      </c>
      <c r="EV231" s="8">
        <f t="shared" si="101"/>
        <v>4277037.8898407165</v>
      </c>
      <c r="EW231" s="8">
        <f t="shared" si="102"/>
        <v>10790918.95780779</v>
      </c>
    </row>
    <row r="232" spans="1:153">
      <c r="A232">
        <v>2021</v>
      </c>
      <c r="B232">
        <v>3</v>
      </c>
      <c r="C232" s="11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8">
        <f>Dataset!D112</f>
        <v>12296411.319618419</v>
      </c>
      <c r="EH232" s="8">
        <f>Dataset!G112</f>
        <v>4041550.7949551763</v>
      </c>
      <c r="EI232" s="8">
        <f>Dataset!J112</f>
        <v>10662203.03156714</v>
      </c>
      <c r="EU232" s="8">
        <f t="shared" si="100"/>
        <v>10655956.04587023</v>
      </c>
      <c r="EV232" s="8">
        <f t="shared" si="101"/>
        <v>3854510.5159903131</v>
      </c>
      <c r="EW232" s="8">
        <f t="shared" si="102"/>
        <v>10447784.584018344</v>
      </c>
    </row>
    <row r="233" spans="1:153">
      <c r="A233">
        <v>2021</v>
      </c>
      <c r="B233">
        <v>4</v>
      </c>
      <c r="C233" s="11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8">
        <f>Dataset!D113</f>
        <v>10170203.826944141</v>
      </c>
      <c r="EH233" s="8">
        <f>Dataset!G113</f>
        <v>3230840.8949029865</v>
      </c>
      <c r="EI233" s="8">
        <f>Dataset!J113</f>
        <v>9596030.5637827348</v>
      </c>
      <c r="EU233" s="8">
        <f t="shared" si="100"/>
        <v>9395094.0782306027</v>
      </c>
      <c r="EV233" s="8">
        <f t="shared" si="101"/>
        <v>3582089.2304982659</v>
      </c>
      <c r="EW233" s="8">
        <f t="shared" si="102"/>
        <v>10189562.114230847</v>
      </c>
    </row>
    <row r="234" spans="1:153">
      <c r="A234">
        <v>2021</v>
      </c>
      <c r="B234">
        <v>5</v>
      </c>
      <c r="C234" s="11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8">
        <f>Dataset!D114</f>
        <v>9703321.1027398072</v>
      </c>
      <c r="EH234" s="8">
        <f>Dataset!G114</f>
        <v>3180341.9648168492</v>
      </c>
      <c r="EI234" s="8">
        <f>Dataset!J114</f>
        <v>9497213.5604260471</v>
      </c>
      <c r="EU234" s="8">
        <f t="shared" si="100"/>
        <v>8890656.1750142425</v>
      </c>
      <c r="EV234" s="8">
        <f t="shared" si="101"/>
        <v>3490360.5362188946</v>
      </c>
      <c r="EW234" s="8">
        <f t="shared" si="102"/>
        <v>10122563.598395936</v>
      </c>
    </row>
    <row r="235" spans="1:153">
      <c r="A235">
        <v>2021</v>
      </c>
      <c r="B235">
        <v>6</v>
      </c>
      <c r="C235" s="11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8">
        <f>Dataset!D115</f>
        <v>10757791.641526507</v>
      </c>
      <c r="EH235" s="8">
        <f>Dataset!G115</f>
        <v>3536902.6744333198</v>
      </c>
      <c r="EI235" s="8">
        <f>Dataset!J115</f>
        <v>10041214.17232381</v>
      </c>
      <c r="EU235" s="8">
        <f t="shared" si="100"/>
        <v>9729689.832104478</v>
      </c>
      <c r="EV235" s="8">
        <f t="shared" si="101"/>
        <v>3818595.0075318022</v>
      </c>
      <c r="EW235" s="8">
        <f t="shared" si="102"/>
        <v>10391436.614674762</v>
      </c>
    </row>
    <row r="236" spans="1:153">
      <c r="A236">
        <v>2021</v>
      </c>
      <c r="B236">
        <v>7</v>
      </c>
      <c r="C236" s="11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8">
        <f>Dataset!D116</f>
        <v>11134010.184669029</v>
      </c>
      <c r="EH236" s="8">
        <f>Dataset!G116</f>
        <v>3740276.8111922354</v>
      </c>
      <c r="EI236" s="8">
        <f>Dataset!J116</f>
        <v>9874828.2031405903</v>
      </c>
      <c r="EU236" s="8">
        <f t="shared" si="100"/>
        <v>9364813.8131317459</v>
      </c>
      <c r="EV236" s="8">
        <f t="shared" si="101"/>
        <v>3778250.4686398623</v>
      </c>
      <c r="EW236" s="8">
        <f t="shared" si="102"/>
        <v>10222038.698697781</v>
      </c>
    </row>
    <row r="237" spans="1:153">
      <c r="A237">
        <v>2021</v>
      </c>
      <c r="B237">
        <v>8</v>
      </c>
      <c r="C237" s="11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8">
        <f>Dataset!D117</f>
        <v>12880559.88235075</v>
      </c>
      <c r="EH237" s="8">
        <f>Dataset!G117</f>
        <v>4156720.2886211914</v>
      </c>
      <c r="EI237" s="8">
        <f>Dataset!J117</f>
        <v>11025591.695461798</v>
      </c>
      <c r="EU237" s="8">
        <f t="shared" si="100"/>
        <v>11042415.41549683</v>
      </c>
      <c r="EV237" s="8">
        <f t="shared" si="101"/>
        <v>4102514.5066449824</v>
      </c>
      <c r="EW237" s="8">
        <f t="shared" si="102"/>
        <v>10768006.457267215</v>
      </c>
    </row>
    <row r="238" spans="1:153">
      <c r="A238">
        <v>2021</v>
      </c>
      <c r="B238">
        <v>9</v>
      </c>
      <c r="C238" s="11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8">
        <f>Dataset!D118</f>
        <v>9119363.7730794698</v>
      </c>
      <c r="EH238" s="8">
        <f>Dataset!G118</f>
        <v>3445349.1255803164</v>
      </c>
      <c r="EI238" s="8">
        <f>Dataset!J118</f>
        <v>9685483.4125192203</v>
      </c>
      <c r="EU238" s="8">
        <f t="shared" si="100"/>
        <v>8103220.9174944256</v>
      </c>
      <c r="EV238" s="8">
        <f t="shared" si="101"/>
        <v>3458930.0356917428</v>
      </c>
      <c r="EW238" s="8">
        <f t="shared" si="102"/>
        <v>9900227.8805784527</v>
      </c>
    </row>
    <row r="239" spans="1:153">
      <c r="A239">
        <v>2021</v>
      </c>
      <c r="B239">
        <v>10</v>
      </c>
      <c r="C239" s="11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8"/>
      <c r="EH239" s="8"/>
      <c r="EI239" s="8"/>
    </row>
    <row r="240" spans="1:153">
      <c r="A240">
        <v>2021</v>
      </c>
      <c r="B240">
        <v>11</v>
      </c>
      <c r="C240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8"/>
      <c r="EH240" s="8"/>
      <c r="EI240" s="8"/>
    </row>
    <row r="241" spans="1:20">
      <c r="A241">
        <v>2021</v>
      </c>
      <c r="B241">
        <v>12</v>
      </c>
      <c r="C24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O30" sqref="O30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6" width="12.7109375" style="25" customWidth="1"/>
    <col min="7" max="7" width="9.5703125" style="25" customWidth="1"/>
    <col min="8" max="10" width="9.140625" style="25"/>
    <col min="11" max="11" width="9.42578125" style="25" bestFit="1" customWidth="1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18" customHeight="1">
      <c r="A1" s="25" t="s">
        <v>0</v>
      </c>
      <c r="B1" s="25" t="s">
        <v>10</v>
      </c>
      <c r="C1" s="25" t="s">
        <v>61</v>
      </c>
      <c r="D1" s="25" t="s">
        <v>62</v>
      </c>
      <c r="E1" s="25" t="s">
        <v>63</v>
      </c>
      <c r="F1" s="26" t="s">
        <v>187</v>
      </c>
      <c r="G1" s="26" t="s">
        <v>188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40909</v>
      </c>
      <c r="B2" s="25">
        <f t="shared" ref="B2:B54" si="0">YEAR(A2)</f>
        <v>2012</v>
      </c>
      <c r="C2" s="28">
        <v>634944.30000000005</v>
      </c>
      <c r="D2" s="29">
        <v>6646.5</v>
      </c>
      <c r="E2" s="29">
        <v>6611.1</v>
      </c>
      <c r="F2" s="144">
        <v>98.8</v>
      </c>
      <c r="G2" s="144">
        <v>99.3</v>
      </c>
    </row>
    <row r="3" spans="1:40">
      <c r="A3" s="27">
        <v>40940</v>
      </c>
      <c r="B3" s="25">
        <f t="shared" si="0"/>
        <v>2012</v>
      </c>
      <c r="C3" s="28">
        <v>634944.30000000005</v>
      </c>
      <c r="D3" s="29">
        <v>6641.1</v>
      </c>
      <c r="E3" s="29">
        <v>6571.2</v>
      </c>
      <c r="F3" s="144">
        <v>97.7</v>
      </c>
      <c r="G3" s="144">
        <v>97.2</v>
      </c>
    </row>
    <row r="4" spans="1:40">
      <c r="A4" s="27">
        <v>40969</v>
      </c>
      <c r="B4" s="25">
        <f t="shared" si="0"/>
        <v>2012</v>
      </c>
      <c r="C4" s="28">
        <v>634944.30000000005</v>
      </c>
      <c r="D4" s="29">
        <v>6644.1</v>
      </c>
      <c r="E4" s="29">
        <v>6541.5</v>
      </c>
      <c r="F4" s="144">
        <v>97.7</v>
      </c>
      <c r="G4" s="144">
        <v>96.8</v>
      </c>
    </row>
    <row r="5" spans="1:40">
      <c r="A5" s="27">
        <v>41000</v>
      </c>
      <c r="B5" s="25">
        <f t="shared" si="0"/>
        <v>2012</v>
      </c>
      <c r="C5" s="28">
        <v>634944.30000000005</v>
      </c>
      <c r="D5" s="29">
        <v>6654.6</v>
      </c>
      <c r="E5" s="29">
        <v>6574.2</v>
      </c>
      <c r="F5" s="144">
        <v>98.5</v>
      </c>
      <c r="G5" s="144">
        <v>96.2</v>
      </c>
    </row>
    <row r="6" spans="1:40">
      <c r="A6" s="27">
        <v>41030</v>
      </c>
      <c r="B6" s="25">
        <f t="shared" si="0"/>
        <v>2012</v>
      </c>
      <c r="C6" s="28">
        <v>634944.30000000005</v>
      </c>
      <c r="D6" s="29">
        <v>6655.4</v>
      </c>
      <c r="E6" s="29">
        <v>6626.1</v>
      </c>
      <c r="F6" s="144">
        <v>99.9</v>
      </c>
      <c r="G6" s="144">
        <v>98.3</v>
      </c>
    </row>
    <row r="7" spans="1:40">
      <c r="A7" s="27">
        <v>41061</v>
      </c>
      <c r="B7" s="25">
        <f t="shared" si="0"/>
        <v>2012</v>
      </c>
      <c r="C7" s="28">
        <v>634944.30000000005</v>
      </c>
      <c r="D7" s="29">
        <v>6655.3</v>
      </c>
      <c r="E7" s="29">
        <v>6702</v>
      </c>
      <c r="F7" s="144">
        <v>101.7</v>
      </c>
      <c r="G7" s="144">
        <v>101.9</v>
      </c>
    </row>
    <row r="8" spans="1:40">
      <c r="A8" s="27">
        <v>41091</v>
      </c>
      <c r="B8" s="25">
        <f t="shared" si="0"/>
        <v>2012</v>
      </c>
      <c r="C8" s="28">
        <v>634944.30000000005</v>
      </c>
      <c r="D8" s="29">
        <v>6654</v>
      </c>
      <c r="E8" s="29">
        <v>6741.1</v>
      </c>
      <c r="F8" s="144">
        <v>101.3</v>
      </c>
      <c r="G8" s="144">
        <v>103.7</v>
      </c>
    </row>
    <row r="9" spans="1:40">
      <c r="A9" s="27">
        <v>41122</v>
      </c>
      <c r="B9" s="25">
        <f t="shared" si="0"/>
        <v>2012</v>
      </c>
      <c r="C9" s="28">
        <v>634944.30000000005</v>
      </c>
      <c r="D9" s="29">
        <v>6661.5</v>
      </c>
      <c r="E9" s="29">
        <v>6758.8</v>
      </c>
      <c r="F9" s="144">
        <v>99.8</v>
      </c>
      <c r="G9" s="144">
        <v>102</v>
      </c>
    </row>
    <row r="10" spans="1:40">
      <c r="A10" s="27">
        <v>41153</v>
      </c>
      <c r="B10" s="25">
        <f t="shared" si="0"/>
        <v>2012</v>
      </c>
      <c r="C10" s="28">
        <v>634944.30000000005</v>
      </c>
      <c r="D10" s="29">
        <v>6671.5</v>
      </c>
      <c r="E10" s="29">
        <v>6722.8</v>
      </c>
      <c r="F10" s="144">
        <v>98.9</v>
      </c>
      <c r="G10" s="144">
        <v>100.1</v>
      </c>
    </row>
    <row r="11" spans="1:40">
      <c r="A11" s="27">
        <v>41183</v>
      </c>
      <c r="B11" s="25">
        <f t="shared" si="0"/>
        <v>2012</v>
      </c>
      <c r="C11" s="28">
        <v>634944.30000000005</v>
      </c>
      <c r="D11" s="29">
        <v>6675.2</v>
      </c>
      <c r="E11" s="29">
        <v>6699.2</v>
      </c>
      <c r="F11" s="144">
        <v>99.5</v>
      </c>
      <c r="G11" s="144">
        <v>101.2</v>
      </c>
      <c r="I11"/>
      <c r="J11"/>
      <c r="K11" s="143" t="s">
        <v>64</v>
      </c>
      <c r="L11" t="s">
        <v>65</v>
      </c>
      <c r="M11" t="s">
        <v>66</v>
      </c>
      <c r="N11" t="s">
        <v>67</v>
      </c>
      <c r="O11" s="38" t="s">
        <v>68</v>
      </c>
      <c r="Q11" t="s">
        <v>69</v>
      </c>
      <c r="R11" t="s">
        <v>70</v>
      </c>
      <c r="S11" s="30"/>
    </row>
    <row r="12" spans="1:40">
      <c r="A12" s="27">
        <v>41214</v>
      </c>
      <c r="B12" s="25">
        <f t="shared" si="0"/>
        <v>2012</v>
      </c>
      <c r="C12" s="28">
        <v>634944.30000000005</v>
      </c>
      <c r="D12" s="29">
        <v>6686.6</v>
      </c>
      <c r="E12" s="29">
        <v>6685.6</v>
      </c>
      <c r="F12" s="144">
        <v>101.1</v>
      </c>
      <c r="G12" s="144">
        <v>103.2</v>
      </c>
      <c r="I12"/>
      <c r="J12"/>
      <c r="K12" s="39">
        <v>44637</v>
      </c>
      <c r="L12" s="40">
        <v>44645</v>
      </c>
      <c r="M12" s="39">
        <v>44631</v>
      </c>
      <c r="N12" s="39">
        <v>44630</v>
      </c>
      <c r="O12" s="352">
        <v>44939</v>
      </c>
      <c r="Q12"/>
      <c r="R12"/>
      <c r="S12" s="30"/>
    </row>
    <row r="13" spans="1:40">
      <c r="A13" s="27">
        <v>41244</v>
      </c>
      <c r="B13" s="25">
        <f t="shared" si="0"/>
        <v>2012</v>
      </c>
      <c r="C13" s="28">
        <v>634944.30000000005</v>
      </c>
      <c r="D13" s="29">
        <v>6697</v>
      </c>
      <c r="E13" s="29">
        <v>6700.5</v>
      </c>
      <c r="F13" s="144">
        <v>104.6</v>
      </c>
      <c r="G13" s="144">
        <v>106.3</v>
      </c>
      <c r="I13"/>
      <c r="J13">
        <v>2020</v>
      </c>
      <c r="K13" s="110"/>
      <c r="L13" s="110">
        <v>-5.0999999999999997E-2</v>
      </c>
      <c r="M13" s="110">
        <v>-5.0999999999999997E-2</v>
      </c>
      <c r="N13" s="110">
        <v>-5.0999999999999997E-2</v>
      </c>
      <c r="O13" s="110">
        <v>-5.0999999999999997E-2</v>
      </c>
      <c r="Q13" s="41">
        <f>AVERAGE(K13:N13)</f>
        <v>-5.0999999999999997E-2</v>
      </c>
      <c r="R13" s="41">
        <f>AVERAGE(K13:O13)</f>
        <v>-5.0999999999999997E-2</v>
      </c>
      <c r="S13" s="30"/>
    </row>
    <row r="14" spans="1:40">
      <c r="A14" s="27">
        <v>41275</v>
      </c>
      <c r="B14" s="25">
        <f t="shared" si="0"/>
        <v>2013</v>
      </c>
      <c r="C14" s="28">
        <v>643937</v>
      </c>
      <c r="D14" s="29">
        <v>6711.6</v>
      </c>
      <c r="E14" s="29">
        <v>6680.9</v>
      </c>
      <c r="F14" s="144">
        <v>107.5</v>
      </c>
      <c r="G14" s="144">
        <v>107.4</v>
      </c>
      <c r="I14" s="38" t="s">
        <v>71</v>
      </c>
      <c r="J14">
        <v>2021</v>
      </c>
      <c r="K14" s="110">
        <v>4.2999999999999997E-2</v>
      </c>
      <c r="L14" s="110">
        <v>4.3999999999999997E-2</v>
      </c>
      <c r="M14" s="110">
        <v>4.1000000000000002E-2</v>
      </c>
      <c r="N14" s="110">
        <v>4.2000000000000003E-2</v>
      </c>
      <c r="O14" s="110">
        <v>3.9E-2</v>
      </c>
      <c r="Q14" s="41">
        <f>AVERAGE(K14:N14)</f>
        <v>4.2500000000000003E-2</v>
      </c>
      <c r="R14" s="41">
        <f>AVERAGE(K14:O14)</f>
        <v>4.1800000000000004E-2</v>
      </c>
      <c r="S14" s="30"/>
    </row>
    <row r="15" spans="1:40">
      <c r="A15" s="27">
        <v>41306</v>
      </c>
      <c r="B15" s="25">
        <f t="shared" si="0"/>
        <v>2013</v>
      </c>
      <c r="C15" s="28">
        <v>643937</v>
      </c>
      <c r="D15" s="29">
        <v>6728.5</v>
      </c>
      <c r="E15" s="29">
        <v>6660.8</v>
      </c>
      <c r="F15" s="144">
        <v>110.8</v>
      </c>
      <c r="G15" s="144">
        <v>109.7</v>
      </c>
      <c r="I15"/>
      <c r="J15">
        <v>2022</v>
      </c>
      <c r="K15" s="110">
        <v>4.2000000000000003E-2</v>
      </c>
      <c r="L15" s="110">
        <v>3.4000000000000002E-2</v>
      </c>
      <c r="M15" s="110">
        <v>4.1000000000000002E-2</v>
      </c>
      <c r="N15" s="110">
        <v>4.2000000000000003E-2</v>
      </c>
      <c r="O15" s="110">
        <v>4.1000000000000002E-2</v>
      </c>
      <c r="Q15" s="41">
        <f>AVERAGE(K15:N15)</f>
        <v>3.9750000000000008E-2</v>
      </c>
      <c r="R15" s="41">
        <f>AVERAGE(K15:O15)</f>
        <v>4.0000000000000008E-2</v>
      </c>
      <c r="S15" s="30"/>
    </row>
    <row r="16" spans="1:40">
      <c r="A16" s="27">
        <v>41334</v>
      </c>
      <c r="B16" s="25">
        <f t="shared" si="0"/>
        <v>2013</v>
      </c>
      <c r="C16" s="28">
        <v>643937</v>
      </c>
      <c r="D16" s="29">
        <v>6735.1</v>
      </c>
      <c r="E16" s="29">
        <v>6634.8</v>
      </c>
      <c r="F16" s="144">
        <v>110.9</v>
      </c>
      <c r="G16" s="144">
        <v>109.2</v>
      </c>
      <c r="I16"/>
      <c r="J16" s="25">
        <v>2023</v>
      </c>
      <c r="K16" s="110">
        <v>0.03</v>
      </c>
      <c r="L16" s="110">
        <v>0.03</v>
      </c>
      <c r="M16" s="110">
        <v>3.2000000000000001E-2</v>
      </c>
      <c r="N16" s="110">
        <v>2.8000000000000001E-2</v>
      </c>
      <c r="O16" s="110">
        <v>3.4000000000000002E-2</v>
      </c>
      <c r="Q16" s="41">
        <f>AVERAGE(K16:N16)</f>
        <v>0.03</v>
      </c>
      <c r="R16" s="41">
        <f>AVERAGE(K16:O16)</f>
        <v>3.0800000000000001E-2</v>
      </c>
      <c r="S16" s="30"/>
    </row>
    <row r="17" spans="1:19">
      <c r="A17" s="27">
        <v>41365</v>
      </c>
      <c r="B17" s="25">
        <f t="shared" si="0"/>
        <v>2013</v>
      </c>
      <c r="C17" s="28">
        <v>643937</v>
      </c>
      <c r="D17" s="29">
        <v>6742.7</v>
      </c>
      <c r="E17" s="29">
        <v>6662.1</v>
      </c>
      <c r="F17" s="144">
        <v>110.5</v>
      </c>
      <c r="G17" s="144">
        <v>108.3</v>
      </c>
      <c r="I17"/>
      <c r="J17"/>
      <c r="K17"/>
      <c r="L17"/>
      <c r="M17"/>
      <c r="N17"/>
      <c r="O17"/>
      <c r="Q17"/>
      <c r="R17"/>
      <c r="S17" s="30"/>
    </row>
    <row r="18" spans="1:19">
      <c r="A18" s="27">
        <v>41395</v>
      </c>
      <c r="B18" s="25">
        <f t="shared" si="0"/>
        <v>2013</v>
      </c>
      <c r="C18" s="28">
        <v>643937</v>
      </c>
      <c r="D18" s="29">
        <v>6754.1</v>
      </c>
      <c r="E18" s="29">
        <v>6726.6</v>
      </c>
      <c r="F18" s="144">
        <v>109.4</v>
      </c>
      <c r="G18" s="144">
        <v>108.2</v>
      </c>
      <c r="I18"/>
      <c r="J18"/>
      <c r="K18" s="39">
        <v>44637</v>
      </c>
      <c r="L18" s="40">
        <v>44645</v>
      </c>
      <c r="M18" s="39">
        <v>44631</v>
      </c>
      <c r="N18" s="352">
        <v>44630</v>
      </c>
      <c r="O18" s="352"/>
      <c r="Q18"/>
      <c r="R18"/>
      <c r="S18" s="30"/>
    </row>
    <row r="19" spans="1:19">
      <c r="A19" s="27">
        <v>41426</v>
      </c>
      <c r="B19" s="25">
        <f t="shared" si="0"/>
        <v>2013</v>
      </c>
      <c r="C19" s="28">
        <v>643937</v>
      </c>
      <c r="D19" s="29">
        <v>6766.1</v>
      </c>
      <c r="E19" s="29">
        <v>6812.7</v>
      </c>
      <c r="F19" s="144">
        <v>108.3</v>
      </c>
      <c r="G19" s="144">
        <v>109</v>
      </c>
      <c r="I19"/>
      <c r="J19">
        <v>2020</v>
      </c>
      <c r="K19" s="110"/>
      <c r="L19" s="110">
        <v>-4.7E-2</v>
      </c>
      <c r="M19" s="110">
        <v>-4.8000000000000001E-2</v>
      </c>
      <c r="N19" s="110">
        <v>-4.8000000000000001E-2</v>
      </c>
      <c r="O19" s="110"/>
      <c r="Q19" s="41">
        <f>AVERAGE(K19:N19)</f>
        <v>-4.766666666666667E-2</v>
      </c>
      <c r="R19" s="41">
        <f>AVERAGE(K19:O19)</f>
        <v>-4.766666666666667E-2</v>
      </c>
      <c r="S19" s="30"/>
    </row>
    <row r="20" spans="1:19">
      <c r="A20" s="27">
        <v>41456</v>
      </c>
      <c r="B20" s="25">
        <f t="shared" si="0"/>
        <v>2013</v>
      </c>
      <c r="C20" s="28">
        <v>643937</v>
      </c>
      <c r="D20" s="29">
        <v>6774.7</v>
      </c>
      <c r="E20" s="29">
        <v>6863.4</v>
      </c>
      <c r="F20" s="144">
        <v>107.2</v>
      </c>
      <c r="G20" s="144">
        <v>109.5</v>
      </c>
      <c r="I20" s="38" t="s">
        <v>72</v>
      </c>
      <c r="J20">
        <v>2021</v>
      </c>
      <c r="K20" s="110">
        <v>4.9000000000000002E-2</v>
      </c>
      <c r="L20" s="110">
        <v>4.9000000000000002E-2</v>
      </c>
      <c r="M20" s="110">
        <v>4.9000000000000002E-2</v>
      </c>
      <c r="N20" s="110">
        <v>4.9000000000000002E-2</v>
      </c>
      <c r="O20" s="110"/>
      <c r="Q20" s="41">
        <f>AVERAGE(K20:N20)</f>
        <v>4.9000000000000002E-2</v>
      </c>
      <c r="R20" s="41">
        <f>AVERAGE(K20:O20)</f>
        <v>4.9000000000000002E-2</v>
      </c>
      <c r="S20" s="30"/>
    </row>
    <row r="21" spans="1:19">
      <c r="A21" s="27">
        <v>41487</v>
      </c>
      <c r="B21" s="25">
        <f t="shared" si="0"/>
        <v>2013</v>
      </c>
      <c r="C21" s="28">
        <v>643937</v>
      </c>
      <c r="D21" s="29">
        <v>6778.4</v>
      </c>
      <c r="E21" s="29">
        <v>6876.4</v>
      </c>
      <c r="F21" s="144">
        <v>106</v>
      </c>
      <c r="G21" s="144">
        <v>107.9</v>
      </c>
      <c r="I21"/>
      <c r="J21">
        <v>2022</v>
      </c>
      <c r="K21" s="110">
        <v>4.4999999999999998E-2</v>
      </c>
      <c r="L21" s="110">
        <v>5.0999999999999997E-2</v>
      </c>
      <c r="M21" s="110">
        <v>4.4999999999999998E-2</v>
      </c>
      <c r="N21" s="110">
        <v>3.4000000000000002E-2</v>
      </c>
      <c r="O21" s="110"/>
      <c r="Q21" s="41">
        <f>AVERAGE(K21:N21)</f>
        <v>4.3750000000000004E-2</v>
      </c>
      <c r="R21" s="41">
        <f>AVERAGE(K21:O21)</f>
        <v>4.3750000000000004E-2</v>
      </c>
    </row>
    <row r="22" spans="1:19">
      <c r="A22" s="27">
        <v>41518</v>
      </c>
      <c r="B22" s="25">
        <f t="shared" si="0"/>
        <v>2013</v>
      </c>
      <c r="C22" s="28">
        <v>643937</v>
      </c>
      <c r="D22" s="29">
        <v>6782.1</v>
      </c>
      <c r="E22" s="29">
        <v>6841.7</v>
      </c>
      <c r="F22" s="144">
        <v>106.1</v>
      </c>
      <c r="G22" s="144">
        <v>106.4</v>
      </c>
      <c r="J22" s="25">
        <v>2023</v>
      </c>
      <c r="K22" s="110">
        <v>0.01</v>
      </c>
      <c r="L22" s="110">
        <v>2.1999999999999999E-2</v>
      </c>
      <c r="M22" s="110">
        <v>1.4E-2</v>
      </c>
      <c r="N22" s="110">
        <v>1.6E-2</v>
      </c>
      <c r="O22" s="353"/>
      <c r="Q22" s="41">
        <f>AVERAGE(K22:N22)</f>
        <v>1.55E-2</v>
      </c>
      <c r="R22" s="41">
        <f>AVERAGE(K22:O22)</f>
        <v>1.55E-2</v>
      </c>
    </row>
    <row r="23" spans="1:19">
      <c r="A23" s="27">
        <v>41548</v>
      </c>
      <c r="B23" s="25">
        <f t="shared" si="0"/>
        <v>2013</v>
      </c>
      <c r="C23" s="28">
        <v>643937</v>
      </c>
      <c r="D23" s="29">
        <v>6784.2</v>
      </c>
      <c r="E23" s="29">
        <v>6821.6</v>
      </c>
      <c r="F23" s="144">
        <v>106.9</v>
      </c>
      <c r="G23" s="144">
        <v>106.6</v>
      </c>
    </row>
    <row r="24" spans="1:19">
      <c r="A24" s="27">
        <v>41579</v>
      </c>
      <c r="B24" s="25">
        <f t="shared" si="0"/>
        <v>2013</v>
      </c>
      <c r="C24" s="28">
        <v>643937</v>
      </c>
      <c r="D24" s="29">
        <v>6785.3</v>
      </c>
      <c r="E24" s="29">
        <v>6794.8</v>
      </c>
      <c r="F24" s="144">
        <v>107.9</v>
      </c>
      <c r="G24" s="144">
        <v>107.5</v>
      </c>
      <c r="O24" s="25" t="s">
        <v>73</v>
      </c>
    </row>
    <row r="25" spans="1:19">
      <c r="A25" s="27">
        <v>41609</v>
      </c>
      <c r="B25" s="25">
        <f t="shared" si="0"/>
        <v>2013</v>
      </c>
      <c r="C25" s="28">
        <v>643937</v>
      </c>
      <c r="D25" s="29">
        <v>6781.3</v>
      </c>
      <c r="E25" s="29">
        <v>6783.1</v>
      </c>
      <c r="F25" s="144">
        <v>107</v>
      </c>
      <c r="G25" s="144">
        <v>106.5</v>
      </c>
    </row>
    <row r="26" spans="1:19">
      <c r="A26" s="27">
        <v>41640</v>
      </c>
      <c r="B26" s="25">
        <f t="shared" si="0"/>
        <v>2014</v>
      </c>
      <c r="C26" s="28">
        <v>659861.19999999995</v>
      </c>
      <c r="D26" s="29">
        <v>6780.9</v>
      </c>
      <c r="E26" s="29">
        <v>6741.6</v>
      </c>
      <c r="F26" s="144">
        <v>105.8</v>
      </c>
      <c r="G26" s="144">
        <v>105.3</v>
      </c>
    </row>
    <row r="27" spans="1:19">
      <c r="A27" s="27">
        <v>41671</v>
      </c>
      <c r="B27" s="25">
        <f t="shared" si="0"/>
        <v>2014</v>
      </c>
      <c r="C27" s="28">
        <v>659861.19999999995</v>
      </c>
      <c r="D27" s="29">
        <v>6781.1</v>
      </c>
      <c r="E27" s="29">
        <v>6707.8</v>
      </c>
      <c r="F27" s="144">
        <v>104.9</v>
      </c>
      <c r="G27" s="144">
        <v>103.9</v>
      </c>
    </row>
    <row r="28" spans="1:19">
      <c r="A28" s="27">
        <v>41699</v>
      </c>
      <c r="B28" s="25">
        <f t="shared" si="0"/>
        <v>2014</v>
      </c>
      <c r="C28" s="28">
        <v>659861.19999999995</v>
      </c>
      <c r="D28" s="29">
        <v>6786.1</v>
      </c>
      <c r="E28" s="29">
        <v>6686.4</v>
      </c>
      <c r="F28" s="144">
        <v>105.5</v>
      </c>
      <c r="G28" s="144">
        <v>104.4</v>
      </c>
    </row>
    <row r="29" spans="1:19">
      <c r="A29" s="27">
        <v>41730</v>
      </c>
      <c r="B29" s="25">
        <f t="shared" si="0"/>
        <v>2014</v>
      </c>
      <c r="C29" s="28">
        <v>659861.19999999995</v>
      </c>
      <c r="D29" s="29">
        <v>6797.3</v>
      </c>
      <c r="E29" s="29">
        <v>6715.8</v>
      </c>
      <c r="F29" s="144">
        <v>106.4</v>
      </c>
      <c r="G29" s="144">
        <v>104.6</v>
      </c>
    </row>
    <row r="30" spans="1:19">
      <c r="A30" s="27">
        <v>41760</v>
      </c>
      <c r="B30" s="25">
        <f t="shared" si="0"/>
        <v>2014</v>
      </c>
      <c r="C30" s="28">
        <v>659861.19999999995</v>
      </c>
      <c r="D30" s="29">
        <v>6798</v>
      </c>
      <c r="E30" s="29">
        <v>6770.1</v>
      </c>
      <c r="F30" s="144">
        <v>107.6</v>
      </c>
      <c r="G30" s="144">
        <v>106.8</v>
      </c>
    </row>
    <row r="31" spans="1:19">
      <c r="A31" s="27">
        <v>41791</v>
      </c>
      <c r="B31" s="25">
        <f t="shared" si="0"/>
        <v>2014</v>
      </c>
      <c r="C31" s="28">
        <v>659861.19999999995</v>
      </c>
      <c r="D31" s="29">
        <v>6790.7</v>
      </c>
      <c r="E31" s="29">
        <v>6837.5</v>
      </c>
      <c r="F31" s="144">
        <v>107</v>
      </c>
      <c r="G31" s="144">
        <v>107.4</v>
      </c>
    </row>
    <row r="32" spans="1:19">
      <c r="A32" s="27">
        <v>41821</v>
      </c>
      <c r="B32" s="25">
        <f t="shared" si="0"/>
        <v>2014</v>
      </c>
      <c r="C32" s="28">
        <v>659861.19999999995</v>
      </c>
      <c r="D32" s="29">
        <v>6792</v>
      </c>
      <c r="E32" s="29">
        <v>6884</v>
      </c>
      <c r="F32" s="144">
        <v>107.7</v>
      </c>
      <c r="G32" s="144">
        <v>109</v>
      </c>
    </row>
    <row r="33" spans="1:7">
      <c r="A33" s="27">
        <v>41852</v>
      </c>
      <c r="B33" s="25">
        <f t="shared" si="0"/>
        <v>2014</v>
      </c>
      <c r="C33" s="28">
        <v>659861.19999999995</v>
      </c>
      <c r="D33" s="29">
        <v>6796.3</v>
      </c>
      <c r="E33" s="29">
        <v>6897.1</v>
      </c>
      <c r="F33" s="144">
        <v>108.8</v>
      </c>
      <c r="G33" s="144">
        <v>109.8</v>
      </c>
    </row>
    <row r="34" spans="1:7">
      <c r="A34" s="27">
        <v>41883</v>
      </c>
      <c r="B34" s="25">
        <f t="shared" si="0"/>
        <v>2014</v>
      </c>
      <c r="C34" s="28">
        <v>659861.19999999995</v>
      </c>
      <c r="D34" s="29">
        <v>6817.7</v>
      </c>
      <c r="E34" s="29">
        <v>6875.4</v>
      </c>
      <c r="F34" s="144">
        <v>112</v>
      </c>
      <c r="G34" s="144">
        <v>112.3</v>
      </c>
    </row>
    <row r="35" spans="1:7">
      <c r="A35" s="27">
        <v>41913</v>
      </c>
      <c r="B35" s="25">
        <f t="shared" si="0"/>
        <v>2014</v>
      </c>
      <c r="C35" s="28">
        <v>659861.19999999995</v>
      </c>
      <c r="D35" s="29">
        <v>6834</v>
      </c>
      <c r="E35" s="29">
        <v>6869.1</v>
      </c>
      <c r="F35" s="144">
        <v>114</v>
      </c>
      <c r="G35" s="144">
        <v>114.1</v>
      </c>
    </row>
    <row r="36" spans="1:7">
      <c r="A36" s="27">
        <v>41944</v>
      </c>
      <c r="B36" s="25">
        <f t="shared" si="0"/>
        <v>2014</v>
      </c>
      <c r="C36" s="28">
        <v>659861.19999999995</v>
      </c>
      <c r="D36" s="29">
        <v>6842</v>
      </c>
      <c r="E36" s="29">
        <v>6850</v>
      </c>
      <c r="F36" s="144">
        <v>114.4</v>
      </c>
      <c r="G36" s="144">
        <v>114.3</v>
      </c>
    </row>
    <row r="37" spans="1:7">
      <c r="A37" s="27">
        <v>41974</v>
      </c>
      <c r="B37" s="25">
        <f t="shared" si="0"/>
        <v>2014</v>
      </c>
      <c r="C37" s="28">
        <v>659861.19999999995</v>
      </c>
      <c r="D37" s="29">
        <v>6833.4</v>
      </c>
      <c r="E37" s="29">
        <v>6837.3</v>
      </c>
      <c r="F37" s="144">
        <v>113.5</v>
      </c>
      <c r="G37" s="144">
        <v>113.2</v>
      </c>
    </row>
    <row r="38" spans="1:7">
      <c r="A38" s="27">
        <v>42005</v>
      </c>
      <c r="B38" s="25">
        <f t="shared" si="0"/>
        <v>2015</v>
      </c>
      <c r="C38" s="28">
        <v>677384</v>
      </c>
      <c r="D38" s="29">
        <v>6815.7</v>
      </c>
      <c r="E38" s="29">
        <v>6777.3</v>
      </c>
      <c r="F38" s="144">
        <v>112.3</v>
      </c>
      <c r="G38" s="144">
        <v>112.3</v>
      </c>
    </row>
    <row r="39" spans="1:7">
      <c r="A39" s="27">
        <v>42036</v>
      </c>
      <c r="B39" s="25">
        <f t="shared" si="0"/>
        <v>2015</v>
      </c>
      <c r="C39" s="28">
        <v>677384</v>
      </c>
      <c r="D39" s="29">
        <v>6814.3</v>
      </c>
      <c r="E39" s="29">
        <v>6740.1</v>
      </c>
      <c r="F39" s="144">
        <v>110</v>
      </c>
      <c r="G39" s="144">
        <v>109.1</v>
      </c>
    </row>
    <row r="40" spans="1:7">
      <c r="A40" s="27">
        <v>42064</v>
      </c>
      <c r="B40" s="25">
        <f t="shared" si="0"/>
        <v>2015</v>
      </c>
      <c r="C40" s="28">
        <v>677384</v>
      </c>
      <c r="D40" s="29">
        <v>6821.3</v>
      </c>
      <c r="E40" s="29">
        <v>6712.3</v>
      </c>
      <c r="F40" s="144">
        <v>107.8</v>
      </c>
      <c r="G40" s="144">
        <v>106.7</v>
      </c>
    </row>
    <row r="41" spans="1:7">
      <c r="A41" s="27">
        <v>42095</v>
      </c>
      <c r="B41" s="25">
        <f t="shared" si="0"/>
        <v>2015</v>
      </c>
      <c r="C41" s="28">
        <v>677384</v>
      </c>
      <c r="D41" s="29">
        <v>6825</v>
      </c>
      <c r="E41" s="29">
        <v>6733.1</v>
      </c>
      <c r="F41" s="144">
        <v>106</v>
      </c>
      <c r="G41" s="144">
        <v>104.2</v>
      </c>
    </row>
    <row r="42" spans="1:7">
      <c r="A42" s="27">
        <v>42125</v>
      </c>
      <c r="B42" s="25">
        <f t="shared" si="0"/>
        <v>2015</v>
      </c>
      <c r="C42" s="28">
        <v>677384</v>
      </c>
      <c r="D42" s="29">
        <v>6830.5</v>
      </c>
      <c r="E42" s="29">
        <v>6793.2</v>
      </c>
      <c r="F42" s="144">
        <v>106.2</v>
      </c>
      <c r="G42" s="144">
        <v>105.9</v>
      </c>
    </row>
    <row r="43" spans="1:7">
      <c r="A43" s="27">
        <v>42156</v>
      </c>
      <c r="B43" s="25">
        <f t="shared" si="0"/>
        <v>2015</v>
      </c>
      <c r="C43" s="28">
        <v>677384</v>
      </c>
      <c r="D43" s="29">
        <v>6841.5</v>
      </c>
      <c r="E43" s="29">
        <v>6885.3</v>
      </c>
      <c r="F43" s="144">
        <v>106.9</v>
      </c>
      <c r="G43" s="144">
        <v>107.5</v>
      </c>
    </row>
    <row r="44" spans="1:7">
      <c r="A44" s="27">
        <v>42186</v>
      </c>
      <c r="B44" s="25">
        <f t="shared" si="0"/>
        <v>2015</v>
      </c>
      <c r="C44" s="28">
        <v>677384</v>
      </c>
      <c r="D44" s="29">
        <v>6859.4</v>
      </c>
      <c r="E44" s="29">
        <v>6951.4</v>
      </c>
      <c r="F44" s="144">
        <v>106.5</v>
      </c>
      <c r="G44" s="144">
        <v>107.5</v>
      </c>
    </row>
    <row r="45" spans="1:7">
      <c r="A45" s="27">
        <v>42217</v>
      </c>
      <c r="B45" s="25">
        <f t="shared" si="0"/>
        <v>2015</v>
      </c>
      <c r="C45" s="28">
        <v>677384</v>
      </c>
      <c r="D45" s="29">
        <v>6869.1</v>
      </c>
      <c r="E45" s="29">
        <v>6969.1</v>
      </c>
      <c r="F45" s="144">
        <v>106.4</v>
      </c>
      <c r="G45" s="144">
        <v>107.5</v>
      </c>
    </row>
    <row r="46" spans="1:7">
      <c r="A46" s="27">
        <v>42248</v>
      </c>
      <c r="B46" s="25">
        <f t="shared" si="0"/>
        <v>2015</v>
      </c>
      <c r="C46" s="28">
        <v>677384</v>
      </c>
      <c r="D46" s="29">
        <v>6860.5</v>
      </c>
      <c r="E46" s="29">
        <v>6917.2</v>
      </c>
      <c r="F46" s="144">
        <v>105</v>
      </c>
      <c r="G46" s="144">
        <v>105.6</v>
      </c>
    </row>
    <row r="47" spans="1:7">
      <c r="A47" s="27">
        <v>42278</v>
      </c>
      <c r="B47" s="25">
        <f t="shared" si="0"/>
        <v>2015</v>
      </c>
      <c r="C47" s="28">
        <v>677384</v>
      </c>
      <c r="D47" s="29">
        <v>6852.7</v>
      </c>
      <c r="E47" s="29">
        <v>6887.9</v>
      </c>
      <c r="F47" s="144">
        <v>103.9</v>
      </c>
      <c r="G47" s="144">
        <v>104.7</v>
      </c>
    </row>
    <row r="48" spans="1:7">
      <c r="A48" s="27">
        <v>42309</v>
      </c>
      <c r="B48" s="25">
        <f t="shared" si="0"/>
        <v>2015</v>
      </c>
      <c r="C48" s="28">
        <v>677384</v>
      </c>
      <c r="D48" s="29">
        <v>6843.8</v>
      </c>
      <c r="E48" s="29">
        <v>6853.9</v>
      </c>
      <c r="F48" s="144">
        <v>102.4</v>
      </c>
      <c r="G48" s="144">
        <v>102.6</v>
      </c>
    </row>
    <row r="49" spans="1:7">
      <c r="A49" s="27">
        <v>42339</v>
      </c>
      <c r="B49" s="25">
        <f t="shared" si="0"/>
        <v>2015</v>
      </c>
      <c r="C49" s="28">
        <v>677384</v>
      </c>
      <c r="D49" s="29">
        <v>6858.1</v>
      </c>
      <c r="E49" s="29">
        <v>6866.6</v>
      </c>
      <c r="F49" s="144">
        <v>103.1</v>
      </c>
      <c r="G49" s="144">
        <v>103.1</v>
      </c>
    </row>
    <row r="50" spans="1:7">
      <c r="A50" s="27">
        <v>42370</v>
      </c>
      <c r="B50" s="25">
        <f t="shared" si="0"/>
        <v>2016</v>
      </c>
      <c r="C50" s="28">
        <v>692620.80000000005</v>
      </c>
      <c r="D50" s="29">
        <v>6871.7</v>
      </c>
      <c r="E50" s="29">
        <v>6837.4</v>
      </c>
      <c r="F50" s="144">
        <v>105.1</v>
      </c>
      <c r="G50" s="144">
        <v>105.5</v>
      </c>
    </row>
    <row r="51" spans="1:7">
      <c r="A51" s="27">
        <v>42401</v>
      </c>
      <c r="B51" s="25">
        <f t="shared" si="0"/>
        <v>2016</v>
      </c>
      <c r="C51" s="28">
        <v>692620.80000000005</v>
      </c>
      <c r="D51" s="29">
        <v>6885.9</v>
      </c>
      <c r="E51" s="29">
        <v>6815.5</v>
      </c>
      <c r="F51" s="144">
        <v>106.4</v>
      </c>
      <c r="G51" s="144">
        <v>105.7</v>
      </c>
    </row>
    <row r="52" spans="1:7">
      <c r="A52" s="27">
        <v>42430</v>
      </c>
      <c r="B52" s="25">
        <f t="shared" si="0"/>
        <v>2016</v>
      </c>
      <c r="C52" s="28">
        <v>692620.80000000005</v>
      </c>
      <c r="D52" s="29">
        <v>6897.7</v>
      </c>
      <c r="E52" s="29">
        <v>6793.5</v>
      </c>
      <c r="F52" s="144">
        <v>106.8</v>
      </c>
      <c r="G52" s="144">
        <v>105.8</v>
      </c>
    </row>
    <row r="53" spans="1:7">
      <c r="A53" s="27">
        <v>42461</v>
      </c>
      <c r="B53" s="25">
        <f t="shared" si="0"/>
        <v>2016</v>
      </c>
      <c r="C53" s="28">
        <v>692620.80000000005</v>
      </c>
      <c r="D53" s="29">
        <v>6905.4</v>
      </c>
      <c r="E53" s="29">
        <v>6814.3</v>
      </c>
      <c r="F53" s="144">
        <v>105.5</v>
      </c>
      <c r="G53" s="144">
        <v>104</v>
      </c>
    </row>
    <row r="54" spans="1:7">
      <c r="A54" s="27">
        <v>42491</v>
      </c>
      <c r="B54" s="25">
        <f t="shared" si="0"/>
        <v>2016</v>
      </c>
      <c r="C54" s="28">
        <v>692620.80000000005</v>
      </c>
      <c r="D54" s="29">
        <v>6917.8</v>
      </c>
      <c r="E54" s="29">
        <v>6884.3</v>
      </c>
      <c r="F54" s="144">
        <v>103.6</v>
      </c>
      <c r="G54" s="144">
        <v>103.5</v>
      </c>
    </row>
    <row r="55" spans="1:7">
      <c r="A55" s="27">
        <v>42522</v>
      </c>
      <c r="B55" s="25">
        <f t="shared" ref="B55:B118" si="1">YEAR(A55)</f>
        <v>2016</v>
      </c>
      <c r="C55" s="28">
        <v>692620.80000000005</v>
      </c>
      <c r="D55" s="29">
        <v>6923.9</v>
      </c>
      <c r="E55" s="29">
        <v>6966.5</v>
      </c>
      <c r="F55" s="144">
        <v>101.2</v>
      </c>
      <c r="G55" s="144">
        <v>102.1</v>
      </c>
    </row>
    <row r="56" spans="1:7">
      <c r="A56" s="27">
        <v>42552</v>
      </c>
      <c r="B56" s="25">
        <f t="shared" si="1"/>
        <v>2016</v>
      </c>
      <c r="C56" s="28">
        <v>692620.80000000005</v>
      </c>
      <c r="D56" s="29">
        <v>6918.7</v>
      </c>
      <c r="E56" s="29">
        <v>7011.7</v>
      </c>
      <c r="F56" s="144">
        <v>99.6</v>
      </c>
      <c r="G56" s="144">
        <v>100.3</v>
      </c>
    </row>
    <row r="57" spans="1:7">
      <c r="A57" s="27">
        <v>42583</v>
      </c>
      <c r="B57" s="25">
        <f t="shared" si="1"/>
        <v>2016</v>
      </c>
      <c r="C57" s="28">
        <v>692620.80000000005</v>
      </c>
      <c r="D57" s="29">
        <v>6916.3</v>
      </c>
      <c r="E57" s="29">
        <v>7009.1</v>
      </c>
      <c r="F57" s="144">
        <v>98.8</v>
      </c>
      <c r="G57" s="144">
        <v>99.6</v>
      </c>
    </row>
    <row r="58" spans="1:7">
      <c r="A58" s="27">
        <v>42614</v>
      </c>
      <c r="B58" s="25">
        <f t="shared" si="1"/>
        <v>2016</v>
      </c>
      <c r="C58" s="28">
        <v>692620.80000000005</v>
      </c>
      <c r="D58" s="29">
        <v>6914.1</v>
      </c>
      <c r="E58" s="29">
        <v>6963.5</v>
      </c>
      <c r="F58" s="144">
        <v>98.3</v>
      </c>
      <c r="G58" s="144">
        <v>98.7</v>
      </c>
    </row>
    <row r="59" spans="1:7">
      <c r="A59" s="27">
        <v>42644</v>
      </c>
      <c r="B59" s="25">
        <f t="shared" si="1"/>
        <v>2016</v>
      </c>
      <c r="C59" s="28">
        <v>692620.80000000005</v>
      </c>
      <c r="D59" s="29">
        <v>6929.7</v>
      </c>
      <c r="E59" s="29">
        <v>6956.2</v>
      </c>
      <c r="F59" s="144">
        <v>97.6</v>
      </c>
      <c r="G59" s="144">
        <v>98.7</v>
      </c>
    </row>
    <row r="60" spans="1:7">
      <c r="A60" s="27">
        <v>42675</v>
      </c>
      <c r="B60" s="25">
        <f t="shared" si="1"/>
        <v>2016</v>
      </c>
      <c r="C60" s="28">
        <v>692620.80000000005</v>
      </c>
      <c r="D60" s="29">
        <v>6939.8</v>
      </c>
      <c r="E60" s="29">
        <v>6946.2</v>
      </c>
      <c r="F60" s="144">
        <v>98.7</v>
      </c>
      <c r="G60" s="144">
        <v>99.7</v>
      </c>
    </row>
    <row r="61" spans="1:7">
      <c r="A61" s="27">
        <v>42705</v>
      </c>
      <c r="B61" s="25">
        <f t="shared" si="1"/>
        <v>2016</v>
      </c>
      <c r="C61" s="28">
        <v>692620.80000000005</v>
      </c>
      <c r="D61" s="29">
        <v>6952.3</v>
      </c>
      <c r="E61" s="29">
        <v>6962</v>
      </c>
      <c r="F61" s="144">
        <v>99.9</v>
      </c>
      <c r="G61" s="144">
        <v>100.6</v>
      </c>
    </row>
    <row r="62" spans="1:7">
      <c r="A62" s="27">
        <v>42736</v>
      </c>
      <c r="B62" s="25">
        <f t="shared" si="1"/>
        <v>2017</v>
      </c>
      <c r="C62" s="28">
        <v>711695.1</v>
      </c>
      <c r="D62" s="29">
        <v>6971</v>
      </c>
      <c r="E62" s="29">
        <v>6942.1</v>
      </c>
      <c r="F62" s="144">
        <v>102.6</v>
      </c>
      <c r="G62" s="144">
        <v>102.2</v>
      </c>
    </row>
    <row r="63" spans="1:7">
      <c r="A63" s="27">
        <v>42767</v>
      </c>
      <c r="B63" s="25">
        <f t="shared" si="1"/>
        <v>2017</v>
      </c>
      <c r="C63" s="28">
        <v>711695.1</v>
      </c>
      <c r="D63" s="29">
        <v>6987.8</v>
      </c>
      <c r="E63" s="29">
        <v>6920.9</v>
      </c>
      <c r="F63" s="144">
        <v>105.9</v>
      </c>
      <c r="G63" s="144">
        <v>104.1</v>
      </c>
    </row>
    <row r="64" spans="1:7">
      <c r="A64" s="27">
        <v>42795</v>
      </c>
      <c r="B64" s="25">
        <f t="shared" si="1"/>
        <v>2017</v>
      </c>
      <c r="C64" s="28">
        <v>711695.1</v>
      </c>
      <c r="D64" s="29">
        <v>7000.6</v>
      </c>
      <c r="E64" s="29">
        <v>6896.8</v>
      </c>
      <c r="F64" s="144">
        <v>109.2</v>
      </c>
      <c r="G64" s="144">
        <v>107</v>
      </c>
    </row>
    <row r="65" spans="1:7">
      <c r="A65" s="27">
        <v>42826</v>
      </c>
      <c r="B65" s="25">
        <f t="shared" si="1"/>
        <v>2017</v>
      </c>
      <c r="C65" s="28">
        <v>711695.1</v>
      </c>
      <c r="D65" s="29">
        <v>6999.5</v>
      </c>
      <c r="E65" s="29">
        <v>6905.1</v>
      </c>
      <c r="F65" s="144">
        <v>111.5</v>
      </c>
      <c r="G65" s="144">
        <v>110.1</v>
      </c>
    </row>
    <row r="66" spans="1:7">
      <c r="A66" s="27">
        <v>42856</v>
      </c>
      <c r="B66" s="25">
        <f t="shared" si="1"/>
        <v>2017</v>
      </c>
      <c r="C66" s="28">
        <v>711695.1</v>
      </c>
      <c r="D66" s="29">
        <v>7006.2</v>
      </c>
      <c r="E66" s="29">
        <v>6969.8</v>
      </c>
      <c r="F66" s="144">
        <v>112.3</v>
      </c>
      <c r="G66" s="144">
        <v>112.3</v>
      </c>
    </row>
    <row r="67" spans="1:7">
      <c r="A67" s="27">
        <v>42887</v>
      </c>
      <c r="B67" s="25">
        <f t="shared" si="1"/>
        <v>2017</v>
      </c>
      <c r="C67" s="28">
        <v>711695.1</v>
      </c>
      <c r="D67" s="29">
        <v>7010.4</v>
      </c>
      <c r="E67" s="29">
        <v>7051.6</v>
      </c>
      <c r="F67" s="144">
        <v>113.3</v>
      </c>
      <c r="G67" s="144">
        <v>114.7</v>
      </c>
    </row>
    <row r="68" spans="1:7">
      <c r="A68" s="27">
        <v>42917</v>
      </c>
      <c r="B68" s="25">
        <f t="shared" si="1"/>
        <v>2017</v>
      </c>
      <c r="C68" s="28">
        <v>711695.1</v>
      </c>
      <c r="D68" s="29">
        <v>7022.8</v>
      </c>
      <c r="E68" s="29">
        <v>7118.5</v>
      </c>
      <c r="F68" s="144">
        <v>114</v>
      </c>
      <c r="G68" s="144">
        <v>114.9</v>
      </c>
    </row>
    <row r="69" spans="1:7">
      <c r="A69" s="27">
        <v>42948</v>
      </c>
      <c r="B69" s="25">
        <f t="shared" si="1"/>
        <v>2017</v>
      </c>
      <c r="C69" s="28">
        <v>711695.1</v>
      </c>
      <c r="D69" s="29">
        <v>7041.5</v>
      </c>
      <c r="E69" s="29">
        <v>7139</v>
      </c>
      <c r="F69" s="144">
        <v>114</v>
      </c>
      <c r="G69" s="144">
        <v>115.4</v>
      </c>
    </row>
    <row r="70" spans="1:7">
      <c r="A70" s="27">
        <v>42979</v>
      </c>
      <c r="B70" s="25">
        <f t="shared" si="1"/>
        <v>2017</v>
      </c>
      <c r="C70" s="28">
        <v>711695.1</v>
      </c>
      <c r="D70" s="29">
        <v>7068.5</v>
      </c>
      <c r="E70" s="29">
        <v>7121.5</v>
      </c>
      <c r="F70" s="144">
        <v>114.1</v>
      </c>
      <c r="G70" s="144">
        <v>115</v>
      </c>
    </row>
    <row r="71" spans="1:7">
      <c r="A71" s="27">
        <v>43009</v>
      </c>
      <c r="B71" s="25">
        <f t="shared" si="1"/>
        <v>2017</v>
      </c>
      <c r="C71" s="28">
        <v>711695.1</v>
      </c>
      <c r="D71" s="29">
        <v>7092.3</v>
      </c>
      <c r="E71" s="29">
        <v>7117.9</v>
      </c>
      <c r="F71" s="144">
        <v>114.8</v>
      </c>
      <c r="G71" s="144">
        <v>116.6</v>
      </c>
    </row>
    <row r="72" spans="1:7">
      <c r="A72" s="27">
        <v>43040</v>
      </c>
      <c r="B72" s="25">
        <f t="shared" si="1"/>
        <v>2017</v>
      </c>
      <c r="C72" s="28">
        <v>711695.1</v>
      </c>
      <c r="D72" s="29">
        <v>7114.4</v>
      </c>
      <c r="E72" s="29">
        <v>7117.8</v>
      </c>
      <c r="F72" s="144">
        <v>114.7</v>
      </c>
      <c r="G72" s="144">
        <v>116.3</v>
      </c>
    </row>
    <row r="73" spans="1:7">
      <c r="A73" s="27">
        <v>43070</v>
      </c>
      <c r="B73" s="25">
        <f t="shared" si="1"/>
        <v>2017</v>
      </c>
      <c r="C73" s="28">
        <v>711695.1</v>
      </c>
      <c r="D73" s="29">
        <v>7131.7</v>
      </c>
      <c r="E73" s="29">
        <v>7140.2</v>
      </c>
      <c r="F73" s="144">
        <v>114</v>
      </c>
      <c r="G73" s="144">
        <v>115.3</v>
      </c>
    </row>
    <row r="74" spans="1:7">
      <c r="A74" s="27">
        <v>43101</v>
      </c>
      <c r="B74" s="25">
        <f t="shared" si="1"/>
        <v>2018</v>
      </c>
      <c r="C74" s="28">
        <v>732426.3</v>
      </c>
      <c r="D74" s="29">
        <v>7129.8</v>
      </c>
      <c r="E74" s="29">
        <v>7100.3</v>
      </c>
      <c r="F74" s="144">
        <v>110.6</v>
      </c>
      <c r="G74" s="144">
        <v>110.5</v>
      </c>
    </row>
    <row r="75" spans="1:7">
      <c r="A75" s="27">
        <v>43132</v>
      </c>
      <c r="B75" s="25">
        <f t="shared" si="1"/>
        <v>2018</v>
      </c>
      <c r="C75" s="28">
        <v>732426.3</v>
      </c>
      <c r="D75" s="29">
        <v>7121.1</v>
      </c>
      <c r="E75" s="29">
        <v>7053.7</v>
      </c>
      <c r="F75" s="144">
        <v>107.9</v>
      </c>
      <c r="G75" s="144">
        <v>106.3</v>
      </c>
    </row>
    <row r="76" spans="1:7">
      <c r="A76" s="27">
        <v>43160</v>
      </c>
      <c r="B76" s="25">
        <f t="shared" si="1"/>
        <v>2018</v>
      </c>
      <c r="C76" s="28">
        <v>732426.3</v>
      </c>
      <c r="D76" s="29">
        <v>7120.5</v>
      </c>
      <c r="E76" s="29">
        <v>7013.3</v>
      </c>
      <c r="F76" s="144">
        <v>105.9</v>
      </c>
      <c r="G76" s="144">
        <v>103.7</v>
      </c>
    </row>
    <row r="77" spans="1:7">
      <c r="A77" s="27">
        <v>43191</v>
      </c>
      <c r="B77" s="25">
        <f t="shared" si="1"/>
        <v>2018</v>
      </c>
      <c r="C77" s="28">
        <v>732426.3</v>
      </c>
      <c r="D77" s="29">
        <v>7136.3</v>
      </c>
      <c r="E77" s="29">
        <v>7043.4</v>
      </c>
      <c r="F77" s="144">
        <v>107.9</v>
      </c>
      <c r="G77" s="144">
        <v>105.1</v>
      </c>
    </row>
    <row r="78" spans="1:7">
      <c r="A78" s="27">
        <v>43221</v>
      </c>
      <c r="B78" s="25">
        <f t="shared" si="1"/>
        <v>2018</v>
      </c>
      <c r="C78" s="28">
        <v>732426.3</v>
      </c>
      <c r="D78" s="29">
        <v>7145.7</v>
      </c>
      <c r="E78" s="29">
        <v>7111</v>
      </c>
      <c r="F78" s="144">
        <v>109.4</v>
      </c>
      <c r="G78" s="144">
        <v>107.9</v>
      </c>
    </row>
    <row r="79" spans="1:7">
      <c r="A79" s="27">
        <v>43252</v>
      </c>
      <c r="B79" s="25">
        <f t="shared" si="1"/>
        <v>2018</v>
      </c>
      <c r="C79" s="28">
        <v>732426.3</v>
      </c>
      <c r="D79" s="29">
        <v>7158.5</v>
      </c>
      <c r="E79" s="29">
        <v>7203.7</v>
      </c>
      <c r="F79" s="144">
        <v>110</v>
      </c>
      <c r="G79" s="144">
        <v>110</v>
      </c>
    </row>
    <row r="80" spans="1:7">
      <c r="A80" s="27">
        <v>43282</v>
      </c>
      <c r="B80" s="25">
        <f t="shared" si="1"/>
        <v>2018</v>
      </c>
      <c r="C80" s="28">
        <v>732426.3</v>
      </c>
      <c r="D80" s="29">
        <v>7189.2</v>
      </c>
      <c r="E80" s="29">
        <v>7285.2</v>
      </c>
      <c r="F80" s="144">
        <v>111.8</v>
      </c>
      <c r="G80" s="144">
        <v>114</v>
      </c>
    </row>
    <row r="81" spans="1:7">
      <c r="A81" s="27">
        <v>43313</v>
      </c>
      <c r="B81" s="25">
        <f t="shared" si="1"/>
        <v>2018</v>
      </c>
      <c r="C81" s="28">
        <v>732426.3</v>
      </c>
      <c r="D81" s="29">
        <v>7191.8</v>
      </c>
      <c r="E81" s="29">
        <v>7290.7</v>
      </c>
      <c r="F81" s="144">
        <v>114</v>
      </c>
      <c r="G81" s="144">
        <v>117</v>
      </c>
    </row>
    <row r="82" spans="1:7">
      <c r="A82" s="27">
        <v>43344</v>
      </c>
      <c r="B82" s="25">
        <f t="shared" si="1"/>
        <v>2018</v>
      </c>
      <c r="C82" s="28">
        <v>732426.3</v>
      </c>
      <c r="D82" s="29">
        <v>7195.6</v>
      </c>
      <c r="E82" s="29">
        <v>7249.1</v>
      </c>
      <c r="F82" s="144">
        <v>116.1</v>
      </c>
      <c r="G82" s="144">
        <v>118.6</v>
      </c>
    </row>
    <row r="83" spans="1:7">
      <c r="A83" s="27">
        <v>43374</v>
      </c>
      <c r="B83" s="25">
        <f t="shared" si="1"/>
        <v>2018</v>
      </c>
      <c r="C83" s="28">
        <v>732426.3</v>
      </c>
      <c r="D83" s="29">
        <v>7181.8</v>
      </c>
      <c r="E83" s="29">
        <v>7206.5</v>
      </c>
      <c r="F83" s="144">
        <v>116</v>
      </c>
      <c r="G83" s="144">
        <v>118.5</v>
      </c>
    </row>
    <row r="84" spans="1:7">
      <c r="A84" s="27">
        <v>43405</v>
      </c>
      <c r="B84" s="25">
        <f t="shared" si="1"/>
        <v>2018</v>
      </c>
      <c r="C84" s="28">
        <v>732426.3</v>
      </c>
      <c r="D84" s="29">
        <v>7204.8</v>
      </c>
      <c r="E84" s="29">
        <v>7207.4</v>
      </c>
      <c r="F84" s="144">
        <v>115.8</v>
      </c>
      <c r="G84" s="144">
        <v>117.9</v>
      </c>
    </row>
    <row r="85" spans="1:7">
      <c r="A85" s="27">
        <v>43435</v>
      </c>
      <c r="B85" s="25">
        <f t="shared" si="1"/>
        <v>2018</v>
      </c>
      <c r="C85" s="28">
        <v>732426.3</v>
      </c>
      <c r="D85" s="29">
        <v>7216.7</v>
      </c>
      <c r="E85" s="29">
        <v>7227.2</v>
      </c>
      <c r="F85" s="144">
        <v>115</v>
      </c>
      <c r="G85" s="144">
        <v>116.7</v>
      </c>
    </row>
    <row r="86" spans="1:7">
      <c r="A86" s="27">
        <v>43466</v>
      </c>
      <c r="B86" s="25">
        <f t="shared" si="1"/>
        <v>2019</v>
      </c>
      <c r="C86" s="28">
        <v>747589.4</v>
      </c>
      <c r="D86" s="29">
        <v>7242.3</v>
      </c>
      <c r="E86" s="29">
        <v>7214.9</v>
      </c>
      <c r="F86" s="144">
        <v>115.7</v>
      </c>
      <c r="G86" s="144">
        <v>115.1</v>
      </c>
    </row>
    <row r="87" spans="1:7">
      <c r="A87" s="27">
        <v>43497</v>
      </c>
      <c r="B87" s="25">
        <f t="shared" si="1"/>
        <v>2019</v>
      </c>
      <c r="C87" s="28">
        <v>747589.4</v>
      </c>
      <c r="D87" s="29">
        <v>7272.1</v>
      </c>
      <c r="E87" s="29">
        <v>7205</v>
      </c>
      <c r="F87" s="144">
        <v>115.6</v>
      </c>
      <c r="G87" s="144">
        <v>113.1</v>
      </c>
    </row>
    <row r="88" spans="1:7">
      <c r="A88" s="27">
        <v>43525</v>
      </c>
      <c r="B88" s="25">
        <f t="shared" si="1"/>
        <v>2019</v>
      </c>
      <c r="C88" s="28">
        <v>747589.4</v>
      </c>
      <c r="D88" s="29">
        <v>7294</v>
      </c>
      <c r="E88" s="29">
        <v>7185</v>
      </c>
      <c r="F88" s="144">
        <v>115.6</v>
      </c>
      <c r="G88" s="144">
        <v>112.4</v>
      </c>
    </row>
    <row r="89" spans="1:7">
      <c r="A89" s="27">
        <v>43556</v>
      </c>
      <c r="B89" s="25">
        <f t="shared" si="1"/>
        <v>2019</v>
      </c>
      <c r="C89" s="28">
        <v>747589.4</v>
      </c>
      <c r="D89" s="29">
        <v>7316.8</v>
      </c>
      <c r="E89" s="29">
        <v>7222.7</v>
      </c>
      <c r="F89" s="144">
        <v>113.9</v>
      </c>
      <c r="G89" s="144">
        <v>110.1</v>
      </c>
    </row>
    <row r="90" spans="1:7">
      <c r="A90" s="27">
        <v>43586</v>
      </c>
      <c r="B90" s="25">
        <f t="shared" si="1"/>
        <v>2019</v>
      </c>
      <c r="C90" s="28">
        <v>747589.4</v>
      </c>
      <c r="D90" s="29">
        <v>7333.7</v>
      </c>
      <c r="E90" s="29">
        <v>7297.7</v>
      </c>
      <c r="F90" s="144">
        <v>114.8</v>
      </c>
      <c r="G90" s="144">
        <v>112.2</v>
      </c>
    </row>
    <row r="91" spans="1:7">
      <c r="A91" s="27">
        <v>43617</v>
      </c>
      <c r="B91" s="25">
        <f t="shared" si="1"/>
        <v>2019</v>
      </c>
      <c r="C91" s="28">
        <v>747589.4</v>
      </c>
      <c r="D91" s="29">
        <v>7355.7</v>
      </c>
      <c r="E91" s="29">
        <v>7398.9</v>
      </c>
      <c r="F91" s="144">
        <v>115.9</v>
      </c>
      <c r="G91" s="144">
        <v>115.7</v>
      </c>
    </row>
    <row r="92" spans="1:7">
      <c r="A92" s="27">
        <v>43647</v>
      </c>
      <c r="B92" s="25">
        <f t="shared" si="1"/>
        <v>2019</v>
      </c>
      <c r="C92" s="28">
        <v>747589.4</v>
      </c>
      <c r="D92" s="29">
        <v>7357.8</v>
      </c>
      <c r="E92" s="29">
        <v>7452.4</v>
      </c>
      <c r="F92" s="144">
        <v>114.8</v>
      </c>
      <c r="G92" s="144">
        <v>118.2</v>
      </c>
    </row>
    <row r="93" spans="1:7">
      <c r="A93" s="27">
        <v>43678</v>
      </c>
      <c r="B93" s="25">
        <f t="shared" si="1"/>
        <v>2019</v>
      </c>
      <c r="C93" s="28">
        <v>747589.4</v>
      </c>
      <c r="D93" s="29">
        <v>7373.4</v>
      </c>
      <c r="E93" s="29">
        <v>7472.4</v>
      </c>
      <c r="F93" s="144">
        <v>113.9</v>
      </c>
      <c r="G93" s="144">
        <v>119.1</v>
      </c>
    </row>
    <row r="94" spans="1:7">
      <c r="A94" s="27">
        <v>43709</v>
      </c>
      <c r="B94" s="25">
        <f t="shared" si="1"/>
        <v>2019</v>
      </c>
      <c r="C94" s="28">
        <v>747589.4</v>
      </c>
      <c r="D94" s="29">
        <v>7399.5</v>
      </c>
      <c r="E94" s="29">
        <v>7464.3</v>
      </c>
      <c r="F94" s="144">
        <v>113.5</v>
      </c>
      <c r="G94" s="144">
        <v>116.9</v>
      </c>
    </row>
    <row r="95" spans="1:7">
      <c r="A95" s="27">
        <v>43739</v>
      </c>
      <c r="B95" s="25">
        <f t="shared" si="1"/>
        <v>2019</v>
      </c>
      <c r="C95" s="28">
        <v>747589.4</v>
      </c>
      <c r="D95" s="29">
        <v>7425.4</v>
      </c>
      <c r="E95" s="29">
        <v>7466.9</v>
      </c>
      <c r="F95" s="144">
        <v>118.2</v>
      </c>
      <c r="G95" s="144">
        <v>119.9</v>
      </c>
    </row>
    <row r="96" spans="1:7">
      <c r="A96" s="27">
        <v>43770</v>
      </c>
      <c r="B96" s="25">
        <f t="shared" si="1"/>
        <v>2019</v>
      </c>
      <c r="C96" s="28">
        <v>747589.4</v>
      </c>
      <c r="D96" s="29">
        <v>7438.5</v>
      </c>
      <c r="E96" s="29">
        <v>7455</v>
      </c>
      <c r="F96" s="144">
        <v>120.1</v>
      </c>
      <c r="G96" s="144">
        <v>119.9</v>
      </c>
    </row>
    <row r="97" spans="1:7">
      <c r="A97" s="27">
        <v>43800</v>
      </c>
      <c r="B97" s="25">
        <f t="shared" si="1"/>
        <v>2019</v>
      </c>
      <c r="C97" s="28">
        <v>747589.4</v>
      </c>
      <c r="D97" s="29">
        <v>7450.8</v>
      </c>
      <c r="E97" s="29">
        <v>7459.6</v>
      </c>
      <c r="F97" s="144">
        <v>123.9</v>
      </c>
      <c r="G97" s="144">
        <v>112.5</v>
      </c>
    </row>
    <row r="98" spans="1:7">
      <c r="A98" s="27">
        <v>43831</v>
      </c>
      <c r="B98" s="25">
        <f t="shared" si="1"/>
        <v>2020</v>
      </c>
      <c r="C98" s="28">
        <v>710048.9</v>
      </c>
      <c r="D98" s="29">
        <v>7472.8</v>
      </c>
      <c r="E98" s="29">
        <v>7437.3</v>
      </c>
      <c r="F98" s="144">
        <v>125.2</v>
      </c>
      <c r="G98" s="144">
        <v>122.3</v>
      </c>
    </row>
    <row r="99" spans="1:7">
      <c r="A99" s="27">
        <v>43862</v>
      </c>
      <c r="B99" s="25">
        <f t="shared" si="1"/>
        <v>2020</v>
      </c>
      <c r="C99" s="28">
        <v>710048.9</v>
      </c>
      <c r="D99" s="29">
        <v>7487.3</v>
      </c>
      <c r="E99" s="29">
        <v>7414.9</v>
      </c>
      <c r="F99" s="144">
        <v>128.69999999999999</v>
      </c>
      <c r="G99" s="144">
        <v>124.5</v>
      </c>
    </row>
    <row r="100" spans="1:7">
      <c r="A100" s="27">
        <v>43891</v>
      </c>
      <c r="B100" s="25">
        <f t="shared" si="1"/>
        <v>2020</v>
      </c>
      <c r="C100" s="28">
        <v>710048.9</v>
      </c>
      <c r="D100" s="29">
        <v>7361.1</v>
      </c>
      <c r="E100" s="29">
        <v>7246.6</v>
      </c>
      <c r="F100" s="144">
        <v>125.6</v>
      </c>
      <c r="G100" s="144">
        <v>122.5</v>
      </c>
    </row>
    <row r="101" spans="1:7">
      <c r="A101" s="27">
        <v>43922</v>
      </c>
      <c r="B101" s="25">
        <f t="shared" si="1"/>
        <v>2020</v>
      </c>
      <c r="C101" s="28">
        <v>710048.9</v>
      </c>
      <c r="D101" s="29">
        <v>6999.7</v>
      </c>
      <c r="E101" s="29">
        <v>6905.7</v>
      </c>
      <c r="F101" s="144">
        <v>119.4</v>
      </c>
      <c r="G101" s="144">
        <v>116.3</v>
      </c>
    </row>
    <row r="102" spans="1:7">
      <c r="A102" s="27">
        <v>43952</v>
      </c>
      <c r="B102" s="25">
        <f t="shared" si="1"/>
        <v>2020</v>
      </c>
      <c r="C102" s="28">
        <v>710048.9</v>
      </c>
      <c r="D102" s="29">
        <v>6621.5</v>
      </c>
      <c r="E102" s="29">
        <v>6577.9</v>
      </c>
      <c r="F102" s="144">
        <v>112.7</v>
      </c>
      <c r="G102" s="144">
        <v>110.9</v>
      </c>
    </row>
    <row r="103" spans="1:7">
      <c r="A103" s="27">
        <v>43983</v>
      </c>
      <c r="B103" s="25">
        <f t="shared" si="1"/>
        <v>2020</v>
      </c>
      <c r="C103" s="28">
        <v>710048.9</v>
      </c>
      <c r="D103" s="29">
        <v>6497.3</v>
      </c>
      <c r="E103" s="29">
        <v>6533.5</v>
      </c>
      <c r="F103" s="144">
        <v>114</v>
      </c>
      <c r="G103" s="144">
        <v>113.9</v>
      </c>
    </row>
    <row r="104" spans="1:7">
      <c r="A104" s="27">
        <v>44013</v>
      </c>
      <c r="B104" s="25">
        <f t="shared" si="1"/>
        <v>2020</v>
      </c>
      <c r="C104" s="28">
        <v>710048.9</v>
      </c>
      <c r="D104" s="29">
        <v>6655.5</v>
      </c>
      <c r="E104" s="29">
        <v>6731.6</v>
      </c>
      <c r="F104" s="144">
        <v>118</v>
      </c>
      <c r="G104" s="144">
        <v>121.1</v>
      </c>
    </row>
    <row r="105" spans="1:7">
      <c r="A105" s="27">
        <v>44044</v>
      </c>
      <c r="B105" s="25">
        <f t="shared" si="1"/>
        <v>2020</v>
      </c>
      <c r="C105" s="28">
        <v>710048.9</v>
      </c>
      <c r="D105" s="29">
        <v>6872.3</v>
      </c>
      <c r="E105" s="29">
        <v>6953.8</v>
      </c>
      <c r="F105" s="144">
        <v>119.2</v>
      </c>
      <c r="G105" s="144">
        <v>124.5</v>
      </c>
    </row>
    <row r="106" spans="1:7">
      <c r="A106" s="27">
        <v>44075</v>
      </c>
      <c r="B106" s="25">
        <f t="shared" si="1"/>
        <v>2020</v>
      </c>
      <c r="C106" s="28">
        <v>710048.9</v>
      </c>
      <c r="D106" s="29">
        <v>7020.1</v>
      </c>
      <c r="E106" s="29">
        <v>7070.2</v>
      </c>
      <c r="F106" s="144">
        <v>117.6</v>
      </c>
      <c r="G106" s="144">
        <v>121.8</v>
      </c>
    </row>
    <row r="107" spans="1:7">
      <c r="A107" s="27">
        <v>44105</v>
      </c>
      <c r="B107" s="25">
        <f t="shared" si="1"/>
        <v>2020</v>
      </c>
      <c r="C107" s="28">
        <v>710048.9</v>
      </c>
      <c r="D107" s="29">
        <v>7125.4</v>
      </c>
      <c r="E107" s="29">
        <v>7157.8</v>
      </c>
      <c r="F107" s="144">
        <v>116.6</v>
      </c>
      <c r="G107" s="144">
        <v>119.5</v>
      </c>
    </row>
    <row r="108" spans="1:7">
      <c r="A108" s="27">
        <v>44136</v>
      </c>
      <c r="B108" s="25">
        <f t="shared" si="1"/>
        <v>2020</v>
      </c>
      <c r="C108" s="28">
        <v>710048.9</v>
      </c>
      <c r="D108" s="29">
        <v>7202.6</v>
      </c>
      <c r="E108" s="29">
        <v>7216.9</v>
      </c>
      <c r="F108" s="144">
        <v>114.8</v>
      </c>
      <c r="G108" s="144">
        <v>115.6</v>
      </c>
    </row>
    <row r="109" spans="1:7">
      <c r="A109" s="27">
        <v>44166</v>
      </c>
      <c r="B109" s="25">
        <f t="shared" si="1"/>
        <v>2020</v>
      </c>
      <c r="C109" s="28">
        <v>710048.9</v>
      </c>
      <c r="D109" s="29">
        <v>7226</v>
      </c>
      <c r="E109" s="29">
        <v>7236.4</v>
      </c>
      <c r="F109" s="144">
        <v>112.9</v>
      </c>
      <c r="G109" s="144">
        <v>112.2</v>
      </c>
    </row>
    <row r="110" spans="1:7">
      <c r="A110" s="27">
        <v>44197</v>
      </c>
      <c r="B110" s="25">
        <f t="shared" si="1"/>
        <v>2021</v>
      </c>
      <c r="C110" s="31">
        <f t="shared" ref="C110:C121" si="2">C98*(1+$Q$14)</f>
        <v>740225.97825000004</v>
      </c>
      <c r="D110" s="29">
        <v>7187.6</v>
      </c>
      <c r="E110" s="29">
        <v>7159</v>
      </c>
      <c r="F110" s="144">
        <v>108.4</v>
      </c>
      <c r="G110" s="144">
        <v>106.1</v>
      </c>
    </row>
    <row r="111" spans="1:7">
      <c r="A111" s="27">
        <v>44228</v>
      </c>
      <c r="B111" s="25">
        <f t="shared" si="1"/>
        <v>2021</v>
      </c>
      <c r="C111" s="31">
        <f t="shared" si="2"/>
        <v>740225.97825000004</v>
      </c>
      <c r="D111" s="29">
        <v>7170.1</v>
      </c>
      <c r="E111" s="29">
        <v>7107.3</v>
      </c>
      <c r="F111" s="144">
        <v>108</v>
      </c>
      <c r="G111" s="144">
        <v>104.6</v>
      </c>
    </row>
    <row r="112" spans="1:7">
      <c r="A112" s="27">
        <v>44256</v>
      </c>
      <c r="B112" s="25">
        <f t="shared" si="1"/>
        <v>2021</v>
      </c>
      <c r="C112" s="31">
        <f t="shared" si="2"/>
        <v>740225.97825000004</v>
      </c>
      <c r="D112" s="29">
        <v>7213.1</v>
      </c>
      <c r="E112" s="29">
        <v>7105.6</v>
      </c>
      <c r="F112" s="144">
        <v>109.5</v>
      </c>
      <c r="G112" s="144">
        <v>107.1</v>
      </c>
    </row>
    <row r="113" spans="1:19">
      <c r="A113" s="27">
        <v>44287</v>
      </c>
      <c r="B113" s="25">
        <f t="shared" si="1"/>
        <v>2021</v>
      </c>
      <c r="C113" s="31">
        <f t="shared" si="2"/>
        <v>740225.97825000004</v>
      </c>
      <c r="D113" s="29">
        <v>7256.5</v>
      </c>
      <c r="E113" s="29">
        <v>7163.1</v>
      </c>
      <c r="F113" s="144">
        <v>111.2</v>
      </c>
      <c r="G113" s="144">
        <v>108.4</v>
      </c>
    </row>
    <row r="114" spans="1:19">
      <c r="A114" s="27">
        <v>44317</v>
      </c>
      <c r="B114" s="25">
        <f t="shared" si="1"/>
        <v>2021</v>
      </c>
      <c r="C114" s="31">
        <f t="shared" si="2"/>
        <v>740225.97825000004</v>
      </c>
      <c r="D114" s="29">
        <v>7255.8</v>
      </c>
      <c r="E114" s="29">
        <v>7211.3</v>
      </c>
      <c r="F114" s="144">
        <v>112.9</v>
      </c>
      <c r="G114" s="144">
        <v>111</v>
      </c>
    </row>
    <row r="115" spans="1:19">
      <c r="A115" s="27">
        <v>44348</v>
      </c>
      <c r="B115" s="25">
        <f t="shared" si="1"/>
        <v>2021</v>
      </c>
      <c r="C115" s="31">
        <f t="shared" si="2"/>
        <v>740225.97825000004</v>
      </c>
      <c r="D115" s="29">
        <v>7233.3</v>
      </c>
      <c r="E115" s="29">
        <v>7273.4</v>
      </c>
      <c r="F115" s="144">
        <v>113</v>
      </c>
      <c r="G115" s="144">
        <v>113</v>
      </c>
    </row>
    <row r="116" spans="1:19">
      <c r="A116" s="27">
        <v>44378</v>
      </c>
      <c r="B116" s="25">
        <f t="shared" si="1"/>
        <v>2021</v>
      </c>
      <c r="C116" s="31">
        <f t="shared" si="2"/>
        <v>740225.97825000004</v>
      </c>
      <c r="D116" s="29">
        <v>7285.9</v>
      </c>
      <c r="E116" s="29">
        <v>7372.5</v>
      </c>
      <c r="F116" s="144">
        <v>115.5</v>
      </c>
      <c r="G116" s="144">
        <v>118.7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</row>
    <row r="117" spans="1:19">
      <c r="A117" s="27">
        <v>44409</v>
      </c>
      <c r="B117" s="25">
        <f t="shared" si="1"/>
        <v>2021</v>
      </c>
      <c r="C117" s="31">
        <f t="shared" si="2"/>
        <v>740225.97825000004</v>
      </c>
      <c r="D117" s="29">
        <v>7366.7</v>
      </c>
      <c r="E117" s="29">
        <v>7458.5</v>
      </c>
      <c r="F117" s="144">
        <v>114.5</v>
      </c>
      <c r="G117" s="144">
        <v>119.6</v>
      </c>
    </row>
    <row r="118" spans="1:19">
      <c r="A118" s="27">
        <v>44440</v>
      </c>
      <c r="B118" s="25">
        <f t="shared" si="1"/>
        <v>2021</v>
      </c>
      <c r="C118" s="31">
        <f t="shared" si="2"/>
        <v>740225.97825000004</v>
      </c>
      <c r="D118" s="29">
        <v>7433</v>
      </c>
      <c r="E118" s="29">
        <v>7485</v>
      </c>
      <c r="F118" s="144">
        <v>116.6</v>
      </c>
      <c r="G118" s="144">
        <v>120.5</v>
      </c>
    </row>
    <row r="119" spans="1:19">
      <c r="A119" s="27">
        <v>44470</v>
      </c>
      <c r="B119" s="25">
        <f>YEAR(A119)</f>
        <v>2021</v>
      </c>
      <c r="C119" s="31">
        <f t="shared" si="2"/>
        <v>740225.97825000004</v>
      </c>
      <c r="D119" s="29">
        <v>7487.5</v>
      </c>
      <c r="E119" s="29">
        <v>7514.2</v>
      </c>
      <c r="F119" s="144">
        <v>118</v>
      </c>
      <c r="G119" s="144">
        <v>121</v>
      </c>
      <c r="L119" s="32"/>
    </row>
    <row r="120" spans="1:19">
      <c r="A120" s="27">
        <v>44501</v>
      </c>
      <c r="B120" s="25">
        <f>YEAR(A120)</f>
        <v>2021</v>
      </c>
      <c r="C120" s="31">
        <f t="shared" si="2"/>
        <v>740225.97825000004</v>
      </c>
      <c r="D120" s="29">
        <v>7538.6</v>
      </c>
      <c r="E120" s="29">
        <v>7552.6</v>
      </c>
      <c r="F120" s="144">
        <v>120</v>
      </c>
      <c r="G120" s="144">
        <v>121.4</v>
      </c>
      <c r="L120" s="32"/>
    </row>
    <row r="121" spans="1:19">
      <c r="A121" s="27">
        <v>44531</v>
      </c>
      <c r="B121" s="25">
        <f>YEAR(A121)</f>
        <v>2021</v>
      </c>
      <c r="C121" s="31">
        <f t="shared" si="2"/>
        <v>740225.97825000004</v>
      </c>
      <c r="D121" s="29">
        <v>7585.1</v>
      </c>
      <c r="E121" s="29">
        <v>7601.7</v>
      </c>
      <c r="F121" s="144">
        <v>117.8</v>
      </c>
      <c r="G121" s="144">
        <v>117.3</v>
      </c>
      <c r="L121" s="32"/>
    </row>
    <row r="122" spans="1:19" s="35" customFormat="1">
      <c r="A122" s="34">
        <f>A110+365</f>
        <v>44562</v>
      </c>
      <c r="B122" s="35">
        <f t="shared" ref="B122:B145" si="3">YEAR(A122)</f>
        <v>2022</v>
      </c>
      <c r="C122" s="33">
        <f t="shared" ref="C122:C133" si="4">C110*(1+$Q$15)</f>
        <v>769649.96088543755</v>
      </c>
      <c r="D122" s="33">
        <f t="shared" ref="D122:G133" si="5">D110*(1+$Q$21)</f>
        <v>7502.0574999999999</v>
      </c>
      <c r="E122" s="33">
        <f t="shared" si="5"/>
        <v>7472.2062499999993</v>
      </c>
      <c r="F122" s="145">
        <f t="shared" si="5"/>
        <v>113.1425</v>
      </c>
      <c r="G122" s="145">
        <f t="shared" si="5"/>
        <v>110.74187499999999</v>
      </c>
      <c r="K122" s="25"/>
      <c r="L122" s="32"/>
    </row>
    <row r="123" spans="1:19" s="35" customFormat="1">
      <c r="A123" s="34">
        <f t="shared" ref="A123:A145" si="6">A111+365</f>
        <v>44593</v>
      </c>
      <c r="B123" s="35">
        <f t="shared" si="3"/>
        <v>2022</v>
      </c>
      <c r="C123" s="33">
        <f t="shared" si="4"/>
        <v>769649.96088543755</v>
      </c>
      <c r="D123" s="33">
        <f t="shared" si="5"/>
        <v>7483.7918749999999</v>
      </c>
      <c r="E123" s="33">
        <f t="shared" si="5"/>
        <v>7418.2443750000002</v>
      </c>
      <c r="F123" s="145">
        <f t="shared" si="5"/>
        <v>112.72499999999999</v>
      </c>
      <c r="G123" s="145">
        <f t="shared" si="5"/>
        <v>109.17625</v>
      </c>
      <c r="K123" s="25"/>
      <c r="L123" s="32"/>
    </row>
    <row r="124" spans="1:19" s="35" customFormat="1">
      <c r="A124" s="34">
        <f t="shared" si="6"/>
        <v>44621</v>
      </c>
      <c r="B124" s="35">
        <f t="shared" si="3"/>
        <v>2022</v>
      </c>
      <c r="C124" s="33">
        <f t="shared" si="4"/>
        <v>769649.96088543755</v>
      </c>
      <c r="D124" s="33">
        <f t="shared" si="5"/>
        <v>7528.6731250000003</v>
      </c>
      <c r="E124" s="33">
        <f t="shared" si="5"/>
        <v>7416.47</v>
      </c>
      <c r="F124" s="145">
        <f t="shared" si="5"/>
        <v>114.29062499999999</v>
      </c>
      <c r="G124" s="145">
        <f t="shared" si="5"/>
        <v>111.785625</v>
      </c>
      <c r="K124" s="25"/>
      <c r="L124" s="32"/>
    </row>
    <row r="125" spans="1:19" s="35" customFormat="1">
      <c r="A125" s="34">
        <f t="shared" si="6"/>
        <v>44652</v>
      </c>
      <c r="B125" s="35">
        <f t="shared" si="3"/>
        <v>2022</v>
      </c>
      <c r="C125" s="33">
        <f t="shared" si="4"/>
        <v>769649.96088543755</v>
      </c>
      <c r="D125" s="33">
        <f t="shared" si="5"/>
        <v>7573.9718749999993</v>
      </c>
      <c r="E125" s="33">
        <f t="shared" si="5"/>
        <v>7476.4856250000003</v>
      </c>
      <c r="F125" s="145">
        <f t="shared" si="5"/>
        <v>116.065</v>
      </c>
      <c r="G125" s="145">
        <f t="shared" si="5"/>
        <v>113.1425</v>
      </c>
      <c r="K125" s="25"/>
      <c r="L125" s="32"/>
    </row>
    <row r="126" spans="1:19" s="35" customFormat="1">
      <c r="A126" s="34">
        <f t="shared" si="6"/>
        <v>44682</v>
      </c>
      <c r="B126" s="35">
        <f t="shared" si="3"/>
        <v>2022</v>
      </c>
      <c r="C126" s="33">
        <f t="shared" si="4"/>
        <v>769649.96088543755</v>
      </c>
      <c r="D126" s="33">
        <f t="shared" si="5"/>
        <v>7573.24125</v>
      </c>
      <c r="E126" s="33">
        <f t="shared" si="5"/>
        <v>7526.7943749999995</v>
      </c>
      <c r="F126" s="145">
        <f t="shared" si="5"/>
        <v>117.839375</v>
      </c>
      <c r="G126" s="145">
        <f t="shared" si="5"/>
        <v>115.85624999999999</v>
      </c>
      <c r="K126" s="25"/>
      <c r="L126" s="32"/>
    </row>
    <row r="127" spans="1:19" s="35" customFormat="1">
      <c r="A127" s="34">
        <f t="shared" si="6"/>
        <v>44713</v>
      </c>
      <c r="B127" s="35">
        <f t="shared" si="3"/>
        <v>2022</v>
      </c>
      <c r="C127" s="33">
        <f t="shared" si="4"/>
        <v>769649.96088543755</v>
      </c>
      <c r="D127" s="33">
        <f t="shared" si="5"/>
        <v>7549.756875</v>
      </c>
      <c r="E127" s="33">
        <f t="shared" si="5"/>
        <v>7591.611249999999</v>
      </c>
      <c r="F127" s="145">
        <f t="shared" si="5"/>
        <v>117.94374999999999</v>
      </c>
      <c r="G127" s="145">
        <f t="shared" si="5"/>
        <v>117.94374999999999</v>
      </c>
      <c r="K127" s="25"/>
      <c r="L127" s="32"/>
    </row>
    <row r="128" spans="1:19" s="35" customFormat="1">
      <c r="A128" s="34">
        <f t="shared" si="6"/>
        <v>44743</v>
      </c>
      <c r="B128" s="35">
        <f t="shared" si="3"/>
        <v>2022</v>
      </c>
      <c r="C128" s="33">
        <f t="shared" si="4"/>
        <v>769649.96088543755</v>
      </c>
      <c r="D128" s="33">
        <f t="shared" si="5"/>
        <v>7604.658124999999</v>
      </c>
      <c r="E128" s="33">
        <f t="shared" si="5"/>
        <v>7695.046875</v>
      </c>
      <c r="F128" s="145">
        <f t="shared" si="5"/>
        <v>120.55312499999999</v>
      </c>
      <c r="G128" s="145">
        <f t="shared" si="5"/>
        <v>123.893125</v>
      </c>
      <c r="K128" s="25"/>
      <c r="L128" s="32"/>
    </row>
    <row r="129" spans="1:7" s="35" customFormat="1">
      <c r="A129" s="34">
        <f t="shared" si="6"/>
        <v>44774</v>
      </c>
      <c r="B129" s="35">
        <f t="shared" si="3"/>
        <v>2022</v>
      </c>
      <c r="C129" s="33">
        <f t="shared" si="4"/>
        <v>769649.96088543755</v>
      </c>
      <c r="D129" s="33">
        <f t="shared" si="5"/>
        <v>7688.9931249999991</v>
      </c>
      <c r="E129" s="33">
        <f t="shared" si="5"/>
        <v>7784.8093749999998</v>
      </c>
      <c r="F129" s="145">
        <f t="shared" si="5"/>
        <v>119.50937499999999</v>
      </c>
      <c r="G129" s="145">
        <f t="shared" si="5"/>
        <v>124.83249999999998</v>
      </c>
    </row>
    <row r="130" spans="1:7" s="35" customFormat="1">
      <c r="A130" s="34">
        <f t="shared" si="6"/>
        <v>44805</v>
      </c>
      <c r="B130" s="35">
        <f t="shared" si="3"/>
        <v>2022</v>
      </c>
      <c r="C130" s="33">
        <f t="shared" si="4"/>
        <v>769649.96088543755</v>
      </c>
      <c r="D130" s="33">
        <f t="shared" si="5"/>
        <v>7758.1937499999995</v>
      </c>
      <c r="E130" s="33">
        <f t="shared" si="5"/>
        <v>7812.46875</v>
      </c>
      <c r="F130" s="145">
        <f t="shared" si="5"/>
        <v>121.70124999999999</v>
      </c>
      <c r="G130" s="145">
        <f t="shared" si="5"/>
        <v>125.77187499999999</v>
      </c>
    </row>
    <row r="131" spans="1:7" s="35" customFormat="1">
      <c r="A131" s="34">
        <f t="shared" si="6"/>
        <v>44835</v>
      </c>
      <c r="B131" s="35">
        <f t="shared" si="3"/>
        <v>2022</v>
      </c>
      <c r="C131" s="33">
        <f t="shared" si="4"/>
        <v>769649.96088543755</v>
      </c>
      <c r="D131" s="33">
        <f t="shared" si="5"/>
        <v>7815.078125</v>
      </c>
      <c r="E131" s="33">
        <f t="shared" si="5"/>
        <v>7842.9462499999991</v>
      </c>
      <c r="F131" s="145">
        <f t="shared" si="5"/>
        <v>123.16249999999999</v>
      </c>
      <c r="G131" s="145">
        <f t="shared" si="5"/>
        <v>126.29374999999999</v>
      </c>
    </row>
    <row r="132" spans="1:7" s="35" customFormat="1">
      <c r="A132" s="34">
        <f t="shared" si="6"/>
        <v>44866</v>
      </c>
      <c r="B132" s="35">
        <f t="shared" si="3"/>
        <v>2022</v>
      </c>
      <c r="C132" s="33">
        <f t="shared" si="4"/>
        <v>769649.96088543755</v>
      </c>
      <c r="D132" s="33">
        <f t="shared" si="5"/>
        <v>7868.4137499999997</v>
      </c>
      <c r="E132" s="33">
        <f t="shared" si="5"/>
        <v>7883.0262499999999</v>
      </c>
      <c r="F132" s="145">
        <f t="shared" si="5"/>
        <v>125.25</v>
      </c>
      <c r="G132" s="145">
        <f t="shared" si="5"/>
        <v>126.71125000000001</v>
      </c>
    </row>
    <row r="133" spans="1:7" s="35" customFormat="1">
      <c r="A133" s="34">
        <f t="shared" si="6"/>
        <v>44896</v>
      </c>
      <c r="B133" s="35">
        <f t="shared" si="3"/>
        <v>2022</v>
      </c>
      <c r="C133" s="33">
        <f t="shared" si="4"/>
        <v>769649.96088543755</v>
      </c>
      <c r="D133" s="33">
        <f t="shared" si="5"/>
        <v>7916.9481249999999</v>
      </c>
      <c r="E133" s="33">
        <f t="shared" si="5"/>
        <v>7934.2743749999991</v>
      </c>
      <c r="F133" s="145">
        <f t="shared" si="5"/>
        <v>122.95374999999999</v>
      </c>
      <c r="G133" s="145">
        <f t="shared" si="5"/>
        <v>122.43187499999999</v>
      </c>
    </row>
    <row r="134" spans="1:7" s="35" customFormat="1">
      <c r="A134" s="34">
        <f t="shared" si="6"/>
        <v>44927</v>
      </c>
      <c r="B134" s="35">
        <f t="shared" si="3"/>
        <v>2023</v>
      </c>
      <c r="C134" s="33">
        <f t="shared" ref="C134:C145" si="7">C122*(1+$Q$16)</f>
        <v>792739.45971200068</v>
      </c>
      <c r="D134" s="33">
        <f t="shared" ref="D134:G145" si="8">D122*(1+$Q$22)</f>
        <v>7618.3393912500005</v>
      </c>
      <c r="E134" s="33">
        <f t="shared" si="8"/>
        <v>7588.0254468749999</v>
      </c>
      <c r="F134" s="145">
        <f t="shared" si="8"/>
        <v>114.89620875</v>
      </c>
      <c r="G134" s="145">
        <f t="shared" si="8"/>
        <v>112.4583740625</v>
      </c>
    </row>
    <row r="135" spans="1:7" s="35" customFormat="1">
      <c r="A135" s="34">
        <f t="shared" si="6"/>
        <v>44958</v>
      </c>
      <c r="B135" s="35">
        <f t="shared" si="3"/>
        <v>2023</v>
      </c>
      <c r="C135" s="33">
        <f t="shared" si="7"/>
        <v>792739.45971200068</v>
      </c>
      <c r="D135" s="33">
        <f t="shared" si="8"/>
        <v>7599.7906490625001</v>
      </c>
      <c r="E135" s="33">
        <f t="shared" si="8"/>
        <v>7533.2271628125009</v>
      </c>
      <c r="F135" s="145">
        <f t="shared" si="8"/>
        <v>114.47223750000001</v>
      </c>
      <c r="G135" s="145">
        <f t="shared" si="8"/>
        <v>110.868481875</v>
      </c>
    </row>
    <row r="136" spans="1:7" s="35" customFormat="1">
      <c r="A136" s="34">
        <f t="shared" si="6"/>
        <v>44986</v>
      </c>
      <c r="B136" s="35">
        <f t="shared" si="3"/>
        <v>2023</v>
      </c>
      <c r="C136" s="33">
        <f t="shared" si="7"/>
        <v>792739.45971200068</v>
      </c>
      <c r="D136" s="33">
        <f t="shared" si="8"/>
        <v>7645.3675584375005</v>
      </c>
      <c r="E136" s="33">
        <f t="shared" si="8"/>
        <v>7531.4252850000012</v>
      </c>
      <c r="F136" s="145">
        <f t="shared" si="8"/>
        <v>116.0621296875</v>
      </c>
      <c r="G136" s="145">
        <f t="shared" si="8"/>
        <v>113.5183021875</v>
      </c>
    </row>
    <row r="137" spans="1:7" s="35" customFormat="1">
      <c r="A137" s="34">
        <f t="shared" si="6"/>
        <v>45017</v>
      </c>
      <c r="B137" s="35">
        <f t="shared" si="3"/>
        <v>2023</v>
      </c>
      <c r="C137" s="33">
        <f t="shared" si="7"/>
        <v>792739.45971200068</v>
      </c>
      <c r="D137" s="33">
        <f t="shared" si="8"/>
        <v>7691.3684390624994</v>
      </c>
      <c r="E137" s="33">
        <f t="shared" si="8"/>
        <v>7592.3711521875011</v>
      </c>
      <c r="F137" s="145">
        <f t="shared" si="8"/>
        <v>117.8640075</v>
      </c>
      <c r="G137" s="145">
        <f t="shared" si="8"/>
        <v>114.89620875</v>
      </c>
    </row>
    <row r="138" spans="1:7" s="35" customFormat="1">
      <c r="A138" s="34">
        <f t="shared" si="6"/>
        <v>45047</v>
      </c>
      <c r="B138" s="35">
        <f t="shared" si="3"/>
        <v>2023</v>
      </c>
      <c r="C138" s="33">
        <f t="shared" si="7"/>
        <v>792739.45971200068</v>
      </c>
      <c r="D138" s="33">
        <f t="shared" si="8"/>
        <v>7690.6264893750003</v>
      </c>
      <c r="E138" s="33">
        <f t="shared" si="8"/>
        <v>7643.4596878125003</v>
      </c>
      <c r="F138" s="145">
        <f t="shared" si="8"/>
        <v>119.66588531250001</v>
      </c>
      <c r="G138" s="145">
        <f t="shared" si="8"/>
        <v>117.652021875</v>
      </c>
    </row>
    <row r="139" spans="1:7" s="35" customFormat="1">
      <c r="A139" s="34">
        <f t="shared" si="6"/>
        <v>45078</v>
      </c>
      <c r="B139" s="35">
        <f t="shared" si="3"/>
        <v>2023</v>
      </c>
      <c r="C139" s="33">
        <f t="shared" si="7"/>
        <v>792739.45971200068</v>
      </c>
      <c r="D139" s="33">
        <f t="shared" si="8"/>
        <v>7666.7781065625004</v>
      </c>
      <c r="E139" s="33">
        <f t="shared" si="8"/>
        <v>7709.2812243749995</v>
      </c>
      <c r="F139" s="145">
        <f t="shared" si="8"/>
        <v>119.771878125</v>
      </c>
      <c r="G139" s="145">
        <f t="shared" si="8"/>
        <v>119.771878125</v>
      </c>
    </row>
    <row r="140" spans="1:7" s="35" customFormat="1">
      <c r="A140" s="34">
        <f t="shared" si="6"/>
        <v>45108</v>
      </c>
      <c r="B140" s="35">
        <f t="shared" si="3"/>
        <v>2023</v>
      </c>
      <c r="C140" s="33">
        <f t="shared" si="7"/>
        <v>792739.45971200068</v>
      </c>
      <c r="D140" s="33">
        <f t="shared" si="8"/>
        <v>7722.5303259374996</v>
      </c>
      <c r="E140" s="33">
        <f t="shared" si="8"/>
        <v>7814.3201015625009</v>
      </c>
      <c r="F140" s="145">
        <f t="shared" si="8"/>
        <v>122.4216984375</v>
      </c>
      <c r="G140" s="145">
        <f t="shared" si="8"/>
        <v>125.81346843750001</v>
      </c>
    </row>
    <row r="141" spans="1:7" s="35" customFormat="1">
      <c r="A141" s="34">
        <f t="shared" si="6"/>
        <v>45139</v>
      </c>
      <c r="B141" s="35">
        <f t="shared" si="3"/>
        <v>2023</v>
      </c>
      <c r="C141" s="33">
        <f t="shared" si="7"/>
        <v>792739.45971200068</v>
      </c>
      <c r="D141" s="33">
        <f t="shared" si="8"/>
        <v>7808.1725184375</v>
      </c>
      <c r="E141" s="33">
        <f t="shared" si="8"/>
        <v>7905.4739203125</v>
      </c>
      <c r="F141" s="145">
        <f t="shared" si="8"/>
        <v>121.3617703125</v>
      </c>
      <c r="G141" s="145">
        <f t="shared" si="8"/>
        <v>126.76740374999999</v>
      </c>
    </row>
    <row r="142" spans="1:7" s="35" customFormat="1">
      <c r="A142" s="34">
        <f t="shared" si="6"/>
        <v>45170</v>
      </c>
      <c r="B142" s="35">
        <f t="shared" si="3"/>
        <v>2023</v>
      </c>
      <c r="C142" s="33">
        <f t="shared" si="7"/>
        <v>792739.45971200068</v>
      </c>
      <c r="D142" s="33">
        <f t="shared" si="8"/>
        <v>7878.445753125</v>
      </c>
      <c r="E142" s="33">
        <f t="shared" si="8"/>
        <v>7933.5620156250006</v>
      </c>
      <c r="F142" s="145">
        <f t="shared" si="8"/>
        <v>123.587619375</v>
      </c>
      <c r="G142" s="145">
        <f t="shared" si="8"/>
        <v>127.72133906250001</v>
      </c>
    </row>
    <row r="143" spans="1:7" s="35" customFormat="1">
      <c r="A143" s="34">
        <f t="shared" si="6"/>
        <v>45200</v>
      </c>
      <c r="B143" s="35">
        <f t="shared" si="3"/>
        <v>2023</v>
      </c>
      <c r="C143" s="33">
        <f t="shared" si="7"/>
        <v>792739.45971200068</v>
      </c>
      <c r="D143" s="33">
        <f t="shared" si="8"/>
        <v>7936.2118359375008</v>
      </c>
      <c r="E143" s="33">
        <f t="shared" si="8"/>
        <v>7964.5119168749998</v>
      </c>
      <c r="F143" s="145">
        <f t="shared" si="8"/>
        <v>125.07151875000001</v>
      </c>
      <c r="G143" s="145">
        <f t="shared" si="8"/>
        <v>128.25130312499999</v>
      </c>
    </row>
    <row r="144" spans="1:7" s="35" customFormat="1">
      <c r="A144" s="34">
        <f t="shared" si="6"/>
        <v>45231</v>
      </c>
      <c r="B144" s="35">
        <f t="shared" si="3"/>
        <v>2023</v>
      </c>
      <c r="C144" s="33">
        <f t="shared" si="7"/>
        <v>792739.45971200068</v>
      </c>
      <c r="D144" s="33">
        <f t="shared" si="8"/>
        <v>7990.3741631250005</v>
      </c>
      <c r="E144" s="33">
        <f t="shared" si="8"/>
        <v>8005.2131568750001</v>
      </c>
      <c r="F144" s="145">
        <f t="shared" si="8"/>
        <v>127.19137500000001</v>
      </c>
      <c r="G144" s="145">
        <f t="shared" si="8"/>
        <v>128.67527437500001</v>
      </c>
    </row>
    <row r="145" spans="1:7" s="35" customFormat="1">
      <c r="A145" s="34">
        <f t="shared" si="6"/>
        <v>45261</v>
      </c>
      <c r="B145" s="35">
        <f t="shared" si="3"/>
        <v>2023</v>
      </c>
      <c r="C145" s="33">
        <f t="shared" si="7"/>
        <v>792739.45971200068</v>
      </c>
      <c r="D145" s="33">
        <f t="shared" si="8"/>
        <v>8039.6608209375008</v>
      </c>
      <c r="E145" s="33">
        <f t="shared" si="8"/>
        <v>8057.2556278124994</v>
      </c>
      <c r="F145" s="145">
        <f t="shared" si="8"/>
        <v>124.859533125</v>
      </c>
      <c r="G145" s="145">
        <f t="shared" si="8"/>
        <v>124.3295690625</v>
      </c>
    </row>
    <row r="147" spans="1:7">
      <c r="C147" s="36"/>
    </row>
    <row r="149" spans="1:7">
      <c r="E149" s="37"/>
    </row>
    <row r="150" spans="1:7">
      <c r="E150" s="3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22"/>
  <sheetViews>
    <sheetView topLeftCell="Q1" workbookViewId="0">
      <selection activeCell="AA3" sqref="AA3:AE23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2" max="22" width="13" customWidth="1"/>
    <col min="23" max="23" width="8.42578125" bestFit="1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AA8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8" t="s">
        <v>138</v>
      </c>
      <c r="V1" s="38" t="s">
        <v>139</v>
      </c>
      <c r="W1" s="38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8">
        <f>Dataset!AC2</f>
        <v>571.70000000000005</v>
      </c>
      <c r="F2" s="8">
        <f>Dataset!AD2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$AB$8</f>
        <v>-11222476.5573291</v>
      </c>
      <c r="N2" s="1">
        <f t="shared" ref="N2:N33" si="2">E2*$AB$9</f>
        <v>5201316.2858850127</v>
      </c>
      <c r="O2" s="1">
        <f t="shared" ref="O2:O33" si="3">F2*$AB$10</f>
        <v>0</v>
      </c>
      <c r="P2" s="1">
        <f t="shared" ref="P2:P33" si="4">G2*$AB$11</f>
        <v>9021933.1670136303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9285007.0095566474</v>
      </c>
      <c r="U2" s="1">
        <f t="shared" ref="U2:U33" si="5">SUM(M2:T2)</f>
        <v>12285779.905126192</v>
      </c>
      <c r="V2" s="1">
        <f t="shared" ref="V2:V33" si="6">U2-D2</f>
        <v>-549256.992169315</v>
      </c>
      <c r="W2" s="100">
        <f t="shared" ref="W2:W54" si="7">ABS(V2/U2)</f>
        <v>4.4706725695137985E-2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8">
        <f>Dataset!AC3</f>
        <v>493.6</v>
      </c>
      <c r="F3" s="8">
        <f>Dataset!AD3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-11222476.5573291</v>
      </c>
      <c r="N3" s="1">
        <f t="shared" si="2"/>
        <v>4490763.8948973976</v>
      </c>
      <c r="O3" s="1">
        <f t="shared" si="3"/>
        <v>0</v>
      </c>
      <c r="P3" s="1">
        <f t="shared" si="4"/>
        <v>8439872.9626901709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9248251.9076762944</v>
      </c>
      <c r="U3" s="1">
        <f t="shared" si="5"/>
        <v>10956412.207934763</v>
      </c>
      <c r="V3" s="1">
        <f t="shared" si="6"/>
        <v>-248644.43240856566</v>
      </c>
      <c r="W3" s="100">
        <f t="shared" si="7"/>
        <v>2.2693964747738719E-2</v>
      </c>
      <c r="AA3" t="s">
        <v>350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8">
        <f>Dataset!AC4</f>
        <v>304.39999999999998</v>
      </c>
      <c r="F4" s="8">
        <f>Dataset!AD4</f>
        <v>6.8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-11222476.5573291</v>
      </c>
      <c r="N4" s="1">
        <f t="shared" si="2"/>
        <v>2769425.7082795133</v>
      </c>
      <c r="O4" s="1">
        <f t="shared" si="3"/>
        <v>104043.05821554264</v>
      </c>
      <c r="P4" s="1">
        <f t="shared" si="4"/>
        <v>9021933.1670136303</v>
      </c>
      <c r="Q4" s="1">
        <f t="shared" si="8"/>
        <v>-615866.12074584502</v>
      </c>
      <c r="R4" s="1">
        <f t="shared" si="9"/>
        <v>0</v>
      </c>
      <c r="S4" s="1">
        <f t="shared" si="10"/>
        <v>0</v>
      </c>
      <c r="T4" s="1">
        <f t="shared" si="11"/>
        <v>9297704.2265698593</v>
      </c>
      <c r="U4" s="1">
        <f t="shared" si="5"/>
        <v>9354763.4820036013</v>
      </c>
      <c r="V4" s="1">
        <f t="shared" si="6"/>
        <v>-764504.72538683563</v>
      </c>
      <c r="W4" s="100">
        <f t="shared" si="7"/>
        <v>8.1723576107249077E-2</v>
      </c>
      <c r="AA4" t="s">
        <v>244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8">
        <f>Dataset!AC5</f>
        <v>318.7</v>
      </c>
      <c r="F5" s="8">
        <f>Dataset!AD5</f>
        <v>0.8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-11222476.5573291</v>
      </c>
      <c r="N5" s="1">
        <f t="shared" si="2"/>
        <v>2899526.8502913299</v>
      </c>
      <c r="O5" s="1">
        <f t="shared" si="3"/>
        <v>12240.359790063842</v>
      </c>
      <c r="P5" s="1">
        <f t="shared" si="4"/>
        <v>8730903.0648519006</v>
      </c>
      <c r="Q5" s="1">
        <f t="shared" si="8"/>
        <v>-615866.12074584502</v>
      </c>
      <c r="R5" s="1">
        <f t="shared" si="9"/>
        <v>0</v>
      </c>
      <c r="S5" s="1">
        <f t="shared" si="10"/>
        <v>0</v>
      </c>
      <c r="T5" s="1">
        <f t="shared" si="11"/>
        <v>9309064.8944237866</v>
      </c>
      <c r="U5" s="1">
        <f t="shared" si="5"/>
        <v>9113392.4912821371</v>
      </c>
      <c r="V5" s="1">
        <f t="shared" si="6"/>
        <v>626979.34734017774</v>
      </c>
      <c r="W5" s="100">
        <f t="shared" si="7"/>
        <v>6.8797579818925342E-2</v>
      </c>
      <c r="AA5" t="s">
        <v>355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8">
        <f>Dataset!AC6</f>
        <v>89.2</v>
      </c>
      <c r="F6" s="8">
        <f>Dataset!AD6</f>
        <v>42.1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-11222476.5573291</v>
      </c>
      <c r="N6" s="1">
        <f t="shared" si="2"/>
        <v>811539.99073105317</v>
      </c>
      <c r="O6" s="1">
        <f t="shared" si="3"/>
        <v>644148.93395210966</v>
      </c>
      <c r="P6" s="1">
        <f t="shared" si="4"/>
        <v>9021933.1670136303</v>
      </c>
      <c r="Q6" s="1">
        <f t="shared" si="8"/>
        <v>-615866.12074584502</v>
      </c>
      <c r="R6" s="1">
        <f t="shared" si="9"/>
        <v>0</v>
      </c>
      <c r="S6" s="1">
        <f t="shared" si="10"/>
        <v>0</v>
      </c>
      <c r="T6" s="1">
        <f t="shared" si="11"/>
        <v>9323098.660596285</v>
      </c>
      <c r="U6" s="1">
        <f t="shared" si="5"/>
        <v>7962378.0742181335</v>
      </c>
      <c r="V6" s="1">
        <f t="shared" si="6"/>
        <v>27815.555044288747</v>
      </c>
      <c r="W6" s="100">
        <f t="shared" si="7"/>
        <v>3.4933728070957117E-3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8">
        <f>Dataset!AC7</f>
        <v>21.6</v>
      </c>
      <c r="F7" s="8">
        <f>Dataset!AD7</f>
        <v>118.6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-11222476.5573291</v>
      </c>
      <c r="N7" s="1">
        <f t="shared" si="2"/>
        <v>196516.41031155549</v>
      </c>
      <c r="O7" s="1">
        <f t="shared" si="3"/>
        <v>1814633.3388769643</v>
      </c>
      <c r="P7" s="1">
        <f t="shared" si="4"/>
        <v>8730903.0648519006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9323098.660596285</v>
      </c>
      <c r="U7" s="1">
        <f t="shared" si="5"/>
        <v>8842674.917307606</v>
      </c>
      <c r="V7" s="1">
        <f t="shared" si="6"/>
        <v>380402.78319636919</v>
      </c>
      <c r="W7" s="100">
        <f t="shared" si="7"/>
        <v>4.301897183303819E-2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8">
        <f>Dataset!AC8</f>
        <v>0</v>
      </c>
      <c r="F8" s="8">
        <f>Dataset!AD8</f>
        <v>187.5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-11222476.5573291</v>
      </c>
      <c r="N8" s="1">
        <f t="shared" si="2"/>
        <v>0</v>
      </c>
      <c r="O8" s="1">
        <f t="shared" si="3"/>
        <v>2868834.3257962125</v>
      </c>
      <c r="P8" s="1">
        <f t="shared" si="4"/>
        <v>9021933.1670136303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9373219.2540694922</v>
      </c>
      <c r="U8" s="1">
        <f t="shared" si="5"/>
        <v>10041510.189550236</v>
      </c>
      <c r="V8" s="1">
        <f t="shared" si="6"/>
        <v>207290.52764492482</v>
      </c>
      <c r="W8" s="100">
        <f t="shared" si="7"/>
        <v>2.0643361778454706E-2</v>
      </c>
      <c r="AA8" t="s">
        <v>124</v>
      </c>
      <c r="AB8" s="8">
        <v>-11222476.5573291</v>
      </c>
      <c r="AC8">
        <v>1433696.38434587</v>
      </c>
      <c r="AD8">
        <v>-7.8276521304399802</v>
      </c>
      <c r="AE8" s="99">
        <v>3.0393842782717E-12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8">
        <f>Dataset!AC9</f>
        <v>0</v>
      </c>
      <c r="F9" s="8">
        <f>Dataset!AD9</f>
        <v>147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-11222476.5573291</v>
      </c>
      <c r="N9" s="1">
        <f t="shared" si="2"/>
        <v>0</v>
      </c>
      <c r="O9" s="1">
        <f t="shared" si="3"/>
        <v>2249166.1114242305</v>
      </c>
      <c r="P9" s="1">
        <f t="shared" si="4"/>
        <v>9021933.1670136303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9361190.3116359226</v>
      </c>
      <c r="U9" s="1">
        <f t="shared" si="5"/>
        <v>9409813.0327446833</v>
      </c>
      <c r="V9" s="1">
        <f t="shared" si="6"/>
        <v>254362.42492778599</v>
      </c>
      <c r="W9" s="100">
        <f t="shared" si="7"/>
        <v>2.7031613066343017E-2</v>
      </c>
      <c r="AA9" t="s">
        <v>28</v>
      </c>
      <c r="AB9" s="8">
        <v>9097.9819588683094</v>
      </c>
      <c r="AC9">
        <v>236.26076326489601</v>
      </c>
      <c r="AD9">
        <v>38.5082221573442</v>
      </c>
      <c r="AE9" s="99">
        <v>1.97368372378393E-66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8">
        <f>Dataset!AC10</f>
        <v>53.8</v>
      </c>
      <c r="F10" s="8">
        <f>Dataset!AD10</f>
        <v>48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-11222476.5573291</v>
      </c>
      <c r="N10" s="1">
        <f t="shared" si="2"/>
        <v>489471.429387115</v>
      </c>
      <c r="O10" s="1">
        <f t="shared" si="3"/>
        <v>734421.58740383037</v>
      </c>
      <c r="P10" s="1">
        <f t="shared" si="4"/>
        <v>8730903.0648519006</v>
      </c>
      <c r="Q10" s="1">
        <f t="shared" si="8"/>
        <v>-615866.12074584502</v>
      </c>
      <c r="R10" s="1">
        <f t="shared" si="9"/>
        <v>0</v>
      </c>
      <c r="S10" s="1">
        <f t="shared" si="10"/>
        <v>0</v>
      </c>
      <c r="T10" s="1">
        <f t="shared" si="11"/>
        <v>9413984.0034277011</v>
      </c>
      <c r="U10" s="1">
        <f t="shared" si="5"/>
        <v>7530437.406995602</v>
      </c>
      <c r="V10" s="1">
        <f t="shared" si="6"/>
        <v>-289536.13245044742</v>
      </c>
      <c r="W10" s="100">
        <f t="shared" si="7"/>
        <v>3.8448780170654506E-2</v>
      </c>
      <c r="AA10" t="s">
        <v>29</v>
      </c>
      <c r="AB10" s="8">
        <v>15300.4497375798</v>
      </c>
      <c r="AC10">
        <v>1121.18793801168</v>
      </c>
      <c r="AD10">
        <v>13.646641404931399</v>
      </c>
      <c r="AE10" s="99">
        <v>1.43753283406506E-25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8">
        <f>Dataset!AC11</f>
        <v>179.6</v>
      </c>
      <c r="F11" s="8">
        <f>Dataset!AD11</f>
        <v>5.5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-11222476.5573291</v>
      </c>
      <c r="N11" s="1">
        <f t="shared" si="2"/>
        <v>1633997.5598127483</v>
      </c>
      <c r="O11" s="1">
        <f t="shared" si="3"/>
        <v>84152.473556688899</v>
      </c>
      <c r="P11" s="1">
        <f t="shared" si="4"/>
        <v>9021933.1670136303</v>
      </c>
      <c r="Q11" s="1">
        <f t="shared" si="8"/>
        <v>-615866.12074584502</v>
      </c>
      <c r="R11" s="1">
        <f t="shared" si="9"/>
        <v>0</v>
      </c>
      <c r="S11" s="1">
        <f t="shared" si="10"/>
        <v>0</v>
      </c>
      <c r="T11" s="1">
        <f t="shared" si="11"/>
        <v>9438710.1628744844</v>
      </c>
      <c r="U11" s="1">
        <f t="shared" si="5"/>
        <v>8340450.6851826068</v>
      </c>
      <c r="V11" s="1">
        <f t="shared" si="6"/>
        <v>-149854.56395045854</v>
      </c>
      <c r="W11" s="100">
        <f t="shared" si="7"/>
        <v>1.7967202206073306E-2</v>
      </c>
      <c r="AA11" t="s">
        <v>74</v>
      </c>
      <c r="AB11" s="8">
        <v>291030.10216173</v>
      </c>
      <c r="AC11">
        <v>35181.043460373301</v>
      </c>
      <c r="AD11">
        <v>8.2723556079152605</v>
      </c>
      <c r="AE11" s="99">
        <v>3.0445785166770902E-13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8">
        <f>Dataset!AC12</f>
        <v>386</v>
      </c>
      <c r="F12" s="8">
        <f>Dataset!AD12</f>
        <v>0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-11222476.5573291</v>
      </c>
      <c r="N12" s="1">
        <f t="shared" si="2"/>
        <v>3511821.0361231673</v>
      </c>
      <c r="O12" s="1">
        <f t="shared" si="3"/>
        <v>0</v>
      </c>
      <c r="P12" s="1">
        <f t="shared" si="4"/>
        <v>8730903.0648519006</v>
      </c>
      <c r="Q12" s="1">
        <f t="shared" si="8"/>
        <v>-615866.12074584502</v>
      </c>
      <c r="R12" s="1">
        <f t="shared" si="9"/>
        <v>0</v>
      </c>
      <c r="S12" s="1">
        <f t="shared" si="10"/>
        <v>0</v>
      </c>
      <c r="T12" s="1">
        <f t="shared" si="11"/>
        <v>9462768.0477416236</v>
      </c>
      <c r="U12" s="1">
        <f t="shared" si="5"/>
        <v>9867149.4706417471</v>
      </c>
      <c r="V12" s="1">
        <f t="shared" si="6"/>
        <v>2384.4591022692621</v>
      </c>
      <c r="W12" s="100">
        <f t="shared" si="7"/>
        <v>2.4165632732775253E-4</v>
      </c>
      <c r="AA12" t="s">
        <v>83</v>
      </c>
      <c r="AB12" s="8">
        <v>-615866.12074584502</v>
      </c>
      <c r="AC12">
        <v>79727.560229481096</v>
      </c>
      <c r="AD12">
        <v>-7.7246327239061099</v>
      </c>
      <c r="AE12" s="99">
        <v>5.1555824266283801E-12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8">
        <f>Dataset!AC13</f>
        <v>481.4</v>
      </c>
      <c r="F13" s="8">
        <f>Dataset!AD13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-11222476.5573291</v>
      </c>
      <c r="N13" s="1">
        <f t="shared" si="2"/>
        <v>4379768.5149992043</v>
      </c>
      <c r="O13" s="1">
        <f t="shared" si="3"/>
        <v>0</v>
      </c>
      <c r="P13" s="1">
        <f t="shared" si="4"/>
        <v>9021933.1670136303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9505871.7581285834</v>
      </c>
      <c r="U13" s="1">
        <f t="shared" si="5"/>
        <v>11685096.882812317</v>
      </c>
      <c r="V13" s="1">
        <f t="shared" si="6"/>
        <v>-366765.50465021096</v>
      </c>
      <c r="W13" s="100">
        <f t="shared" si="7"/>
        <v>3.1387459456129002E-2</v>
      </c>
      <c r="AA13" t="s">
        <v>125</v>
      </c>
      <c r="AB13" s="8">
        <v>1424.4144695496</v>
      </c>
      <c r="AC13">
        <v>367.03854767533898</v>
      </c>
      <c r="AD13">
        <v>3.8808307153872899</v>
      </c>
      <c r="AE13" s="99">
        <v>1.7627614359819001E-4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8">
        <f>Dataset!AC14</f>
        <v>576.9</v>
      </c>
      <c r="F14" s="8">
        <f>Dataset!AD14</f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-11222476.5573291</v>
      </c>
      <c r="N14" s="1">
        <f t="shared" si="2"/>
        <v>5248625.7920711273</v>
      </c>
      <c r="O14" s="1">
        <f t="shared" si="3"/>
        <v>0</v>
      </c>
      <c r="P14" s="1">
        <f t="shared" si="4"/>
        <v>9021933.1670136303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9505871.7581285834</v>
      </c>
      <c r="U14" s="1">
        <f t="shared" si="5"/>
        <v>12553954.15988424</v>
      </c>
      <c r="V14" s="1">
        <f t="shared" si="6"/>
        <v>-684545.09191309847</v>
      </c>
      <c r="W14" s="100">
        <f t="shared" si="7"/>
        <v>5.4528245299838712E-2</v>
      </c>
      <c r="AA14" t="s">
        <v>126</v>
      </c>
      <c r="AB14" s="8">
        <v>9232.3976538773004</v>
      </c>
      <c r="AC14">
        <v>1359.65459810166</v>
      </c>
      <c r="AD14">
        <v>6.7902522205032696</v>
      </c>
      <c r="AE14" s="99">
        <v>5.6234776484473003E-10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8">
        <f>Dataset!AC15</f>
        <v>591.79999999999995</v>
      </c>
      <c r="F15" s="8">
        <f>Dataset!AD15</f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-11222476.5573291</v>
      </c>
      <c r="N15" s="1">
        <f t="shared" si="2"/>
        <v>5384185.7232582653</v>
      </c>
      <c r="O15" s="1">
        <f t="shared" si="3"/>
        <v>0</v>
      </c>
      <c r="P15" s="1">
        <f t="shared" si="4"/>
        <v>8148842.8605284402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9508878.9937369749</v>
      </c>
      <c r="U15" s="1">
        <f t="shared" si="5"/>
        <v>11819431.020194581</v>
      </c>
      <c r="V15" s="1">
        <f t="shared" si="6"/>
        <v>-136547.12918227166</v>
      </c>
      <c r="W15" s="100">
        <f t="shared" si="7"/>
        <v>1.1552766706702579E-2</v>
      </c>
      <c r="AA15" t="s">
        <v>127</v>
      </c>
      <c r="AB15" s="8">
        <v>668.27457964277005</v>
      </c>
      <c r="AC15">
        <v>64.648418182611607</v>
      </c>
      <c r="AD15">
        <v>10.3370600306894</v>
      </c>
      <c r="AE15" s="99">
        <v>5.44006011880794E-18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8">
        <f>Dataset!AC16</f>
        <v>520.20000000000005</v>
      </c>
      <c r="F16" s="8">
        <f>Dataset!AD16</f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-11222476.5573291</v>
      </c>
      <c r="N16" s="1">
        <f t="shared" si="2"/>
        <v>4732770.2150032949</v>
      </c>
      <c r="O16" s="1">
        <f t="shared" si="3"/>
        <v>0</v>
      </c>
      <c r="P16" s="1">
        <f t="shared" si="4"/>
        <v>9021933.1670136303</v>
      </c>
      <c r="Q16" s="1">
        <f t="shared" si="8"/>
        <v>-615866.12074584502</v>
      </c>
      <c r="R16" s="1">
        <f t="shared" si="9"/>
        <v>0</v>
      </c>
      <c r="S16" s="1">
        <f t="shared" si="10"/>
        <v>0</v>
      </c>
      <c r="T16" s="1">
        <f t="shared" si="11"/>
        <v>9518903.1124316175</v>
      </c>
      <c r="U16" s="1">
        <f t="shared" si="5"/>
        <v>11435263.816373598</v>
      </c>
      <c r="V16" s="1">
        <f t="shared" si="6"/>
        <v>-396103.81666515768</v>
      </c>
      <c r="W16" s="100">
        <f t="shared" si="7"/>
        <v>3.4638800033454049E-2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8">
        <f>Dataset!AC17</f>
        <v>309.39999999999998</v>
      </c>
      <c r="F17" s="8">
        <f>Dataset!AD17</f>
        <v>0.7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-11222476.5573291</v>
      </c>
      <c r="N17" s="1">
        <f t="shared" si="2"/>
        <v>2814915.6180738546</v>
      </c>
      <c r="O17" s="1">
        <f t="shared" si="3"/>
        <v>10710.314816305859</v>
      </c>
      <c r="P17" s="1">
        <f t="shared" si="4"/>
        <v>8730903.0648519006</v>
      </c>
      <c r="Q17" s="1">
        <f t="shared" si="8"/>
        <v>-615866.12074584502</v>
      </c>
      <c r="R17" s="1">
        <f t="shared" si="9"/>
        <v>0</v>
      </c>
      <c r="S17" s="1">
        <f t="shared" si="10"/>
        <v>0</v>
      </c>
      <c r="T17" s="1">
        <f t="shared" si="11"/>
        <v>9528927.2311262581</v>
      </c>
      <c r="U17" s="1">
        <f t="shared" si="5"/>
        <v>9247113.550793374</v>
      </c>
      <c r="V17" s="1">
        <f t="shared" si="6"/>
        <v>-2108.1039435509592</v>
      </c>
      <c r="W17" s="100">
        <f t="shared" si="7"/>
        <v>2.279742680752623E-4</v>
      </c>
      <c r="AA17" t="s">
        <v>128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8">
        <f>Dataset!AC18</f>
        <v>120.1</v>
      </c>
      <c r="F18" s="8">
        <f>Dataset!AD18</f>
        <v>34.1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-11222476.5573291</v>
      </c>
      <c r="N18" s="1">
        <f t="shared" si="2"/>
        <v>1092667.6332600839</v>
      </c>
      <c r="O18" s="1">
        <f t="shared" si="3"/>
        <v>521745.33605147118</v>
      </c>
      <c r="P18" s="1">
        <f t="shared" si="4"/>
        <v>9021933.1670136303</v>
      </c>
      <c r="Q18" s="1">
        <f t="shared" si="8"/>
        <v>-615866.12074584502</v>
      </c>
      <c r="R18" s="1">
        <f t="shared" si="9"/>
        <v>0</v>
      </c>
      <c r="S18" s="1">
        <f t="shared" si="10"/>
        <v>0</v>
      </c>
      <c r="T18" s="1">
        <f t="shared" si="11"/>
        <v>9526922.4073873293</v>
      </c>
      <c r="U18" s="1">
        <f t="shared" si="5"/>
        <v>8324925.8656375706</v>
      </c>
      <c r="V18" s="1">
        <f t="shared" si="6"/>
        <v>156007.45703214873</v>
      </c>
      <c r="W18" s="100">
        <f t="shared" si="7"/>
        <v>1.8739801356801724E-2</v>
      </c>
      <c r="AA18" t="s">
        <v>129</v>
      </c>
      <c r="AB18">
        <v>10654726.888134301</v>
      </c>
      <c r="AC18" t="s">
        <v>130</v>
      </c>
      <c r="AD18">
        <v>1945207.0462430001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8">
        <f>Dataset!AC19</f>
        <v>39.4</v>
      </c>
      <c r="F19" s="8">
        <f>Dataset!AD19</f>
        <v>65.900000000000006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-11222476.5573291</v>
      </c>
      <c r="N19" s="1">
        <f t="shared" si="2"/>
        <v>358460.48917941138</v>
      </c>
      <c r="O19" s="1">
        <f t="shared" si="3"/>
        <v>1008299.6377065089</v>
      </c>
      <c r="P19" s="1">
        <f t="shared" si="4"/>
        <v>8730903.0648519006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9503532.7970998324</v>
      </c>
      <c r="U19" s="1">
        <f t="shared" si="5"/>
        <v>8378719.4315085541</v>
      </c>
      <c r="V19" s="1">
        <f t="shared" si="6"/>
        <v>197710.80300711654</v>
      </c>
      <c r="W19" s="100">
        <f t="shared" si="7"/>
        <v>2.3596780465474962E-2</v>
      </c>
      <c r="AA19" t="s">
        <v>131</v>
      </c>
      <c r="AB19">
        <v>12137024796806</v>
      </c>
      <c r="AC19" t="s">
        <v>132</v>
      </c>
      <c r="AD19">
        <v>329190.35956210003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8">
        <f>Dataset!AC20</f>
        <v>0.2</v>
      </c>
      <c r="F20" s="8">
        <f>Dataset!AD20</f>
        <v>153.9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-11222476.5573291</v>
      </c>
      <c r="N20" s="1">
        <f t="shared" si="2"/>
        <v>1819.5963917736619</v>
      </c>
      <c r="O20" s="1">
        <f t="shared" si="3"/>
        <v>2354739.2146135313</v>
      </c>
      <c r="P20" s="1">
        <f t="shared" si="4"/>
        <v>9021933.1670136303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9575706.4517012518</v>
      </c>
      <c r="U20" s="1">
        <f t="shared" si="5"/>
        <v>9731721.8723910861</v>
      </c>
      <c r="V20" s="1">
        <f t="shared" si="6"/>
        <v>327221.25554578565</v>
      </c>
      <c r="W20" s="100">
        <f t="shared" si="7"/>
        <v>3.3624189001343431E-2</v>
      </c>
      <c r="AA20" t="s">
        <v>133</v>
      </c>
      <c r="AB20">
        <v>0.97310115128518404</v>
      </c>
      <c r="AC20" t="s">
        <v>134</v>
      </c>
      <c r="AD20">
        <v>0.97141997324050799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8">
        <f>Dataset!AC21</f>
        <v>1.8</v>
      </c>
      <c r="F21" s="8">
        <f>Dataset!AD21</f>
        <v>113.9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-11222476.5573291</v>
      </c>
      <c r="N21" s="1">
        <f t="shared" si="2"/>
        <v>16376.367525962958</v>
      </c>
      <c r="O21" s="1">
        <f t="shared" si="3"/>
        <v>1742721.2251103392</v>
      </c>
      <c r="P21" s="1">
        <f t="shared" si="4"/>
        <v>9021933.1670136303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9575706.4517012518</v>
      </c>
      <c r="U21" s="1">
        <f t="shared" si="5"/>
        <v>9134260.6540220845</v>
      </c>
      <c r="V21" s="1">
        <f t="shared" si="6"/>
        <v>211200.18174920231</v>
      </c>
      <c r="W21" s="100">
        <f t="shared" si="7"/>
        <v>2.3121759904695147E-2</v>
      </c>
      <c r="AA21" t="s">
        <v>345</v>
      </c>
      <c r="AB21">
        <v>454.64213396154901</v>
      </c>
      <c r="AC21" t="s">
        <v>135</v>
      </c>
      <c r="AD21" s="99">
        <v>4.0307340936341202E-79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8">
        <f>Dataset!AC22</f>
        <v>63.2</v>
      </c>
      <c r="F22" s="8">
        <f>Dataset!AD22</f>
        <v>43.8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-11222476.5573291</v>
      </c>
      <c r="N22" s="1">
        <f t="shared" si="2"/>
        <v>574992.45980047714</v>
      </c>
      <c r="O22" s="1">
        <f t="shared" si="3"/>
        <v>670159.69850599521</v>
      </c>
      <c r="P22" s="1">
        <f t="shared" si="4"/>
        <v>8730903.0648519006</v>
      </c>
      <c r="Q22" s="1">
        <f t="shared" si="8"/>
        <v>-615866.12074584502</v>
      </c>
      <c r="R22" s="1">
        <f t="shared" si="9"/>
        <v>0</v>
      </c>
      <c r="S22" s="1">
        <f t="shared" si="10"/>
        <v>0</v>
      </c>
      <c r="T22" s="1">
        <f t="shared" si="11"/>
        <v>9551648.5668341126</v>
      </c>
      <c r="U22" s="1">
        <f t="shared" si="5"/>
        <v>7689361.1119175423</v>
      </c>
      <c r="V22" s="1">
        <f t="shared" si="6"/>
        <v>-272895.69769139495</v>
      </c>
      <c r="W22" s="100">
        <f t="shared" si="7"/>
        <v>3.5490035351368916E-2</v>
      </c>
      <c r="AA22" t="s">
        <v>136</v>
      </c>
      <c r="AB22">
        <v>-8.9262973883593201E-3</v>
      </c>
      <c r="AC22" t="s">
        <v>137</v>
      </c>
      <c r="AD22" s="99">
        <v>1.99199764267158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8">
        <f>Dataset!AC23</f>
        <v>175.4</v>
      </c>
      <c r="F23" s="8">
        <f>Dataset!AD23</f>
        <v>2.6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-11222476.5573291</v>
      </c>
      <c r="N23" s="1">
        <f t="shared" si="2"/>
        <v>1595786.0355855015</v>
      </c>
      <c r="O23" s="1">
        <f t="shared" si="3"/>
        <v>39781.169317707485</v>
      </c>
      <c r="P23" s="1">
        <f t="shared" si="4"/>
        <v>9021933.1670136303</v>
      </c>
      <c r="Q23" s="1">
        <f t="shared" si="8"/>
        <v>-615866.12074584502</v>
      </c>
      <c r="R23" s="1">
        <f t="shared" si="9"/>
        <v>0</v>
      </c>
      <c r="S23" s="1">
        <f t="shared" si="10"/>
        <v>0</v>
      </c>
      <c r="T23" s="1">
        <f t="shared" si="11"/>
        <v>9575706.4517012518</v>
      </c>
      <c r="U23" s="1">
        <f t="shared" si="5"/>
        <v>8394864.1455431469</v>
      </c>
      <c r="V23" s="1">
        <f t="shared" si="6"/>
        <v>-61509.827950492501</v>
      </c>
      <c r="W23" s="100">
        <f t="shared" si="7"/>
        <v>7.3270784236750533E-3</v>
      </c>
      <c r="AB23" s="99"/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8">
        <f>Dataset!AC24</f>
        <v>416.7</v>
      </c>
      <c r="F24" s="8">
        <f>Dataset!AD24</f>
        <v>0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-11222476.5573291</v>
      </c>
      <c r="N24" s="1">
        <f t="shared" si="2"/>
        <v>3791129.0822604243</v>
      </c>
      <c r="O24" s="1">
        <f t="shared" si="3"/>
        <v>0</v>
      </c>
      <c r="P24" s="1">
        <f t="shared" si="4"/>
        <v>8730903.0648519006</v>
      </c>
      <c r="Q24" s="1">
        <f t="shared" si="8"/>
        <v>-615866.12074584502</v>
      </c>
      <c r="R24" s="1">
        <f t="shared" si="9"/>
        <v>0</v>
      </c>
      <c r="S24" s="1">
        <f t="shared" si="10"/>
        <v>0</v>
      </c>
      <c r="T24" s="1">
        <f t="shared" si="11"/>
        <v>9599764.336568391</v>
      </c>
      <c r="U24" s="1">
        <f t="shared" si="5"/>
        <v>10283453.805605771</v>
      </c>
      <c r="V24" s="1">
        <f t="shared" si="6"/>
        <v>-302519.58027299866</v>
      </c>
      <c r="W24" s="100">
        <f t="shared" si="7"/>
        <v>2.9418091041366626E-2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8">
        <f>Dataset!AC25</f>
        <v>655.5</v>
      </c>
      <c r="F25" s="8">
        <f>Dataset!AD25</f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-11222476.5573291</v>
      </c>
      <c r="N25" s="1">
        <f t="shared" si="2"/>
        <v>5963727.1740381764</v>
      </c>
      <c r="O25" s="1">
        <f t="shared" si="3"/>
        <v>0</v>
      </c>
      <c r="P25" s="1">
        <f t="shared" si="4"/>
        <v>9021933.1670136303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9600432.6111480352</v>
      </c>
      <c r="U25" s="1">
        <f t="shared" si="5"/>
        <v>13363616.394870743</v>
      </c>
      <c r="V25" s="1">
        <f t="shared" si="6"/>
        <v>-347135.07101260684</v>
      </c>
      <c r="W25" s="100">
        <f t="shared" si="7"/>
        <v>2.5976132564374199E-2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8">
        <f>Dataset!AC26</f>
        <v>764.1</v>
      </c>
      <c r="F26" s="8">
        <f>Dataset!AD26</f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-11222476.5573291</v>
      </c>
      <c r="N26" s="1">
        <f t="shared" si="2"/>
        <v>6951768.0147712752</v>
      </c>
      <c r="O26" s="1">
        <f t="shared" si="3"/>
        <v>0</v>
      </c>
      <c r="P26" s="1">
        <f t="shared" si="4"/>
        <v>9021933.1670136303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9600432.6111480352</v>
      </c>
      <c r="U26" s="1">
        <f t="shared" si="5"/>
        <v>14351657.235603841</v>
      </c>
      <c r="V26" s="1">
        <f t="shared" si="6"/>
        <v>-409743.62305787764</v>
      </c>
      <c r="W26" s="100">
        <f t="shared" si="7"/>
        <v>2.8550265403592453E-2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8">
        <f>Dataset!AC27</f>
        <v>684.1</v>
      </c>
      <c r="F27" s="8">
        <f>Dataset!AD27</f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-11222476.5573291</v>
      </c>
      <c r="N27" s="1">
        <f t="shared" si="2"/>
        <v>6223929.4580618106</v>
      </c>
      <c r="O27" s="1">
        <f t="shared" si="3"/>
        <v>0</v>
      </c>
      <c r="P27" s="1">
        <f t="shared" si="4"/>
        <v>8148842.8605284402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9628500.1434930302</v>
      </c>
      <c r="U27" s="1">
        <f t="shared" si="5"/>
        <v>12778795.90475418</v>
      </c>
      <c r="V27" s="1">
        <f t="shared" si="6"/>
        <v>-245360.92740532756</v>
      </c>
      <c r="W27" s="100">
        <f t="shared" si="7"/>
        <v>1.9200629639451735E-2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8">
        <f>Dataset!AC28</f>
        <v>668</v>
      </c>
      <c r="F28" s="8">
        <f>Dataset!AD28</f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-11222476.5573291</v>
      </c>
      <c r="N28" s="1">
        <f t="shared" si="2"/>
        <v>6077451.9485240309</v>
      </c>
      <c r="O28" s="1">
        <f t="shared" si="3"/>
        <v>0</v>
      </c>
      <c r="P28" s="1">
        <f t="shared" si="4"/>
        <v>9021933.1670136303</v>
      </c>
      <c r="Q28" s="1">
        <f t="shared" si="8"/>
        <v>-615866.12074584502</v>
      </c>
      <c r="R28" s="1">
        <f t="shared" si="9"/>
        <v>0</v>
      </c>
      <c r="S28" s="1">
        <f t="shared" si="10"/>
        <v>0</v>
      </c>
      <c r="T28" s="1">
        <f t="shared" si="11"/>
        <v>9607115.3569444623</v>
      </c>
      <c r="U28" s="1">
        <f t="shared" si="5"/>
        <v>12868157.794407178</v>
      </c>
      <c r="V28" s="1">
        <f t="shared" si="6"/>
        <v>82454.453226847574</v>
      </c>
      <c r="W28" s="100">
        <f t="shared" si="7"/>
        <v>6.4076346081709023E-3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8">
        <f>Dataset!AC29</f>
        <v>329.7</v>
      </c>
      <c r="F29" s="8">
        <f>Dataset!AD29</f>
        <v>0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-11222476.5573291</v>
      </c>
      <c r="N29" s="1">
        <f t="shared" si="2"/>
        <v>2999604.6518388814</v>
      </c>
      <c r="O29" s="1">
        <f t="shared" si="3"/>
        <v>0</v>
      </c>
      <c r="P29" s="1">
        <f t="shared" si="4"/>
        <v>8730903.0648519006</v>
      </c>
      <c r="Q29" s="1">
        <f t="shared" si="8"/>
        <v>-615866.12074584502</v>
      </c>
      <c r="R29" s="1">
        <f t="shared" si="9"/>
        <v>0</v>
      </c>
      <c r="S29" s="1">
        <f t="shared" si="10"/>
        <v>0</v>
      </c>
      <c r="T29" s="1">
        <f t="shared" si="11"/>
        <v>9633178.0655505303</v>
      </c>
      <c r="U29" s="1">
        <f t="shared" si="5"/>
        <v>9525343.104166368</v>
      </c>
      <c r="V29" s="1">
        <f t="shared" si="6"/>
        <v>-378112.52848112769</v>
      </c>
      <c r="W29" s="100">
        <f t="shared" si="7"/>
        <v>3.9695423497736471E-2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8">
        <f>Dataset!AC30</f>
        <v>125.5</v>
      </c>
      <c r="F30" s="8">
        <f>Dataset!AD30</f>
        <v>14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-11222476.5573291</v>
      </c>
      <c r="N30" s="1">
        <f t="shared" si="2"/>
        <v>1141796.7358379727</v>
      </c>
      <c r="O30" s="1">
        <f t="shared" si="3"/>
        <v>214206.29632611721</v>
      </c>
      <c r="P30" s="1">
        <f t="shared" si="4"/>
        <v>9021933.1670136303</v>
      </c>
      <c r="Q30" s="1">
        <f t="shared" si="8"/>
        <v>-615866.12074584502</v>
      </c>
      <c r="R30" s="1">
        <f t="shared" si="9"/>
        <v>0</v>
      </c>
      <c r="S30" s="1">
        <f t="shared" si="10"/>
        <v>0</v>
      </c>
      <c r="T30" s="1">
        <f t="shared" si="11"/>
        <v>9633178.0655505303</v>
      </c>
      <c r="U30" s="1">
        <f t="shared" si="5"/>
        <v>8172771.5866533071</v>
      </c>
      <c r="V30" s="1">
        <f t="shared" si="6"/>
        <v>-32833.194638807327</v>
      </c>
      <c r="W30" s="100">
        <f t="shared" si="7"/>
        <v>4.0173880171111313E-3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8">
        <f>Dataset!AC31</f>
        <v>24.3</v>
      </c>
      <c r="F31" s="8">
        <f>Dataset!AD31</f>
        <v>68.599999999999994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-11222476.5573291</v>
      </c>
      <c r="N31" s="1">
        <f t="shared" si="2"/>
        <v>221080.96160049993</v>
      </c>
      <c r="O31" s="1">
        <f t="shared" si="3"/>
        <v>1049610.8519979741</v>
      </c>
      <c r="P31" s="1">
        <f t="shared" si="4"/>
        <v>8730903.0648519006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9632509.790970888</v>
      </c>
      <c r="U31" s="1">
        <f t="shared" si="5"/>
        <v>8411628.1120921616</v>
      </c>
      <c r="V31" s="1">
        <f t="shared" si="6"/>
        <v>469265.54679672886</v>
      </c>
      <c r="W31" s="100">
        <f t="shared" si="7"/>
        <v>5.5787719160115358E-2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8">
        <f>Dataset!AC32</f>
        <v>6.3</v>
      </c>
      <c r="F32" s="8">
        <f>Dataset!AD32</f>
        <v>88.9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-11222476.5573291</v>
      </c>
      <c r="N32" s="1">
        <f t="shared" si="2"/>
        <v>57317.286340870349</v>
      </c>
      <c r="O32" s="1">
        <f t="shared" si="3"/>
        <v>1360209.9816708444</v>
      </c>
      <c r="P32" s="1">
        <f t="shared" si="4"/>
        <v>9021933.1670136303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9613798.1027408894</v>
      </c>
      <c r="U32" s="1">
        <f t="shared" si="5"/>
        <v>8830781.9804371353</v>
      </c>
      <c r="V32" s="1">
        <f t="shared" si="6"/>
        <v>183025.921586724</v>
      </c>
      <c r="W32" s="100">
        <f t="shared" si="7"/>
        <v>2.072590196340279E-2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8">
        <f>Dataset!AC33</f>
        <v>7.6</v>
      </c>
      <c r="F33" s="8">
        <f>Dataset!AD33</f>
        <v>91.4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-11222476.5573291</v>
      </c>
      <c r="N33" s="1">
        <f t="shared" si="2"/>
        <v>69144.662887399143</v>
      </c>
      <c r="O33" s="1">
        <f t="shared" si="3"/>
        <v>1398461.1060147937</v>
      </c>
      <c r="P33" s="1">
        <f t="shared" si="4"/>
        <v>9021933.1670136303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9656567.6758380271</v>
      </c>
      <c r="U33" s="1">
        <f t="shared" si="5"/>
        <v>8923630.0544247515</v>
      </c>
      <c r="V33" s="1">
        <f t="shared" si="6"/>
        <v>378345.12614204176</v>
      </c>
      <c r="W33" s="100">
        <f t="shared" si="7"/>
        <v>4.2398118684272505E-2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8">
        <f>Dataset!AC34</f>
        <v>46</v>
      </c>
      <c r="F34" s="8">
        <f>Dataset!AD34</f>
        <v>41.1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12">$AB$8</f>
        <v>-11222476.5573291</v>
      </c>
      <c r="N34" s="1">
        <f t="shared" ref="N34:N65" si="13">E34*$AB$9</f>
        <v>418507.17010794225</v>
      </c>
      <c r="O34" s="1">
        <f t="shared" ref="O34:O65" si="14">F34*$AB$10</f>
        <v>628848.48421452986</v>
      </c>
      <c r="P34" s="1">
        <f t="shared" ref="P34:P65" si="15">G34*$AB$11</f>
        <v>8730903.0648519006</v>
      </c>
      <c r="Q34" s="1">
        <f t="shared" si="8"/>
        <v>-615866.12074584502</v>
      </c>
      <c r="R34" s="1">
        <f t="shared" si="9"/>
        <v>0</v>
      </c>
      <c r="S34" s="1">
        <f t="shared" si="10"/>
        <v>0</v>
      </c>
      <c r="T34" s="1">
        <f t="shared" si="11"/>
        <v>9647211.8317230288</v>
      </c>
      <c r="U34" s="1">
        <f t="shared" ref="U34:U65" si="16">SUM(M34:T34)</f>
        <v>7587127.8728224561</v>
      </c>
      <c r="V34" s="1">
        <f t="shared" ref="V34:V65" si="17">U34-D34</f>
        <v>-343645.97158665489</v>
      </c>
      <c r="W34" s="100">
        <f t="shared" si="7"/>
        <v>4.5293288494268724E-2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8">
        <f>Dataset!AC35</f>
        <v>181.9</v>
      </c>
      <c r="F35" s="8">
        <f>Dataset!AD35</f>
        <v>6.3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12"/>
        <v>-11222476.5573291</v>
      </c>
      <c r="N35" s="1">
        <f t="shared" si="13"/>
        <v>1654922.9183181454</v>
      </c>
      <c r="O35" s="1">
        <f t="shared" si="14"/>
        <v>96392.833346752741</v>
      </c>
      <c r="P35" s="1">
        <f t="shared" si="15"/>
        <v>9021933.1670136303</v>
      </c>
      <c r="Q35" s="1">
        <f t="shared" si="8"/>
        <v>-615866.12074584502</v>
      </c>
      <c r="R35" s="1">
        <f t="shared" si="9"/>
        <v>0</v>
      </c>
      <c r="S35" s="1">
        <f t="shared" si="10"/>
        <v>0</v>
      </c>
      <c r="T35" s="1">
        <f t="shared" si="11"/>
        <v>9664586.9707937408</v>
      </c>
      <c r="U35" s="1">
        <f t="shared" si="16"/>
        <v>8599493.2113973238</v>
      </c>
      <c r="V35" s="1">
        <f t="shared" si="17"/>
        <v>-5349.7995976973325</v>
      </c>
      <c r="W35" s="100">
        <f t="shared" si="7"/>
        <v>6.2210638071171268E-4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8">
        <f>Dataset!AC36</f>
        <v>418.3</v>
      </c>
      <c r="F36" s="8">
        <f>Dataset!AD36</f>
        <v>0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12"/>
        <v>-11222476.5573291</v>
      </c>
      <c r="N36" s="1">
        <f t="shared" si="13"/>
        <v>3805685.8533946141</v>
      </c>
      <c r="O36" s="1">
        <f t="shared" si="14"/>
        <v>0</v>
      </c>
      <c r="P36" s="1">
        <f t="shared" si="15"/>
        <v>8730903.0648519006</v>
      </c>
      <c r="Q36" s="1">
        <f t="shared" si="8"/>
        <v>-615866.12074584502</v>
      </c>
      <c r="R36" s="1">
        <f t="shared" si="9"/>
        <v>0</v>
      </c>
      <c r="S36" s="1">
        <f t="shared" si="10"/>
        <v>0</v>
      </c>
      <c r="T36" s="1">
        <f t="shared" si="11"/>
        <v>9740770.2728730161</v>
      </c>
      <c r="U36" s="1">
        <f t="shared" si="16"/>
        <v>10439016.513044586</v>
      </c>
      <c r="V36" s="1">
        <f t="shared" si="17"/>
        <v>56298.128541819751</v>
      </c>
      <c r="W36" s="100">
        <f t="shared" si="7"/>
        <v>5.3930490934150409E-3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8">
        <f>Dataset!AC37</f>
        <v>518.1</v>
      </c>
      <c r="F37" s="8">
        <f>Dataset!AD37</f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12"/>
        <v>-11222476.5573291</v>
      </c>
      <c r="N37" s="1">
        <f t="shared" si="13"/>
        <v>4713664.4528896715</v>
      </c>
      <c r="O37" s="1">
        <f t="shared" si="14"/>
        <v>0</v>
      </c>
      <c r="P37" s="1">
        <f t="shared" si="15"/>
        <v>9021933.1670136303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9679957.286125524</v>
      </c>
      <c r="U37" s="1">
        <f t="shared" si="16"/>
        <v>12193078.348699726</v>
      </c>
      <c r="V37" s="1">
        <f t="shared" si="17"/>
        <v>-491463.24825659022</v>
      </c>
      <c r="W37" s="100">
        <f t="shared" si="7"/>
        <v>4.0306740775515479E-2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8">
        <f>Dataset!AC38</f>
        <v>762.7</v>
      </c>
      <c r="F38" s="8">
        <f>Dataset!AD38</f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12"/>
        <v>-11222476.5573291</v>
      </c>
      <c r="N38" s="1">
        <f t="shared" si="13"/>
        <v>6939030.8400288597</v>
      </c>
      <c r="O38" s="1">
        <f t="shared" si="14"/>
        <v>0</v>
      </c>
      <c r="P38" s="1">
        <f t="shared" si="15"/>
        <v>9021933.1670136303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9762823.3340012282</v>
      </c>
      <c r="U38" s="1">
        <f t="shared" si="16"/>
        <v>14501310.783714619</v>
      </c>
      <c r="V38" s="1">
        <f t="shared" si="17"/>
        <v>87604.978554708883</v>
      </c>
      <c r="W38" s="100">
        <f t="shared" si="7"/>
        <v>6.0411765433709443E-3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8">
        <f>Dataset!AC39</f>
        <v>804.7</v>
      </c>
      <c r="F39" s="8">
        <f>Dataset!AD39</f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12"/>
        <v>-11222476.5573291</v>
      </c>
      <c r="N39" s="1">
        <f t="shared" si="13"/>
        <v>7321146.0823013289</v>
      </c>
      <c r="O39" s="1">
        <f t="shared" si="14"/>
        <v>0</v>
      </c>
      <c r="P39" s="1">
        <f t="shared" si="15"/>
        <v>8148842.8605284402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9737428.8999748025</v>
      </c>
      <c r="U39" s="1">
        <f t="shared" si="16"/>
        <v>13984941.285475472</v>
      </c>
      <c r="V39" s="1">
        <f t="shared" si="17"/>
        <v>347398.95660718158</v>
      </c>
      <c r="W39" s="100">
        <f t="shared" si="7"/>
        <v>2.4840930649310939E-2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8">
        <f>Dataset!AC40</f>
        <v>584.70000000000005</v>
      </c>
      <c r="F40" s="8">
        <f>Dataset!AD40</f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12"/>
        <v>-11222476.5573291</v>
      </c>
      <c r="N40" s="1">
        <f t="shared" si="13"/>
        <v>5319590.0513503011</v>
      </c>
      <c r="O40" s="1">
        <f t="shared" si="14"/>
        <v>0</v>
      </c>
      <c r="P40" s="1">
        <f t="shared" si="15"/>
        <v>9021933.1670136303</v>
      </c>
      <c r="Q40" s="1">
        <f t="shared" si="8"/>
        <v>-615866.12074584502</v>
      </c>
      <c r="R40" s="1">
        <f t="shared" si="9"/>
        <v>0</v>
      </c>
      <c r="S40" s="1">
        <f t="shared" si="10"/>
        <v>0</v>
      </c>
      <c r="T40" s="1">
        <f t="shared" si="11"/>
        <v>9713371.0151076633</v>
      </c>
      <c r="U40" s="1">
        <f t="shared" si="16"/>
        <v>12216551.55539665</v>
      </c>
      <c r="V40" s="1">
        <f t="shared" si="17"/>
        <v>-309790.84813806228</v>
      </c>
      <c r="W40" s="100">
        <f t="shared" si="7"/>
        <v>2.5358289262996846E-2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8">
        <f>Dataset!AC41</f>
        <v>306.8</v>
      </c>
      <c r="F41" s="8">
        <f>Dataset!AD41</f>
        <v>0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12"/>
        <v>-11222476.5573291</v>
      </c>
      <c r="N41" s="1">
        <f t="shared" si="13"/>
        <v>2791260.8649807973</v>
      </c>
      <c r="O41" s="1">
        <f t="shared" si="14"/>
        <v>0</v>
      </c>
      <c r="P41" s="1">
        <f t="shared" si="15"/>
        <v>8730903.0648519006</v>
      </c>
      <c r="Q41" s="1">
        <f t="shared" si="8"/>
        <v>-615866.12074584502</v>
      </c>
      <c r="R41" s="1">
        <f t="shared" si="9"/>
        <v>0</v>
      </c>
      <c r="S41" s="1">
        <f t="shared" si="10"/>
        <v>0</v>
      </c>
      <c r="T41" s="1">
        <f t="shared" si="11"/>
        <v>9673274.5403290968</v>
      </c>
      <c r="U41" s="1">
        <f t="shared" si="16"/>
        <v>9357095.7920868509</v>
      </c>
      <c r="V41" s="1">
        <f t="shared" si="17"/>
        <v>84003.826036760584</v>
      </c>
      <c r="W41" s="100">
        <f t="shared" si="7"/>
        <v>8.9775532818421391E-3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8">
        <f>Dataset!AC42</f>
        <v>111.5</v>
      </c>
      <c r="F42" s="8">
        <f>Dataset!AD42</f>
        <v>42.5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12"/>
        <v>-11222476.5573291</v>
      </c>
      <c r="N42" s="1">
        <f t="shared" si="13"/>
        <v>1014424.9884138166</v>
      </c>
      <c r="O42" s="1">
        <f t="shared" si="14"/>
        <v>650269.1138471415</v>
      </c>
      <c r="P42" s="1">
        <f t="shared" si="15"/>
        <v>9021933.1670136303</v>
      </c>
      <c r="Q42" s="1">
        <f t="shared" si="8"/>
        <v>-615866.12074584502</v>
      </c>
      <c r="R42" s="1">
        <f t="shared" si="9"/>
        <v>0</v>
      </c>
      <c r="S42" s="1">
        <f t="shared" si="10"/>
        <v>0</v>
      </c>
      <c r="T42" s="1">
        <f t="shared" si="11"/>
        <v>9774852.2764347978</v>
      </c>
      <c r="U42" s="1">
        <f t="shared" si="16"/>
        <v>8623136.8676344417</v>
      </c>
      <c r="V42" s="1">
        <f t="shared" si="17"/>
        <v>541357.18055402022</v>
      </c>
      <c r="W42" s="100">
        <f t="shared" si="7"/>
        <v>6.2779611278804742E-2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8">
        <f>Dataset!AC43</f>
        <v>29.1</v>
      </c>
      <c r="F43" s="8">
        <f>Dataset!AD43</f>
        <v>25.3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12"/>
        <v>-11222476.5573291</v>
      </c>
      <c r="N43" s="1">
        <f t="shared" si="13"/>
        <v>264751.2750030678</v>
      </c>
      <c r="O43" s="1">
        <f t="shared" si="14"/>
        <v>387101.37836076895</v>
      </c>
      <c r="P43" s="1">
        <f t="shared" si="15"/>
        <v>8730903.0648519006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9743443.3711915873</v>
      </c>
      <c r="U43" s="1">
        <f t="shared" si="16"/>
        <v>7903722.5320782252</v>
      </c>
      <c r="V43" s="1">
        <f t="shared" si="17"/>
        <v>112975.49540558457</v>
      </c>
      <c r="W43" s="100">
        <f t="shared" si="7"/>
        <v>1.4293960212679493E-2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8">
        <f>Dataset!AC44</f>
        <v>4.8</v>
      </c>
      <c r="F44" s="8">
        <f>Dataset!AD44</f>
        <v>129.19999999999999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12"/>
        <v>-11222476.5573291</v>
      </c>
      <c r="N44" s="1">
        <f t="shared" si="13"/>
        <v>43670.313402567881</v>
      </c>
      <c r="O44" s="1">
        <f t="shared" si="14"/>
        <v>1976818.1060953101</v>
      </c>
      <c r="P44" s="1">
        <f t="shared" si="15"/>
        <v>9021933.1670136303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9725399.9575412329</v>
      </c>
      <c r="U44" s="1">
        <f t="shared" si="16"/>
        <v>9545344.9867236409</v>
      </c>
      <c r="V44" s="1">
        <f t="shared" si="17"/>
        <v>361053.67329975218</v>
      </c>
      <c r="W44" s="100">
        <f t="shared" si="7"/>
        <v>3.7825104676879863E-2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8">
        <f>Dataset!AC45</f>
        <v>0.4</v>
      </c>
      <c r="F45" s="8">
        <f>Dataset!AD45</f>
        <v>115.8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12"/>
        <v>-11222476.5573291</v>
      </c>
      <c r="N45" s="1">
        <f t="shared" si="13"/>
        <v>3639.1927835473239</v>
      </c>
      <c r="O45" s="1">
        <f t="shared" si="14"/>
        <v>1771792.0796117408</v>
      </c>
      <c r="P45" s="1">
        <f t="shared" si="15"/>
        <v>9021933.1670136303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9742775.096611945</v>
      </c>
      <c r="U45" s="1">
        <f t="shared" si="16"/>
        <v>9317662.9786917642</v>
      </c>
      <c r="V45" s="1">
        <f t="shared" si="17"/>
        <v>-187609.57496221736</v>
      </c>
      <c r="W45" s="100">
        <f t="shared" si="7"/>
        <v>2.0134831597929125E-2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8">
        <f>Dataset!AC46</f>
        <v>11.3</v>
      </c>
      <c r="F46" s="8">
        <f>Dataset!AD46</f>
        <v>113.7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12"/>
        <v>-11222476.5573291</v>
      </c>
      <c r="N46" s="1">
        <f t="shared" si="13"/>
        <v>102807.1961352119</v>
      </c>
      <c r="O46" s="1">
        <f t="shared" si="14"/>
        <v>1739661.1351628234</v>
      </c>
      <c r="P46" s="1">
        <f t="shared" si="15"/>
        <v>8730903.0648519006</v>
      </c>
      <c r="Q46" s="1">
        <f t="shared" si="8"/>
        <v>-615866.12074584502</v>
      </c>
      <c r="R46" s="1">
        <f t="shared" si="9"/>
        <v>0</v>
      </c>
      <c r="S46" s="1">
        <f t="shared" si="10"/>
        <v>0</v>
      </c>
      <c r="T46" s="1">
        <f t="shared" si="11"/>
        <v>9775520.5510144401</v>
      </c>
      <c r="U46" s="1">
        <f t="shared" si="16"/>
        <v>8510549.2690894306</v>
      </c>
      <c r="V46" s="1">
        <f t="shared" si="17"/>
        <v>58544.180343639106</v>
      </c>
      <c r="W46" s="100">
        <f t="shared" si="7"/>
        <v>6.8790131509223872E-3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8">
        <f>Dataset!AC47</f>
        <v>199.1</v>
      </c>
      <c r="F47" s="8">
        <f>Dataset!AD47</f>
        <v>6.8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12"/>
        <v>-11222476.5573291</v>
      </c>
      <c r="N47" s="1">
        <f t="shared" si="13"/>
        <v>1811408.2080106803</v>
      </c>
      <c r="O47" s="1">
        <f t="shared" si="14"/>
        <v>104043.05821554264</v>
      </c>
      <c r="P47" s="1">
        <f t="shared" si="15"/>
        <v>9021933.1670136303</v>
      </c>
      <c r="Q47" s="1">
        <f t="shared" si="8"/>
        <v>-615866.12074584502</v>
      </c>
      <c r="R47" s="1">
        <f t="shared" si="9"/>
        <v>0</v>
      </c>
      <c r="S47" s="1">
        <f t="shared" si="10"/>
        <v>0</v>
      </c>
      <c r="T47" s="1">
        <f t="shared" si="11"/>
        <v>9762823.3340012282</v>
      </c>
      <c r="U47" s="1">
        <f t="shared" si="16"/>
        <v>8861865.0891661365</v>
      </c>
      <c r="V47" s="1">
        <f t="shared" si="17"/>
        <v>423046.77490639314</v>
      </c>
      <c r="W47" s="100">
        <f t="shared" si="7"/>
        <v>4.7737893846249019E-2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8">
        <f>Dataset!AC48</f>
        <v>281.10000000000002</v>
      </c>
      <c r="F48" s="8">
        <f>Dataset!AD48</f>
        <v>3.5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12"/>
        <v>-11222476.5573291</v>
      </c>
      <c r="N48" s="1">
        <f t="shared" si="13"/>
        <v>2557442.728637882</v>
      </c>
      <c r="O48" s="1">
        <f t="shared" si="14"/>
        <v>53551.574081529303</v>
      </c>
      <c r="P48" s="1">
        <f t="shared" si="15"/>
        <v>8730903.0648519006</v>
      </c>
      <c r="Q48" s="1">
        <f t="shared" si="8"/>
        <v>-615866.12074584502</v>
      </c>
      <c r="R48" s="1">
        <f t="shared" si="9"/>
        <v>0</v>
      </c>
      <c r="S48" s="1">
        <f t="shared" si="10"/>
        <v>0</v>
      </c>
      <c r="T48" s="1">
        <f t="shared" si="11"/>
        <v>9747453.0186694432</v>
      </c>
      <c r="U48" s="1">
        <f t="shared" si="16"/>
        <v>9251007.7081658095</v>
      </c>
      <c r="V48" s="1">
        <f t="shared" si="17"/>
        <v>167472.42619687319</v>
      </c>
      <c r="W48" s="100">
        <f t="shared" si="7"/>
        <v>1.8103154972949193E-2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8">
        <f>Dataset!AC49</f>
        <v>374.6</v>
      </c>
      <c r="F49" s="8">
        <f>Dataset!AD49</f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12"/>
        <v>-11222476.5573291</v>
      </c>
      <c r="N49" s="1">
        <f t="shared" si="13"/>
        <v>3408104.0417920691</v>
      </c>
      <c r="O49" s="1">
        <f t="shared" si="14"/>
        <v>0</v>
      </c>
      <c r="P49" s="1">
        <f t="shared" si="15"/>
        <v>9021933.1670136303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9805592.9070983641</v>
      </c>
      <c r="U49" s="1">
        <f t="shared" si="16"/>
        <v>11013153.558574963</v>
      </c>
      <c r="V49" s="1">
        <f t="shared" si="17"/>
        <v>-102680.97421136685</v>
      </c>
      <c r="W49" s="100">
        <f t="shared" si="7"/>
        <v>9.3234852002420602E-3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8">
        <f>Dataset!AC50</f>
        <v>620.29999999999995</v>
      </c>
      <c r="F50" s="8">
        <f>Dataset!AD50</f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12"/>
        <v>-11222476.5573291</v>
      </c>
      <c r="N50" s="1">
        <f t="shared" si="13"/>
        <v>5643478.2090860121</v>
      </c>
      <c r="O50" s="1">
        <f t="shared" si="14"/>
        <v>0</v>
      </c>
      <c r="P50" s="1">
        <f t="shared" si="15"/>
        <v>9021933.1670136303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9839674.9106601458</v>
      </c>
      <c r="U50" s="1">
        <f t="shared" si="16"/>
        <v>13282609.729430689</v>
      </c>
      <c r="V50" s="1">
        <f t="shared" si="17"/>
        <v>696417.86948752962</v>
      </c>
      <c r="W50" s="100">
        <f t="shared" si="7"/>
        <v>5.2430801150805104E-2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8">
        <f>Dataset!AC51</f>
        <v>565.5</v>
      </c>
      <c r="F51" s="8">
        <f>Dataset!AD51</f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12"/>
        <v>-11222476.5573291</v>
      </c>
      <c r="N51" s="1">
        <f t="shared" si="13"/>
        <v>5144908.7977400292</v>
      </c>
      <c r="O51" s="1">
        <f t="shared" si="14"/>
        <v>0</v>
      </c>
      <c r="P51" s="1">
        <f t="shared" si="15"/>
        <v>8439872.9626901709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9800914.9850408658</v>
      </c>
      <c r="U51" s="1">
        <f t="shared" si="16"/>
        <v>12163220.188141966</v>
      </c>
      <c r="V51" s="1">
        <f t="shared" si="17"/>
        <v>287279.91751676239</v>
      </c>
      <c r="W51" s="100">
        <f t="shared" si="7"/>
        <v>2.3618738547283243E-2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8">
        <f>Dataset!AC52</f>
        <v>451.3</v>
      </c>
      <c r="F52" s="8">
        <f>Dataset!AD52</f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12"/>
        <v>-11222476.5573291</v>
      </c>
      <c r="N52" s="1">
        <f t="shared" si="13"/>
        <v>4105919.2580372682</v>
      </c>
      <c r="O52" s="1">
        <f t="shared" si="14"/>
        <v>0</v>
      </c>
      <c r="P52" s="1">
        <f t="shared" si="15"/>
        <v>9021933.1670136303</v>
      </c>
      <c r="Q52" s="1">
        <f t="shared" si="8"/>
        <v>-615866.12074584502</v>
      </c>
      <c r="R52" s="1">
        <f t="shared" si="9"/>
        <v>0</v>
      </c>
      <c r="S52" s="1">
        <f t="shared" si="10"/>
        <v>0</v>
      </c>
      <c r="T52" s="1">
        <f t="shared" si="11"/>
        <v>9821965.6342996135</v>
      </c>
      <c r="U52" s="1">
        <f t="shared" si="16"/>
        <v>11111475.381275568</v>
      </c>
      <c r="V52" s="1">
        <f t="shared" si="17"/>
        <v>-298064.14577200264</v>
      </c>
      <c r="W52" s="100">
        <f t="shared" si="7"/>
        <v>2.6824893683721204E-2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8">
        <f>Dataset!AC53</f>
        <v>379.8</v>
      </c>
      <c r="F53" s="8">
        <f>Dataset!AD53</f>
        <v>0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12"/>
        <v>-11222476.5573291</v>
      </c>
      <c r="N53" s="1">
        <f t="shared" si="13"/>
        <v>3455413.5479781842</v>
      </c>
      <c r="O53" s="1">
        <f t="shared" si="14"/>
        <v>0</v>
      </c>
      <c r="P53" s="1">
        <f t="shared" si="15"/>
        <v>8730903.0648519006</v>
      </c>
      <c r="Q53" s="1">
        <f t="shared" si="8"/>
        <v>-615866.12074584502</v>
      </c>
      <c r="R53" s="1">
        <f t="shared" si="9"/>
        <v>0</v>
      </c>
      <c r="S53" s="1">
        <f t="shared" si="10"/>
        <v>0</v>
      </c>
      <c r="T53" s="1">
        <f t="shared" si="11"/>
        <v>9821965.6342996135</v>
      </c>
      <c r="U53" s="1">
        <f t="shared" si="16"/>
        <v>10169939.569054754</v>
      </c>
      <c r="V53" s="1">
        <f t="shared" si="17"/>
        <v>646828.11408849992</v>
      </c>
      <c r="W53" s="100">
        <f t="shared" si="7"/>
        <v>6.3601962400708673E-2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8">
        <f>Dataset!AC54</f>
        <v>156.19999999999999</v>
      </c>
      <c r="F54" s="8">
        <f>Dataset!AD54</f>
        <v>30.6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12"/>
        <v>-11222476.5573291</v>
      </c>
      <c r="N54" s="1">
        <f t="shared" si="13"/>
        <v>1421104.7819752297</v>
      </c>
      <c r="O54" s="1">
        <f t="shared" si="14"/>
        <v>468193.7619699419</v>
      </c>
      <c r="P54" s="1">
        <f t="shared" si="15"/>
        <v>9021933.1670136303</v>
      </c>
      <c r="Q54" s="1">
        <f t="shared" si="8"/>
        <v>-615866.12074584502</v>
      </c>
      <c r="R54" s="1">
        <f t="shared" si="9"/>
        <v>0</v>
      </c>
      <c r="S54" s="1">
        <f t="shared" si="10"/>
        <v>0</v>
      </c>
      <c r="T54" s="1">
        <f t="shared" si="11"/>
        <v>9912516.8398412075</v>
      </c>
      <c r="U54" s="1">
        <f t="shared" si="16"/>
        <v>8985405.8727250658</v>
      </c>
      <c r="V54" s="1">
        <f t="shared" si="17"/>
        <v>584610.5484136343</v>
      </c>
      <c r="W54" s="100">
        <f t="shared" si="7"/>
        <v>6.506223054299666E-2</v>
      </c>
      <c r="AB54">
        <v>1</v>
      </c>
      <c r="AC54">
        <f>AB54+1</f>
        <v>2</v>
      </c>
      <c r="AD54">
        <f t="shared" ref="AD54:AM54" si="18">AC54+1</f>
        <v>3</v>
      </c>
      <c r="AE54">
        <f t="shared" si="18"/>
        <v>4</v>
      </c>
      <c r="AF54">
        <f t="shared" si="18"/>
        <v>5</v>
      </c>
      <c r="AG54">
        <f t="shared" si="18"/>
        <v>6</v>
      </c>
      <c r="AH54">
        <f t="shared" si="18"/>
        <v>7</v>
      </c>
      <c r="AI54">
        <f t="shared" si="18"/>
        <v>8</v>
      </c>
      <c r="AJ54">
        <f t="shared" si="18"/>
        <v>9</v>
      </c>
      <c r="AK54">
        <f t="shared" si="18"/>
        <v>10</v>
      </c>
      <c r="AL54">
        <f>AK54+1</f>
        <v>11</v>
      </c>
      <c r="AM54">
        <f t="shared" si="18"/>
        <v>12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8">
        <f>Dataset!AC55</f>
        <v>28.5</v>
      </c>
      <c r="F55" s="8">
        <f>Dataset!AD55</f>
        <v>67.5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12"/>
        <v>-11222476.5573291</v>
      </c>
      <c r="N55" s="1">
        <f t="shared" si="13"/>
        <v>259292.48582774683</v>
      </c>
      <c r="O55" s="1">
        <f t="shared" si="14"/>
        <v>1032780.3572866365</v>
      </c>
      <c r="P55" s="1">
        <f t="shared" si="15"/>
        <v>8730903.0648519006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9874425.1888015699</v>
      </c>
      <c r="U55" s="1">
        <f t="shared" si="16"/>
        <v>8674924.5394387543</v>
      </c>
      <c r="V55" s="1">
        <f t="shared" si="17"/>
        <v>265717.17705895379</v>
      </c>
      <c r="W55" s="100">
        <f t="shared" ref="W55:W117" si="19">ABS(V55/U55)</f>
        <v>3.0630488582456882E-2</v>
      </c>
      <c r="AA55">
        <v>2012</v>
      </c>
      <c r="AB55" s="8">
        <f t="shared" ref="AB55:AM64" si="20">SUMIFS($V:$V,$B:$B,$AA55,$C:$C,AB$54)</f>
        <v>-549256.992169315</v>
      </c>
      <c r="AC55" s="8">
        <f t="shared" si="20"/>
        <v>-248644.43240856566</v>
      </c>
      <c r="AD55" s="8">
        <f t="shared" si="20"/>
        <v>-764504.72538683563</v>
      </c>
      <c r="AE55" s="8">
        <f t="shared" si="20"/>
        <v>626979.34734017774</v>
      </c>
      <c r="AF55" s="8">
        <f t="shared" si="20"/>
        <v>27815.555044288747</v>
      </c>
      <c r="AG55" s="8">
        <f t="shared" si="20"/>
        <v>380402.78319636919</v>
      </c>
      <c r="AH55" s="8">
        <f t="shared" si="20"/>
        <v>207290.52764492482</v>
      </c>
      <c r="AI55" s="8">
        <f t="shared" si="20"/>
        <v>254362.42492778599</v>
      </c>
      <c r="AJ55" s="8">
        <f t="shared" si="20"/>
        <v>-289536.13245044742</v>
      </c>
      <c r="AK55" s="8">
        <f t="shared" si="20"/>
        <v>-149854.56395045854</v>
      </c>
      <c r="AL55" s="8">
        <f t="shared" si="20"/>
        <v>2384.4591022692621</v>
      </c>
      <c r="AM55" s="8">
        <f t="shared" si="20"/>
        <v>-366765.50465021096</v>
      </c>
      <c r="AN55" s="1">
        <f t="shared" ref="AN55:AN64" si="21">SUM(AB55:AM55)</f>
        <v>-869327.25376001745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8">
        <f>Dataset!AC56</f>
        <v>0</v>
      </c>
      <c r="F56" s="8">
        <f>Dataset!AD56</f>
        <v>182.4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12"/>
        <v>-11222476.5573291</v>
      </c>
      <c r="N56" s="1">
        <f t="shared" si="13"/>
        <v>0</v>
      </c>
      <c r="O56" s="1">
        <f t="shared" si="14"/>
        <v>2790802.0321345557</v>
      </c>
      <c r="P56" s="1">
        <f t="shared" si="15"/>
        <v>9021933.1670136303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9879771.3854387123</v>
      </c>
      <c r="U56" s="1">
        <f t="shared" si="16"/>
        <v>10470030.027257798</v>
      </c>
      <c r="V56" s="1">
        <f t="shared" si="17"/>
        <v>94254.452550321817</v>
      </c>
      <c r="W56" s="100">
        <f t="shared" si="19"/>
        <v>9.0023096691163908E-3</v>
      </c>
      <c r="AA56">
        <f>AA55+1</f>
        <v>2013</v>
      </c>
      <c r="AB56" s="8">
        <f t="shared" si="20"/>
        <v>-684545.09191309847</v>
      </c>
      <c r="AC56" s="8">
        <f t="shared" si="20"/>
        <v>-136547.12918227166</v>
      </c>
      <c r="AD56" s="8">
        <f t="shared" si="20"/>
        <v>-396103.81666515768</v>
      </c>
      <c r="AE56" s="8">
        <f t="shared" si="20"/>
        <v>-2108.1039435509592</v>
      </c>
      <c r="AF56" s="8">
        <f t="shared" si="20"/>
        <v>156007.45703214873</v>
      </c>
      <c r="AG56" s="8">
        <f t="shared" si="20"/>
        <v>197710.80300711654</v>
      </c>
      <c r="AH56" s="8">
        <f t="shared" si="20"/>
        <v>327221.25554578565</v>
      </c>
      <c r="AI56" s="8">
        <f t="shared" si="20"/>
        <v>211200.18174920231</v>
      </c>
      <c r="AJ56" s="8">
        <f t="shared" si="20"/>
        <v>-272895.69769139495</v>
      </c>
      <c r="AK56" s="8">
        <f t="shared" si="20"/>
        <v>-61509.827950492501</v>
      </c>
      <c r="AL56" s="8">
        <f t="shared" si="20"/>
        <v>-302519.58027299866</v>
      </c>
      <c r="AM56" s="8">
        <f t="shared" si="20"/>
        <v>-347135.07101260684</v>
      </c>
      <c r="AN56" s="1">
        <f t="shared" si="21"/>
        <v>-1311224.6212973185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8">
        <f>Dataset!AC57</f>
        <v>0</v>
      </c>
      <c r="F57" s="8">
        <f>Dataset!AD57</f>
        <v>198.1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12"/>
        <v>-11222476.5573291</v>
      </c>
      <c r="N57" s="1">
        <f t="shared" si="13"/>
        <v>0</v>
      </c>
      <c r="O57" s="1">
        <f t="shared" si="14"/>
        <v>3031019.0930145583</v>
      </c>
      <c r="P57" s="1">
        <f t="shared" si="15"/>
        <v>9021933.1670136303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9909843.7415226363</v>
      </c>
      <c r="U57" s="1">
        <f t="shared" si="16"/>
        <v>10740319.444221726</v>
      </c>
      <c r="V57" s="1">
        <f t="shared" si="17"/>
        <v>15036.407166203484</v>
      </c>
      <c r="W57" s="100">
        <f t="shared" si="19"/>
        <v>1.3999962705292762E-3</v>
      </c>
      <c r="AA57">
        <f t="shared" ref="AA57:AA64" si="22">AA56+1</f>
        <v>2014</v>
      </c>
      <c r="AB57" s="8">
        <f t="shared" si="20"/>
        <v>-409743.62305787764</v>
      </c>
      <c r="AC57" s="8">
        <f t="shared" si="20"/>
        <v>-245360.92740532756</v>
      </c>
      <c r="AD57" s="8">
        <f t="shared" si="20"/>
        <v>82454.453226847574</v>
      </c>
      <c r="AE57" s="8">
        <f t="shared" si="20"/>
        <v>-378112.52848112769</v>
      </c>
      <c r="AF57" s="8">
        <f t="shared" si="20"/>
        <v>-32833.194638807327</v>
      </c>
      <c r="AG57" s="8">
        <f t="shared" si="20"/>
        <v>469265.54679672886</v>
      </c>
      <c r="AH57" s="8">
        <f t="shared" si="20"/>
        <v>183025.921586724</v>
      </c>
      <c r="AI57" s="8">
        <f t="shared" si="20"/>
        <v>378345.12614204176</v>
      </c>
      <c r="AJ57" s="8">
        <f t="shared" si="20"/>
        <v>-343645.97158665489</v>
      </c>
      <c r="AK57" s="8">
        <f t="shared" si="20"/>
        <v>-5349.7995976973325</v>
      </c>
      <c r="AL57" s="8">
        <f t="shared" si="20"/>
        <v>56298.128541819751</v>
      </c>
      <c r="AM57" s="8">
        <f t="shared" si="20"/>
        <v>-491463.24825659022</v>
      </c>
      <c r="AN57" s="1">
        <f t="shared" si="21"/>
        <v>-737120.11672992073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8">
        <f>Dataset!AC58</f>
        <v>19.5</v>
      </c>
      <c r="F58" s="8">
        <f>Dataset!AD58</f>
        <v>75.5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12"/>
        <v>-11222476.5573291</v>
      </c>
      <c r="N58" s="1">
        <f t="shared" si="13"/>
        <v>177410.64819793202</v>
      </c>
      <c r="O58" s="1">
        <f t="shared" si="14"/>
        <v>1155183.9551872748</v>
      </c>
      <c r="P58" s="1">
        <f t="shared" si="15"/>
        <v>8730903.0648519006</v>
      </c>
      <c r="Q58" s="1">
        <f t="shared" si="8"/>
        <v>-615866.12074584502</v>
      </c>
      <c r="R58" s="1">
        <f t="shared" si="9"/>
        <v>0</v>
      </c>
      <c r="S58" s="1">
        <f t="shared" si="10"/>
        <v>0</v>
      </c>
      <c r="T58" s="1">
        <f t="shared" si="11"/>
        <v>9888458.9549740683</v>
      </c>
      <c r="U58" s="1">
        <f t="shared" si="16"/>
        <v>8113613.9451362304</v>
      </c>
      <c r="V58" s="1">
        <f t="shared" si="17"/>
        <v>-501595.84026978165</v>
      </c>
      <c r="W58" s="100">
        <f t="shared" si="19"/>
        <v>6.1821506872466764E-2</v>
      </c>
      <c r="AA58">
        <f t="shared" si="22"/>
        <v>2015</v>
      </c>
      <c r="AB58" s="8">
        <f t="shared" si="20"/>
        <v>87604.978554708883</v>
      </c>
      <c r="AC58" s="8">
        <f t="shared" si="20"/>
        <v>347398.95660718158</v>
      </c>
      <c r="AD58" s="8">
        <f t="shared" si="20"/>
        <v>-309790.84813806228</v>
      </c>
      <c r="AE58" s="8">
        <f t="shared" si="20"/>
        <v>84003.826036760584</v>
      </c>
      <c r="AF58" s="8">
        <f t="shared" si="20"/>
        <v>541357.18055402022</v>
      </c>
      <c r="AG58" s="8">
        <f t="shared" si="20"/>
        <v>112975.49540558457</v>
      </c>
      <c r="AH58" s="8">
        <f t="shared" si="20"/>
        <v>361053.67329975218</v>
      </c>
      <c r="AI58" s="8">
        <f t="shared" si="20"/>
        <v>-187609.57496221736</v>
      </c>
      <c r="AJ58" s="8">
        <f t="shared" si="20"/>
        <v>58544.180343639106</v>
      </c>
      <c r="AK58" s="8">
        <f t="shared" si="20"/>
        <v>423046.77490639314</v>
      </c>
      <c r="AL58" s="8">
        <f t="shared" si="20"/>
        <v>167472.42619687319</v>
      </c>
      <c r="AM58" s="8">
        <f t="shared" si="20"/>
        <v>-102680.97421136685</v>
      </c>
      <c r="AN58" s="1">
        <f t="shared" si="21"/>
        <v>1583376.094593267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8">
        <f>Dataset!AC59</f>
        <v>147.6</v>
      </c>
      <c r="F59" s="8">
        <f>Dataset!AD59</f>
        <v>15.8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12"/>
        <v>-11222476.5573291</v>
      </c>
      <c r="N59" s="1">
        <f t="shared" si="13"/>
        <v>1342862.1371289624</v>
      </c>
      <c r="O59" s="1">
        <f t="shared" si="14"/>
        <v>241747.10585376085</v>
      </c>
      <c r="P59" s="1">
        <f t="shared" si="15"/>
        <v>9021933.1670136303</v>
      </c>
      <c r="Q59" s="1">
        <f t="shared" si="8"/>
        <v>-615866.12074584502</v>
      </c>
      <c r="R59" s="1">
        <f t="shared" si="9"/>
        <v>0</v>
      </c>
      <c r="S59" s="1">
        <f t="shared" si="10"/>
        <v>0</v>
      </c>
      <c r="T59" s="1">
        <f t="shared" si="11"/>
        <v>9967983.6299515571</v>
      </c>
      <c r="U59" s="1">
        <f t="shared" si="16"/>
        <v>8736183.3618729655</v>
      </c>
      <c r="V59" s="1">
        <f t="shared" si="17"/>
        <v>479441.03085196856</v>
      </c>
      <c r="W59" s="100">
        <f t="shared" si="19"/>
        <v>5.4879918494428255E-2</v>
      </c>
      <c r="AA59">
        <f t="shared" si="22"/>
        <v>2016</v>
      </c>
      <c r="AB59" s="8">
        <f t="shared" si="20"/>
        <v>696417.86948752962</v>
      </c>
      <c r="AC59" s="8">
        <f t="shared" si="20"/>
        <v>287279.91751676239</v>
      </c>
      <c r="AD59" s="8">
        <f t="shared" si="20"/>
        <v>-298064.14577200264</v>
      </c>
      <c r="AE59" s="8">
        <f t="shared" si="20"/>
        <v>646828.11408849992</v>
      </c>
      <c r="AF59" s="8">
        <f t="shared" si="20"/>
        <v>584610.5484136343</v>
      </c>
      <c r="AG59" s="8">
        <f t="shared" si="20"/>
        <v>265717.17705895379</v>
      </c>
      <c r="AH59" s="8">
        <f t="shared" si="20"/>
        <v>94254.452550321817</v>
      </c>
      <c r="AI59" s="8">
        <f t="shared" si="20"/>
        <v>15036.407166203484</v>
      </c>
      <c r="AJ59" s="8">
        <f t="shared" si="20"/>
        <v>-501595.84026978165</v>
      </c>
      <c r="AK59" s="8">
        <f t="shared" si="20"/>
        <v>479441.03085196856</v>
      </c>
      <c r="AL59" s="8">
        <f t="shared" si="20"/>
        <v>-126026.28892576508</v>
      </c>
      <c r="AM59" s="8">
        <f t="shared" si="20"/>
        <v>396556.01525691897</v>
      </c>
      <c r="AN59" s="1">
        <f t="shared" si="21"/>
        <v>2540455.2574232435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8">
        <f>Dataset!AC60</f>
        <v>257</v>
      </c>
      <c r="F60" s="8">
        <f>Dataset!AD60</f>
        <v>0.1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12"/>
        <v>-11222476.5573291</v>
      </c>
      <c r="N60" s="1">
        <f t="shared" si="13"/>
        <v>2338181.3634291557</v>
      </c>
      <c r="O60" s="1">
        <f t="shared" si="14"/>
        <v>1530.0449737579802</v>
      </c>
      <c r="P60" s="1">
        <f t="shared" si="15"/>
        <v>8730903.0648519006</v>
      </c>
      <c r="Q60" s="1">
        <f t="shared" si="8"/>
        <v>-615866.12074584502</v>
      </c>
      <c r="R60" s="1">
        <f t="shared" si="9"/>
        <v>0</v>
      </c>
      <c r="S60" s="1">
        <f t="shared" si="10"/>
        <v>0</v>
      </c>
      <c r="T60" s="1">
        <f t="shared" si="11"/>
        <v>9976002.9249072708</v>
      </c>
      <c r="U60" s="1">
        <f t="shared" si="16"/>
        <v>9208274.7200871389</v>
      </c>
      <c r="V60" s="1">
        <f t="shared" si="17"/>
        <v>-126026.28892576508</v>
      </c>
      <c r="W60" s="100">
        <f t="shared" si="19"/>
        <v>1.3686199940456651E-2</v>
      </c>
      <c r="AA60">
        <f t="shared" si="22"/>
        <v>2017</v>
      </c>
      <c r="AB60" s="8">
        <f t="shared" si="20"/>
        <v>32844.857083063573</v>
      </c>
      <c r="AC60" s="8">
        <f t="shared" si="20"/>
        <v>-66783.422697886825</v>
      </c>
      <c r="AD60" s="8">
        <f t="shared" si="20"/>
        <v>504124.53262226097</v>
      </c>
      <c r="AE60" s="8">
        <f t="shared" si="20"/>
        <v>-153153.24244659953</v>
      </c>
      <c r="AF60" s="8">
        <f t="shared" si="20"/>
        <v>448134.54128060862</v>
      </c>
      <c r="AG60" s="8">
        <f t="shared" si="20"/>
        <v>378830.75692806207</v>
      </c>
      <c r="AH60" s="8">
        <f t="shared" si="20"/>
        <v>354079.38647899032</v>
      </c>
      <c r="AI60" s="8">
        <f t="shared" si="20"/>
        <v>235944.16755465791</v>
      </c>
      <c r="AJ60" s="8">
        <f t="shared" si="20"/>
        <v>122039.52171880566</v>
      </c>
      <c r="AK60" s="8">
        <f t="shared" si="20"/>
        <v>-71072.872527860105</v>
      </c>
      <c r="AL60" s="8">
        <f t="shared" si="20"/>
        <v>264584.08254402503</v>
      </c>
      <c r="AM60" s="8">
        <f t="shared" si="20"/>
        <v>473388.42981666327</v>
      </c>
      <c r="AN60" s="1">
        <f t="shared" si="21"/>
        <v>2522960.738354791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8">
        <f>Dataset!AC61</f>
        <v>534.4</v>
      </c>
      <c r="F61" s="8">
        <f>Dataset!AD61</f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12"/>
        <v>-11222476.5573291</v>
      </c>
      <c r="N61" s="1">
        <f t="shared" si="13"/>
        <v>4861961.5588192241</v>
      </c>
      <c r="O61" s="1">
        <f t="shared" si="14"/>
        <v>0</v>
      </c>
      <c r="P61" s="1">
        <f t="shared" si="15"/>
        <v>9021933.1670136303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9976002.9249072708</v>
      </c>
      <c r="U61" s="1">
        <f t="shared" si="16"/>
        <v>12637421.093411025</v>
      </c>
      <c r="V61" s="1">
        <f t="shared" si="17"/>
        <v>396556.01525691897</v>
      </c>
      <c r="W61" s="100">
        <f t="shared" si="19"/>
        <v>3.1379504752253429E-2</v>
      </c>
      <c r="AA61">
        <f t="shared" si="22"/>
        <v>2018</v>
      </c>
      <c r="AB61" s="8">
        <f t="shared" si="20"/>
        <v>-443989.60206737369</v>
      </c>
      <c r="AC61" s="8">
        <f t="shared" si="20"/>
        <v>-313385.10169745423</v>
      </c>
      <c r="AD61" s="8">
        <f t="shared" si="20"/>
        <v>249686.37682972662</v>
      </c>
      <c r="AE61" s="8">
        <f t="shared" si="20"/>
        <v>471429.48181267269</v>
      </c>
      <c r="AF61" s="8">
        <f t="shared" si="20"/>
        <v>-172345.06911206618</v>
      </c>
      <c r="AG61" s="8">
        <f t="shared" si="20"/>
        <v>-600918.5274537839</v>
      </c>
      <c r="AH61" s="8">
        <f t="shared" si="20"/>
        <v>-711017.70881470852</v>
      </c>
      <c r="AI61" s="8">
        <f t="shared" si="20"/>
        <v>-579451.49608964287</v>
      </c>
      <c r="AJ61" s="8">
        <f t="shared" si="20"/>
        <v>-697532.4546196498</v>
      </c>
      <c r="AK61" s="8">
        <f t="shared" si="20"/>
        <v>213837.18419081345</v>
      </c>
      <c r="AL61" s="8">
        <f t="shared" si="20"/>
        <v>66176.454228857532</v>
      </c>
      <c r="AM61" s="8">
        <f t="shared" si="20"/>
        <v>-173734.63127383031</v>
      </c>
      <c r="AN61" s="1">
        <f t="shared" si="21"/>
        <v>-2691245.0940664392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8">
        <f>Dataset!AC62</f>
        <v>552</v>
      </c>
      <c r="F62" s="8">
        <f>Dataset!AD62</f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12"/>
        <v>-11222476.5573291</v>
      </c>
      <c r="N62" s="1">
        <f t="shared" si="13"/>
        <v>5022086.0412953068</v>
      </c>
      <c r="O62" s="1">
        <f t="shared" si="14"/>
        <v>0</v>
      </c>
      <c r="P62" s="1">
        <f t="shared" si="15"/>
        <v>9021933.1670136303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10037484.186234405</v>
      </c>
      <c r="U62" s="1">
        <f t="shared" si="16"/>
        <v>12859026.837214243</v>
      </c>
      <c r="V62" s="1">
        <f t="shared" si="17"/>
        <v>32844.857083063573</v>
      </c>
      <c r="W62" s="100">
        <f t="shared" si="19"/>
        <v>2.5542257200995956E-3</v>
      </c>
      <c r="AA62">
        <f t="shared" si="22"/>
        <v>2019</v>
      </c>
      <c r="AB62" s="8">
        <f t="shared" si="20"/>
        <v>160630.43395991065</v>
      </c>
      <c r="AC62" s="8">
        <f t="shared" si="20"/>
        <v>-395353.34555571526</v>
      </c>
      <c r="AD62" s="8">
        <f t="shared" si="20"/>
        <v>-81934.929541638121</v>
      </c>
      <c r="AE62" s="8">
        <f t="shared" si="20"/>
        <v>18956.632101673633</v>
      </c>
      <c r="AF62" s="8">
        <f t="shared" si="20"/>
        <v>94140.971877098083</v>
      </c>
      <c r="AG62" s="8">
        <f t="shared" si="20"/>
        <v>96120.015883203596</v>
      </c>
      <c r="AH62" s="8">
        <f t="shared" si="20"/>
        <v>-392294.33863258362</v>
      </c>
      <c r="AI62" s="8">
        <f t="shared" si="20"/>
        <v>-389852.77587240562</v>
      </c>
      <c r="AJ62" s="8">
        <f t="shared" si="20"/>
        <v>-379518.78097363934</v>
      </c>
      <c r="AK62" s="8">
        <f t="shared" si="20"/>
        <v>237486.34166552313</v>
      </c>
      <c r="AL62" s="8">
        <f t="shared" si="20"/>
        <v>338526.54048078321</v>
      </c>
      <c r="AM62" s="8">
        <f t="shared" si="20"/>
        <v>-243064.06837323122</v>
      </c>
      <c r="AN62" s="1">
        <f t="shared" si="21"/>
        <v>-936157.30298102088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8">
        <f>Dataset!AC63</f>
        <v>456.4</v>
      </c>
      <c r="F63" s="8">
        <f>Dataset!AD63</f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12"/>
        <v>-11222476.5573291</v>
      </c>
      <c r="N63" s="1">
        <f t="shared" si="13"/>
        <v>4152318.9660274964</v>
      </c>
      <c r="O63" s="1">
        <f t="shared" si="14"/>
        <v>0</v>
      </c>
      <c r="P63" s="1">
        <f t="shared" si="15"/>
        <v>8148842.8605284402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10011421.477628337</v>
      </c>
      <c r="U63" s="1">
        <f t="shared" si="16"/>
        <v>11090106.746855173</v>
      </c>
      <c r="V63" s="1">
        <f t="shared" si="17"/>
        <v>-66783.422697886825</v>
      </c>
      <c r="W63" s="100">
        <f t="shared" si="19"/>
        <v>6.0218917835777033E-3</v>
      </c>
      <c r="AA63">
        <f t="shared" si="22"/>
        <v>2020</v>
      </c>
      <c r="AB63" s="8">
        <f t="shared" si="20"/>
        <v>46795.016869615763</v>
      </c>
      <c r="AC63" s="8">
        <f t="shared" si="20"/>
        <v>325853.52103806473</v>
      </c>
      <c r="AD63" s="8">
        <f t="shared" si="20"/>
        <v>44764.565826196223</v>
      </c>
      <c r="AE63" s="8">
        <f t="shared" si="20"/>
        <v>40099.416909884661</v>
      </c>
      <c r="AF63" s="8">
        <f t="shared" si="20"/>
        <v>47811.231317084283</v>
      </c>
      <c r="AG63" s="8">
        <f t="shared" si="20"/>
        <v>-38899.562646444887</v>
      </c>
      <c r="AH63" s="8">
        <f t="shared" si="20"/>
        <v>-185128.32799895108</v>
      </c>
      <c r="AI63" s="8">
        <f t="shared" si="20"/>
        <v>-198958.37878267653</v>
      </c>
      <c r="AJ63" s="8">
        <f t="shared" si="20"/>
        <v>-120600.81927008927</v>
      </c>
      <c r="AK63" s="8">
        <f t="shared" si="20"/>
        <v>11110.56531461142</v>
      </c>
      <c r="AL63" s="8">
        <f t="shared" si="20"/>
        <v>-277443.63081570342</v>
      </c>
      <c r="AM63" s="8">
        <f t="shared" si="20"/>
        <v>-108370.18976627104</v>
      </c>
      <c r="AN63" s="1">
        <f t="shared" si="21"/>
        <v>-412966.59200467914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8">
        <f>Dataset!AC64</f>
        <v>547.1</v>
      </c>
      <c r="F64" s="8">
        <f>Dataset!AD64</f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12"/>
        <v>-11222476.5573291</v>
      </c>
      <c r="N64" s="1">
        <f t="shared" si="13"/>
        <v>4977505.9296968523</v>
      </c>
      <c r="O64" s="1">
        <f t="shared" si="14"/>
        <v>0</v>
      </c>
      <c r="P64" s="1">
        <f t="shared" si="15"/>
        <v>9021933.1670136303</v>
      </c>
      <c r="Q64" s="1">
        <f t="shared" si="8"/>
        <v>-615866.12074584502</v>
      </c>
      <c r="R64" s="1">
        <f t="shared" si="9"/>
        <v>0</v>
      </c>
      <c r="S64" s="1">
        <f t="shared" si="10"/>
        <v>0</v>
      </c>
      <c r="T64" s="1">
        <f t="shared" si="11"/>
        <v>10014094.575946908</v>
      </c>
      <c r="U64" s="1">
        <f t="shared" si="16"/>
        <v>12175190.994582446</v>
      </c>
      <c r="V64" s="1">
        <f t="shared" si="17"/>
        <v>504124.53262226097</v>
      </c>
      <c r="W64" s="100">
        <f t="shared" si="19"/>
        <v>4.140588290126862E-2</v>
      </c>
      <c r="AA64">
        <f t="shared" si="22"/>
        <v>2021</v>
      </c>
      <c r="AB64" s="8">
        <f t="shared" si="20"/>
        <v>240852.28349853493</v>
      </c>
      <c r="AC64" s="8">
        <f t="shared" si="20"/>
        <v>136429.73105041683</v>
      </c>
      <c r="AD64" s="8">
        <f t="shared" si="20"/>
        <v>-478056.98570841365</v>
      </c>
      <c r="AE64" s="8">
        <f t="shared" si="20"/>
        <v>-30624.91607286036</v>
      </c>
      <c r="AF64" s="8">
        <f t="shared" si="20"/>
        <v>123486.98920430429</v>
      </c>
      <c r="AG64" s="8">
        <f t="shared" si="20"/>
        <v>478753.91920443252</v>
      </c>
      <c r="AH64" s="8">
        <f t="shared" si="20"/>
        <v>-47957.872655922547</v>
      </c>
      <c r="AI64" s="8">
        <f t="shared" si="20"/>
        <v>58601.859870433807</v>
      </c>
      <c r="AJ64" s="8">
        <f t="shared" si="20"/>
        <v>-304334.92981646024</v>
      </c>
      <c r="AK64" s="8">
        <f t="shared" si="20"/>
        <v>94588.157740013674</v>
      </c>
      <c r="AL64" s="8">
        <f t="shared" si="20"/>
        <v>291699.92089922726</v>
      </c>
      <c r="AM64" s="8">
        <f t="shared" si="20"/>
        <v>-95411.983918396756</v>
      </c>
      <c r="AN64" s="1">
        <f t="shared" si="21"/>
        <v>468026.17329530977</v>
      </c>
    </row>
    <row r="65" spans="1:40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8">
        <f>Dataset!AC65</f>
        <v>240.9</v>
      </c>
      <c r="F65" s="8">
        <f>Dataset!AD65</f>
        <v>2.5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12"/>
        <v>-11222476.5573291</v>
      </c>
      <c r="N65" s="1">
        <f t="shared" si="13"/>
        <v>2191703.8538913759</v>
      </c>
      <c r="O65" s="1">
        <f t="shared" si="14"/>
        <v>38251.124343949501</v>
      </c>
      <c r="P65" s="1">
        <f t="shared" si="15"/>
        <v>8730903.0648519006</v>
      </c>
      <c r="Q65" s="1">
        <f t="shared" si="8"/>
        <v>-615866.12074584502</v>
      </c>
      <c r="R65" s="1">
        <f t="shared" si="9"/>
        <v>0</v>
      </c>
      <c r="S65" s="1">
        <f t="shared" si="10"/>
        <v>0</v>
      </c>
      <c r="T65" s="1">
        <f t="shared" si="11"/>
        <v>9972661.5520090573</v>
      </c>
      <c r="U65" s="1">
        <f t="shared" si="16"/>
        <v>9095176.9170213398</v>
      </c>
      <c r="V65" s="1">
        <f t="shared" si="17"/>
        <v>-153153.24244659953</v>
      </c>
      <c r="W65" s="100">
        <f t="shared" si="19"/>
        <v>1.6838951440293373E-2</v>
      </c>
      <c r="AB65" s="1">
        <f t="shared" ref="AB65:AM65" si="23">SUM(AB55:AB64)</f>
        <v>-822389.86975430138</v>
      </c>
      <c r="AC65" s="1">
        <f t="shared" si="23"/>
        <v>-309112.23273479566</v>
      </c>
      <c r="AD65" s="1">
        <f t="shared" si="23"/>
        <v>-1447425.5227070786</v>
      </c>
      <c r="AE65" s="1">
        <f t="shared" si="23"/>
        <v>1324298.0273455307</v>
      </c>
      <c r="AF65" s="1">
        <f t="shared" si="23"/>
        <v>1818186.2109723138</v>
      </c>
      <c r="AG65" s="1">
        <f t="shared" si="23"/>
        <v>1739958.4073802223</v>
      </c>
      <c r="AH65" s="1">
        <f t="shared" si="23"/>
        <v>190526.96900433302</v>
      </c>
      <c r="AI65" s="1">
        <f t="shared" si="23"/>
        <v>-202382.05829661712</v>
      </c>
      <c r="AJ65" s="1">
        <f t="shared" si="23"/>
        <v>-2729076.9246156728</v>
      </c>
      <c r="AK65" s="1">
        <f t="shared" si="23"/>
        <v>1171722.9906428149</v>
      </c>
      <c r="AL65" s="1">
        <f t="shared" si="23"/>
        <v>481152.51197938807</v>
      </c>
      <c r="AM65" s="1">
        <f t="shared" si="23"/>
        <v>-1058681.226388922</v>
      </c>
      <c r="AN65" s="1">
        <f>SUM(AB65:AM65)</f>
        <v>156777.28282721527</v>
      </c>
    </row>
    <row r="66" spans="1:40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8">
        <f>Dataset!AC66</f>
        <v>167.7</v>
      </c>
      <c r="F66" s="8">
        <f>Dataset!AD66</f>
        <v>17.3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24">$AB$8</f>
        <v>-11222476.5573291</v>
      </c>
      <c r="N66" s="1">
        <f t="shared" ref="N66:N97" si="25">E66*$AB$9</f>
        <v>1525731.5745022155</v>
      </c>
      <c r="O66" s="1">
        <f t="shared" ref="O66:O97" si="26">F66*$AB$10</f>
        <v>264697.78046013054</v>
      </c>
      <c r="P66" s="1">
        <f t="shared" ref="P66:P97" si="27">G66*$AB$11</f>
        <v>9021933.1670136303</v>
      </c>
      <c r="Q66" s="1">
        <f t="shared" si="8"/>
        <v>-615866.12074584502</v>
      </c>
      <c r="R66" s="1">
        <f t="shared" si="9"/>
        <v>0</v>
      </c>
      <c r="S66" s="1">
        <f t="shared" si="10"/>
        <v>0</v>
      </c>
      <c r="T66" s="1">
        <f t="shared" si="11"/>
        <v>10059537.247362617</v>
      </c>
      <c r="U66" s="1">
        <f t="shared" ref="U66:U97" si="28">SUM(M66:T66)</f>
        <v>9033557.0912636481</v>
      </c>
      <c r="V66" s="1">
        <f t="shared" ref="V66:V97" si="29">U66-D66</f>
        <v>448134.54128060862</v>
      </c>
      <c r="W66" s="100">
        <f t="shared" si="19"/>
        <v>4.9607761012990054E-2</v>
      </c>
    </row>
    <row r="67" spans="1:40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8">
        <f>Dataset!AC67</f>
        <v>34.1</v>
      </c>
      <c r="F67" s="8">
        <f>Dataset!AD67</f>
        <v>70.7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24"/>
        <v>-11222476.5573291</v>
      </c>
      <c r="N67" s="1">
        <f t="shared" si="25"/>
        <v>310241.18479740934</v>
      </c>
      <c r="O67" s="1">
        <f t="shared" si="26"/>
        <v>1081741.796446892</v>
      </c>
      <c r="P67" s="1">
        <f t="shared" si="27"/>
        <v>8730903.0648519006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9973329.8265886996</v>
      </c>
      <c r="U67" s="1">
        <f t="shared" si="28"/>
        <v>8873739.315355802</v>
      </c>
      <c r="V67" s="1">
        <f t="shared" si="29"/>
        <v>378830.75692806207</v>
      </c>
      <c r="W67" s="100">
        <f t="shared" si="19"/>
        <v>4.2691219954197231E-2</v>
      </c>
    </row>
    <row r="68" spans="1:40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8">
        <f>Dataset!AC68</f>
        <v>0</v>
      </c>
      <c r="F68" s="8">
        <f>Dataset!AD68</f>
        <v>119.9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24"/>
        <v>-11222476.5573291</v>
      </c>
      <c r="N68" s="1">
        <f t="shared" si="25"/>
        <v>0</v>
      </c>
      <c r="O68" s="1">
        <f t="shared" si="26"/>
        <v>1834523.923535818</v>
      </c>
      <c r="P68" s="1">
        <f t="shared" si="27"/>
        <v>9021933.1670136303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10200543.183667243</v>
      </c>
      <c r="U68" s="1">
        <f t="shared" si="28"/>
        <v>9834523.7168875914</v>
      </c>
      <c r="V68" s="1">
        <f t="shared" si="29"/>
        <v>354079.38647899032</v>
      </c>
      <c r="W68" s="100">
        <f t="shared" si="19"/>
        <v>3.6003714737194062E-2</v>
      </c>
    </row>
    <row r="69" spans="1:40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8">
        <f>Dataset!AC69</f>
        <v>5.9</v>
      </c>
      <c r="F69" s="8">
        <f>Dataset!AD69</f>
        <v>93.2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24"/>
        <v>-11222476.5573291</v>
      </c>
      <c r="N69" s="1">
        <f t="shared" si="25"/>
        <v>53678.093557323031</v>
      </c>
      <c r="O69" s="1">
        <f t="shared" si="26"/>
        <v>1426001.9155424375</v>
      </c>
      <c r="P69" s="1">
        <f t="shared" si="27"/>
        <v>9021933.1670136303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10105648.193357969</v>
      </c>
      <c r="U69" s="1">
        <f t="shared" si="28"/>
        <v>9384784.8121422585</v>
      </c>
      <c r="V69" s="1">
        <f t="shared" si="29"/>
        <v>235944.16755465791</v>
      </c>
      <c r="W69" s="100">
        <f t="shared" si="19"/>
        <v>2.5141137732789323E-2</v>
      </c>
    </row>
    <row r="70" spans="1:40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8">
        <f>Dataset!AC70</f>
        <v>40.9</v>
      </c>
      <c r="F70" s="8">
        <f>Dataset!AD70</f>
        <v>83.9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24"/>
        <v>-11222476.5573291</v>
      </c>
      <c r="N70" s="1">
        <f t="shared" si="25"/>
        <v>372107.46211771382</v>
      </c>
      <c r="O70" s="1">
        <f t="shared" si="26"/>
        <v>1283707.7329829454</v>
      </c>
      <c r="P70" s="1">
        <f t="shared" si="27"/>
        <v>8730903.0648519006</v>
      </c>
      <c r="Q70" s="1">
        <f t="shared" si="30"/>
        <v>-615866.12074584502</v>
      </c>
      <c r="R70" s="1">
        <f t="shared" si="31"/>
        <v>0</v>
      </c>
      <c r="S70" s="1">
        <f t="shared" si="32"/>
        <v>0</v>
      </c>
      <c r="T70" s="1">
        <f t="shared" si="33"/>
        <v>10149754.315614391</v>
      </c>
      <c r="U70" s="1">
        <f t="shared" si="28"/>
        <v>8698129.8974920046</v>
      </c>
      <c r="V70" s="1">
        <f t="shared" si="29"/>
        <v>122039.52171880566</v>
      </c>
      <c r="W70" s="100">
        <f t="shared" si="19"/>
        <v>1.4030547158647769E-2</v>
      </c>
    </row>
    <row r="71" spans="1:40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8">
        <f>Dataset!AC71</f>
        <v>111.2</v>
      </c>
      <c r="F71" s="8">
        <f>Dataset!AD71</f>
        <v>20.5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24"/>
        <v>-11222476.5573291</v>
      </c>
      <c r="N71" s="1">
        <f t="shared" si="25"/>
        <v>1011695.593826156</v>
      </c>
      <c r="O71" s="1">
        <f t="shared" si="26"/>
        <v>313659.21962038591</v>
      </c>
      <c r="P71" s="1">
        <f t="shared" si="27"/>
        <v>9021933.1670136303</v>
      </c>
      <c r="Q71" s="1">
        <f t="shared" si="30"/>
        <v>-615866.12074584502</v>
      </c>
      <c r="R71" s="1">
        <f t="shared" si="31"/>
        <v>0</v>
      </c>
      <c r="S71" s="1">
        <f t="shared" si="32"/>
        <v>0</v>
      </c>
      <c r="T71" s="1">
        <f t="shared" si="33"/>
        <v>10163119.807207247</v>
      </c>
      <c r="U71" s="1">
        <f t="shared" si="28"/>
        <v>8672065.109592475</v>
      </c>
      <c r="V71" s="1">
        <f t="shared" si="29"/>
        <v>-71072.872527860105</v>
      </c>
      <c r="W71" s="100">
        <f t="shared" si="19"/>
        <v>8.1956110372423188E-3</v>
      </c>
    </row>
    <row r="72" spans="1:40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8">
        <f>Dataset!AC72</f>
        <v>384.8</v>
      </c>
      <c r="F72" s="8">
        <f>Dataset!AD72</f>
        <v>0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24"/>
        <v>-11222476.5573291</v>
      </c>
      <c r="N72" s="1">
        <f t="shared" si="25"/>
        <v>3500903.4577725255</v>
      </c>
      <c r="O72" s="1">
        <f t="shared" si="26"/>
        <v>0</v>
      </c>
      <c r="P72" s="1">
        <f t="shared" si="27"/>
        <v>8730903.0648519006</v>
      </c>
      <c r="Q72" s="1">
        <f t="shared" si="30"/>
        <v>-615866.12074584502</v>
      </c>
      <c r="R72" s="1">
        <f t="shared" si="31"/>
        <v>0</v>
      </c>
      <c r="S72" s="1">
        <f t="shared" si="32"/>
        <v>0</v>
      </c>
      <c r="T72" s="1">
        <f t="shared" si="33"/>
        <v>10169802.553003674</v>
      </c>
      <c r="U72" s="1">
        <f t="shared" si="28"/>
        <v>10563266.397553155</v>
      </c>
      <c r="V72" s="1">
        <f t="shared" si="29"/>
        <v>264584.08254402503</v>
      </c>
      <c r="W72" s="100">
        <f t="shared" si="19"/>
        <v>2.5047563186072118E-2</v>
      </c>
    </row>
    <row r="73" spans="1:40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8">
        <f>Dataset!AC73</f>
        <v>653.70000000000005</v>
      </c>
      <c r="F73" s="8">
        <f>Dataset!AD73</f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24"/>
        <v>-11222476.5573291</v>
      </c>
      <c r="N73" s="1">
        <f t="shared" si="25"/>
        <v>5947350.8065122142</v>
      </c>
      <c r="O73" s="1">
        <f t="shared" si="26"/>
        <v>0</v>
      </c>
      <c r="P73" s="1">
        <f t="shared" si="27"/>
        <v>9021933.1670136303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10176485.298800102</v>
      </c>
      <c r="U73" s="1">
        <f t="shared" si="28"/>
        <v>13923292.714996846</v>
      </c>
      <c r="V73" s="1">
        <f t="shared" si="29"/>
        <v>473388.42981666327</v>
      </c>
      <c r="W73" s="100">
        <f t="shared" si="19"/>
        <v>3.399974700716981E-2</v>
      </c>
    </row>
    <row r="74" spans="1:40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8">
        <f>Dataset!AC74</f>
        <v>654.20000000000005</v>
      </c>
      <c r="F74" s="8">
        <f>Dataset!AD74</f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24"/>
        <v>-11222476.5573291</v>
      </c>
      <c r="N74" s="1">
        <f t="shared" si="25"/>
        <v>5951899.7974916482</v>
      </c>
      <c r="O74" s="1">
        <f t="shared" si="26"/>
        <v>0</v>
      </c>
      <c r="P74" s="1">
        <f t="shared" si="27"/>
        <v>9021933.1670136303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10263360.994153662</v>
      </c>
      <c r="U74" s="1">
        <f t="shared" si="28"/>
        <v>14014717.401329841</v>
      </c>
      <c r="V74" s="1">
        <f t="shared" si="29"/>
        <v>-443989.60206737369</v>
      </c>
      <c r="W74" s="100">
        <f t="shared" si="19"/>
        <v>3.1680239376446075E-2</v>
      </c>
    </row>
    <row r="75" spans="1:40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8">
        <f>Dataset!AC75</f>
        <v>498.2</v>
      </c>
      <c r="F75" s="8">
        <f>Dataset!AD75</f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24"/>
        <v>-11222476.5573291</v>
      </c>
      <c r="N75" s="1">
        <f t="shared" si="25"/>
        <v>4532614.6119081918</v>
      </c>
      <c r="O75" s="1">
        <f t="shared" si="26"/>
        <v>0</v>
      </c>
      <c r="P75" s="1">
        <f t="shared" si="27"/>
        <v>8148842.8605284402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10187845.966654029</v>
      </c>
      <c r="U75" s="1">
        <f t="shared" si="28"/>
        <v>11646826.881761562</v>
      </c>
      <c r="V75" s="1">
        <f t="shared" si="29"/>
        <v>-313385.10169745423</v>
      </c>
      <c r="W75" s="100">
        <f t="shared" si="19"/>
        <v>2.6907337498782782E-2</v>
      </c>
    </row>
    <row r="76" spans="1:40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8">
        <f>Dataset!AC76</f>
        <v>535.1</v>
      </c>
      <c r="F76" s="8">
        <f>Dataset!AD76</f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24"/>
        <v>-11222476.5573291</v>
      </c>
      <c r="N76" s="1">
        <f t="shared" si="25"/>
        <v>4868330.1461904328</v>
      </c>
      <c r="O76" s="1">
        <f t="shared" si="26"/>
        <v>0</v>
      </c>
      <c r="P76" s="1">
        <f t="shared" si="27"/>
        <v>9021933.1670136303</v>
      </c>
      <c r="Q76" s="1">
        <f t="shared" si="30"/>
        <v>-615866.12074584502</v>
      </c>
      <c r="R76" s="1">
        <f t="shared" si="31"/>
        <v>0</v>
      </c>
      <c r="S76" s="1">
        <f t="shared" si="32"/>
        <v>0</v>
      </c>
      <c r="T76" s="1">
        <f t="shared" si="33"/>
        <v>10274053.387427947</v>
      </c>
      <c r="U76" s="1">
        <f t="shared" si="28"/>
        <v>12325974.022557065</v>
      </c>
      <c r="V76" s="1">
        <f t="shared" si="29"/>
        <v>249686.37682972662</v>
      </c>
      <c r="W76" s="100">
        <f t="shared" si="19"/>
        <v>2.0256928691622243E-2</v>
      </c>
    </row>
    <row r="77" spans="1:40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8">
        <f>Dataset!AC77</f>
        <v>412.4</v>
      </c>
      <c r="F77" s="8">
        <f>Dataset!AD77</f>
        <v>0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24"/>
        <v>-11222476.5573291</v>
      </c>
      <c r="N77" s="1">
        <f t="shared" si="25"/>
        <v>3752007.7598372907</v>
      </c>
      <c r="O77" s="1">
        <f t="shared" si="26"/>
        <v>0</v>
      </c>
      <c r="P77" s="1">
        <f t="shared" si="27"/>
        <v>8730903.0648519006</v>
      </c>
      <c r="Q77" s="1">
        <f t="shared" si="30"/>
        <v>-615866.12074584502</v>
      </c>
      <c r="R77" s="1">
        <f t="shared" si="31"/>
        <v>0</v>
      </c>
      <c r="S77" s="1">
        <f t="shared" si="32"/>
        <v>0</v>
      </c>
      <c r="T77" s="1">
        <f t="shared" si="33"/>
        <v>10230615.539751166</v>
      </c>
      <c r="U77" s="1">
        <f t="shared" si="28"/>
        <v>10875183.686365413</v>
      </c>
      <c r="V77" s="1">
        <f t="shared" si="29"/>
        <v>471429.48181267269</v>
      </c>
      <c r="W77" s="100">
        <f t="shared" si="19"/>
        <v>4.3349105211318857E-2</v>
      </c>
    </row>
    <row r="78" spans="1:40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8">
        <f>Dataset!AC78</f>
        <v>95.5</v>
      </c>
      <c r="F78" s="8">
        <f>Dataset!AD78</f>
        <v>45.5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24"/>
        <v>-11222476.5573291</v>
      </c>
      <c r="N78" s="1">
        <f t="shared" si="25"/>
        <v>868857.2770719236</v>
      </c>
      <c r="O78" s="1">
        <f t="shared" si="26"/>
        <v>696170.46305988089</v>
      </c>
      <c r="P78" s="1">
        <f t="shared" si="27"/>
        <v>9021933.1670136303</v>
      </c>
      <c r="Q78" s="1">
        <f t="shared" si="30"/>
        <v>-615866.12074584502</v>
      </c>
      <c r="R78" s="1">
        <f t="shared" si="31"/>
        <v>0</v>
      </c>
      <c r="S78" s="1">
        <f t="shared" si="32"/>
        <v>0</v>
      </c>
      <c r="T78" s="1">
        <f t="shared" si="33"/>
        <v>10274053.387427947</v>
      </c>
      <c r="U78" s="1">
        <f t="shared" si="28"/>
        <v>9022671.6164984368</v>
      </c>
      <c r="V78" s="1">
        <f t="shared" si="29"/>
        <v>-172345.06911206618</v>
      </c>
      <c r="W78" s="100">
        <f t="shared" si="19"/>
        <v>1.9101334553384832E-2</v>
      </c>
    </row>
    <row r="79" spans="1:40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8">
        <f>Dataset!AC79</f>
        <v>30.9</v>
      </c>
      <c r="F79" s="8">
        <f>Dataset!AD79</f>
        <v>54.4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24"/>
        <v>-11222476.5573291</v>
      </c>
      <c r="N79" s="1">
        <f t="shared" si="25"/>
        <v>281127.64252903074</v>
      </c>
      <c r="O79" s="1">
        <f t="shared" si="26"/>
        <v>832344.46572434111</v>
      </c>
      <c r="P79" s="1">
        <f t="shared" si="27"/>
        <v>8730903.0648519006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10263360.994153662</v>
      </c>
      <c r="U79" s="1">
        <f t="shared" si="28"/>
        <v>8885259.6099298354</v>
      </c>
      <c r="V79" s="1">
        <f t="shared" si="29"/>
        <v>-600918.5274537839</v>
      </c>
      <c r="W79" s="100">
        <f t="shared" si="19"/>
        <v>6.76309476407667E-2</v>
      </c>
    </row>
    <row r="80" spans="1:40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8">
        <f>Dataset!AC80</f>
        <v>0</v>
      </c>
      <c r="F80" s="8">
        <f>Dataset!AD80</f>
        <v>166.5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24"/>
        <v>-11222476.5573291</v>
      </c>
      <c r="N80" s="1">
        <f t="shared" si="25"/>
        <v>0</v>
      </c>
      <c r="O80" s="1">
        <f t="shared" si="26"/>
        <v>2547524.8813070366</v>
      </c>
      <c r="P80" s="1">
        <f t="shared" si="27"/>
        <v>9021933.1670136303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10304794.018091515</v>
      </c>
      <c r="U80" s="1">
        <f t="shared" si="28"/>
        <v>10651775.509083081</v>
      </c>
      <c r="V80" s="1">
        <f t="shared" si="29"/>
        <v>-711017.70881470852</v>
      </c>
      <c r="W80" s="100">
        <f t="shared" si="19"/>
        <v>6.6751097806032708E-2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8">
        <f>Dataset!AC81</f>
        <v>1.1000000000000001</v>
      </c>
      <c r="F81" s="8">
        <f>Dataset!AD81</f>
        <v>181.5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24"/>
        <v>-11222476.5573291</v>
      </c>
      <c r="N81" s="1">
        <f t="shared" si="25"/>
        <v>10007.780154755141</v>
      </c>
      <c r="O81" s="1">
        <f t="shared" si="26"/>
        <v>2777031.6273707338</v>
      </c>
      <c r="P81" s="1">
        <f t="shared" si="27"/>
        <v>9021933.1670136303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10277394.76032616</v>
      </c>
      <c r="U81" s="1">
        <f t="shared" si="28"/>
        <v>10863890.77753618</v>
      </c>
      <c r="V81" s="1">
        <f t="shared" si="29"/>
        <v>-579451.49608964287</v>
      </c>
      <c r="W81" s="100">
        <f t="shared" si="19"/>
        <v>5.3337382338913442E-2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8">
        <f>Dataset!AC82</f>
        <v>43.7</v>
      </c>
      <c r="F82" s="8">
        <f>Dataset!AD82</f>
        <v>82.6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24"/>
        <v>-11222476.5573291</v>
      </c>
      <c r="N82" s="1">
        <f t="shared" si="25"/>
        <v>397581.81160254515</v>
      </c>
      <c r="O82" s="1">
        <f t="shared" si="26"/>
        <v>1263817.1483240915</v>
      </c>
      <c r="P82" s="1">
        <f t="shared" si="27"/>
        <v>8730903.0648519006</v>
      </c>
      <c r="Q82" s="1">
        <f t="shared" si="30"/>
        <v>-615866.12074584502</v>
      </c>
      <c r="R82" s="1">
        <f t="shared" si="31"/>
        <v>0</v>
      </c>
      <c r="S82" s="1">
        <f t="shared" si="32"/>
        <v>0</v>
      </c>
      <c r="T82" s="1">
        <f t="shared" si="33"/>
        <v>10318827.784264013</v>
      </c>
      <c r="U82" s="1">
        <f t="shared" si="28"/>
        <v>8872787.1309676059</v>
      </c>
      <c r="V82" s="1">
        <f t="shared" si="29"/>
        <v>-697532.4546196498</v>
      </c>
      <c r="W82" s="100">
        <f t="shared" si="19"/>
        <v>7.8614807762618061E-2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8">
        <f>Dataset!AC83</f>
        <v>235.6</v>
      </c>
      <c r="F83" s="8">
        <f>Dataset!AD83</f>
        <v>17.100000000000001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24"/>
        <v>-11222476.5573291</v>
      </c>
      <c r="N83" s="1">
        <f t="shared" si="25"/>
        <v>2143484.5495093735</v>
      </c>
      <c r="O83" s="1">
        <f t="shared" si="26"/>
        <v>261637.69051261462</v>
      </c>
      <c r="P83" s="1">
        <f t="shared" si="27"/>
        <v>9021933.1670136303</v>
      </c>
      <c r="Q83" s="1">
        <f t="shared" si="30"/>
        <v>-615866.12074584502</v>
      </c>
      <c r="R83" s="1">
        <f t="shared" si="31"/>
        <v>0</v>
      </c>
      <c r="S83" s="1">
        <f t="shared" si="32"/>
        <v>0</v>
      </c>
      <c r="T83" s="1">
        <f t="shared" si="33"/>
        <v>10314149.862206513</v>
      </c>
      <c r="U83" s="1">
        <f t="shared" si="28"/>
        <v>9902862.5911671855</v>
      </c>
      <c r="V83" s="1">
        <f t="shared" si="29"/>
        <v>213837.18419081345</v>
      </c>
      <c r="W83" s="100">
        <f t="shared" si="19"/>
        <v>2.1593471809004457E-2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8">
        <f>Dataset!AC84</f>
        <v>443</v>
      </c>
      <c r="F84" s="8">
        <f>Dataset!AD84</f>
        <v>0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24"/>
        <v>-11222476.5573291</v>
      </c>
      <c r="N84" s="1">
        <f t="shared" si="25"/>
        <v>4030406.0077786609</v>
      </c>
      <c r="O84" s="1">
        <f t="shared" si="26"/>
        <v>0</v>
      </c>
      <c r="P84" s="1">
        <f t="shared" si="27"/>
        <v>8730903.0648519006</v>
      </c>
      <c r="Q84" s="1">
        <f t="shared" si="30"/>
        <v>-615866.12074584502</v>
      </c>
      <c r="R84" s="1">
        <f t="shared" si="31"/>
        <v>0</v>
      </c>
      <c r="S84" s="1">
        <f t="shared" si="32"/>
        <v>0</v>
      </c>
      <c r="T84" s="1">
        <f t="shared" si="33"/>
        <v>10349568.414927579</v>
      </c>
      <c r="U84" s="1">
        <f t="shared" si="28"/>
        <v>11272534.809483197</v>
      </c>
      <c r="V84" s="1">
        <f t="shared" si="29"/>
        <v>66176.454228857532</v>
      </c>
      <c r="W84" s="100">
        <f t="shared" si="19"/>
        <v>5.8705921380864182E-3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8">
        <f>Dataset!AC85</f>
        <v>526.29999999999995</v>
      </c>
      <c r="F85" s="8">
        <f>Dataset!AD85</f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24"/>
        <v>-11222476.5573291</v>
      </c>
      <c r="N85" s="1">
        <f t="shared" si="25"/>
        <v>4788267.9049523911</v>
      </c>
      <c r="O85" s="1">
        <f t="shared" si="26"/>
        <v>0</v>
      </c>
      <c r="P85" s="1">
        <f t="shared" si="27"/>
        <v>9021933.1670136303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10332193.275856867</v>
      </c>
      <c r="U85" s="1">
        <f t="shared" si="28"/>
        <v>12919917.79049379</v>
      </c>
      <c r="V85" s="1">
        <f t="shared" si="29"/>
        <v>-173734.63127383031</v>
      </c>
      <c r="W85" s="100">
        <f t="shared" si="19"/>
        <v>1.344703844800473E-2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8">
        <f>Dataset!AC86</f>
        <v>715.9</v>
      </c>
      <c r="F86" s="8">
        <f>Dataset!AD86</f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24"/>
        <v>-11222476.5573291</v>
      </c>
      <c r="N86" s="1">
        <f t="shared" si="25"/>
        <v>6513245.2843538225</v>
      </c>
      <c r="O86" s="1">
        <f t="shared" si="26"/>
        <v>0</v>
      </c>
      <c r="P86" s="1">
        <f t="shared" si="27"/>
        <v>9021933.1670136303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10414725.18644275</v>
      </c>
      <c r="U86" s="1">
        <f t="shared" si="28"/>
        <v>14727427.080481103</v>
      </c>
      <c r="V86" s="1">
        <f t="shared" si="29"/>
        <v>160630.43395991065</v>
      </c>
      <c r="W86" s="100">
        <f t="shared" si="19"/>
        <v>1.0906890462408137E-2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8">
        <f>Dataset!AC87</f>
        <v>578.4</v>
      </c>
      <c r="F87" s="8">
        <f>Dataset!AD87</f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24"/>
        <v>-11222476.5573291</v>
      </c>
      <c r="N87" s="1">
        <f t="shared" si="25"/>
        <v>5262272.7650094302</v>
      </c>
      <c r="O87" s="1">
        <f t="shared" si="26"/>
        <v>0</v>
      </c>
      <c r="P87" s="1">
        <f t="shared" si="27"/>
        <v>8148842.8605284402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10414725.18644275</v>
      </c>
      <c r="U87" s="1">
        <f t="shared" si="28"/>
        <v>12603364.25465152</v>
      </c>
      <c r="V87" s="1">
        <f t="shared" si="29"/>
        <v>-395353.34555571526</v>
      </c>
      <c r="W87" s="100">
        <f t="shared" si="19"/>
        <v>3.1368874021855099E-2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8">
        <f>Dataset!AC88</f>
        <v>549.29999999999995</v>
      </c>
      <c r="F88" s="8">
        <f>Dataset!AD88</f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24"/>
        <v>-11222476.5573291</v>
      </c>
      <c r="N88" s="1">
        <f t="shared" si="25"/>
        <v>4997521.4900063621</v>
      </c>
      <c r="O88" s="1">
        <f t="shared" si="26"/>
        <v>0</v>
      </c>
      <c r="P88" s="1">
        <f t="shared" si="27"/>
        <v>9021933.1670136303</v>
      </c>
      <c r="Q88" s="1">
        <f t="shared" si="30"/>
        <v>-615866.12074584502</v>
      </c>
      <c r="R88" s="1">
        <f t="shared" si="31"/>
        <v>0</v>
      </c>
      <c r="S88" s="1">
        <f t="shared" si="32"/>
        <v>0</v>
      </c>
      <c r="T88" s="1">
        <f t="shared" si="33"/>
        <v>10406371.754197216</v>
      </c>
      <c r="U88" s="1">
        <f t="shared" si="28"/>
        <v>12587483.733142264</v>
      </c>
      <c r="V88" s="1">
        <f t="shared" si="29"/>
        <v>-81934.929541638121</v>
      </c>
      <c r="W88" s="100">
        <f t="shared" si="19"/>
        <v>6.5092381669504948E-3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8">
        <f>Dataset!AC89</f>
        <v>331.1</v>
      </c>
      <c r="F89" s="8">
        <f>Dataset!AD89</f>
        <v>0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24"/>
        <v>-11222476.5573291</v>
      </c>
      <c r="N89" s="1">
        <f t="shared" si="25"/>
        <v>3012341.8265812974</v>
      </c>
      <c r="O89" s="1">
        <f t="shared" si="26"/>
        <v>0</v>
      </c>
      <c r="P89" s="1">
        <f t="shared" si="27"/>
        <v>8730903.0648519006</v>
      </c>
      <c r="Q89" s="1">
        <f t="shared" si="30"/>
        <v>-615866.12074584502</v>
      </c>
      <c r="R89" s="1">
        <f t="shared" si="31"/>
        <v>0</v>
      </c>
      <c r="S89" s="1">
        <f t="shared" si="32"/>
        <v>0</v>
      </c>
      <c r="T89" s="1">
        <f t="shared" si="33"/>
        <v>10439785.483179353</v>
      </c>
      <c r="U89" s="1">
        <f t="shared" si="28"/>
        <v>10344687.696537606</v>
      </c>
      <c r="V89" s="1">
        <f t="shared" si="29"/>
        <v>18956.632101673633</v>
      </c>
      <c r="W89" s="100">
        <f t="shared" si="19"/>
        <v>1.8324992167736941E-3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8">
        <f>Dataset!AC90</f>
        <v>179.6</v>
      </c>
      <c r="F90" s="8">
        <f>Dataset!AD90</f>
        <v>4.5999999999999996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24"/>
        <v>-11222476.5573291</v>
      </c>
      <c r="N90" s="1">
        <f t="shared" si="25"/>
        <v>1633997.5598127483</v>
      </c>
      <c r="O90" s="1">
        <f t="shared" si="26"/>
        <v>70382.068792867081</v>
      </c>
      <c r="P90" s="1">
        <f t="shared" si="27"/>
        <v>9021933.1670136303</v>
      </c>
      <c r="Q90" s="1">
        <f t="shared" si="30"/>
        <v>-615866.12074584502</v>
      </c>
      <c r="R90" s="1">
        <f t="shared" si="31"/>
        <v>0</v>
      </c>
      <c r="S90" s="1">
        <f t="shared" si="32"/>
        <v>0</v>
      </c>
      <c r="T90" s="1">
        <f t="shared" si="33"/>
        <v>10483223.330856133</v>
      </c>
      <c r="U90" s="1">
        <f t="shared" si="28"/>
        <v>9371193.4484004341</v>
      </c>
      <c r="V90" s="1">
        <f t="shared" si="29"/>
        <v>94140.971877098083</v>
      </c>
      <c r="W90" s="100">
        <f t="shared" si="19"/>
        <v>1.0045782577796106E-2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8">
        <f>Dataset!AC91</f>
        <v>53.6</v>
      </c>
      <c r="F91" s="8">
        <f>Dataset!AD91</f>
        <v>34.4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24"/>
        <v>-11222476.5573291</v>
      </c>
      <c r="N91" s="1">
        <f t="shared" si="25"/>
        <v>487651.83299534139</v>
      </c>
      <c r="O91" s="1">
        <f t="shared" si="26"/>
        <v>526335.4709727451</v>
      </c>
      <c r="P91" s="1">
        <f t="shared" si="27"/>
        <v>8730903.0648519006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10510622.588621488</v>
      </c>
      <c r="U91" s="1">
        <f t="shared" si="28"/>
        <v>9033036.4001123756</v>
      </c>
      <c r="V91" s="1">
        <f t="shared" si="29"/>
        <v>96120.015883203596</v>
      </c>
      <c r="W91" s="100">
        <f t="shared" si="19"/>
        <v>1.0640941940852558E-2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8">
        <f>Dataset!AC92</f>
        <v>0</v>
      </c>
      <c r="F92" s="8">
        <f>Dataset!AD92</f>
        <v>163.30000000000001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24"/>
        <v>-11222476.5573291</v>
      </c>
      <c r="N92" s="1">
        <f t="shared" si="25"/>
        <v>0</v>
      </c>
      <c r="O92" s="1">
        <f t="shared" si="26"/>
        <v>2498563.4421467814</v>
      </c>
      <c r="P92" s="1">
        <f t="shared" si="27"/>
        <v>9021933.1670136303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10524656.354793986</v>
      </c>
      <c r="U92" s="1">
        <f t="shared" si="28"/>
        <v>10822676.406625299</v>
      </c>
      <c r="V92" s="1">
        <f t="shared" si="29"/>
        <v>-392294.33863258362</v>
      </c>
      <c r="W92" s="100">
        <f t="shared" si="19"/>
        <v>3.6247442304791953E-2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8">
        <f>Dataset!AC93</f>
        <v>0</v>
      </c>
      <c r="F93" s="8">
        <f>Dataset!AD93</f>
        <v>111.4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24"/>
        <v>-11222476.5573291</v>
      </c>
      <c r="N93" s="1">
        <f t="shared" si="25"/>
        <v>0</v>
      </c>
      <c r="O93" s="1">
        <f t="shared" si="26"/>
        <v>1704470.1007663899</v>
      </c>
      <c r="P93" s="1">
        <f t="shared" si="27"/>
        <v>9021933.1670136303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10513295.686940059</v>
      </c>
      <c r="U93" s="1">
        <f t="shared" si="28"/>
        <v>10017222.39739098</v>
      </c>
      <c r="V93" s="1">
        <f t="shared" si="29"/>
        <v>-389852.77587240562</v>
      </c>
      <c r="W93" s="100">
        <f t="shared" si="19"/>
        <v>3.8918251028742669E-2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8">
        <f>Dataset!AC94</f>
        <v>25.8</v>
      </c>
      <c r="F94" s="8">
        <f>Dataset!AD94</f>
        <v>39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24"/>
        <v>-11222476.5573291</v>
      </c>
      <c r="N94" s="1">
        <f t="shared" si="25"/>
        <v>234727.93453880239</v>
      </c>
      <c r="O94" s="1">
        <f t="shared" si="26"/>
        <v>596717.53976561222</v>
      </c>
      <c r="P94" s="1">
        <f t="shared" si="27"/>
        <v>8730903.0648519006</v>
      </c>
      <c r="Q94" s="1">
        <f t="shared" si="30"/>
        <v>-615866.12074584502</v>
      </c>
      <c r="R94" s="1">
        <f t="shared" si="31"/>
        <v>0</v>
      </c>
      <c r="S94" s="1">
        <f t="shared" si="32"/>
        <v>0</v>
      </c>
      <c r="T94" s="1">
        <f t="shared" si="33"/>
        <v>10563416.280413266</v>
      </c>
      <c r="U94" s="1">
        <f t="shared" si="28"/>
        <v>8287422.1414946374</v>
      </c>
      <c r="V94" s="1">
        <f t="shared" si="29"/>
        <v>-379518.78097363934</v>
      </c>
      <c r="W94" s="100">
        <f t="shared" si="19"/>
        <v>4.5794551610133509E-2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8">
        <f>Dataset!AC95</f>
        <v>192.6</v>
      </c>
      <c r="F95" s="8">
        <f>Dataset!AD95</f>
        <v>5.8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24"/>
        <v>-11222476.5573291</v>
      </c>
      <c r="N95" s="1">
        <f t="shared" si="25"/>
        <v>1752271.3252780363</v>
      </c>
      <c r="O95" s="1">
        <f t="shared" si="26"/>
        <v>88742.608477962844</v>
      </c>
      <c r="P95" s="1">
        <f t="shared" si="27"/>
        <v>9021933.1670136303</v>
      </c>
      <c r="Q95" s="1">
        <f t="shared" si="30"/>
        <v>-615866.12074584502</v>
      </c>
      <c r="R95" s="1">
        <f t="shared" si="31"/>
        <v>0</v>
      </c>
      <c r="S95" s="1">
        <f t="shared" si="32"/>
        <v>0</v>
      </c>
      <c r="T95" s="1">
        <f t="shared" si="33"/>
        <v>10566089.378731837</v>
      </c>
      <c r="U95" s="1">
        <f t="shared" si="28"/>
        <v>9590693.8014265224</v>
      </c>
      <c r="V95" s="1">
        <f t="shared" si="29"/>
        <v>237486.34166552313</v>
      </c>
      <c r="W95" s="100">
        <f t="shared" si="19"/>
        <v>2.4762164925982658E-2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8">
        <f>Dataset!AC96</f>
        <v>463.2</v>
      </c>
      <c r="F96" s="8">
        <f>Dataset!AD96</f>
        <v>0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24"/>
        <v>-11222476.5573291</v>
      </c>
      <c r="N96" s="1">
        <f t="shared" si="25"/>
        <v>4214185.2433478013</v>
      </c>
      <c r="O96" s="1">
        <f t="shared" si="26"/>
        <v>0</v>
      </c>
      <c r="P96" s="1">
        <f t="shared" si="27"/>
        <v>8730903.0648519006</v>
      </c>
      <c r="Q96" s="1">
        <f t="shared" si="30"/>
        <v>-615866.12074584502</v>
      </c>
      <c r="R96" s="1">
        <f t="shared" si="31"/>
        <v>0</v>
      </c>
      <c r="S96" s="1">
        <f t="shared" si="32"/>
        <v>0</v>
      </c>
      <c r="T96" s="1">
        <f t="shared" si="33"/>
        <v>10598166.55855469</v>
      </c>
      <c r="U96" s="1">
        <f t="shared" si="28"/>
        <v>11704912.188679447</v>
      </c>
      <c r="V96" s="1">
        <f t="shared" si="29"/>
        <v>338526.54048078321</v>
      </c>
      <c r="W96" s="100">
        <f t="shared" si="19"/>
        <v>2.892174969139823E-2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8">
        <f>Dataset!AC97</f>
        <v>521.1</v>
      </c>
      <c r="F97" s="8">
        <f>Dataset!AD97</f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24"/>
        <v>-11222476.5573291</v>
      </c>
      <c r="N97" s="1">
        <f t="shared" si="25"/>
        <v>4740958.3987662764</v>
      </c>
      <c r="O97" s="1">
        <f t="shared" si="26"/>
        <v>0</v>
      </c>
      <c r="P97" s="1">
        <f t="shared" si="27"/>
        <v>9021933.1670136303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10640267.857072184</v>
      </c>
      <c r="U97" s="1">
        <f t="shared" si="28"/>
        <v>13180682.865522992</v>
      </c>
      <c r="V97" s="1">
        <f t="shared" si="29"/>
        <v>-243064.06837323122</v>
      </c>
      <c r="W97" s="100">
        <f t="shared" si="19"/>
        <v>1.8440931388237811E-2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8">
        <f>Dataset!AC98</f>
        <v>551.79999999999995</v>
      </c>
      <c r="F98" s="8">
        <f>Dataset!AD98</f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21" si="34">$AB$8</f>
        <v>-11222476.5573291</v>
      </c>
      <c r="N98" s="1">
        <f t="shared" ref="N98:N121" si="35">E98*$AB$9</f>
        <v>5020266.444903533</v>
      </c>
      <c r="O98" s="1">
        <f t="shared" ref="O98:O121" si="36">F98*$AB$10</f>
        <v>0</v>
      </c>
      <c r="P98" s="1">
        <f t="shared" ref="P98:P121" si="37">G98*$AB$11</f>
        <v>9021933.1670136303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10698407.745501107</v>
      </c>
      <c r="U98" s="1">
        <f t="shared" ref="U98:U121" si="38">SUM(M98:T98)</f>
        <v>13518130.800089169</v>
      </c>
      <c r="V98" s="1">
        <f t="shared" ref="V98:V121" si="39">U98-D98</f>
        <v>46795.016869615763</v>
      </c>
      <c r="W98" s="100">
        <f t="shared" si="19"/>
        <v>3.4616484750470892E-3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8">
        <f>Dataset!AC99</f>
        <v>563.70000000000005</v>
      </c>
      <c r="F99" s="8">
        <f>Dataset!AD99</f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34"/>
        <v>-11222476.5573291</v>
      </c>
      <c r="N99" s="1">
        <f t="shared" si="35"/>
        <v>5128532.4302140661</v>
      </c>
      <c r="O99" s="1">
        <f t="shared" si="36"/>
        <v>0</v>
      </c>
      <c r="P99" s="1">
        <f t="shared" si="37"/>
        <v>8439872.9626901709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10707763.589616105</v>
      </c>
      <c r="U99" s="1">
        <f t="shared" si="38"/>
        <v>13053692.425191242</v>
      </c>
      <c r="V99" s="1">
        <f t="shared" si="39"/>
        <v>325853.52103806473</v>
      </c>
      <c r="W99" s="100">
        <f t="shared" si="19"/>
        <v>2.4962555453599239E-2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8">
        <f>Dataset!AC100</f>
        <v>424.1</v>
      </c>
      <c r="F100" s="8">
        <f>Dataset!AD100</f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34"/>
        <v>-11222476.5573291</v>
      </c>
      <c r="N100" s="1">
        <f t="shared" si="35"/>
        <v>3858454.14875605</v>
      </c>
      <c r="O100" s="1">
        <f t="shared" si="36"/>
        <v>0</v>
      </c>
      <c r="P100" s="1">
        <f t="shared" si="37"/>
        <v>9021933.1670136303</v>
      </c>
      <c r="Q100" s="1">
        <f t="shared" si="30"/>
        <v>-615866.12074584502</v>
      </c>
      <c r="R100" s="1">
        <f t="shared" si="31"/>
        <v>604094.17653598543</v>
      </c>
      <c r="S100" s="1">
        <f t="shared" si="32"/>
        <v>0</v>
      </c>
      <c r="T100" s="1">
        <f t="shared" si="33"/>
        <v>10712441.511673603</v>
      </c>
      <c r="U100" s="1">
        <f t="shared" si="38"/>
        <v>12358580.325904325</v>
      </c>
      <c r="V100" s="1">
        <f t="shared" si="39"/>
        <v>44764.565826196223</v>
      </c>
      <c r="W100" s="100">
        <f t="shared" si="19"/>
        <v>3.6221446675688963E-3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8">
        <f>Dataset!AC101</f>
        <v>338.6</v>
      </c>
      <c r="F101" s="8">
        <f>Dataset!AD101</f>
        <v>0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34"/>
        <v>-11222476.5573291</v>
      </c>
      <c r="N101" s="1">
        <f t="shared" si="35"/>
        <v>3080576.6912728096</v>
      </c>
      <c r="O101" s="1">
        <f t="shared" si="36"/>
        <v>0</v>
      </c>
      <c r="P101" s="1">
        <f t="shared" si="37"/>
        <v>8730903.0648519006</v>
      </c>
      <c r="Q101" s="1">
        <f t="shared" si="30"/>
        <v>-615866.12074584502</v>
      </c>
      <c r="R101" s="1">
        <f t="shared" si="31"/>
        <v>482306.73938949459</v>
      </c>
      <c r="S101" s="1">
        <f t="shared" si="32"/>
        <v>0</v>
      </c>
      <c r="T101" s="1">
        <f t="shared" si="33"/>
        <v>10783946.89169538</v>
      </c>
      <c r="U101" s="1">
        <f t="shared" si="38"/>
        <v>11239390.70913464</v>
      </c>
      <c r="V101" s="1">
        <f t="shared" si="39"/>
        <v>40099.416909884661</v>
      </c>
      <c r="W101" s="100">
        <f t="shared" si="19"/>
        <v>3.5677571807602062E-3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8">
        <f>Dataset!AC102</f>
        <v>198.3</v>
      </c>
      <c r="F102" s="8">
        <f>Dataset!AD102</f>
        <v>28.5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34"/>
        <v>-11222476.5573291</v>
      </c>
      <c r="N102" s="1">
        <f t="shared" si="35"/>
        <v>1804129.8224435858</v>
      </c>
      <c r="O102" s="1">
        <f t="shared" si="36"/>
        <v>436062.81752102432</v>
      </c>
      <c r="P102" s="1">
        <f t="shared" si="37"/>
        <v>9021933.1670136303</v>
      </c>
      <c r="Q102" s="1">
        <f t="shared" si="30"/>
        <v>-615866.12074584502</v>
      </c>
      <c r="R102" s="1">
        <f t="shared" si="31"/>
        <v>282461.38931168569</v>
      </c>
      <c r="S102" s="1">
        <f t="shared" si="32"/>
        <v>263123.33313550305</v>
      </c>
      <c r="T102" s="1">
        <f t="shared" si="33"/>
        <v>10759220.732248599</v>
      </c>
      <c r="U102" s="1">
        <f t="shared" si="38"/>
        <v>10728588.583599083</v>
      </c>
      <c r="V102" s="1">
        <f t="shared" si="39"/>
        <v>47811.231317084283</v>
      </c>
      <c r="W102" s="100">
        <f t="shared" si="19"/>
        <v>4.456432544181428E-3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8">
        <f>Dataset!AC103</f>
        <v>29.7</v>
      </c>
      <c r="F103" s="8">
        <f>Dataset!AD103</f>
        <v>78.8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34"/>
        <v>-11222476.5573291</v>
      </c>
      <c r="N103" s="1">
        <f t="shared" si="35"/>
        <v>270210.0641783888</v>
      </c>
      <c r="O103" s="1">
        <f t="shared" si="36"/>
        <v>1205675.4393212881</v>
      </c>
      <c r="P103" s="1">
        <f t="shared" si="37"/>
        <v>8730903.0648519006</v>
      </c>
      <c r="Q103" s="1">
        <f t="shared" si="30"/>
        <v>0</v>
      </c>
      <c r="R103" s="1">
        <f t="shared" si="31"/>
        <v>42305.109745623115</v>
      </c>
      <c r="S103" s="1">
        <f t="shared" si="32"/>
        <v>727512.93512553128</v>
      </c>
      <c r="T103" s="1">
        <f t="shared" si="33"/>
        <v>10799317.207027163</v>
      </c>
      <c r="U103" s="1">
        <f t="shared" si="38"/>
        <v>10553447.262920797</v>
      </c>
      <c r="V103" s="1">
        <f t="shared" si="39"/>
        <v>-38899.562646444887</v>
      </c>
      <c r="W103" s="100">
        <f t="shared" si="19"/>
        <v>3.6859579317856895E-3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8">
        <f>Dataset!AC104</f>
        <v>0</v>
      </c>
      <c r="F104" s="8">
        <f>Dataset!AD104</f>
        <v>201.4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34"/>
        <v>-11222476.5573291</v>
      </c>
      <c r="N104" s="1">
        <f t="shared" si="35"/>
        <v>0</v>
      </c>
      <c r="O104" s="1">
        <f t="shared" si="36"/>
        <v>3081510.5771485716</v>
      </c>
      <c r="P104" s="1">
        <f t="shared" si="37"/>
        <v>9021933.1670136303</v>
      </c>
      <c r="Q104" s="1">
        <f t="shared" si="30"/>
        <v>0</v>
      </c>
      <c r="R104" s="1">
        <f t="shared" si="31"/>
        <v>0</v>
      </c>
      <c r="S104" s="1">
        <f t="shared" si="32"/>
        <v>1859404.8874908884</v>
      </c>
      <c r="T104" s="1">
        <f t="shared" si="33"/>
        <v>10835404.034327874</v>
      </c>
      <c r="U104" s="1">
        <f t="shared" si="38"/>
        <v>13575776.108651865</v>
      </c>
      <c r="V104" s="1">
        <f t="shared" si="39"/>
        <v>-185128.32799895108</v>
      </c>
      <c r="W104" s="100">
        <f t="shared" si="19"/>
        <v>1.3636666258879188E-2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8">
        <f>Dataset!AC105</f>
        <v>0.7</v>
      </c>
      <c r="F105" s="8">
        <f>Dataset!AD105</f>
        <v>138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34"/>
        <v>-11222476.5573291</v>
      </c>
      <c r="N105" s="1">
        <f t="shared" si="35"/>
        <v>6368.5873712078164</v>
      </c>
      <c r="O105" s="1">
        <f t="shared" si="36"/>
        <v>2111462.0637860126</v>
      </c>
      <c r="P105" s="1">
        <f t="shared" si="37"/>
        <v>9021933.1670136303</v>
      </c>
      <c r="Q105" s="1">
        <f t="shared" si="30"/>
        <v>0</v>
      </c>
      <c r="R105" s="1">
        <f t="shared" si="31"/>
        <v>997.09012868471996</v>
      </c>
      <c r="S105" s="1">
        <f t="shared" si="32"/>
        <v>1274070.8762350674</v>
      </c>
      <c r="T105" s="1">
        <f t="shared" si="33"/>
        <v>10838077.132646445</v>
      </c>
      <c r="U105" s="1">
        <f t="shared" si="38"/>
        <v>12030432.359851949</v>
      </c>
      <c r="V105" s="1">
        <f t="shared" si="39"/>
        <v>-198958.37878267653</v>
      </c>
      <c r="W105" s="100">
        <f t="shared" si="19"/>
        <v>1.6537924226783567E-2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8">
        <f>Dataset!AC106</f>
        <v>47.2</v>
      </c>
      <c r="F106" s="8">
        <f>Dataset!AD106</f>
        <v>45.6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34"/>
        <v>-11222476.5573291</v>
      </c>
      <c r="N106" s="1">
        <f t="shared" si="35"/>
        <v>429424.74845858425</v>
      </c>
      <c r="O106" s="1">
        <f t="shared" si="36"/>
        <v>697700.50803363894</v>
      </c>
      <c r="P106" s="1">
        <f t="shared" si="37"/>
        <v>8730903.0648519006</v>
      </c>
      <c r="Q106" s="1">
        <f t="shared" si="30"/>
        <v>-615866.12074584502</v>
      </c>
      <c r="R106" s="1">
        <f t="shared" si="31"/>
        <v>67232.362962741128</v>
      </c>
      <c r="S106" s="1">
        <f t="shared" si="32"/>
        <v>420997.33301680489</v>
      </c>
      <c r="T106" s="1">
        <f t="shared" si="33"/>
        <v>10839413.68180573</v>
      </c>
      <c r="U106" s="1">
        <f t="shared" si="38"/>
        <v>9347329.021054456</v>
      </c>
      <c r="V106" s="1">
        <f t="shared" si="39"/>
        <v>-120600.81927008927</v>
      </c>
      <c r="W106" s="100">
        <f t="shared" si="19"/>
        <v>1.2902169057967374E-2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8">
        <f>Dataset!AC107</f>
        <v>218.1</v>
      </c>
      <c r="F107" s="8">
        <f>Dataset!AD107</f>
        <v>0.2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34"/>
        <v>-11222476.5573291</v>
      </c>
      <c r="N107" s="1">
        <f t="shared" si="35"/>
        <v>1984269.8652291782</v>
      </c>
      <c r="O107" s="1">
        <f t="shared" si="36"/>
        <v>3060.0899475159604</v>
      </c>
      <c r="P107" s="1">
        <f t="shared" si="37"/>
        <v>9021933.1670136303</v>
      </c>
      <c r="Q107" s="1">
        <f t="shared" si="30"/>
        <v>-615866.12074584502</v>
      </c>
      <c r="R107" s="1">
        <f t="shared" si="31"/>
        <v>310664.79580876773</v>
      </c>
      <c r="S107" s="1">
        <f t="shared" si="32"/>
        <v>1846.4795307754603</v>
      </c>
      <c r="T107" s="1">
        <f t="shared" si="33"/>
        <v>10884856.353221439</v>
      </c>
      <c r="U107" s="1">
        <f t="shared" si="38"/>
        <v>10368288.072676362</v>
      </c>
      <c r="V107" s="1">
        <f t="shared" si="39"/>
        <v>11110.56531461142</v>
      </c>
      <c r="W107" s="100">
        <f t="shared" si="19"/>
        <v>1.0715911090367163E-3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8">
        <f>Dataset!AC108</f>
        <v>259.89999999999998</v>
      </c>
      <c r="F108" s="8">
        <f>Dataset!AD108</f>
        <v>13.2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34"/>
        <v>-11222476.5573291</v>
      </c>
      <c r="N108" s="1">
        <f t="shared" si="35"/>
        <v>2364565.5111098732</v>
      </c>
      <c r="O108" s="1">
        <f t="shared" si="36"/>
        <v>201965.93653605334</v>
      </c>
      <c r="P108" s="1">
        <f t="shared" si="37"/>
        <v>8730903.0648519006</v>
      </c>
      <c r="Q108" s="1">
        <f t="shared" si="30"/>
        <v>-615866.12074584502</v>
      </c>
      <c r="R108" s="1">
        <f t="shared" si="31"/>
        <v>370205.320635941</v>
      </c>
      <c r="S108" s="1">
        <f t="shared" si="32"/>
        <v>121867.64903118036</v>
      </c>
      <c r="T108" s="1">
        <f t="shared" si="33"/>
        <v>10820033.718996089</v>
      </c>
      <c r="U108" s="1">
        <f t="shared" si="38"/>
        <v>10771198.523086093</v>
      </c>
      <c r="V108" s="1">
        <f t="shared" si="39"/>
        <v>-277443.63081570342</v>
      </c>
      <c r="W108" s="100">
        <f t="shared" si="19"/>
        <v>2.5757916374956211E-2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8">
        <f>Dataset!AC109</f>
        <v>506.6</v>
      </c>
      <c r="F109" s="8">
        <f>Dataset!AD109</f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34"/>
        <v>-11222476.5573291</v>
      </c>
      <c r="N109" s="1">
        <f t="shared" si="35"/>
        <v>4609037.660362686</v>
      </c>
      <c r="O109" s="1">
        <f t="shared" si="36"/>
        <v>0</v>
      </c>
      <c r="P109" s="1">
        <f t="shared" si="37"/>
        <v>9021933.1670136303</v>
      </c>
      <c r="Q109" s="1">
        <f t="shared" si="30"/>
        <v>0</v>
      </c>
      <c r="R109" s="1">
        <f t="shared" si="31"/>
        <v>721608.37027382734</v>
      </c>
      <c r="S109" s="1">
        <f t="shared" si="32"/>
        <v>0</v>
      </c>
      <c r="T109" s="1">
        <f t="shared" si="33"/>
        <v>10946337.614548573</v>
      </c>
      <c r="U109" s="1">
        <f t="shared" si="38"/>
        <v>14076440.254869618</v>
      </c>
      <c r="V109" s="1">
        <f t="shared" si="39"/>
        <v>-108370.18976627104</v>
      </c>
      <c r="W109" s="100">
        <f t="shared" si="19"/>
        <v>7.6986928374012283E-3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14524095.635801345</v>
      </c>
      <c r="E110" s="8">
        <f>Dataset!AC110</f>
        <v>574.70000000000005</v>
      </c>
      <c r="F110" s="8">
        <f>Dataset!AD110</f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34"/>
        <v>-11222476.5573291</v>
      </c>
      <c r="N110" s="1">
        <f t="shared" si="35"/>
        <v>5228610.2317616176</v>
      </c>
      <c r="O110" s="1">
        <f t="shared" si="36"/>
        <v>0</v>
      </c>
      <c r="P110" s="1">
        <f t="shared" si="37"/>
        <v>9021933.1670136303</v>
      </c>
      <c r="Q110" s="1">
        <f t="shared" si="30"/>
        <v>0</v>
      </c>
      <c r="R110" s="1">
        <f t="shared" si="31"/>
        <v>818610.99565015512</v>
      </c>
      <c r="S110" s="1">
        <f t="shared" si="32"/>
        <v>0</v>
      </c>
      <c r="T110" s="1">
        <f t="shared" si="33"/>
        <v>10918270.082203576</v>
      </c>
      <c r="U110" s="1">
        <f t="shared" si="38"/>
        <v>14764947.91929988</v>
      </c>
      <c r="V110" s="1">
        <f t="shared" si="39"/>
        <v>240852.28349853493</v>
      </c>
      <c r="W110" s="100">
        <f t="shared" si="19"/>
        <v>1.6312437051248033E-2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13849745.484556837</v>
      </c>
      <c r="E111" s="8">
        <f>Dataset!AC111</f>
        <v>583.6</v>
      </c>
      <c r="F111" s="8">
        <f>Dataset!AD111</f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34"/>
        <v>-11222476.5573291</v>
      </c>
      <c r="N111" s="1">
        <f t="shared" si="35"/>
        <v>5309582.2711955458</v>
      </c>
      <c r="O111" s="1">
        <f t="shared" si="36"/>
        <v>0</v>
      </c>
      <c r="P111" s="1">
        <f t="shared" si="37"/>
        <v>8148842.8605284402</v>
      </c>
      <c r="Q111" s="1">
        <f t="shared" si="30"/>
        <v>0</v>
      </c>
      <c r="R111" s="1">
        <f t="shared" si="31"/>
        <v>831288.28442914656</v>
      </c>
      <c r="S111" s="1">
        <f t="shared" si="32"/>
        <v>0</v>
      </c>
      <c r="T111" s="1">
        <f t="shared" si="33"/>
        <v>10918938.356783221</v>
      </c>
      <c r="U111" s="1">
        <f t="shared" si="38"/>
        <v>13986175.215607254</v>
      </c>
      <c r="V111" s="1">
        <f t="shared" si="39"/>
        <v>136429.73105041683</v>
      </c>
      <c r="W111" s="100">
        <f t="shared" si="19"/>
        <v>9.7546133197426339E-3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12805369.024491576</v>
      </c>
      <c r="E112" s="8">
        <f>Dataset!AC112</f>
        <v>398.9</v>
      </c>
      <c r="F112" s="8">
        <f>Dataset!AD112</f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34"/>
        <v>-11222476.5573291</v>
      </c>
      <c r="N112" s="1">
        <f t="shared" si="35"/>
        <v>3629185.0033925683</v>
      </c>
      <c r="O112" s="1">
        <f t="shared" si="36"/>
        <v>0</v>
      </c>
      <c r="P112" s="1">
        <f t="shared" si="37"/>
        <v>9021933.1670136303</v>
      </c>
      <c r="Q112" s="1">
        <f t="shared" si="30"/>
        <v>-615866.12074584502</v>
      </c>
      <c r="R112" s="1">
        <f t="shared" si="31"/>
        <v>568198.93190333538</v>
      </c>
      <c r="S112" s="1">
        <f t="shared" si="32"/>
        <v>0</v>
      </c>
      <c r="T112" s="1">
        <f t="shared" si="33"/>
        <v>10946337.614548573</v>
      </c>
      <c r="U112" s="1">
        <f t="shared" si="38"/>
        <v>12327312.038783163</v>
      </c>
      <c r="V112" s="1">
        <f t="shared" si="39"/>
        <v>-478056.98570841365</v>
      </c>
      <c r="W112" s="100">
        <f t="shared" si="19"/>
        <v>3.8780310273998954E-2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10679161.531817298</v>
      </c>
      <c r="E113" s="8">
        <f>Dataset!AC113</f>
        <v>258.60000000000002</v>
      </c>
      <c r="F113" s="8">
        <f>Dataset!AD113</f>
        <v>3.8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34"/>
        <v>-11222476.5573291</v>
      </c>
      <c r="N113" s="1">
        <f t="shared" si="35"/>
        <v>2352738.134563345</v>
      </c>
      <c r="O113" s="1">
        <f t="shared" si="36"/>
        <v>58141.70900280324</v>
      </c>
      <c r="P113" s="1">
        <f t="shared" si="37"/>
        <v>8730903.0648519006</v>
      </c>
      <c r="Q113" s="1">
        <f t="shared" si="30"/>
        <v>-615866.12074584502</v>
      </c>
      <c r="R113" s="1">
        <f t="shared" si="31"/>
        <v>368353.58182552661</v>
      </c>
      <c r="S113" s="1">
        <f t="shared" si="32"/>
        <v>35083.11108473374</v>
      </c>
      <c r="T113" s="1">
        <f t="shared" si="33"/>
        <v>10941659.692491073</v>
      </c>
      <c r="U113" s="1">
        <f t="shared" si="38"/>
        <v>10648536.615744438</v>
      </c>
      <c r="V113" s="1">
        <f t="shared" si="39"/>
        <v>-30624.91607286036</v>
      </c>
      <c r="W113" s="100">
        <f t="shared" si="19"/>
        <v>2.8759741528784116E-3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10212278.807612965</v>
      </c>
      <c r="E114" s="8">
        <f>Dataset!AC114</f>
        <v>154.19999999999999</v>
      </c>
      <c r="F114" s="8">
        <f>Dataset!AD114</f>
        <v>26.2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34"/>
        <v>-11222476.5573291</v>
      </c>
      <c r="N114" s="1">
        <f t="shared" si="35"/>
        <v>1402908.8180574933</v>
      </c>
      <c r="O114" s="1">
        <f t="shared" si="36"/>
        <v>400871.78312459076</v>
      </c>
      <c r="P114" s="1">
        <f t="shared" si="37"/>
        <v>9021933.1670136303</v>
      </c>
      <c r="Q114" s="1">
        <f t="shared" si="30"/>
        <v>-615866.12074584502</v>
      </c>
      <c r="R114" s="1">
        <f t="shared" si="31"/>
        <v>219644.71120454831</v>
      </c>
      <c r="S114" s="1">
        <f t="shared" si="32"/>
        <v>241888.81853158528</v>
      </c>
      <c r="T114" s="1">
        <f t="shared" si="33"/>
        <v>10886861.176960368</v>
      </c>
      <c r="U114" s="1">
        <f t="shared" si="38"/>
        <v>10335765.796817269</v>
      </c>
      <c r="V114" s="1">
        <f t="shared" si="39"/>
        <v>123486.98920430429</v>
      </c>
      <c r="W114" s="100">
        <f t="shared" si="19"/>
        <v>1.1947541346411903E-2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Dataset!F115</f>
        <v>11266749.346399665</v>
      </c>
      <c r="E115" s="8">
        <f>Dataset!AC115</f>
        <v>7.3</v>
      </c>
      <c r="F115" s="8">
        <f>Dataset!AD115</f>
        <v>127.6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34"/>
        <v>-11222476.5573291</v>
      </c>
      <c r="N115" s="1">
        <f t="shared" si="35"/>
        <v>66415.268299738658</v>
      </c>
      <c r="O115" s="1">
        <f t="shared" si="36"/>
        <v>1952337.3865151824</v>
      </c>
      <c r="P115" s="1">
        <f t="shared" si="37"/>
        <v>8730903.0648519006</v>
      </c>
      <c r="Q115" s="1">
        <f t="shared" si="30"/>
        <v>0</v>
      </c>
      <c r="R115" s="1">
        <f t="shared" si="31"/>
        <v>10398.22562771208</v>
      </c>
      <c r="S115" s="1">
        <f t="shared" si="32"/>
        <v>1178053.9406347435</v>
      </c>
      <c r="T115" s="1">
        <f t="shared" si="33"/>
        <v>11029871.93700392</v>
      </c>
      <c r="U115" s="1">
        <f t="shared" si="38"/>
        <v>11745503.265604097</v>
      </c>
      <c r="V115" s="1">
        <f t="shared" si="39"/>
        <v>478753.91920443252</v>
      </c>
      <c r="W115" s="100">
        <f t="shared" si="19"/>
        <v>4.0760613519765523E-2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Dataset!F116</f>
        <v>11642967.889542187</v>
      </c>
      <c r="E116" s="8">
        <f>Dataset!AC116</f>
        <v>2.2999999999999998</v>
      </c>
      <c r="F116" s="8">
        <f>Dataset!AD116</f>
        <v>113.3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34"/>
        <v>-11222476.5573291</v>
      </c>
      <c r="N116" s="1">
        <f t="shared" si="35"/>
        <v>20925.358505397111</v>
      </c>
      <c r="O116" s="1">
        <f t="shared" si="36"/>
        <v>1733540.9552677914</v>
      </c>
      <c r="P116" s="1">
        <f t="shared" si="37"/>
        <v>9021933.1670136303</v>
      </c>
      <c r="Q116" s="1">
        <f t="shared" si="30"/>
        <v>0</v>
      </c>
      <c r="R116" s="1">
        <f t="shared" si="31"/>
        <v>3276.1532799640795</v>
      </c>
      <c r="S116" s="1">
        <f t="shared" si="32"/>
        <v>1046030.6541842981</v>
      </c>
      <c r="T116" s="1">
        <f t="shared" si="33"/>
        <v>10991780.285964282</v>
      </c>
      <c r="U116" s="1">
        <f t="shared" si="38"/>
        <v>11595010.016886264</v>
      </c>
      <c r="V116" s="1">
        <f t="shared" si="39"/>
        <v>-47957.872655922547</v>
      </c>
      <c r="W116" s="100">
        <f t="shared" si="19"/>
        <v>4.1360785877786761E-3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Dataset!F117</f>
        <v>13389517.587223908</v>
      </c>
      <c r="E117" s="8">
        <f>Dataset!AC117</f>
        <v>0.2</v>
      </c>
      <c r="F117" s="8">
        <f>Dataset!AD117</f>
        <v>189.9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M117" s="8">
        <f t="shared" si="34"/>
        <v>-11222476.5573291</v>
      </c>
      <c r="N117" s="1">
        <f t="shared" si="35"/>
        <v>1819.5963917736619</v>
      </c>
      <c r="O117" s="1">
        <f t="shared" si="36"/>
        <v>2905555.4051664043</v>
      </c>
      <c r="P117" s="1">
        <f t="shared" si="37"/>
        <v>9021933.1670136303</v>
      </c>
      <c r="Q117" s="1">
        <f t="shared" si="30"/>
        <v>0</v>
      </c>
      <c r="R117" s="1">
        <f t="shared" si="31"/>
        <v>284.88289390992003</v>
      </c>
      <c r="S117" s="1">
        <f t="shared" si="32"/>
        <v>1753232.3144712993</v>
      </c>
      <c r="T117" s="1">
        <f t="shared" si="33"/>
        <v>10987770.638486424</v>
      </c>
      <c r="U117" s="1">
        <f t="shared" si="38"/>
        <v>13448119.447094342</v>
      </c>
      <c r="V117" s="1">
        <f t="shared" si="39"/>
        <v>58601.859870433807</v>
      </c>
      <c r="W117" s="100">
        <f t="shared" si="19"/>
        <v>4.3576248784059973E-3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Dataset!F118</f>
        <v>9628321.4779526275</v>
      </c>
      <c r="E118" s="8">
        <f>Dataset!AC118</f>
        <v>21.9</v>
      </c>
      <c r="F118" s="8">
        <f>Dataset!AD118</f>
        <v>47.9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M118" s="8">
        <f t="shared" si="34"/>
        <v>-11222476.5573291</v>
      </c>
      <c r="N118" s="1">
        <f t="shared" si="35"/>
        <v>199245.80489921596</v>
      </c>
      <c r="O118" s="1">
        <f t="shared" si="36"/>
        <v>732891.54243007244</v>
      </c>
      <c r="P118" s="1">
        <f t="shared" si="37"/>
        <v>8730903.0648519006</v>
      </c>
      <c r="Q118" s="1">
        <f t="shared" si="30"/>
        <v>-615866.12074584502</v>
      </c>
      <c r="R118" s="1">
        <f t="shared" si="31"/>
        <v>31194.676883136239</v>
      </c>
      <c r="S118" s="1">
        <f t="shared" si="32"/>
        <v>442231.84762072266</v>
      </c>
      <c r="T118" s="1">
        <f t="shared" si="33"/>
        <v>11025862.289526064</v>
      </c>
      <c r="U118" s="1">
        <f t="shared" si="38"/>
        <v>9323986.5481361672</v>
      </c>
      <c r="V118" s="1">
        <f t="shared" si="39"/>
        <v>-304334.92981646024</v>
      </c>
      <c r="W118" s="100">
        <f t="shared" ref="W118:W121" si="40">ABS(V118/U118)</f>
        <v>3.2640000952950297E-2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Dataset!F119</f>
        <v>9915708.4743651673</v>
      </c>
      <c r="E119" s="8">
        <f>Dataset!AC119</f>
        <v>96.4</v>
      </c>
      <c r="F119" s="8">
        <f>Dataset!AD119</f>
        <v>35.299999999999997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M119" s="8">
        <f t="shared" si="34"/>
        <v>-11222476.5573291</v>
      </c>
      <c r="N119" s="1">
        <f t="shared" si="35"/>
        <v>877045.46083490504</v>
      </c>
      <c r="O119" s="1">
        <f t="shared" si="36"/>
        <v>540105.87573656684</v>
      </c>
      <c r="P119" s="1">
        <f t="shared" si="37"/>
        <v>9021933.1670136303</v>
      </c>
      <c r="Q119" s="1">
        <f t="shared" si="30"/>
        <v>-615866.12074584502</v>
      </c>
      <c r="R119" s="1">
        <f t="shared" si="31"/>
        <v>137313.55486458144</v>
      </c>
      <c r="S119" s="1">
        <f t="shared" si="32"/>
        <v>325903.63718186866</v>
      </c>
      <c r="T119" s="1">
        <f t="shared" si="33"/>
        <v>10946337.614548573</v>
      </c>
      <c r="U119" s="1">
        <f t="shared" si="38"/>
        <v>10010296.632105181</v>
      </c>
      <c r="V119" s="1">
        <f t="shared" si="39"/>
        <v>94588.157740013674</v>
      </c>
      <c r="W119" s="100">
        <f t="shared" si="40"/>
        <v>9.449086397364994E-3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Dataset!F120</f>
        <v>11426084.56467288</v>
      </c>
      <c r="E120" s="8">
        <f>Dataset!AC120</f>
        <v>352.5</v>
      </c>
      <c r="F120" s="8">
        <f>Dataset!AD120</f>
        <v>0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M120" s="8">
        <f t="shared" si="34"/>
        <v>-11222476.5573291</v>
      </c>
      <c r="N120" s="1">
        <f t="shared" si="35"/>
        <v>3207038.6405010791</v>
      </c>
      <c r="O120" s="1">
        <f t="shared" si="36"/>
        <v>0</v>
      </c>
      <c r="P120" s="1">
        <f t="shared" si="37"/>
        <v>8730903.0648519006</v>
      </c>
      <c r="Q120" s="1">
        <f t="shared" si="30"/>
        <v>-615866.12074584502</v>
      </c>
      <c r="R120" s="1">
        <f t="shared" si="31"/>
        <v>502106.100516234</v>
      </c>
      <c r="S120" s="1">
        <f t="shared" si="32"/>
        <v>0</v>
      </c>
      <c r="T120" s="1">
        <f t="shared" si="33"/>
        <v>11116079.357777838</v>
      </c>
      <c r="U120" s="1">
        <f t="shared" si="38"/>
        <v>11717784.485572107</v>
      </c>
      <c r="V120" s="1">
        <f t="shared" si="39"/>
        <v>291699.92089922726</v>
      </c>
      <c r="W120" s="100">
        <f t="shared" si="40"/>
        <v>2.4893777595789719E-2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Dataset!F121</f>
        <v>13758832.04968879</v>
      </c>
      <c r="E121" s="8">
        <f>Dataset!AC121</f>
        <v>464.3</v>
      </c>
      <c r="F121" s="8">
        <f>Dataset!AD121</f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M121" s="8">
        <f t="shared" si="34"/>
        <v>-11222476.5573291</v>
      </c>
      <c r="N121" s="1">
        <f t="shared" si="35"/>
        <v>4224193.0235025566</v>
      </c>
      <c r="O121" s="1">
        <f t="shared" si="36"/>
        <v>0</v>
      </c>
      <c r="P121" s="1">
        <f t="shared" si="37"/>
        <v>9021933.1670136303</v>
      </c>
      <c r="Q121" s="1">
        <f t="shared" si="30"/>
        <v>0</v>
      </c>
      <c r="R121" s="1">
        <f t="shared" si="31"/>
        <v>661355.6382118793</v>
      </c>
      <c r="S121" s="1">
        <f t="shared" si="32"/>
        <v>0</v>
      </c>
      <c r="T121" s="1">
        <f t="shared" si="33"/>
        <v>10978414.794371426</v>
      </c>
      <c r="U121" s="1">
        <f t="shared" si="38"/>
        <v>13663420.065770393</v>
      </c>
      <c r="V121" s="1">
        <f t="shared" si="39"/>
        <v>-95411.983918396756</v>
      </c>
      <c r="W121" s="100">
        <f t="shared" si="40"/>
        <v>6.9830235372344953E-3</v>
      </c>
    </row>
    <row r="122" spans="1:23">
      <c r="W122" s="100">
        <f>AVERAGE(W2:W121)</f>
        <v>2.5517901097870697E-2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22"/>
  <sheetViews>
    <sheetView topLeftCell="G1" workbookViewId="0">
      <selection activeCell="W4" sqref="W4:AA22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18" max="18" width="10.85546875" bestFit="1" customWidth="1"/>
    <col min="19" max="19" width="8.42578125" bestFit="1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9" t="str">
        <f>Dataset!BK1</f>
        <v>COVID_AM</v>
      </c>
      <c r="I1" t="str">
        <f>Dataset!BI1</f>
        <v>Shoulder</v>
      </c>
      <c r="K1" t="str">
        <f>W9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9" t="str">
        <f>H1</f>
        <v>COVID_AM</v>
      </c>
      <c r="P1" t="str">
        <f>I1</f>
        <v>Shoulder</v>
      </c>
      <c r="Q1" s="38" t="s">
        <v>138</v>
      </c>
      <c r="R1" s="38" t="s">
        <v>139</v>
      </c>
      <c r="S1" s="38" t="s">
        <v>140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>
        <f>Dataset!AE2</f>
        <v>509.7</v>
      </c>
      <c r="F2">
        <f>Dataset!AF2</f>
        <v>0</v>
      </c>
      <c r="G2" s="8">
        <f>Dataset!AR2</f>
        <v>31</v>
      </c>
      <c r="H2" s="109">
        <f>Dataset!BK2</f>
        <v>0</v>
      </c>
      <c r="I2">
        <f>Dataset!BI2</f>
        <v>0</v>
      </c>
      <c r="K2" s="8">
        <f t="shared" ref="K2:K33" si="0">$X$9</f>
        <v>491548.13237609901</v>
      </c>
      <c r="L2" s="1">
        <f t="shared" ref="L2:L33" si="1">E2*$X$10</f>
        <v>1080553.3817752425</v>
      </c>
      <c r="M2" s="1">
        <f t="shared" ref="M2:M33" si="2">F2*$X$11</f>
        <v>0</v>
      </c>
      <c r="N2" s="1">
        <f t="shared" ref="N2:N33" si="3">G2*$X$12</f>
        <v>3006849.2560703675</v>
      </c>
      <c r="O2" s="1">
        <f>H2*$X$13</f>
        <v>0</v>
      </c>
      <c r="P2" s="1">
        <f>I2*$X$14</f>
        <v>0</v>
      </c>
      <c r="Q2" s="1">
        <f>SUM(K2:P2)</f>
        <v>4578950.7702217093</v>
      </c>
      <c r="R2" s="1">
        <f t="shared" ref="R2:R33" si="4">Q2-D2</f>
        <v>74040.693744752556</v>
      </c>
      <c r="S2" s="100">
        <f t="shared" ref="S2:S54" si="5">ABS(R2/Q2)</f>
        <v>1.616979466699258E-2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>
        <f>Dataset!AE3</f>
        <v>435.6</v>
      </c>
      <c r="F3">
        <f>Dataset!AF3</f>
        <v>0</v>
      </c>
      <c r="G3" s="8">
        <f>Dataset!AR3</f>
        <v>29</v>
      </c>
      <c r="H3" s="109">
        <f>Dataset!BK3</f>
        <v>0</v>
      </c>
      <c r="I3">
        <f>Dataset!BI3</f>
        <v>0</v>
      </c>
      <c r="K3" s="8">
        <f t="shared" si="0"/>
        <v>491548.13237609901</v>
      </c>
      <c r="L3" s="1">
        <f t="shared" si="1"/>
        <v>923462.92544888286</v>
      </c>
      <c r="M3" s="1">
        <f t="shared" si="2"/>
        <v>0</v>
      </c>
      <c r="N3" s="1">
        <f t="shared" si="3"/>
        <v>2812858.9814851824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4227870.0393101647</v>
      </c>
      <c r="R3" s="1">
        <f t="shared" si="4"/>
        <v>135603.47198394779</v>
      </c>
      <c r="S3" s="100">
        <f t="shared" si="5"/>
        <v>3.207370868146963E-2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>
        <f>Dataset!AE4</f>
        <v>247.9</v>
      </c>
      <c r="F4">
        <f>Dataset!AF4</f>
        <v>12.3</v>
      </c>
      <c r="G4" s="8">
        <f>Dataset!AR4</f>
        <v>31</v>
      </c>
      <c r="H4" s="109">
        <f>Dataset!BK4</f>
        <v>0</v>
      </c>
      <c r="I4">
        <f>Dataset!BI4</f>
        <v>1</v>
      </c>
      <c r="K4" s="8">
        <f t="shared" si="0"/>
        <v>491548.13237609901</v>
      </c>
      <c r="L4" s="1">
        <f t="shared" si="1"/>
        <v>525542.83567212592</v>
      </c>
      <c r="M4" s="1">
        <f t="shared" si="2"/>
        <v>41618.624176162884</v>
      </c>
      <c r="N4" s="1">
        <f t="shared" si="3"/>
        <v>3006849.2560703675</v>
      </c>
      <c r="O4" s="1">
        <f t="shared" si="6"/>
        <v>0</v>
      </c>
      <c r="P4" s="1">
        <f t="shared" si="7"/>
        <v>-77519.929458595594</v>
      </c>
      <c r="Q4" s="1">
        <f t="shared" si="8"/>
        <v>3988038.9188361596</v>
      </c>
      <c r="R4" s="1">
        <f t="shared" si="4"/>
        <v>-122.72315174760297</v>
      </c>
      <c r="S4" s="100">
        <f t="shared" si="5"/>
        <v>3.0772806947284658E-5</v>
      </c>
      <c r="W4" t="s">
        <v>343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>
        <f>Dataset!AE5</f>
        <v>262</v>
      </c>
      <c r="F5">
        <f>Dataset!AF5</f>
        <v>4.0999999999999996</v>
      </c>
      <c r="G5" s="8">
        <f>Dataset!AR5</f>
        <v>30</v>
      </c>
      <c r="H5" s="109">
        <f>Dataset!BK5</f>
        <v>0</v>
      </c>
      <c r="I5">
        <f>Dataset!BI5</f>
        <v>1</v>
      </c>
      <c r="K5" s="8">
        <f t="shared" si="0"/>
        <v>491548.13237609901</v>
      </c>
      <c r="L5" s="1">
        <f t="shared" si="1"/>
        <v>555434.54193665588</v>
      </c>
      <c r="M5" s="1">
        <f t="shared" si="2"/>
        <v>13872.874725387626</v>
      </c>
      <c r="N5" s="1">
        <f t="shared" si="3"/>
        <v>2909854.1187777747</v>
      </c>
      <c r="O5" s="1">
        <f t="shared" si="6"/>
        <v>0</v>
      </c>
      <c r="P5" s="1">
        <f t="shared" si="7"/>
        <v>-77519.929458595594</v>
      </c>
      <c r="Q5" s="1">
        <f t="shared" si="8"/>
        <v>3893189.7383573214</v>
      </c>
      <c r="R5" s="1">
        <f t="shared" si="4"/>
        <v>377071.7565611545</v>
      </c>
      <c r="S5" s="100">
        <f t="shared" si="5"/>
        <v>9.6854194607081959E-2</v>
      </c>
      <c r="W5" t="s">
        <v>245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>
        <f>Dataset!AE6</f>
        <v>52.1</v>
      </c>
      <c r="F6">
        <f>Dataset!AF6</f>
        <v>67</v>
      </c>
      <c r="G6" s="8">
        <f>Dataset!AR6</f>
        <v>31</v>
      </c>
      <c r="H6" s="109">
        <f>Dataset!BK6</f>
        <v>0</v>
      </c>
      <c r="I6">
        <f>Dataset!BI6</f>
        <v>1</v>
      </c>
      <c r="K6" s="8">
        <f t="shared" si="0"/>
        <v>491548.13237609901</v>
      </c>
      <c r="L6" s="1">
        <f t="shared" si="1"/>
        <v>110450.91463702204</v>
      </c>
      <c r="M6" s="1">
        <f t="shared" si="2"/>
        <v>226703.07478072462</v>
      </c>
      <c r="N6" s="1">
        <f t="shared" si="3"/>
        <v>3006849.2560703675</v>
      </c>
      <c r="O6" s="1">
        <f t="shared" si="6"/>
        <v>0</v>
      </c>
      <c r="P6" s="1">
        <f t="shared" si="7"/>
        <v>-77519.929458595594</v>
      </c>
      <c r="Q6" s="1">
        <f t="shared" si="8"/>
        <v>3758031.4484056174</v>
      </c>
      <c r="R6" s="1">
        <f t="shared" si="4"/>
        <v>136552.7696524933</v>
      </c>
      <c r="S6" s="100">
        <f t="shared" si="5"/>
        <v>3.6336249849752374E-2</v>
      </c>
      <c r="W6" t="s">
        <v>356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>
        <f>Dataset!AE7</f>
        <v>7.5</v>
      </c>
      <c r="F7">
        <f>Dataset!AF7</f>
        <v>164.5</v>
      </c>
      <c r="G7" s="8">
        <f>Dataset!AR7</f>
        <v>30</v>
      </c>
      <c r="H7" s="109">
        <f>Dataset!BK7</f>
        <v>0</v>
      </c>
      <c r="I7">
        <f>Dataset!BI7</f>
        <v>0</v>
      </c>
      <c r="K7" s="8">
        <f t="shared" si="0"/>
        <v>491548.13237609901</v>
      </c>
      <c r="L7" s="1">
        <f t="shared" si="1"/>
        <v>15899.8437577287</v>
      </c>
      <c r="M7" s="1">
        <f t="shared" si="2"/>
        <v>556606.80300640606</v>
      </c>
      <c r="N7" s="1">
        <f t="shared" si="3"/>
        <v>2909854.1187777747</v>
      </c>
      <c r="O7" s="1">
        <f t="shared" si="6"/>
        <v>0</v>
      </c>
      <c r="P7" s="1">
        <f t="shared" si="7"/>
        <v>0</v>
      </c>
      <c r="Q7" s="1">
        <f t="shared" si="8"/>
        <v>3973908.8979180083</v>
      </c>
      <c r="R7" s="1">
        <f t="shared" si="4"/>
        <v>165867.90495349048</v>
      </c>
      <c r="S7" s="100">
        <f t="shared" si="5"/>
        <v>4.1739231878312869E-2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>
        <f>Dataset!AE8</f>
        <v>0</v>
      </c>
      <c r="F8">
        <f>Dataset!AF8</f>
        <v>249.5</v>
      </c>
      <c r="G8" s="8">
        <f>Dataset!AR8</f>
        <v>31</v>
      </c>
      <c r="H8" s="109">
        <f>Dataset!BK8</f>
        <v>0</v>
      </c>
      <c r="I8">
        <f>Dataset!BI8</f>
        <v>0</v>
      </c>
      <c r="K8" s="8">
        <f t="shared" si="0"/>
        <v>491548.13237609901</v>
      </c>
      <c r="L8" s="1">
        <f t="shared" si="1"/>
        <v>0</v>
      </c>
      <c r="M8" s="1">
        <f t="shared" si="2"/>
        <v>844215.18145956413</v>
      </c>
      <c r="N8" s="1">
        <f t="shared" si="3"/>
        <v>3006849.2560703675</v>
      </c>
      <c r="O8" s="1">
        <f t="shared" si="6"/>
        <v>0</v>
      </c>
      <c r="P8" s="1">
        <f t="shared" si="7"/>
        <v>0</v>
      </c>
      <c r="Q8" s="1">
        <f t="shared" si="8"/>
        <v>4342612.5699060308</v>
      </c>
      <c r="R8" s="1">
        <f t="shared" si="4"/>
        <v>108748.23360982724</v>
      </c>
      <c r="S8" s="100">
        <f t="shared" si="5"/>
        <v>2.5042121962121161E-2</v>
      </c>
      <c r="X8" t="s">
        <v>120</v>
      </c>
      <c r="Y8" t="s">
        <v>121</v>
      </c>
      <c r="Z8" t="s">
        <v>122</v>
      </c>
      <c r="AA8" t="s">
        <v>123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>
        <f>Dataset!AE9</f>
        <v>0</v>
      </c>
      <c r="F9">
        <f>Dataset!AF9</f>
        <v>209</v>
      </c>
      <c r="G9" s="8">
        <f>Dataset!AR9</f>
        <v>31</v>
      </c>
      <c r="H9" s="109">
        <f>Dataset!BK9</f>
        <v>0</v>
      </c>
      <c r="I9">
        <f>Dataset!BI9</f>
        <v>0</v>
      </c>
      <c r="K9" s="8">
        <f t="shared" si="0"/>
        <v>491548.13237609901</v>
      </c>
      <c r="L9" s="1">
        <f t="shared" si="1"/>
        <v>0</v>
      </c>
      <c r="M9" s="1">
        <f t="shared" si="2"/>
        <v>707178.24819658883</v>
      </c>
      <c r="N9" s="1">
        <f t="shared" si="3"/>
        <v>3006849.2560703675</v>
      </c>
      <c r="O9" s="1">
        <f t="shared" si="6"/>
        <v>0</v>
      </c>
      <c r="P9" s="1">
        <f t="shared" si="7"/>
        <v>0</v>
      </c>
      <c r="Q9" s="1">
        <f t="shared" si="8"/>
        <v>4205575.6366430558</v>
      </c>
      <c r="R9" s="1">
        <f t="shared" si="4"/>
        <v>148396.33612852078</v>
      </c>
      <c r="S9" s="100">
        <f t="shared" si="5"/>
        <v>3.5285618176866894E-2</v>
      </c>
      <c r="W9" t="s">
        <v>124</v>
      </c>
      <c r="X9" s="8">
        <v>491548.13237609901</v>
      </c>
      <c r="Y9">
        <v>299442.25147513702</v>
      </c>
      <c r="Z9">
        <v>1.64154567351332</v>
      </c>
      <c r="AA9">
        <v>0.103440201857083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>
        <f>Dataset!AE10</f>
        <v>24.4</v>
      </c>
      <c r="F10">
        <f>Dataset!AF10</f>
        <v>78.599999999999994</v>
      </c>
      <c r="G10" s="8">
        <f>Dataset!AR10</f>
        <v>30</v>
      </c>
      <c r="H10" s="109">
        <f>Dataset!BK10</f>
        <v>0</v>
      </c>
      <c r="I10">
        <f>Dataset!BI10</f>
        <v>1</v>
      </c>
      <c r="K10" s="8">
        <f t="shared" si="0"/>
        <v>491548.13237609901</v>
      </c>
      <c r="L10" s="1">
        <f t="shared" si="1"/>
        <v>51727.491691810697</v>
      </c>
      <c r="M10" s="1">
        <f t="shared" si="2"/>
        <v>265953.1593696262</v>
      </c>
      <c r="N10" s="1">
        <f t="shared" si="3"/>
        <v>2909854.1187777747</v>
      </c>
      <c r="O10" s="1">
        <f t="shared" si="6"/>
        <v>0</v>
      </c>
      <c r="P10" s="1">
        <f t="shared" si="7"/>
        <v>-77519.929458595594</v>
      </c>
      <c r="Q10" s="1">
        <f t="shared" si="8"/>
        <v>3641562.9727567146</v>
      </c>
      <c r="R10" s="1">
        <f t="shared" si="4"/>
        <v>37916.553960854653</v>
      </c>
      <c r="S10" s="100">
        <f t="shared" si="5"/>
        <v>1.0412164843644401E-2</v>
      </c>
      <c r="W10" t="s">
        <v>30</v>
      </c>
      <c r="X10" s="8">
        <v>2119.9791676971599</v>
      </c>
      <c r="Y10">
        <v>95.494714930272906</v>
      </c>
      <c r="Z10">
        <v>22.199963309436601</v>
      </c>
      <c r="AA10" s="99">
        <v>3.35174738434656E-43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>
        <f>Dataset!AE11</f>
        <v>124.7</v>
      </c>
      <c r="F11">
        <f>Dataset!AF11</f>
        <v>12.6</v>
      </c>
      <c r="G11" s="8">
        <f>Dataset!AR11</f>
        <v>31</v>
      </c>
      <c r="H11" s="109">
        <f>Dataset!BK11</f>
        <v>0</v>
      </c>
      <c r="I11">
        <f>Dataset!BI11</f>
        <v>1</v>
      </c>
      <c r="K11" s="8">
        <f t="shared" si="0"/>
        <v>491548.13237609901</v>
      </c>
      <c r="L11" s="1">
        <f t="shared" si="1"/>
        <v>264361.40221183584</v>
      </c>
      <c r="M11" s="1">
        <f t="shared" si="2"/>
        <v>42633.712570703436</v>
      </c>
      <c r="N11" s="1">
        <f t="shared" si="3"/>
        <v>3006849.2560703675</v>
      </c>
      <c r="O11" s="1">
        <f t="shared" si="6"/>
        <v>0</v>
      </c>
      <c r="P11" s="1">
        <f t="shared" si="7"/>
        <v>-77519.929458595594</v>
      </c>
      <c r="Q11" s="1">
        <f t="shared" si="8"/>
        <v>3727872.5737704099</v>
      </c>
      <c r="R11" s="1">
        <f t="shared" si="4"/>
        <v>118047.21029995708</v>
      </c>
      <c r="S11" s="100">
        <f t="shared" si="5"/>
        <v>3.1666106596707752E-2</v>
      </c>
      <c r="W11" t="s">
        <v>31</v>
      </c>
      <c r="X11" s="8">
        <v>3383.6279818018602</v>
      </c>
      <c r="Y11">
        <v>261.344177427114</v>
      </c>
      <c r="Z11">
        <v>12.9470188129427</v>
      </c>
      <c r="AA11" s="99">
        <v>3.9353422760564602E-24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>
        <f>Dataset!AE12</f>
        <v>326</v>
      </c>
      <c r="F12">
        <f>Dataset!AF12</f>
        <v>0</v>
      </c>
      <c r="G12" s="8">
        <f>Dataset!AR12</f>
        <v>30</v>
      </c>
      <c r="H12" s="109">
        <f>Dataset!BK12</f>
        <v>0</v>
      </c>
      <c r="I12">
        <f>Dataset!BI12</f>
        <v>1</v>
      </c>
      <c r="K12" s="8">
        <f t="shared" si="0"/>
        <v>491548.13237609901</v>
      </c>
      <c r="L12" s="1">
        <f t="shared" si="1"/>
        <v>691113.20866927411</v>
      </c>
      <c r="M12" s="1">
        <f t="shared" si="2"/>
        <v>0</v>
      </c>
      <c r="N12" s="1">
        <f t="shared" si="3"/>
        <v>2909854.1187777747</v>
      </c>
      <c r="O12" s="1">
        <f t="shared" si="6"/>
        <v>0</v>
      </c>
      <c r="P12" s="1">
        <f t="shared" si="7"/>
        <v>-77519.929458595594</v>
      </c>
      <c r="Q12" s="1">
        <f t="shared" si="8"/>
        <v>4014995.530364552</v>
      </c>
      <c r="R12" s="1">
        <f t="shared" si="4"/>
        <v>102855.47721585771</v>
      </c>
      <c r="S12" s="100">
        <f t="shared" si="5"/>
        <v>2.5617831063069373E-2</v>
      </c>
      <c r="W12" t="s">
        <v>74</v>
      </c>
      <c r="X12" s="8">
        <v>96995.137292592495</v>
      </c>
      <c r="Y12">
        <v>10069.8402504559</v>
      </c>
      <c r="Z12">
        <v>9.63224191051102</v>
      </c>
      <c r="AA12" s="99">
        <v>2.0028846097633E-16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>
        <f>Dataset!AE13</f>
        <v>419.4</v>
      </c>
      <c r="F13">
        <f>Dataset!AF13</f>
        <v>0</v>
      </c>
      <c r="G13" s="8">
        <f>Dataset!AR13</f>
        <v>31</v>
      </c>
      <c r="H13" s="109">
        <f>Dataset!BK13</f>
        <v>0</v>
      </c>
      <c r="I13">
        <f>Dataset!BI13</f>
        <v>0</v>
      </c>
      <c r="K13" s="8">
        <f t="shared" si="0"/>
        <v>491548.13237609901</v>
      </c>
      <c r="L13" s="1">
        <f t="shared" si="1"/>
        <v>889119.26293218881</v>
      </c>
      <c r="M13" s="1">
        <f t="shared" si="2"/>
        <v>0</v>
      </c>
      <c r="N13" s="1">
        <f t="shared" si="3"/>
        <v>3006849.2560703675</v>
      </c>
      <c r="O13" s="1">
        <f t="shared" si="6"/>
        <v>0</v>
      </c>
      <c r="P13" s="1">
        <f t="shared" si="7"/>
        <v>0</v>
      </c>
      <c r="Q13" s="1">
        <f t="shared" si="8"/>
        <v>4387516.6513786558</v>
      </c>
      <c r="R13" s="1">
        <f t="shared" si="4"/>
        <v>34192.149498609826</v>
      </c>
      <c r="S13" s="100">
        <f t="shared" si="5"/>
        <v>7.7930529307201346E-3</v>
      </c>
      <c r="W13" t="s">
        <v>85</v>
      </c>
      <c r="X13" s="8">
        <v>-462571.59898509597</v>
      </c>
      <c r="Y13">
        <v>80843.849789500397</v>
      </c>
      <c r="Z13">
        <v>-5.7217908373924704</v>
      </c>
      <c r="AA13" s="99">
        <v>8.6413499345349101E-8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>
        <f>Dataset!AE14</f>
        <v>514.9</v>
      </c>
      <c r="F14">
        <f>Dataset!AF14</f>
        <v>0</v>
      </c>
      <c r="G14" s="8">
        <f>Dataset!AR14</f>
        <v>31</v>
      </c>
      <c r="H14" s="109">
        <f>Dataset!BK14</f>
        <v>0</v>
      </c>
      <c r="I14">
        <f>Dataset!BI14</f>
        <v>0</v>
      </c>
      <c r="K14" s="8">
        <f t="shared" si="0"/>
        <v>491548.13237609901</v>
      </c>
      <c r="L14" s="1">
        <f t="shared" si="1"/>
        <v>1091577.2734472677</v>
      </c>
      <c r="M14" s="1">
        <f t="shared" si="2"/>
        <v>0</v>
      </c>
      <c r="N14" s="1">
        <f t="shared" si="3"/>
        <v>3006849.2560703675</v>
      </c>
      <c r="O14" s="1">
        <f t="shared" si="6"/>
        <v>0</v>
      </c>
      <c r="P14" s="1">
        <f t="shared" si="7"/>
        <v>0</v>
      </c>
      <c r="Q14" s="1">
        <f t="shared" si="8"/>
        <v>4589974.6618937347</v>
      </c>
      <c r="R14" s="1">
        <f t="shared" si="4"/>
        <v>-132046.81145182345</v>
      </c>
      <c r="S14" s="100">
        <f t="shared" si="5"/>
        <v>2.8768527318480553E-2</v>
      </c>
      <c r="W14" t="s">
        <v>83</v>
      </c>
      <c r="X14" s="8">
        <v>-77519.929458595594</v>
      </c>
      <c r="Y14">
        <v>26403.273625933602</v>
      </c>
      <c r="Z14">
        <v>-2.93599689784129</v>
      </c>
      <c r="AA14" s="99">
        <v>4.0226090789754901E-3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>
        <f>Dataset!AE15</f>
        <v>535.79999999999995</v>
      </c>
      <c r="F15">
        <f>Dataset!AF15</f>
        <v>0</v>
      </c>
      <c r="G15" s="8">
        <f>Dataset!AR15</f>
        <v>28</v>
      </c>
      <c r="H15" s="109">
        <f>Dataset!BK15</f>
        <v>0</v>
      </c>
      <c r="I15">
        <f>Dataset!BI15</f>
        <v>0</v>
      </c>
      <c r="K15" s="8">
        <f t="shared" si="0"/>
        <v>491548.13237609901</v>
      </c>
      <c r="L15" s="1">
        <f t="shared" si="1"/>
        <v>1135884.8380521382</v>
      </c>
      <c r="M15" s="1">
        <f t="shared" si="2"/>
        <v>0</v>
      </c>
      <c r="N15" s="1">
        <f t="shared" si="3"/>
        <v>2715863.8441925896</v>
      </c>
      <c r="O15" s="1">
        <f t="shared" si="6"/>
        <v>0</v>
      </c>
      <c r="P15" s="1">
        <f t="shared" si="7"/>
        <v>0</v>
      </c>
      <c r="Q15" s="1">
        <f t="shared" si="8"/>
        <v>4343296.8146208264</v>
      </c>
      <c r="R15" s="1">
        <f t="shared" si="4"/>
        <v>-36424.66151464358</v>
      </c>
      <c r="S15" s="100">
        <f t="shared" si="5"/>
        <v>8.3864085438571361E-3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>
        <f>Dataset!AE16</f>
        <v>458.2</v>
      </c>
      <c r="F16">
        <f>Dataset!AF16</f>
        <v>0</v>
      </c>
      <c r="G16" s="8">
        <f>Dataset!AR16</f>
        <v>31</v>
      </c>
      <c r="H16" s="109">
        <f>Dataset!BK16</f>
        <v>0</v>
      </c>
      <c r="I16">
        <f>Dataset!BI16</f>
        <v>1</v>
      </c>
      <c r="K16" s="8">
        <f t="shared" si="0"/>
        <v>491548.13237609901</v>
      </c>
      <c r="L16" s="1">
        <f t="shared" si="1"/>
        <v>971374.45463883865</v>
      </c>
      <c r="M16" s="1">
        <f t="shared" si="2"/>
        <v>0</v>
      </c>
      <c r="N16" s="1">
        <f t="shared" si="3"/>
        <v>3006849.2560703675</v>
      </c>
      <c r="O16" s="1">
        <f t="shared" si="6"/>
        <v>0</v>
      </c>
      <c r="P16" s="1">
        <f t="shared" si="7"/>
        <v>-77519.929458595594</v>
      </c>
      <c r="Q16" s="1">
        <f t="shared" si="8"/>
        <v>4392251.91362671</v>
      </c>
      <c r="R16" s="1">
        <f t="shared" si="4"/>
        <v>-68577.510863135569</v>
      </c>
      <c r="S16" s="100">
        <f t="shared" si="5"/>
        <v>1.5613291817433733E-2</v>
      </c>
      <c r="W16" t="s">
        <v>128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>
        <f>Dataset!AE17</f>
        <v>252.8</v>
      </c>
      <c r="F17">
        <f>Dataset!AF17</f>
        <v>4.0999999999999996</v>
      </c>
      <c r="G17" s="8">
        <f>Dataset!AR17</f>
        <v>30</v>
      </c>
      <c r="H17" s="109">
        <f>Dataset!BK17</f>
        <v>0</v>
      </c>
      <c r="I17">
        <f>Dataset!BI17</f>
        <v>1</v>
      </c>
      <c r="K17" s="8">
        <f t="shared" si="0"/>
        <v>491548.13237609901</v>
      </c>
      <c r="L17" s="1">
        <f t="shared" si="1"/>
        <v>535930.73359384201</v>
      </c>
      <c r="M17" s="1">
        <f t="shared" si="2"/>
        <v>13872.874725387626</v>
      </c>
      <c r="N17" s="1">
        <f t="shared" si="3"/>
        <v>2909854.1187777747</v>
      </c>
      <c r="O17" s="1">
        <f t="shared" si="6"/>
        <v>0</v>
      </c>
      <c r="P17" s="1">
        <f t="shared" si="7"/>
        <v>-77519.929458595594</v>
      </c>
      <c r="Q17" s="1">
        <f t="shared" si="8"/>
        <v>3873685.9300145078</v>
      </c>
      <c r="R17" s="1">
        <f t="shared" si="4"/>
        <v>41339.660339874215</v>
      </c>
      <c r="S17" s="100">
        <f t="shared" si="5"/>
        <v>1.0671918448411585E-2</v>
      </c>
      <c r="W17" t="s">
        <v>129</v>
      </c>
      <c r="X17" s="8">
        <v>4053059.3003324298</v>
      </c>
      <c r="Y17" t="s">
        <v>130</v>
      </c>
      <c r="Z17">
        <v>398706.52521448198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>
        <f>Dataset!AE18</f>
        <v>80.2</v>
      </c>
      <c r="F18">
        <f>Dataset!AF18</f>
        <v>56.2</v>
      </c>
      <c r="G18" s="8">
        <f>Dataset!AR18</f>
        <v>31</v>
      </c>
      <c r="H18" s="109">
        <f>Dataset!BK18</f>
        <v>0</v>
      </c>
      <c r="I18">
        <f>Dataset!BI18</f>
        <v>1</v>
      </c>
      <c r="K18" s="8">
        <f t="shared" si="0"/>
        <v>491548.13237609901</v>
      </c>
      <c r="L18" s="1">
        <f t="shared" si="1"/>
        <v>170022.32924931223</v>
      </c>
      <c r="M18" s="1">
        <f t="shared" si="2"/>
        <v>190159.89257726455</v>
      </c>
      <c r="N18" s="1">
        <f t="shared" si="3"/>
        <v>3006849.2560703675</v>
      </c>
      <c r="O18" s="1">
        <f t="shared" si="6"/>
        <v>0</v>
      </c>
      <c r="P18" s="1">
        <f t="shared" si="7"/>
        <v>-77519.929458595594</v>
      </c>
      <c r="Q18" s="1">
        <f t="shared" si="8"/>
        <v>3781059.6808144473</v>
      </c>
      <c r="R18" s="1">
        <f t="shared" si="4"/>
        <v>99668.793709254358</v>
      </c>
      <c r="S18" s="100">
        <f t="shared" si="5"/>
        <v>2.6360016006884479E-2</v>
      </c>
      <c r="W18" t="s">
        <v>131</v>
      </c>
      <c r="X18">
        <v>1405088900280.3101</v>
      </c>
      <c r="Y18" t="s">
        <v>132</v>
      </c>
      <c r="Z18">
        <v>111019.553370247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>
        <f>Dataset!AE19</f>
        <v>14.4</v>
      </c>
      <c r="F19">
        <f>Dataset!AF19</f>
        <v>100.9</v>
      </c>
      <c r="G19" s="8">
        <f>Dataset!AR19</f>
        <v>30</v>
      </c>
      <c r="H19" s="109">
        <f>Dataset!BK19</f>
        <v>0</v>
      </c>
      <c r="I19">
        <f>Dataset!BI19</f>
        <v>0</v>
      </c>
      <c r="K19" s="8">
        <f t="shared" si="0"/>
        <v>491548.13237609901</v>
      </c>
      <c r="L19" s="1">
        <f t="shared" si="1"/>
        <v>30527.700014839105</v>
      </c>
      <c r="M19" s="1">
        <f t="shared" si="2"/>
        <v>341408.06336380768</v>
      </c>
      <c r="N19" s="1">
        <f t="shared" si="3"/>
        <v>2909854.1187777747</v>
      </c>
      <c r="O19" s="1">
        <f t="shared" si="6"/>
        <v>0</v>
      </c>
      <c r="P19" s="1">
        <f t="shared" si="7"/>
        <v>0</v>
      </c>
      <c r="Q19" s="1">
        <f t="shared" si="8"/>
        <v>3773338.0145325204</v>
      </c>
      <c r="R19" s="1">
        <f t="shared" si="4"/>
        <v>36678.324446599931</v>
      </c>
      <c r="S19" s="100">
        <f t="shared" si="5"/>
        <v>9.7203919461596438E-3</v>
      </c>
      <c r="W19" t="s">
        <v>133</v>
      </c>
      <c r="X19">
        <v>0.92650410842584296</v>
      </c>
      <c r="Y19" t="s">
        <v>134</v>
      </c>
      <c r="Z19">
        <v>0.92328060440943305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>
        <f>Dataset!AE20</f>
        <v>0</v>
      </c>
      <c r="F20">
        <f>Dataset!AF20</f>
        <v>215.7</v>
      </c>
      <c r="G20" s="8">
        <f>Dataset!AR20</f>
        <v>31</v>
      </c>
      <c r="H20" s="109">
        <f>Dataset!BK20</f>
        <v>0</v>
      </c>
      <c r="I20">
        <f>Dataset!BI20</f>
        <v>0</v>
      </c>
      <c r="K20" s="8">
        <f t="shared" si="0"/>
        <v>491548.13237609901</v>
      </c>
      <c r="L20" s="1">
        <f t="shared" si="1"/>
        <v>0</v>
      </c>
      <c r="M20" s="1">
        <f t="shared" si="2"/>
        <v>729848.55567466118</v>
      </c>
      <c r="N20" s="1">
        <f t="shared" si="3"/>
        <v>3006849.2560703675</v>
      </c>
      <c r="O20" s="1">
        <f t="shared" si="6"/>
        <v>0</v>
      </c>
      <c r="P20" s="1">
        <f t="shared" si="7"/>
        <v>0</v>
      </c>
      <c r="Q20" s="1">
        <f t="shared" si="8"/>
        <v>4228245.9441211279</v>
      </c>
      <c r="R20" s="1">
        <f t="shared" si="4"/>
        <v>72202.031408159994</v>
      </c>
      <c r="S20" s="100">
        <f t="shared" si="5"/>
        <v>1.707611911945385E-2</v>
      </c>
      <c r="W20" t="s">
        <v>348</v>
      </c>
      <c r="X20">
        <v>234.41673304638601</v>
      </c>
      <c r="Y20" t="s">
        <v>135</v>
      </c>
      <c r="Z20" s="99">
        <v>3.0210269403434901E-58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>
        <f>Dataset!AE21</f>
        <v>0</v>
      </c>
      <c r="F21">
        <f>Dataset!AF21</f>
        <v>174.1</v>
      </c>
      <c r="G21" s="8">
        <f>Dataset!AR21</f>
        <v>31</v>
      </c>
      <c r="H21" s="109">
        <f>Dataset!BK21</f>
        <v>0</v>
      </c>
      <c r="I21">
        <f>Dataset!BI21</f>
        <v>0</v>
      </c>
      <c r="K21" s="8">
        <f t="shared" si="0"/>
        <v>491548.13237609901</v>
      </c>
      <c r="L21" s="1">
        <f t="shared" si="1"/>
        <v>0</v>
      </c>
      <c r="M21" s="1">
        <f t="shared" si="2"/>
        <v>589089.63163170381</v>
      </c>
      <c r="N21" s="1">
        <f t="shared" si="3"/>
        <v>3006849.2560703675</v>
      </c>
      <c r="O21" s="1">
        <f t="shared" si="6"/>
        <v>0</v>
      </c>
      <c r="P21" s="1">
        <f t="shared" si="7"/>
        <v>0</v>
      </c>
      <c r="Q21" s="1">
        <f t="shared" si="8"/>
        <v>4087487.0200781701</v>
      </c>
      <c r="R21" s="1">
        <f t="shared" si="4"/>
        <v>79408.005942185409</v>
      </c>
      <c r="S21" s="100">
        <f t="shared" si="5"/>
        <v>1.9427096783946923E-2</v>
      </c>
      <c r="W21" t="s">
        <v>136</v>
      </c>
      <c r="X21">
        <v>-3.3847672894474802E-2</v>
      </c>
      <c r="Y21" t="s">
        <v>137</v>
      </c>
      <c r="Z21">
        <v>2.0438144019501898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>
        <f>Dataset!AE22</f>
        <v>32.4</v>
      </c>
      <c r="F22">
        <f>Dataset!AF22</f>
        <v>73</v>
      </c>
      <c r="G22" s="8">
        <f>Dataset!AR22</f>
        <v>30</v>
      </c>
      <c r="H22" s="109">
        <f>Dataset!BK22</f>
        <v>0</v>
      </c>
      <c r="I22">
        <f>Dataset!BI22</f>
        <v>1</v>
      </c>
      <c r="K22" s="8">
        <f t="shared" si="0"/>
        <v>491548.13237609901</v>
      </c>
      <c r="L22" s="1">
        <f t="shared" si="1"/>
        <v>68687.325033387984</v>
      </c>
      <c r="M22" s="1">
        <f t="shared" si="2"/>
        <v>247004.84267153579</v>
      </c>
      <c r="N22" s="1">
        <f t="shared" si="3"/>
        <v>2909854.1187777747</v>
      </c>
      <c r="O22" s="1">
        <f t="shared" si="6"/>
        <v>0</v>
      </c>
      <c r="P22" s="1">
        <f t="shared" si="7"/>
        <v>-77519.929458595594</v>
      </c>
      <c r="Q22" s="1">
        <f t="shared" si="8"/>
        <v>3639574.4894002015</v>
      </c>
      <c r="R22" s="1">
        <f t="shared" si="4"/>
        <v>-48182.699793376029</v>
      </c>
      <c r="S22" s="100">
        <f t="shared" si="5"/>
        <v>1.3238553004946601E-2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>
        <f>Dataset!AE23</f>
        <v>126</v>
      </c>
      <c r="F23">
        <f>Dataset!AF23</f>
        <v>15.2</v>
      </c>
      <c r="G23" s="8">
        <f>Dataset!AR23</f>
        <v>31</v>
      </c>
      <c r="H23" s="109">
        <f>Dataset!BK23</f>
        <v>0</v>
      </c>
      <c r="I23">
        <f>Dataset!BI23</f>
        <v>1</v>
      </c>
      <c r="K23" s="8">
        <f t="shared" si="0"/>
        <v>491548.13237609901</v>
      </c>
      <c r="L23" s="1">
        <f t="shared" si="1"/>
        <v>267117.37512984214</v>
      </c>
      <c r="M23" s="1">
        <f t="shared" si="2"/>
        <v>51431.145323388271</v>
      </c>
      <c r="N23" s="1">
        <f t="shared" si="3"/>
        <v>3006849.2560703675</v>
      </c>
      <c r="O23" s="1">
        <f t="shared" si="6"/>
        <v>0</v>
      </c>
      <c r="P23" s="1">
        <f t="shared" si="7"/>
        <v>-77519.929458595594</v>
      </c>
      <c r="Q23" s="1">
        <f t="shared" si="8"/>
        <v>3739425.9794411012</v>
      </c>
      <c r="R23" s="1">
        <f t="shared" si="4"/>
        <v>15213.716338390484</v>
      </c>
      <c r="S23" s="100">
        <f t="shared" si="5"/>
        <v>4.0684630266874123E-3</v>
      </c>
      <c r="Z23" s="99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>
        <f>Dataset!AE24</f>
        <v>356.7</v>
      </c>
      <c r="F24">
        <f>Dataset!AF24</f>
        <v>0</v>
      </c>
      <c r="G24" s="8">
        <f>Dataset!AR24</f>
        <v>30</v>
      </c>
      <c r="H24" s="109">
        <f>Dataset!BK24</f>
        <v>0</v>
      </c>
      <c r="I24">
        <f>Dataset!BI24</f>
        <v>1</v>
      </c>
      <c r="K24" s="8">
        <f t="shared" si="0"/>
        <v>491548.13237609901</v>
      </c>
      <c r="L24" s="1">
        <f t="shared" si="1"/>
        <v>756196.56911757693</v>
      </c>
      <c r="M24" s="1">
        <f t="shared" si="2"/>
        <v>0</v>
      </c>
      <c r="N24" s="1">
        <f t="shared" si="3"/>
        <v>2909854.1187777747</v>
      </c>
      <c r="O24" s="1">
        <f t="shared" si="6"/>
        <v>0</v>
      </c>
      <c r="P24" s="1">
        <f t="shared" si="7"/>
        <v>-77519.929458595594</v>
      </c>
      <c r="Q24" s="1">
        <f t="shared" si="8"/>
        <v>4080078.8908128547</v>
      </c>
      <c r="R24" s="1">
        <f t="shared" si="4"/>
        <v>-3073.7560169934295</v>
      </c>
      <c r="S24" s="100">
        <f t="shared" si="5"/>
        <v>7.5335700589383942E-4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>
        <f>Dataset!AE25</f>
        <v>593.5</v>
      </c>
      <c r="F25">
        <f>Dataset!AF25</f>
        <v>0</v>
      </c>
      <c r="G25" s="8">
        <f>Dataset!AR25</f>
        <v>31</v>
      </c>
      <c r="H25" s="109">
        <f>Dataset!BK25</f>
        <v>0</v>
      </c>
      <c r="I25">
        <f>Dataset!BI25</f>
        <v>0</v>
      </c>
      <c r="K25" s="8">
        <f t="shared" si="0"/>
        <v>491548.13237609901</v>
      </c>
      <c r="L25" s="1">
        <f t="shared" si="1"/>
        <v>1258207.6360282644</v>
      </c>
      <c r="M25" s="1">
        <f t="shared" si="2"/>
        <v>0</v>
      </c>
      <c r="N25" s="1">
        <f t="shared" si="3"/>
        <v>3006849.2560703675</v>
      </c>
      <c r="O25" s="1">
        <f t="shared" si="6"/>
        <v>0</v>
      </c>
      <c r="P25" s="1">
        <f t="shared" si="7"/>
        <v>0</v>
      </c>
      <c r="Q25" s="1">
        <f t="shared" si="8"/>
        <v>4756605.0244747307</v>
      </c>
      <c r="R25" s="1">
        <f t="shared" si="4"/>
        <v>39122.492381230928</v>
      </c>
      <c r="S25" s="100">
        <f t="shared" si="5"/>
        <v>8.2248772349037338E-3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>
        <f>Dataset!AE26</f>
        <v>702.1</v>
      </c>
      <c r="F26">
        <f>Dataset!AF26</f>
        <v>0</v>
      </c>
      <c r="G26" s="8">
        <f>Dataset!AR26</f>
        <v>31</v>
      </c>
      <c r="H26" s="109">
        <f>Dataset!BK26</f>
        <v>0</v>
      </c>
      <c r="I26">
        <f>Dataset!BI26</f>
        <v>0</v>
      </c>
      <c r="K26" s="8">
        <f t="shared" si="0"/>
        <v>491548.13237609901</v>
      </c>
      <c r="L26" s="1">
        <f t="shared" si="1"/>
        <v>1488437.3736401761</v>
      </c>
      <c r="M26" s="1">
        <f t="shared" si="2"/>
        <v>0</v>
      </c>
      <c r="N26" s="1">
        <f t="shared" si="3"/>
        <v>3006849.2560703675</v>
      </c>
      <c r="O26" s="1">
        <f t="shared" si="6"/>
        <v>0</v>
      </c>
      <c r="P26" s="1">
        <f t="shared" si="7"/>
        <v>0</v>
      </c>
      <c r="Q26" s="1">
        <f t="shared" si="8"/>
        <v>4986834.7620866429</v>
      </c>
      <c r="R26" s="1">
        <f t="shared" si="4"/>
        <v>-117444.78460280877</v>
      </c>
      <c r="S26" s="100">
        <f t="shared" si="5"/>
        <v>2.3550967739237125E-2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>
        <f>Dataset!AE27</f>
        <v>628.1</v>
      </c>
      <c r="F27">
        <f>Dataset!AF27</f>
        <v>0</v>
      </c>
      <c r="G27" s="8">
        <f>Dataset!AR27</f>
        <v>28</v>
      </c>
      <c r="H27" s="109">
        <f>Dataset!BK27</f>
        <v>0</v>
      </c>
      <c r="I27">
        <f>Dataset!BI27</f>
        <v>0</v>
      </c>
      <c r="K27" s="8">
        <f t="shared" si="0"/>
        <v>491548.13237609901</v>
      </c>
      <c r="L27" s="1">
        <f t="shared" si="1"/>
        <v>1331558.9152305862</v>
      </c>
      <c r="M27" s="1">
        <f t="shared" si="2"/>
        <v>0</v>
      </c>
      <c r="N27" s="1">
        <f t="shared" si="3"/>
        <v>2715863.8441925896</v>
      </c>
      <c r="O27" s="1">
        <f t="shared" si="6"/>
        <v>0</v>
      </c>
      <c r="P27" s="1">
        <f t="shared" si="7"/>
        <v>0</v>
      </c>
      <c r="Q27" s="1">
        <f t="shared" si="8"/>
        <v>4538970.8917992748</v>
      </c>
      <c r="R27" s="1">
        <f t="shared" si="4"/>
        <v>-157829.41033873986</v>
      </c>
      <c r="S27" s="100">
        <f t="shared" si="5"/>
        <v>3.4772069286431437E-2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>
        <f>Dataset!AE28</f>
        <v>606</v>
      </c>
      <c r="F28">
        <f>Dataset!AF28</f>
        <v>0</v>
      </c>
      <c r="G28" s="8">
        <f>Dataset!AR28</f>
        <v>31</v>
      </c>
      <c r="H28" s="109">
        <f>Dataset!BK28</f>
        <v>0</v>
      </c>
      <c r="I28">
        <f>Dataset!BI28</f>
        <v>1</v>
      </c>
      <c r="K28" s="8">
        <f t="shared" si="0"/>
        <v>491548.13237609901</v>
      </c>
      <c r="L28" s="1">
        <f t="shared" si="1"/>
        <v>1284707.375624479</v>
      </c>
      <c r="M28" s="1">
        <f t="shared" si="2"/>
        <v>0</v>
      </c>
      <c r="N28" s="1">
        <f t="shared" si="3"/>
        <v>3006849.2560703675</v>
      </c>
      <c r="O28" s="1">
        <f t="shared" si="6"/>
        <v>0</v>
      </c>
      <c r="P28" s="1">
        <f t="shared" si="7"/>
        <v>-77519.929458595594</v>
      </c>
      <c r="Q28" s="1">
        <f t="shared" si="8"/>
        <v>4705584.83461235</v>
      </c>
      <c r="R28" s="1">
        <f t="shared" si="4"/>
        <v>-69630.200874071568</v>
      </c>
      <c r="S28" s="100">
        <f t="shared" si="5"/>
        <v>1.4797353213547528E-2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>
        <f>Dataset!AE29</f>
        <v>269.7</v>
      </c>
      <c r="F29">
        <f>Dataset!AF29</f>
        <v>0</v>
      </c>
      <c r="G29" s="8">
        <f>Dataset!AR29</f>
        <v>30</v>
      </c>
      <c r="H29" s="109">
        <f>Dataset!BK29</f>
        <v>0</v>
      </c>
      <c r="I29">
        <f>Dataset!BI29</f>
        <v>1</v>
      </c>
      <c r="K29" s="8">
        <f t="shared" si="0"/>
        <v>491548.13237609901</v>
      </c>
      <c r="L29" s="1">
        <f t="shared" si="1"/>
        <v>571758.38152792398</v>
      </c>
      <c r="M29" s="1">
        <f t="shared" si="2"/>
        <v>0</v>
      </c>
      <c r="N29" s="1">
        <f t="shared" si="3"/>
        <v>2909854.1187777747</v>
      </c>
      <c r="O29" s="1">
        <f t="shared" si="6"/>
        <v>0</v>
      </c>
      <c r="P29" s="1">
        <f t="shared" si="7"/>
        <v>-77519.929458595594</v>
      </c>
      <c r="Q29" s="1">
        <f t="shared" si="8"/>
        <v>3895640.7032232019</v>
      </c>
      <c r="R29" s="1">
        <f t="shared" si="4"/>
        <v>-89256.824011587072</v>
      </c>
      <c r="S29" s="100">
        <f t="shared" si="5"/>
        <v>2.2911975413373503E-2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>
        <f>Dataset!AE30</f>
        <v>78.3</v>
      </c>
      <c r="F30">
        <f>Dataset!AF30</f>
        <v>28.8</v>
      </c>
      <c r="G30" s="8">
        <f>Dataset!AR30</f>
        <v>31</v>
      </c>
      <c r="H30" s="109">
        <f>Dataset!BK30</f>
        <v>0</v>
      </c>
      <c r="I30">
        <f>Dataset!BI30</f>
        <v>1</v>
      </c>
      <c r="K30" s="8">
        <f t="shared" si="0"/>
        <v>491548.13237609901</v>
      </c>
      <c r="L30" s="1">
        <f t="shared" si="1"/>
        <v>165994.36883068763</v>
      </c>
      <c r="M30" s="1">
        <f t="shared" si="2"/>
        <v>97448.485875893573</v>
      </c>
      <c r="N30" s="1">
        <f t="shared" si="3"/>
        <v>3006849.2560703675</v>
      </c>
      <c r="O30" s="1">
        <f t="shared" si="6"/>
        <v>0</v>
      </c>
      <c r="P30" s="1">
        <f t="shared" si="7"/>
        <v>-77519.929458595594</v>
      </c>
      <c r="Q30" s="1">
        <f t="shared" si="8"/>
        <v>3684320.3136944519</v>
      </c>
      <c r="R30" s="1">
        <f t="shared" si="4"/>
        <v>-45124.800542755052</v>
      </c>
      <c r="S30" s="100">
        <f t="shared" si="5"/>
        <v>1.2247795169987856E-2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>
        <f>Dataset!AE31</f>
        <v>8.3000000000000007</v>
      </c>
      <c r="F31">
        <f>Dataset!AF31</f>
        <v>112.6</v>
      </c>
      <c r="G31" s="8">
        <f>Dataset!AR31</f>
        <v>30</v>
      </c>
      <c r="H31" s="109">
        <f>Dataset!BK31</f>
        <v>0</v>
      </c>
      <c r="I31">
        <f>Dataset!BI31</f>
        <v>0</v>
      </c>
      <c r="K31" s="8">
        <f t="shared" si="0"/>
        <v>491548.13237609901</v>
      </c>
      <c r="L31" s="1">
        <f t="shared" si="1"/>
        <v>17595.827091886429</v>
      </c>
      <c r="M31" s="1">
        <f t="shared" si="2"/>
        <v>380996.51075088943</v>
      </c>
      <c r="N31" s="1">
        <f t="shared" si="3"/>
        <v>2909854.1187777747</v>
      </c>
      <c r="O31" s="1">
        <f t="shared" si="6"/>
        <v>0</v>
      </c>
      <c r="P31" s="1">
        <f t="shared" si="7"/>
        <v>0</v>
      </c>
      <c r="Q31" s="1">
        <f t="shared" si="8"/>
        <v>3799994.5889966497</v>
      </c>
      <c r="R31" s="1">
        <f t="shared" si="4"/>
        <v>127143.41736595891</v>
      </c>
      <c r="S31" s="100">
        <f t="shared" si="5"/>
        <v>3.3458841687332472E-2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>
        <f>Dataset!AE32</f>
        <v>0</v>
      </c>
      <c r="F32">
        <f>Dataset!AF32</f>
        <v>144.6</v>
      </c>
      <c r="G32" s="8">
        <f>Dataset!AR32</f>
        <v>31</v>
      </c>
      <c r="H32" s="109">
        <f>Dataset!BK32</f>
        <v>0</v>
      </c>
      <c r="I32">
        <f>Dataset!BI32</f>
        <v>0</v>
      </c>
      <c r="K32" s="8">
        <f t="shared" si="0"/>
        <v>491548.13237609901</v>
      </c>
      <c r="L32" s="1">
        <f t="shared" si="1"/>
        <v>0</v>
      </c>
      <c r="M32" s="1">
        <f t="shared" si="2"/>
        <v>489272.60616854898</v>
      </c>
      <c r="N32" s="1">
        <f t="shared" si="3"/>
        <v>3006849.2560703675</v>
      </c>
      <c r="O32" s="1">
        <f t="shared" si="6"/>
        <v>0</v>
      </c>
      <c r="P32" s="1">
        <f t="shared" si="7"/>
        <v>0</v>
      </c>
      <c r="Q32" s="1">
        <f t="shared" si="8"/>
        <v>3987669.9946150156</v>
      </c>
      <c r="R32" s="1">
        <f t="shared" si="4"/>
        <v>89092.72720222408</v>
      </c>
      <c r="S32" s="100">
        <f t="shared" si="5"/>
        <v>2.2342051203468612E-2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>
        <f>Dataset!AE33</f>
        <v>1.3</v>
      </c>
      <c r="F33">
        <f>Dataset!AF33</f>
        <v>147.1</v>
      </c>
      <c r="G33" s="8">
        <f>Dataset!AR33</f>
        <v>31</v>
      </c>
      <c r="H33" s="109">
        <f>Dataset!BK33</f>
        <v>0</v>
      </c>
      <c r="I33">
        <f>Dataset!BI33</f>
        <v>0</v>
      </c>
      <c r="K33" s="8">
        <f t="shared" si="0"/>
        <v>491548.13237609901</v>
      </c>
      <c r="L33" s="1">
        <f t="shared" si="1"/>
        <v>2755.9729180063082</v>
      </c>
      <c r="M33" s="1">
        <f t="shared" si="2"/>
        <v>497731.67612305359</v>
      </c>
      <c r="N33" s="1">
        <f t="shared" si="3"/>
        <v>3006849.2560703675</v>
      </c>
      <c r="O33" s="1">
        <f t="shared" si="6"/>
        <v>0</v>
      </c>
      <c r="P33" s="1">
        <f t="shared" si="7"/>
        <v>0</v>
      </c>
      <c r="Q33" s="1">
        <f t="shared" si="8"/>
        <v>3998885.0374875264</v>
      </c>
      <c r="R33" s="1">
        <f t="shared" si="4"/>
        <v>134992.5134036243</v>
      </c>
      <c r="S33" s="100">
        <f t="shared" si="5"/>
        <v>3.37575379482375E-2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>
        <f>Dataset!AE34</f>
        <v>25</v>
      </c>
      <c r="F34">
        <f>Dataset!AF34</f>
        <v>80.099999999999994</v>
      </c>
      <c r="G34" s="8">
        <f>Dataset!AR34</f>
        <v>30</v>
      </c>
      <c r="H34" s="109">
        <f>Dataset!BK34</f>
        <v>0</v>
      </c>
      <c r="I34">
        <f>Dataset!BI34</f>
        <v>1</v>
      </c>
      <c r="K34" s="8">
        <f t="shared" ref="K34:K65" si="9">$X$9</f>
        <v>491548.13237609901</v>
      </c>
      <c r="L34" s="1">
        <f t="shared" ref="L34:L65" si="10">E34*$X$10</f>
        <v>52999.479192428997</v>
      </c>
      <c r="M34" s="1">
        <f t="shared" ref="M34:M65" si="11">F34*$X$11</f>
        <v>271028.601342329</v>
      </c>
      <c r="N34" s="1">
        <f t="shared" ref="N34:N65" si="12">G34*$X$12</f>
        <v>2909854.1187777747</v>
      </c>
      <c r="O34" s="1">
        <f t="shared" si="6"/>
        <v>0</v>
      </c>
      <c r="P34" s="1">
        <f t="shared" si="7"/>
        <v>-77519.929458595594</v>
      </c>
      <c r="Q34" s="1">
        <f t="shared" si="8"/>
        <v>3647910.402230036</v>
      </c>
      <c r="R34" s="1">
        <f t="shared" ref="R34:R65" si="13">Q34-D34</f>
        <v>18532.281120561995</v>
      </c>
      <c r="S34" s="100">
        <f t="shared" si="5"/>
        <v>5.080245696065579E-3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>
        <f>Dataset!AE35</f>
        <v>128.9</v>
      </c>
      <c r="F35">
        <f>Dataset!AF35</f>
        <v>15.3</v>
      </c>
      <c r="G35" s="8">
        <f>Dataset!AR35</f>
        <v>31</v>
      </c>
      <c r="H35" s="109">
        <f>Dataset!BK35</f>
        <v>0</v>
      </c>
      <c r="I35">
        <f>Dataset!BI35</f>
        <v>1</v>
      </c>
      <c r="K35" s="8">
        <f t="shared" si="9"/>
        <v>491548.13237609901</v>
      </c>
      <c r="L35" s="1">
        <f t="shared" si="10"/>
        <v>273265.31471616391</v>
      </c>
      <c r="M35" s="1">
        <f t="shared" si="11"/>
        <v>51769.508121568462</v>
      </c>
      <c r="N35" s="1">
        <f t="shared" si="12"/>
        <v>3006849.2560703675</v>
      </c>
      <c r="O35" s="1">
        <f t="shared" si="6"/>
        <v>0</v>
      </c>
      <c r="P35" s="1">
        <f t="shared" si="7"/>
        <v>-77519.929458595594</v>
      </c>
      <c r="Q35" s="1">
        <f t="shared" si="8"/>
        <v>3745912.281825603</v>
      </c>
      <c r="R35" s="1">
        <f t="shared" si="13"/>
        <v>45687.615412685554</v>
      </c>
      <c r="S35" s="100">
        <f t="shared" si="5"/>
        <v>1.2196659178153338E-2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>
        <f>Dataset!AE36</f>
        <v>358.3</v>
      </c>
      <c r="F36">
        <f>Dataset!AF36</f>
        <v>0</v>
      </c>
      <c r="G36" s="8">
        <f>Dataset!AR36</f>
        <v>30</v>
      </c>
      <c r="H36" s="109">
        <f>Dataset!BK36</f>
        <v>0</v>
      </c>
      <c r="I36">
        <f>Dataset!BI36</f>
        <v>1</v>
      </c>
      <c r="K36" s="8">
        <f t="shared" si="9"/>
        <v>491548.13237609901</v>
      </c>
      <c r="L36" s="1">
        <f t="shared" si="10"/>
        <v>759588.5357858924</v>
      </c>
      <c r="M36" s="1">
        <f t="shared" si="11"/>
        <v>0</v>
      </c>
      <c r="N36" s="1">
        <f t="shared" si="12"/>
        <v>2909854.1187777747</v>
      </c>
      <c r="O36" s="1">
        <f t="shared" si="6"/>
        <v>0</v>
      </c>
      <c r="P36" s="1">
        <f t="shared" si="7"/>
        <v>-77519.929458595594</v>
      </c>
      <c r="Q36" s="1">
        <f t="shared" si="8"/>
        <v>4083470.8574811704</v>
      </c>
      <c r="R36" s="1">
        <f t="shared" si="13"/>
        <v>61115.902292765211</v>
      </c>
      <c r="S36" s="100">
        <f t="shared" si="5"/>
        <v>1.4966655677436049E-2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>
        <f>Dataset!AE37</f>
        <v>456.1</v>
      </c>
      <c r="F37">
        <f>Dataset!AF37</f>
        <v>0</v>
      </c>
      <c r="G37" s="8">
        <f>Dataset!AR37</f>
        <v>31</v>
      </c>
      <c r="H37" s="109">
        <f>Dataset!BK37</f>
        <v>0</v>
      </c>
      <c r="I37">
        <f>Dataset!BI37</f>
        <v>0</v>
      </c>
      <c r="K37" s="8">
        <f t="shared" si="9"/>
        <v>491548.13237609901</v>
      </c>
      <c r="L37" s="1">
        <f t="shared" si="10"/>
        <v>966922.49838667468</v>
      </c>
      <c r="M37" s="1">
        <f t="shared" si="11"/>
        <v>0</v>
      </c>
      <c r="N37" s="1">
        <f t="shared" si="12"/>
        <v>3006849.2560703675</v>
      </c>
      <c r="O37" s="1">
        <f t="shared" si="6"/>
        <v>0</v>
      </c>
      <c r="P37" s="1">
        <f t="shared" si="7"/>
        <v>0</v>
      </c>
      <c r="Q37" s="1">
        <f t="shared" si="8"/>
        <v>4465319.8868331406</v>
      </c>
      <c r="R37" s="1">
        <f t="shared" si="13"/>
        <v>-36031.441472791135</v>
      </c>
      <c r="S37" s="100">
        <f t="shared" si="5"/>
        <v>8.0691736283075282E-3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>
        <f>Dataset!AE38</f>
        <v>700.7</v>
      </c>
      <c r="F38">
        <f>Dataset!AF38</f>
        <v>0</v>
      </c>
      <c r="G38" s="8">
        <f>Dataset!AR38</f>
        <v>31</v>
      </c>
      <c r="H38" s="109">
        <f>Dataset!BK38</f>
        <v>0</v>
      </c>
      <c r="I38">
        <f>Dataset!BI38</f>
        <v>0</v>
      </c>
      <c r="K38" s="8">
        <f t="shared" si="9"/>
        <v>491548.13237609901</v>
      </c>
      <c r="L38" s="1">
        <f t="shared" si="10"/>
        <v>1485469.4028054001</v>
      </c>
      <c r="M38" s="1">
        <f t="shared" si="11"/>
        <v>0</v>
      </c>
      <c r="N38" s="1">
        <f t="shared" si="12"/>
        <v>3006849.2560703675</v>
      </c>
      <c r="O38" s="1">
        <f t="shared" si="6"/>
        <v>0</v>
      </c>
      <c r="P38" s="1">
        <f t="shared" si="7"/>
        <v>0</v>
      </c>
      <c r="Q38" s="1">
        <f t="shared" si="8"/>
        <v>4983866.7912518661</v>
      </c>
      <c r="R38" s="1">
        <f t="shared" si="13"/>
        <v>-2148.4886396639049</v>
      </c>
      <c r="S38" s="100">
        <f t="shared" si="5"/>
        <v>4.3108869671940801E-4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>
        <f>Dataset!AE39</f>
        <v>748.7</v>
      </c>
      <c r="F39">
        <f>Dataset!AF39</f>
        <v>0</v>
      </c>
      <c r="G39" s="8">
        <f>Dataset!AR39</f>
        <v>28</v>
      </c>
      <c r="H39" s="109">
        <f>Dataset!BK39</f>
        <v>0</v>
      </c>
      <c r="I39">
        <f>Dataset!BI39</f>
        <v>0</v>
      </c>
      <c r="K39" s="8">
        <f t="shared" si="9"/>
        <v>491548.13237609901</v>
      </c>
      <c r="L39" s="1">
        <f t="shared" si="10"/>
        <v>1587228.4028548638</v>
      </c>
      <c r="M39" s="1">
        <f t="shared" si="11"/>
        <v>0</v>
      </c>
      <c r="N39" s="1">
        <f t="shared" si="12"/>
        <v>2715863.8441925896</v>
      </c>
      <c r="O39" s="1">
        <f t="shared" si="6"/>
        <v>0</v>
      </c>
      <c r="P39" s="1">
        <f t="shared" si="7"/>
        <v>0</v>
      </c>
      <c r="Q39" s="1">
        <f t="shared" si="8"/>
        <v>4794640.3794235522</v>
      </c>
      <c r="R39" s="1">
        <f t="shared" si="13"/>
        <v>97321.393741412088</v>
      </c>
      <c r="S39" s="100">
        <f t="shared" si="5"/>
        <v>2.0297954807845839E-2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>
        <f>Dataset!AE40</f>
        <v>522.70000000000005</v>
      </c>
      <c r="F40">
        <f>Dataset!AF40</f>
        <v>0</v>
      </c>
      <c r="G40" s="8">
        <f>Dataset!AR40</f>
        <v>31</v>
      </c>
      <c r="H40" s="109">
        <f>Dataset!BK40</f>
        <v>0</v>
      </c>
      <c r="I40">
        <f>Dataset!BI40</f>
        <v>1</v>
      </c>
      <c r="K40" s="8">
        <f t="shared" si="9"/>
        <v>491548.13237609901</v>
      </c>
      <c r="L40" s="1">
        <f t="shared" si="10"/>
        <v>1108113.1109553056</v>
      </c>
      <c r="M40" s="1">
        <f t="shared" si="11"/>
        <v>0</v>
      </c>
      <c r="N40" s="1">
        <f t="shared" si="12"/>
        <v>3006849.2560703675</v>
      </c>
      <c r="O40" s="1">
        <f t="shared" si="6"/>
        <v>0</v>
      </c>
      <c r="P40" s="1">
        <f t="shared" si="7"/>
        <v>-77519.929458595594</v>
      </c>
      <c r="Q40" s="1">
        <f t="shared" si="8"/>
        <v>4528990.5699431766</v>
      </c>
      <c r="R40" s="1">
        <f t="shared" si="13"/>
        <v>-125238.18278894015</v>
      </c>
      <c r="S40" s="100">
        <f t="shared" si="5"/>
        <v>2.7652559848564989E-2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>
        <f>Dataset!AE41</f>
        <v>246.8</v>
      </c>
      <c r="F41">
        <f>Dataset!AF41</f>
        <v>0</v>
      </c>
      <c r="G41" s="8">
        <f>Dataset!AR41</f>
        <v>30</v>
      </c>
      <c r="H41" s="109">
        <f>Dataset!BK41</f>
        <v>0</v>
      </c>
      <c r="I41">
        <f>Dataset!BI41</f>
        <v>1</v>
      </c>
      <c r="K41" s="8">
        <f t="shared" si="9"/>
        <v>491548.13237609901</v>
      </c>
      <c r="L41" s="1">
        <f t="shared" si="10"/>
        <v>523210.85858765908</v>
      </c>
      <c r="M41" s="1">
        <f t="shared" si="11"/>
        <v>0</v>
      </c>
      <c r="N41" s="1">
        <f t="shared" si="12"/>
        <v>2909854.1187777747</v>
      </c>
      <c r="O41" s="1">
        <f t="shared" si="6"/>
        <v>0</v>
      </c>
      <c r="P41" s="1">
        <f t="shared" si="7"/>
        <v>-77519.929458595594</v>
      </c>
      <c r="Q41" s="1">
        <f t="shared" si="8"/>
        <v>3847093.1802829369</v>
      </c>
      <c r="R41" s="1">
        <f t="shared" si="13"/>
        <v>17239.772419329733</v>
      </c>
      <c r="S41" s="100">
        <f t="shared" si="5"/>
        <v>4.481246388230665E-3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>
        <f>Dataset!AE42</f>
        <v>75.8</v>
      </c>
      <c r="F42">
        <f>Dataset!AF42</f>
        <v>68.8</v>
      </c>
      <c r="G42" s="8">
        <f>Dataset!AR42</f>
        <v>31</v>
      </c>
      <c r="H42" s="109">
        <f>Dataset!BK42</f>
        <v>0</v>
      </c>
      <c r="I42">
        <f>Dataset!BI42</f>
        <v>1</v>
      </c>
      <c r="K42" s="8">
        <f t="shared" si="9"/>
        <v>491548.13237609901</v>
      </c>
      <c r="L42" s="1">
        <f t="shared" si="10"/>
        <v>160694.42091144473</v>
      </c>
      <c r="M42" s="1">
        <f t="shared" si="11"/>
        <v>232793.60514796796</v>
      </c>
      <c r="N42" s="1">
        <f t="shared" si="12"/>
        <v>3006849.2560703675</v>
      </c>
      <c r="O42" s="1">
        <f t="shared" si="6"/>
        <v>0</v>
      </c>
      <c r="P42" s="1">
        <f t="shared" si="7"/>
        <v>-77519.929458595594</v>
      </c>
      <c r="Q42" s="1">
        <f t="shared" si="8"/>
        <v>3814365.4850472836</v>
      </c>
      <c r="R42" s="1">
        <f t="shared" si="13"/>
        <v>80982.871773437131</v>
      </c>
      <c r="S42" s="100">
        <f t="shared" si="5"/>
        <v>2.1231020491061636E-2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>
        <f>Dataset!AE43</f>
        <v>14.7</v>
      </c>
      <c r="F43">
        <f>Dataset!AF43</f>
        <v>70.900000000000006</v>
      </c>
      <c r="G43" s="8">
        <f>Dataset!AR43</f>
        <v>30</v>
      </c>
      <c r="H43" s="109">
        <f>Dataset!BK43</f>
        <v>0</v>
      </c>
      <c r="I43">
        <f>Dataset!BI43</f>
        <v>0</v>
      </c>
      <c r="K43" s="8">
        <f t="shared" si="9"/>
        <v>491548.13237609901</v>
      </c>
      <c r="L43" s="1">
        <f t="shared" si="10"/>
        <v>31163.693765148251</v>
      </c>
      <c r="M43" s="1">
        <f t="shared" si="11"/>
        <v>239899.22390975192</v>
      </c>
      <c r="N43" s="1">
        <f t="shared" si="12"/>
        <v>2909854.1187777747</v>
      </c>
      <c r="O43" s="1">
        <f t="shared" si="6"/>
        <v>0</v>
      </c>
      <c r="P43" s="1">
        <f t="shared" si="7"/>
        <v>0</v>
      </c>
      <c r="Q43" s="1">
        <f t="shared" si="8"/>
        <v>3672465.1688287738</v>
      </c>
      <c r="R43" s="1">
        <f t="shared" si="13"/>
        <v>-19482.433978150599</v>
      </c>
      <c r="S43" s="100">
        <f t="shared" si="5"/>
        <v>5.3050017039001501E-3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>
        <f>Dataset!AE44</f>
        <v>0</v>
      </c>
      <c r="F44">
        <f>Dataset!AF44</f>
        <v>186.4</v>
      </c>
      <c r="G44" s="8">
        <f>Dataset!AR44</f>
        <v>31</v>
      </c>
      <c r="H44" s="109">
        <f>Dataset!BK44</f>
        <v>0</v>
      </c>
      <c r="I44">
        <f>Dataset!BI44</f>
        <v>0</v>
      </c>
      <c r="K44" s="8">
        <f t="shared" si="9"/>
        <v>491548.13237609901</v>
      </c>
      <c r="L44" s="1">
        <f t="shared" si="10"/>
        <v>0</v>
      </c>
      <c r="M44" s="1">
        <f t="shared" si="11"/>
        <v>630708.25580786681</v>
      </c>
      <c r="N44" s="1">
        <f t="shared" si="12"/>
        <v>3006849.2560703675</v>
      </c>
      <c r="O44" s="1">
        <f t="shared" si="6"/>
        <v>0</v>
      </c>
      <c r="P44" s="1">
        <f t="shared" si="7"/>
        <v>0</v>
      </c>
      <c r="Q44" s="1">
        <f t="shared" si="8"/>
        <v>4129105.6442543333</v>
      </c>
      <c r="R44" s="1">
        <f t="shared" si="13"/>
        <v>94960.209234493319</v>
      </c>
      <c r="S44" s="100">
        <f t="shared" si="5"/>
        <v>2.2997766929657229E-2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>
        <f>Dataset!AE45</f>
        <v>0</v>
      </c>
      <c r="F45">
        <f>Dataset!AF45</f>
        <v>177.4</v>
      </c>
      <c r="G45" s="8">
        <f>Dataset!AR45</f>
        <v>31</v>
      </c>
      <c r="H45" s="109">
        <f>Dataset!BK45</f>
        <v>0</v>
      </c>
      <c r="I45">
        <f>Dataset!BI45</f>
        <v>0</v>
      </c>
      <c r="K45" s="8">
        <f t="shared" si="9"/>
        <v>491548.13237609901</v>
      </c>
      <c r="L45" s="1">
        <f t="shared" si="10"/>
        <v>0</v>
      </c>
      <c r="M45" s="1">
        <f t="shared" si="11"/>
        <v>600255.60397165001</v>
      </c>
      <c r="N45" s="1">
        <f t="shared" si="12"/>
        <v>3006849.2560703675</v>
      </c>
      <c r="O45" s="1">
        <f t="shared" si="6"/>
        <v>0</v>
      </c>
      <c r="P45" s="1">
        <f t="shared" si="7"/>
        <v>0</v>
      </c>
      <c r="Q45" s="1">
        <f t="shared" si="8"/>
        <v>4098652.9924181164</v>
      </c>
      <c r="R45" s="1">
        <f t="shared" si="13"/>
        <v>-11228.623472244479</v>
      </c>
      <c r="S45" s="100">
        <f t="shared" si="5"/>
        <v>2.7395887119538351E-3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>
        <f>Dataset!AE46</f>
        <v>2.5</v>
      </c>
      <c r="F46">
        <f>Dataset!AF46</f>
        <v>164.9</v>
      </c>
      <c r="G46" s="8">
        <f>Dataset!AR46</f>
        <v>30</v>
      </c>
      <c r="H46" s="109">
        <f>Dataset!BK46</f>
        <v>0</v>
      </c>
      <c r="I46">
        <f>Dataset!BI46</f>
        <v>1</v>
      </c>
      <c r="K46" s="8">
        <f t="shared" si="9"/>
        <v>491548.13237609901</v>
      </c>
      <c r="L46" s="1">
        <f t="shared" si="10"/>
        <v>5299.9479192428998</v>
      </c>
      <c r="M46" s="1">
        <f t="shared" si="11"/>
        <v>557960.25419912674</v>
      </c>
      <c r="N46" s="1">
        <f t="shared" si="12"/>
        <v>2909854.1187777747</v>
      </c>
      <c r="O46" s="1">
        <f t="shared" si="6"/>
        <v>0</v>
      </c>
      <c r="P46" s="1">
        <f t="shared" si="7"/>
        <v>-77519.929458595594</v>
      </c>
      <c r="Q46" s="1">
        <f t="shared" si="8"/>
        <v>3887142.5238136477</v>
      </c>
      <c r="R46" s="1">
        <f t="shared" si="13"/>
        <v>106049.583175065</v>
      </c>
      <c r="S46" s="100">
        <f t="shared" si="5"/>
        <v>2.7282144280889528E-2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>
        <f>Dataset!AE47</f>
        <v>141.1</v>
      </c>
      <c r="F47">
        <f>Dataset!AF47</f>
        <v>10.8</v>
      </c>
      <c r="G47" s="8">
        <f>Dataset!AR47</f>
        <v>31</v>
      </c>
      <c r="H47" s="109">
        <f>Dataset!BK47</f>
        <v>0</v>
      </c>
      <c r="I47">
        <f>Dataset!BI47</f>
        <v>1</v>
      </c>
      <c r="K47" s="8">
        <f t="shared" si="9"/>
        <v>491548.13237609901</v>
      </c>
      <c r="L47" s="1">
        <f t="shared" si="10"/>
        <v>299129.06056206924</v>
      </c>
      <c r="M47" s="1">
        <f t="shared" si="11"/>
        <v>36543.182203460092</v>
      </c>
      <c r="N47" s="1">
        <f t="shared" si="12"/>
        <v>3006849.2560703675</v>
      </c>
      <c r="O47" s="1">
        <f t="shared" si="6"/>
        <v>0</v>
      </c>
      <c r="P47" s="1">
        <f t="shared" si="7"/>
        <v>-77519.929458595594</v>
      </c>
      <c r="Q47" s="1">
        <f t="shared" si="8"/>
        <v>3756549.7017534003</v>
      </c>
      <c r="R47" s="1">
        <f t="shared" si="13"/>
        <v>155867.14159165509</v>
      </c>
      <c r="S47" s="100">
        <f t="shared" si="5"/>
        <v>4.1492101520419877E-2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>
        <f>Dataset!AE48</f>
        <v>225</v>
      </c>
      <c r="F48">
        <f>Dataset!AF48</f>
        <v>7.4</v>
      </c>
      <c r="G48" s="8">
        <f>Dataset!AR48</f>
        <v>30</v>
      </c>
      <c r="H48" s="109">
        <f>Dataset!BK48</f>
        <v>0</v>
      </c>
      <c r="I48">
        <f>Dataset!BI48</f>
        <v>1</v>
      </c>
      <c r="K48" s="8">
        <f t="shared" si="9"/>
        <v>491548.13237609901</v>
      </c>
      <c r="L48" s="1">
        <f t="shared" si="10"/>
        <v>476995.31273186096</v>
      </c>
      <c r="M48" s="1">
        <f t="shared" si="11"/>
        <v>25038.847065333768</v>
      </c>
      <c r="N48" s="1">
        <f t="shared" si="12"/>
        <v>2909854.1187777747</v>
      </c>
      <c r="O48" s="1">
        <f t="shared" si="6"/>
        <v>0</v>
      </c>
      <c r="P48" s="1">
        <f t="shared" si="7"/>
        <v>-77519.929458595594</v>
      </c>
      <c r="Q48" s="1">
        <f t="shared" si="8"/>
        <v>3825916.4814924728</v>
      </c>
      <c r="R48" s="1">
        <f t="shared" si="13"/>
        <v>168274.58828749042</v>
      </c>
      <c r="S48" s="100">
        <f t="shared" si="5"/>
        <v>4.3982817999688083E-2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>
        <f>Dataset!AE49</f>
        <v>312.60000000000002</v>
      </c>
      <c r="F49">
        <f>Dataset!AF49</f>
        <v>0</v>
      </c>
      <c r="G49" s="8">
        <f>Dataset!AR49</f>
        <v>31</v>
      </c>
      <c r="H49" s="109">
        <f>Dataset!BK49</f>
        <v>0</v>
      </c>
      <c r="I49">
        <f>Dataset!BI49</f>
        <v>0</v>
      </c>
      <c r="K49" s="8">
        <f t="shared" si="9"/>
        <v>491548.13237609901</v>
      </c>
      <c r="L49" s="1">
        <f t="shared" si="10"/>
        <v>662705.4878221323</v>
      </c>
      <c r="M49" s="1">
        <f t="shared" si="11"/>
        <v>0</v>
      </c>
      <c r="N49" s="1">
        <f t="shared" si="12"/>
        <v>3006849.2560703675</v>
      </c>
      <c r="O49" s="1">
        <f t="shared" si="6"/>
        <v>0</v>
      </c>
      <c r="P49" s="1">
        <f t="shared" si="7"/>
        <v>0</v>
      </c>
      <c r="Q49" s="1">
        <f t="shared" si="8"/>
        <v>4161102.8762685987</v>
      </c>
      <c r="R49" s="1">
        <f t="shared" si="13"/>
        <v>101639.3376095742</v>
      </c>
      <c r="S49" s="100">
        <f t="shared" si="5"/>
        <v>2.4426057377537759E-2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>
        <f>Dataset!AE50</f>
        <v>558.29999999999995</v>
      </c>
      <c r="F50">
        <f>Dataset!AF50</f>
        <v>0</v>
      </c>
      <c r="G50" s="8">
        <f>Dataset!AR50</f>
        <v>31</v>
      </c>
      <c r="H50" s="109">
        <f>Dataset!BK50</f>
        <v>0</v>
      </c>
      <c r="I50">
        <f>Dataset!BI50</f>
        <v>0</v>
      </c>
      <c r="K50" s="8">
        <f t="shared" si="9"/>
        <v>491548.13237609901</v>
      </c>
      <c r="L50" s="1">
        <f t="shared" si="10"/>
        <v>1183584.3693253242</v>
      </c>
      <c r="M50" s="1">
        <f t="shared" si="11"/>
        <v>0</v>
      </c>
      <c r="N50" s="1">
        <f t="shared" si="12"/>
        <v>3006849.2560703675</v>
      </c>
      <c r="O50" s="1">
        <f t="shared" si="6"/>
        <v>0</v>
      </c>
      <c r="P50" s="1">
        <f t="shared" si="7"/>
        <v>0</v>
      </c>
      <c r="Q50" s="1">
        <f t="shared" si="8"/>
        <v>4681981.757771791</v>
      </c>
      <c r="R50" s="1">
        <f t="shared" si="13"/>
        <v>165354.4359168997</v>
      </c>
      <c r="S50" s="100">
        <f t="shared" si="5"/>
        <v>3.5317189274055139E-2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>
        <f>Dataset!AE51</f>
        <v>507.5</v>
      </c>
      <c r="F51">
        <f>Dataset!AF51</f>
        <v>0</v>
      </c>
      <c r="G51" s="8">
        <f>Dataset!AR51</f>
        <v>29</v>
      </c>
      <c r="H51" s="109">
        <f>Dataset!BK51</f>
        <v>0</v>
      </c>
      <c r="I51">
        <f>Dataset!BI51</f>
        <v>0</v>
      </c>
      <c r="K51" s="8">
        <f t="shared" si="9"/>
        <v>491548.13237609901</v>
      </c>
      <c r="L51" s="1">
        <f t="shared" si="10"/>
        <v>1075889.4276063086</v>
      </c>
      <c r="M51" s="1">
        <f t="shared" si="11"/>
        <v>0</v>
      </c>
      <c r="N51" s="1">
        <f t="shared" si="12"/>
        <v>2812858.9814851824</v>
      </c>
      <c r="O51" s="1">
        <f t="shared" si="6"/>
        <v>0</v>
      </c>
      <c r="P51" s="1">
        <f t="shared" si="7"/>
        <v>0</v>
      </c>
      <c r="Q51" s="1">
        <f t="shared" si="8"/>
        <v>4380296.5414675903</v>
      </c>
      <c r="R51" s="1">
        <f t="shared" si="13"/>
        <v>-18615.81837944407</v>
      </c>
      <c r="S51" s="100">
        <f t="shared" si="5"/>
        <v>4.2498991114439388E-3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>
        <f>Dataset!AE52</f>
        <v>389.3</v>
      </c>
      <c r="F52">
        <f>Dataset!AF52</f>
        <v>0</v>
      </c>
      <c r="G52" s="8">
        <f>Dataset!AR52</f>
        <v>31</v>
      </c>
      <c r="H52" s="109">
        <f>Dataset!BK52</f>
        <v>0</v>
      </c>
      <c r="I52">
        <f>Dataset!BI52</f>
        <v>1</v>
      </c>
      <c r="K52" s="8">
        <f t="shared" si="9"/>
        <v>491548.13237609901</v>
      </c>
      <c r="L52" s="1">
        <f t="shared" si="10"/>
        <v>825307.88998450444</v>
      </c>
      <c r="M52" s="1">
        <f t="shared" si="11"/>
        <v>0</v>
      </c>
      <c r="N52" s="1">
        <f t="shared" si="12"/>
        <v>3006849.2560703675</v>
      </c>
      <c r="O52" s="1">
        <f t="shared" si="6"/>
        <v>0</v>
      </c>
      <c r="P52" s="1">
        <f t="shared" si="7"/>
        <v>-77519.929458595594</v>
      </c>
      <c r="Q52" s="1">
        <f t="shared" si="8"/>
        <v>4246185.3489723746</v>
      </c>
      <c r="R52" s="1">
        <f t="shared" si="13"/>
        <v>-136333.19724644255</v>
      </c>
      <c r="S52" s="100">
        <f t="shared" si="5"/>
        <v>3.2107217665247878E-2</v>
      </c>
      <c r="X52">
        <v>1</v>
      </c>
      <c r="Y52">
        <f>X52+1</f>
        <v>2</v>
      </c>
      <c r="Z52">
        <f t="shared" ref="Z52:AI52" si="14">Y52+1</f>
        <v>3</v>
      </c>
      <c r="AA52">
        <f t="shared" si="14"/>
        <v>4</v>
      </c>
      <c r="AB52">
        <f t="shared" si="14"/>
        <v>5</v>
      </c>
      <c r="AC52">
        <f t="shared" si="14"/>
        <v>6</v>
      </c>
      <c r="AD52">
        <f t="shared" si="14"/>
        <v>7</v>
      </c>
      <c r="AE52">
        <f t="shared" si="14"/>
        <v>8</v>
      </c>
      <c r="AF52">
        <f t="shared" si="14"/>
        <v>9</v>
      </c>
      <c r="AG52">
        <f t="shared" si="14"/>
        <v>10</v>
      </c>
      <c r="AH52">
        <f>AG52+1</f>
        <v>11</v>
      </c>
      <c r="AI52">
        <f t="shared" si="14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>
        <f>Dataset!AE53</f>
        <v>319.8</v>
      </c>
      <c r="F53">
        <f>Dataset!AF53</f>
        <v>0</v>
      </c>
      <c r="G53" s="8">
        <f>Dataset!AR53</f>
        <v>30</v>
      </c>
      <c r="H53" s="109">
        <f>Dataset!BK53</f>
        <v>0</v>
      </c>
      <c r="I53">
        <f>Dataset!BI53</f>
        <v>1</v>
      </c>
      <c r="K53" s="8">
        <f t="shared" si="9"/>
        <v>491548.13237609901</v>
      </c>
      <c r="L53" s="1">
        <f t="shared" si="10"/>
        <v>677969.33782955178</v>
      </c>
      <c r="M53" s="1">
        <f t="shared" si="11"/>
        <v>0</v>
      </c>
      <c r="N53" s="1">
        <f t="shared" si="12"/>
        <v>2909854.1187777747</v>
      </c>
      <c r="O53" s="1">
        <f t="shared" si="6"/>
        <v>0</v>
      </c>
      <c r="P53" s="1">
        <f t="shared" si="7"/>
        <v>-77519.929458595594</v>
      </c>
      <c r="Q53" s="1">
        <f t="shared" si="8"/>
        <v>4001851.6595248296</v>
      </c>
      <c r="R53" s="1">
        <f t="shared" si="13"/>
        <v>65623.358776737005</v>
      </c>
      <c r="S53" s="100">
        <f t="shared" si="5"/>
        <v>1.6398248700834894E-2</v>
      </c>
      <c r="W53">
        <v>2012</v>
      </c>
      <c r="X53" s="8">
        <f t="shared" ref="X53:AI62" si="15">SUMIFS($R:$R,$B:$B,$W53,$C:$C,X$52)</f>
        <v>74040.693744752556</v>
      </c>
      <c r="Y53" s="8">
        <f t="shared" si="15"/>
        <v>135603.47198394779</v>
      </c>
      <c r="Z53" s="8">
        <f t="shared" si="15"/>
        <v>-122.72315174760297</v>
      </c>
      <c r="AA53" s="8">
        <f t="shared" si="15"/>
        <v>377071.7565611545</v>
      </c>
      <c r="AB53" s="8">
        <f t="shared" si="15"/>
        <v>136552.7696524933</v>
      </c>
      <c r="AC53" s="8">
        <f t="shared" si="15"/>
        <v>165867.90495349048</v>
      </c>
      <c r="AD53" s="8">
        <f t="shared" si="15"/>
        <v>108748.23360982724</v>
      </c>
      <c r="AE53" s="8">
        <f t="shared" si="15"/>
        <v>148396.33612852078</v>
      </c>
      <c r="AF53" s="8">
        <f t="shared" si="15"/>
        <v>37916.553960854653</v>
      </c>
      <c r="AG53" s="8">
        <f t="shared" si="15"/>
        <v>118047.21029995708</v>
      </c>
      <c r="AH53" s="8">
        <f t="shared" si="15"/>
        <v>102855.47721585771</v>
      </c>
      <c r="AI53" s="8">
        <f t="shared" si="15"/>
        <v>34192.149498609826</v>
      </c>
      <c r="AJ53" s="1">
        <f t="shared" ref="AJ53:AJ62" si="16">SUM(X53:AI53)</f>
        <v>1439169.8344577183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>
        <f>Dataset!AE54</f>
        <v>108.8</v>
      </c>
      <c r="F54">
        <f>Dataset!AF54</f>
        <v>45.2</v>
      </c>
      <c r="G54" s="8">
        <f>Dataset!AR54</f>
        <v>31</v>
      </c>
      <c r="H54" s="109">
        <f>Dataset!BK54</f>
        <v>0</v>
      </c>
      <c r="I54">
        <f>Dataset!BI54</f>
        <v>1</v>
      </c>
      <c r="K54" s="8">
        <f t="shared" si="9"/>
        <v>491548.13237609901</v>
      </c>
      <c r="L54" s="1">
        <f t="shared" si="10"/>
        <v>230653.73344545098</v>
      </c>
      <c r="M54" s="1">
        <f t="shared" si="11"/>
        <v>152939.9847774441</v>
      </c>
      <c r="N54" s="1">
        <f t="shared" si="12"/>
        <v>3006849.2560703675</v>
      </c>
      <c r="O54" s="1">
        <f t="shared" si="6"/>
        <v>0</v>
      </c>
      <c r="P54" s="1">
        <f t="shared" si="7"/>
        <v>-77519.929458595594</v>
      </c>
      <c r="Q54" s="1">
        <f t="shared" si="8"/>
        <v>3804471.1772107659</v>
      </c>
      <c r="R54" s="1">
        <f t="shared" si="13"/>
        <v>-77594.822650635149</v>
      </c>
      <c r="S54" s="100">
        <f t="shared" si="5"/>
        <v>2.0395692078162494E-2</v>
      </c>
      <c r="W54">
        <f>W53+1</f>
        <v>2013</v>
      </c>
      <c r="X54" s="8">
        <f t="shared" si="15"/>
        <v>-132046.81145182345</v>
      </c>
      <c r="Y54" s="8">
        <f t="shared" si="15"/>
        <v>-36424.66151464358</v>
      </c>
      <c r="Z54" s="8">
        <f t="shared" si="15"/>
        <v>-68577.510863135569</v>
      </c>
      <c r="AA54" s="8">
        <f t="shared" si="15"/>
        <v>41339.660339874215</v>
      </c>
      <c r="AB54" s="8">
        <f t="shared" si="15"/>
        <v>99668.793709254358</v>
      </c>
      <c r="AC54" s="8">
        <f t="shared" si="15"/>
        <v>36678.324446599931</v>
      </c>
      <c r="AD54" s="8">
        <f t="shared" si="15"/>
        <v>72202.031408159994</v>
      </c>
      <c r="AE54" s="8">
        <f t="shared" si="15"/>
        <v>79408.005942185409</v>
      </c>
      <c r="AF54" s="8">
        <f t="shared" si="15"/>
        <v>-48182.699793376029</v>
      </c>
      <c r="AG54" s="8">
        <f t="shared" si="15"/>
        <v>15213.716338390484</v>
      </c>
      <c r="AH54" s="8">
        <f t="shared" si="15"/>
        <v>-3073.7560169934295</v>
      </c>
      <c r="AI54" s="8">
        <f t="shared" si="15"/>
        <v>39122.492381230928</v>
      </c>
      <c r="AJ54" s="1">
        <f t="shared" si="16"/>
        <v>95327.584925723262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>
        <f>Dataset!AE55</f>
        <v>10.199999999999999</v>
      </c>
      <c r="F55">
        <f>Dataset!AF55</f>
        <v>109.2</v>
      </c>
      <c r="G55" s="8">
        <f>Dataset!AR55</f>
        <v>30</v>
      </c>
      <c r="H55" s="109">
        <f>Dataset!BK55</f>
        <v>0</v>
      </c>
      <c r="I55">
        <f>Dataset!BI55</f>
        <v>0</v>
      </c>
      <c r="K55" s="8">
        <f t="shared" si="9"/>
        <v>491548.13237609901</v>
      </c>
      <c r="L55" s="1">
        <f t="shared" si="10"/>
        <v>21623.787510511029</v>
      </c>
      <c r="M55" s="1">
        <f t="shared" si="11"/>
        <v>369492.17561276315</v>
      </c>
      <c r="N55" s="1">
        <f t="shared" si="12"/>
        <v>2909854.1187777747</v>
      </c>
      <c r="O55" s="1">
        <f t="shared" si="6"/>
        <v>0</v>
      </c>
      <c r="P55" s="1">
        <f t="shared" si="7"/>
        <v>0</v>
      </c>
      <c r="Q55" s="1">
        <f t="shared" si="8"/>
        <v>3792518.2142771478</v>
      </c>
      <c r="R55" s="1">
        <f t="shared" si="13"/>
        <v>-179234.18543718336</v>
      </c>
      <c r="S55" s="100">
        <f t="shared" ref="S55:S117" si="17">ABS(R55/Q55)</f>
        <v>4.7259940575221551E-2</v>
      </c>
      <c r="W55">
        <f t="shared" ref="W55:W62" si="18">W54+1</f>
        <v>2014</v>
      </c>
      <c r="X55" s="8">
        <f t="shared" si="15"/>
        <v>-117444.78460280877</v>
      </c>
      <c r="Y55" s="8">
        <f t="shared" si="15"/>
        <v>-157829.41033873986</v>
      </c>
      <c r="Z55" s="8">
        <f t="shared" si="15"/>
        <v>-69630.200874071568</v>
      </c>
      <c r="AA55" s="8">
        <f t="shared" si="15"/>
        <v>-89256.824011587072</v>
      </c>
      <c r="AB55" s="8">
        <f t="shared" si="15"/>
        <v>-45124.800542755052</v>
      </c>
      <c r="AC55" s="8">
        <f t="shared" si="15"/>
        <v>127143.41736595891</v>
      </c>
      <c r="AD55" s="8">
        <f t="shared" si="15"/>
        <v>89092.72720222408</v>
      </c>
      <c r="AE55" s="8">
        <f t="shared" si="15"/>
        <v>134992.5134036243</v>
      </c>
      <c r="AF55" s="8">
        <f t="shared" si="15"/>
        <v>18532.281120561995</v>
      </c>
      <c r="AG55" s="8">
        <f t="shared" si="15"/>
        <v>45687.615412685554</v>
      </c>
      <c r="AH55" s="8">
        <f t="shared" si="15"/>
        <v>61115.902292765211</v>
      </c>
      <c r="AI55" s="8">
        <f t="shared" si="15"/>
        <v>-36031.441472791135</v>
      </c>
      <c r="AJ55" s="1">
        <f t="shared" si="16"/>
        <v>-38753.005044933408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>
        <f>Dataset!AE56</f>
        <v>0</v>
      </c>
      <c r="F56">
        <f>Dataset!AF56</f>
        <v>244.4</v>
      </c>
      <c r="G56" s="8">
        <f>Dataset!AR56</f>
        <v>31</v>
      </c>
      <c r="H56" s="109">
        <f>Dataset!BK56</f>
        <v>0</v>
      </c>
      <c r="I56">
        <f>Dataset!BI56</f>
        <v>0</v>
      </c>
      <c r="K56" s="8">
        <f t="shared" si="9"/>
        <v>491548.13237609901</v>
      </c>
      <c r="L56" s="1">
        <f t="shared" si="10"/>
        <v>0</v>
      </c>
      <c r="M56" s="1">
        <f t="shared" si="11"/>
        <v>826958.6787523746</v>
      </c>
      <c r="N56" s="1">
        <f t="shared" si="12"/>
        <v>3006849.2560703675</v>
      </c>
      <c r="O56" s="1">
        <f t="shared" si="6"/>
        <v>0</v>
      </c>
      <c r="P56" s="1">
        <f t="shared" si="7"/>
        <v>0</v>
      </c>
      <c r="Q56" s="1">
        <f t="shared" si="8"/>
        <v>4325356.0671988409</v>
      </c>
      <c r="R56" s="1">
        <f t="shared" si="13"/>
        <v>-52039.260993529111</v>
      </c>
      <c r="S56" s="100">
        <f t="shared" si="17"/>
        <v>1.2031208572206737E-2</v>
      </c>
      <c r="W56">
        <f t="shared" si="18"/>
        <v>2015</v>
      </c>
      <c r="X56" s="8">
        <f t="shared" si="15"/>
        <v>-2148.4886396639049</v>
      </c>
      <c r="Y56" s="8">
        <f t="shared" si="15"/>
        <v>97321.393741412088</v>
      </c>
      <c r="Z56" s="8">
        <f t="shared" si="15"/>
        <v>-125238.18278894015</v>
      </c>
      <c r="AA56" s="8">
        <f t="shared" si="15"/>
        <v>17239.772419329733</v>
      </c>
      <c r="AB56" s="8">
        <f t="shared" si="15"/>
        <v>80982.871773437131</v>
      </c>
      <c r="AC56" s="8">
        <f t="shared" si="15"/>
        <v>-19482.433978150599</v>
      </c>
      <c r="AD56" s="8">
        <f t="shared" si="15"/>
        <v>94960.209234493319</v>
      </c>
      <c r="AE56" s="8">
        <f t="shared" si="15"/>
        <v>-11228.623472244479</v>
      </c>
      <c r="AF56" s="8">
        <f t="shared" si="15"/>
        <v>106049.583175065</v>
      </c>
      <c r="AG56" s="8">
        <f t="shared" si="15"/>
        <v>155867.14159165509</v>
      </c>
      <c r="AH56" s="8">
        <f t="shared" si="15"/>
        <v>168274.58828749042</v>
      </c>
      <c r="AI56" s="8">
        <f t="shared" si="15"/>
        <v>101639.3376095742</v>
      </c>
      <c r="AJ56" s="1">
        <f t="shared" si="16"/>
        <v>664237.16895345785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>
        <f>Dataset!AE57</f>
        <v>0</v>
      </c>
      <c r="F57">
        <f>Dataset!AF57</f>
        <v>260.10000000000002</v>
      </c>
      <c r="G57" s="8">
        <f>Dataset!AR57</f>
        <v>31</v>
      </c>
      <c r="H57" s="109">
        <f>Dataset!BK57</f>
        <v>0</v>
      </c>
      <c r="I57">
        <f>Dataset!BI57</f>
        <v>0</v>
      </c>
      <c r="K57" s="8">
        <f t="shared" si="9"/>
        <v>491548.13237609901</v>
      </c>
      <c r="L57" s="1">
        <f t="shared" si="10"/>
        <v>0</v>
      </c>
      <c r="M57" s="1">
        <f t="shared" si="11"/>
        <v>880081.63806666387</v>
      </c>
      <c r="N57" s="1">
        <f t="shared" si="12"/>
        <v>3006849.2560703675</v>
      </c>
      <c r="O57" s="1">
        <f t="shared" si="6"/>
        <v>0</v>
      </c>
      <c r="P57" s="1">
        <f t="shared" si="7"/>
        <v>0</v>
      </c>
      <c r="Q57" s="1">
        <f t="shared" si="8"/>
        <v>4378479.0265131304</v>
      </c>
      <c r="R57" s="1">
        <f t="shared" si="13"/>
        <v>-38050.790904697962</v>
      </c>
      <c r="S57" s="100">
        <f t="shared" si="17"/>
        <v>8.6904129663035751E-3</v>
      </c>
      <c r="W57">
        <f t="shared" si="18"/>
        <v>2016</v>
      </c>
      <c r="X57" s="8">
        <f t="shared" si="15"/>
        <v>165354.4359168997</v>
      </c>
      <c r="Y57" s="8">
        <f t="shared" si="15"/>
        <v>-18615.81837944407</v>
      </c>
      <c r="Z57" s="8">
        <f t="shared" si="15"/>
        <v>-136333.19724644255</v>
      </c>
      <c r="AA57" s="8">
        <f t="shared" si="15"/>
        <v>65623.358776737005</v>
      </c>
      <c r="AB57" s="8">
        <f t="shared" si="15"/>
        <v>-77594.822650635149</v>
      </c>
      <c r="AC57" s="8">
        <f t="shared" si="15"/>
        <v>-179234.18543718336</v>
      </c>
      <c r="AD57" s="8">
        <f t="shared" si="15"/>
        <v>-52039.260993529111</v>
      </c>
      <c r="AE57" s="8">
        <f t="shared" si="15"/>
        <v>-38050.790904697962</v>
      </c>
      <c r="AF57" s="8">
        <f t="shared" si="15"/>
        <v>-115953.4679605416</v>
      </c>
      <c r="AG57" s="8">
        <f t="shared" si="15"/>
        <v>94983.71473767655</v>
      </c>
      <c r="AH57" s="8">
        <f t="shared" si="15"/>
        <v>-85762.267050644848</v>
      </c>
      <c r="AI57" s="8">
        <f t="shared" si="15"/>
        <v>59122.905435327441</v>
      </c>
      <c r="AJ57" s="1">
        <f t="shared" si="16"/>
        <v>-318499.39575647796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>
        <f>Dataset!AE58</f>
        <v>4.4000000000000004</v>
      </c>
      <c r="F58">
        <f>Dataset!AF58</f>
        <v>120.4</v>
      </c>
      <c r="G58" s="8">
        <f>Dataset!AR58</f>
        <v>30</v>
      </c>
      <c r="H58" s="109">
        <f>Dataset!BK58</f>
        <v>0</v>
      </c>
      <c r="I58">
        <f>Dataset!BI58</f>
        <v>1</v>
      </c>
      <c r="K58" s="8">
        <f t="shared" si="9"/>
        <v>491548.13237609901</v>
      </c>
      <c r="L58" s="1">
        <f t="shared" si="10"/>
        <v>9327.9083378675041</v>
      </c>
      <c r="M58" s="1">
        <f t="shared" si="11"/>
        <v>407388.80900894396</v>
      </c>
      <c r="N58" s="1">
        <f t="shared" si="12"/>
        <v>2909854.1187777747</v>
      </c>
      <c r="O58" s="1">
        <f t="shared" si="6"/>
        <v>0</v>
      </c>
      <c r="P58" s="1">
        <f t="shared" si="7"/>
        <v>-77519.929458595594</v>
      </c>
      <c r="Q58" s="1">
        <f t="shared" si="8"/>
        <v>3740599.0390420891</v>
      </c>
      <c r="R58" s="1">
        <f t="shared" si="13"/>
        <v>-115953.4679605416</v>
      </c>
      <c r="S58" s="100">
        <f t="shared" si="17"/>
        <v>3.0998635980571586E-2</v>
      </c>
      <c r="W58">
        <f t="shared" si="18"/>
        <v>2017</v>
      </c>
      <c r="X58" s="8">
        <f t="shared" si="15"/>
        <v>-32512.228587738238</v>
      </c>
      <c r="Y58" s="8">
        <f t="shared" si="15"/>
        <v>-86455.044750170782</v>
      </c>
      <c r="Z58" s="8">
        <f t="shared" si="15"/>
        <v>28556.835333496332</v>
      </c>
      <c r="AA58" s="8">
        <f t="shared" si="15"/>
        <v>-6654.1826350623742</v>
      </c>
      <c r="AB58" s="8">
        <f t="shared" si="15"/>
        <v>50360.898279417772</v>
      </c>
      <c r="AC58" s="8">
        <f t="shared" si="15"/>
        <v>80243.333310584072</v>
      </c>
      <c r="AD58" s="8">
        <f t="shared" si="15"/>
        <v>74827.887827390339</v>
      </c>
      <c r="AE58" s="8">
        <f t="shared" si="15"/>
        <v>46414.14925785223</v>
      </c>
      <c r="AF58" s="8">
        <f t="shared" si="15"/>
        <v>94281.496665189043</v>
      </c>
      <c r="AG58" s="8">
        <f t="shared" si="15"/>
        <v>71619.86603130307</v>
      </c>
      <c r="AH58" s="8">
        <f t="shared" si="15"/>
        <v>90954.63154095225</v>
      </c>
      <c r="AI58" s="8">
        <f t="shared" si="15"/>
        <v>157659.23897101264</v>
      </c>
      <c r="AJ58" s="1">
        <f t="shared" si="16"/>
        <v>569296.88124422636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>
        <f>Dataset!AE59</f>
        <v>104.9</v>
      </c>
      <c r="F59">
        <f>Dataset!AF59</f>
        <v>35.1</v>
      </c>
      <c r="G59" s="8">
        <f>Dataset!AR59</f>
        <v>31</v>
      </c>
      <c r="H59" s="109">
        <f>Dataset!BK59</f>
        <v>0</v>
      </c>
      <c r="I59">
        <f>Dataset!BI59</f>
        <v>1</v>
      </c>
      <c r="K59" s="8">
        <f t="shared" si="9"/>
        <v>491548.13237609901</v>
      </c>
      <c r="L59" s="1">
        <f t="shared" si="10"/>
        <v>222385.81469143208</v>
      </c>
      <c r="M59" s="1">
        <f t="shared" si="11"/>
        <v>118765.34216124529</v>
      </c>
      <c r="N59" s="1">
        <f t="shared" si="12"/>
        <v>3006849.2560703675</v>
      </c>
      <c r="O59" s="1">
        <f t="shared" si="6"/>
        <v>0</v>
      </c>
      <c r="P59" s="1">
        <f t="shared" si="7"/>
        <v>-77519.929458595594</v>
      </c>
      <c r="Q59" s="1">
        <f t="shared" si="8"/>
        <v>3762028.6158405482</v>
      </c>
      <c r="R59" s="1">
        <f t="shared" si="13"/>
        <v>94983.71473767655</v>
      </c>
      <c r="S59" s="100">
        <f t="shared" si="17"/>
        <v>2.5248004318131533E-2</v>
      </c>
      <c r="W59">
        <f t="shared" si="18"/>
        <v>2018</v>
      </c>
      <c r="X59" s="8">
        <f t="shared" si="15"/>
        <v>-143994.74044285156</v>
      </c>
      <c r="Y59" s="8">
        <f t="shared" si="15"/>
        <v>-97405.098669868428</v>
      </c>
      <c r="Z59" s="8">
        <f t="shared" si="15"/>
        <v>30424.967364867218</v>
      </c>
      <c r="AA59" s="8">
        <f t="shared" si="15"/>
        <v>112551.83975335862</v>
      </c>
      <c r="AB59" s="8">
        <f t="shared" si="15"/>
        <v>-19005.012248090468</v>
      </c>
      <c r="AC59" s="8">
        <f t="shared" si="15"/>
        <v>-158781.92002777336</v>
      </c>
      <c r="AD59" s="8">
        <f t="shared" si="15"/>
        <v>-64560.490160858259</v>
      </c>
      <c r="AE59" s="8">
        <f t="shared" si="15"/>
        <v>-46832.053134728223</v>
      </c>
      <c r="AF59" s="8">
        <f t="shared" si="15"/>
        <v>-113941.62614701129</v>
      </c>
      <c r="AG59" s="8">
        <f t="shared" si="15"/>
        <v>60302.037221559789</v>
      </c>
      <c r="AH59" s="8">
        <f t="shared" si="15"/>
        <v>-26242.764784997329</v>
      </c>
      <c r="AI59" s="8">
        <f t="shared" si="15"/>
        <v>-62640.677493235096</v>
      </c>
      <c r="AJ59" s="1">
        <f t="shared" si="16"/>
        <v>-530125.53876962839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>
        <f>Dataset!AE60</f>
        <v>199</v>
      </c>
      <c r="F60">
        <f>Dataset!AF60</f>
        <v>2.1</v>
      </c>
      <c r="G60" s="8">
        <f>Dataset!AR60</f>
        <v>30</v>
      </c>
      <c r="H60" s="109">
        <f>Dataset!BK60</f>
        <v>0</v>
      </c>
      <c r="I60">
        <f>Dataset!BI60</f>
        <v>1</v>
      </c>
      <c r="K60" s="8">
        <f t="shared" si="9"/>
        <v>491548.13237609901</v>
      </c>
      <c r="L60" s="1">
        <f t="shared" si="10"/>
        <v>421875.85437173484</v>
      </c>
      <c r="M60" s="1">
        <f t="shared" si="11"/>
        <v>7105.6187617839068</v>
      </c>
      <c r="N60" s="1">
        <f t="shared" si="12"/>
        <v>2909854.1187777747</v>
      </c>
      <c r="O60" s="1">
        <f t="shared" si="6"/>
        <v>0</v>
      </c>
      <c r="P60" s="1">
        <f t="shared" si="7"/>
        <v>-77519.929458595594</v>
      </c>
      <c r="Q60" s="1">
        <f t="shared" si="8"/>
        <v>3752863.7948287968</v>
      </c>
      <c r="R60" s="1">
        <f t="shared" si="13"/>
        <v>-85762.267050644848</v>
      </c>
      <c r="S60" s="100">
        <f t="shared" si="17"/>
        <v>2.2852485925233871E-2</v>
      </c>
      <c r="W60">
        <f t="shared" si="18"/>
        <v>2019</v>
      </c>
      <c r="X60" s="8">
        <f t="shared" si="15"/>
        <v>4702.1635562581941</v>
      </c>
      <c r="Y60" s="8">
        <f t="shared" si="15"/>
        <v>-182503.65689807571</v>
      </c>
      <c r="Z60" s="8">
        <f t="shared" si="15"/>
        <v>-109597.2623324208</v>
      </c>
      <c r="AA60" s="8">
        <f t="shared" si="15"/>
        <v>-2152.9348260760307</v>
      </c>
      <c r="AB60" s="8">
        <f t="shared" si="15"/>
        <v>17593.061632105149</v>
      </c>
      <c r="AC60" s="8">
        <f t="shared" si="15"/>
        <v>-52046.026959217153</v>
      </c>
      <c r="AD60" s="8">
        <f t="shared" si="15"/>
        <v>-24315.284394896589</v>
      </c>
      <c r="AE60" s="8">
        <f t="shared" si="15"/>
        <v>-67578.285899360664</v>
      </c>
      <c r="AF60" s="8">
        <f t="shared" si="15"/>
        <v>-108997.88931694673</v>
      </c>
      <c r="AG60" s="8">
        <f t="shared" si="15"/>
        <v>8240.8088372028433</v>
      </c>
      <c r="AH60" s="8">
        <f t="shared" si="15"/>
        <v>68614.996608582791</v>
      </c>
      <c r="AI60" s="8">
        <f t="shared" si="15"/>
        <v>-26056.651823035441</v>
      </c>
      <c r="AJ60" s="1">
        <f t="shared" si="16"/>
        <v>-474096.96181588015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>
        <f>Dataset!AE61</f>
        <v>472.4</v>
      </c>
      <c r="F61">
        <f>Dataset!AF61</f>
        <v>0</v>
      </c>
      <c r="G61" s="8">
        <f>Dataset!AR61</f>
        <v>31</v>
      </c>
      <c r="H61" s="109">
        <f>Dataset!BK61</f>
        <v>0</v>
      </c>
      <c r="I61">
        <f>Dataset!BI61</f>
        <v>0</v>
      </c>
      <c r="K61" s="8">
        <f t="shared" si="9"/>
        <v>491548.13237609901</v>
      </c>
      <c r="L61" s="1">
        <f t="shared" si="10"/>
        <v>1001478.1588201383</v>
      </c>
      <c r="M61" s="1">
        <f t="shared" si="11"/>
        <v>0</v>
      </c>
      <c r="N61" s="1">
        <f t="shared" si="12"/>
        <v>3006849.2560703675</v>
      </c>
      <c r="O61" s="1">
        <f t="shared" si="6"/>
        <v>0</v>
      </c>
      <c r="P61" s="1">
        <f t="shared" si="7"/>
        <v>0</v>
      </c>
      <c r="Q61" s="1">
        <f t="shared" si="8"/>
        <v>4499875.5472666044</v>
      </c>
      <c r="R61" s="1">
        <f t="shared" si="13"/>
        <v>59122.905435327441</v>
      </c>
      <c r="S61" s="100">
        <f t="shared" si="17"/>
        <v>1.3138786798501782E-2</v>
      </c>
      <c r="W61">
        <f t="shared" si="18"/>
        <v>2020</v>
      </c>
      <c r="X61" s="8">
        <f t="shared" si="15"/>
        <v>-110318.06152380537</v>
      </c>
      <c r="Y61" s="8">
        <f t="shared" si="15"/>
        <v>-31060.918504834175</v>
      </c>
      <c r="Z61" s="8">
        <f t="shared" si="15"/>
        <v>-1919.1901368065737</v>
      </c>
      <c r="AA61" s="8">
        <f t="shared" si="15"/>
        <v>333848.69622493954</v>
      </c>
      <c r="AB61" s="8">
        <f t="shared" si="15"/>
        <v>301057.14093812043</v>
      </c>
      <c r="AC61" s="8">
        <f t="shared" si="15"/>
        <v>296059.46102314861</v>
      </c>
      <c r="AD61" s="8">
        <f t="shared" si="15"/>
        <v>51450.621913743671</v>
      </c>
      <c r="AE61" s="8">
        <f t="shared" si="15"/>
        <v>-16726.601880393922</v>
      </c>
      <c r="AF61" s="8">
        <f t="shared" si="15"/>
        <v>-63133.96346038999</v>
      </c>
      <c r="AG61" s="8">
        <f t="shared" si="15"/>
        <v>-19868.156132607721</v>
      </c>
      <c r="AH61" s="8">
        <f t="shared" si="15"/>
        <v>-159504.98195626261</v>
      </c>
      <c r="AI61" s="8">
        <f t="shared" si="15"/>
        <v>-128868.56222349592</v>
      </c>
      <c r="AJ61" s="1">
        <f t="shared" si="16"/>
        <v>451015.48428135598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>
        <f>Dataset!AE62</f>
        <v>490</v>
      </c>
      <c r="F62">
        <f>Dataset!AF62</f>
        <v>0</v>
      </c>
      <c r="G62" s="8">
        <f>Dataset!AR62</f>
        <v>31</v>
      </c>
      <c r="H62" s="109">
        <f>Dataset!BK62</f>
        <v>0</v>
      </c>
      <c r="I62">
        <f>Dataset!BI62</f>
        <v>0</v>
      </c>
      <c r="K62" s="8">
        <f t="shared" si="9"/>
        <v>491548.13237609901</v>
      </c>
      <c r="L62" s="1">
        <f t="shared" si="10"/>
        <v>1038789.7921716084</v>
      </c>
      <c r="M62" s="1">
        <f t="shared" si="11"/>
        <v>0</v>
      </c>
      <c r="N62" s="1">
        <f t="shared" si="12"/>
        <v>3006849.2560703675</v>
      </c>
      <c r="O62" s="1">
        <f t="shared" si="6"/>
        <v>0</v>
      </c>
      <c r="P62" s="1">
        <f t="shared" si="7"/>
        <v>0</v>
      </c>
      <c r="Q62" s="1">
        <f t="shared" si="8"/>
        <v>4537187.1806180747</v>
      </c>
      <c r="R62" s="1">
        <f t="shared" si="13"/>
        <v>-32512.228587738238</v>
      </c>
      <c r="S62" s="100">
        <f t="shared" si="17"/>
        <v>7.1657234523238881E-3</v>
      </c>
      <c r="W62">
        <f t="shared" si="18"/>
        <v>2021</v>
      </c>
      <c r="X62" s="8">
        <f t="shared" si="15"/>
        <v>80788.582265738398</v>
      </c>
      <c r="Y62" s="8">
        <f t="shared" si="15"/>
        <v>-62349.485500421375</v>
      </c>
      <c r="Z62" s="8">
        <f t="shared" si="15"/>
        <v>-387559.06500172615</v>
      </c>
      <c r="AA62" s="8">
        <f t="shared" si="15"/>
        <v>71136.958083895501</v>
      </c>
      <c r="AB62" s="8">
        <f t="shared" si="15"/>
        <v>120592.41601730045</v>
      </c>
      <c r="AC62" s="8">
        <f t="shared" si="15"/>
        <v>-10941.894511764403</v>
      </c>
      <c r="AD62" s="8">
        <f t="shared" si="15"/>
        <v>-150827.14968443941</v>
      </c>
      <c r="AE62" s="8">
        <f t="shared" si="15"/>
        <v>-300979.10494558886</v>
      </c>
      <c r="AF62" s="8">
        <f t="shared" si="15"/>
        <v>-291218.16162852617</v>
      </c>
      <c r="AG62" s="8">
        <f t="shared" si="15"/>
        <v>-135873.072225207</v>
      </c>
      <c r="AH62" s="8">
        <f t="shared" si="15"/>
        <v>-272590.28658473305</v>
      </c>
      <c r="AI62" s="8">
        <f t="shared" si="15"/>
        <v>-299814.46785393171</v>
      </c>
      <c r="AJ62" s="1">
        <f t="shared" si="16"/>
        <v>-1639634.7315694038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>
        <f>Dataset!AE63</f>
        <v>400.4</v>
      </c>
      <c r="F63">
        <f>Dataset!AF63</f>
        <v>0</v>
      </c>
      <c r="G63" s="8">
        <f>Dataset!AR63</f>
        <v>28</v>
      </c>
      <c r="H63" s="109">
        <f>Dataset!BK63</f>
        <v>0</v>
      </c>
      <c r="I63">
        <f>Dataset!BI63</f>
        <v>0</v>
      </c>
      <c r="K63" s="8">
        <f t="shared" si="9"/>
        <v>491548.13237609901</v>
      </c>
      <c r="L63" s="1">
        <f t="shared" si="10"/>
        <v>848839.65874594275</v>
      </c>
      <c r="M63" s="1">
        <f t="shared" si="11"/>
        <v>0</v>
      </c>
      <c r="N63" s="1">
        <f t="shared" si="12"/>
        <v>2715863.8441925896</v>
      </c>
      <c r="O63" s="1">
        <f t="shared" si="6"/>
        <v>0</v>
      </c>
      <c r="P63" s="1">
        <f t="shared" si="7"/>
        <v>0</v>
      </c>
      <c r="Q63" s="1">
        <f t="shared" si="8"/>
        <v>4056251.6353146313</v>
      </c>
      <c r="R63" s="1">
        <f t="shared" si="13"/>
        <v>-86455.044750170782</v>
      </c>
      <c r="S63" s="100">
        <f t="shared" si="17"/>
        <v>2.1314024011102734E-2</v>
      </c>
      <c r="X63" s="1">
        <f t="shared" ref="X63:AI63" si="19">SUM(X53:X62)</f>
        <v>-213579.23976504244</v>
      </c>
      <c r="Y63" s="1">
        <f t="shared" si="19"/>
        <v>-439719.22883083811</v>
      </c>
      <c r="Z63" s="1">
        <f t="shared" si="19"/>
        <v>-839995.52969692741</v>
      </c>
      <c r="AA63" s="1">
        <f t="shared" si="19"/>
        <v>920748.10068656364</v>
      </c>
      <c r="AB63" s="1">
        <f t="shared" si="19"/>
        <v>665083.31656064792</v>
      </c>
      <c r="AC63" s="1">
        <f t="shared" si="19"/>
        <v>285505.98018569313</v>
      </c>
      <c r="AD63" s="1">
        <f t="shared" si="19"/>
        <v>199539.52596211527</v>
      </c>
      <c r="AE63" s="1">
        <f t="shared" si="19"/>
        <v>-72184.455504831392</v>
      </c>
      <c r="AF63" s="1">
        <f t="shared" si="19"/>
        <v>-484647.89338512113</v>
      </c>
      <c r="AG63" s="1">
        <f t="shared" si="19"/>
        <v>414220.88211261574</v>
      </c>
      <c r="AH63" s="1">
        <f t="shared" si="19"/>
        <v>-55358.460447982885</v>
      </c>
      <c r="AI63" s="1">
        <f t="shared" si="19"/>
        <v>-161675.67697073426</v>
      </c>
      <c r="AJ63" s="1">
        <f>SUM(X63:AI63)</f>
        <v>217937.32090615807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>
        <f>Dataset!AE64</f>
        <v>485.1</v>
      </c>
      <c r="F64">
        <f>Dataset!AF64</f>
        <v>0</v>
      </c>
      <c r="G64" s="8">
        <f>Dataset!AR64</f>
        <v>31</v>
      </c>
      <c r="H64" s="109">
        <f>Dataset!BK64</f>
        <v>0</v>
      </c>
      <c r="I64">
        <f>Dataset!BI64</f>
        <v>1</v>
      </c>
      <c r="K64" s="8">
        <f t="shared" si="9"/>
        <v>491548.13237609901</v>
      </c>
      <c r="L64" s="1">
        <f t="shared" si="10"/>
        <v>1028401.8942498923</v>
      </c>
      <c r="M64" s="1">
        <f t="shared" si="11"/>
        <v>0</v>
      </c>
      <c r="N64" s="1">
        <f t="shared" si="12"/>
        <v>3006849.2560703675</v>
      </c>
      <c r="O64" s="1">
        <f t="shared" si="6"/>
        <v>0</v>
      </c>
      <c r="P64" s="1">
        <f t="shared" si="7"/>
        <v>-77519.929458595594</v>
      </c>
      <c r="Q64" s="1">
        <f t="shared" si="8"/>
        <v>4449279.353237763</v>
      </c>
      <c r="R64" s="1">
        <f t="shared" si="13"/>
        <v>28556.835333496332</v>
      </c>
      <c r="S64" s="100">
        <f t="shared" si="17"/>
        <v>6.4183057673632875E-3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>
        <f>Dataset!AE65</f>
        <v>185.2</v>
      </c>
      <c r="F65">
        <f>Dataset!AF65</f>
        <v>6.8</v>
      </c>
      <c r="G65" s="8">
        <f>Dataset!AR65</f>
        <v>30</v>
      </c>
      <c r="H65" s="109">
        <f>Dataset!BK65</f>
        <v>0</v>
      </c>
      <c r="I65">
        <f>Dataset!BI65</f>
        <v>1</v>
      </c>
      <c r="K65" s="8">
        <f t="shared" si="9"/>
        <v>491548.13237609901</v>
      </c>
      <c r="L65" s="1">
        <f t="shared" si="10"/>
        <v>392620.14185751398</v>
      </c>
      <c r="M65" s="1">
        <f t="shared" si="11"/>
        <v>23008.670276252647</v>
      </c>
      <c r="N65" s="1">
        <f t="shared" si="12"/>
        <v>2909854.1187777747</v>
      </c>
      <c r="O65" s="1">
        <f t="shared" si="6"/>
        <v>0</v>
      </c>
      <c r="P65" s="1">
        <f t="shared" si="7"/>
        <v>-77519.929458595594</v>
      </c>
      <c r="Q65" s="1">
        <f t="shared" si="8"/>
        <v>3739511.1338290446</v>
      </c>
      <c r="R65" s="1">
        <f t="shared" si="13"/>
        <v>-6654.1826350623742</v>
      </c>
      <c r="S65" s="100">
        <f t="shared" si="17"/>
        <v>1.7794258118036068E-3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>
        <f>Dataset!AE66</f>
        <v>117.6</v>
      </c>
      <c r="F66">
        <f>Dataset!AF66</f>
        <v>29.2</v>
      </c>
      <c r="G66" s="8">
        <f>Dataset!AR66</f>
        <v>31</v>
      </c>
      <c r="H66" s="109">
        <f>Dataset!BK66</f>
        <v>0</v>
      </c>
      <c r="I66">
        <f>Dataset!BI66</f>
        <v>1</v>
      </c>
      <c r="K66" s="8">
        <f t="shared" ref="K66:K97" si="20">$X$9</f>
        <v>491548.13237609901</v>
      </c>
      <c r="L66" s="1">
        <f t="shared" ref="L66:L97" si="21">E66*$X$10</f>
        <v>249309.55012118601</v>
      </c>
      <c r="M66" s="1">
        <f t="shared" ref="M66:M97" si="22">F66*$X$11</f>
        <v>98801.937068614308</v>
      </c>
      <c r="N66" s="1">
        <f t="shared" ref="N66:N97" si="23">G66*$X$12</f>
        <v>3006849.2560703675</v>
      </c>
      <c r="O66" s="1">
        <f t="shared" si="6"/>
        <v>0</v>
      </c>
      <c r="P66" s="1">
        <f t="shared" si="7"/>
        <v>-77519.929458595594</v>
      </c>
      <c r="Q66" s="1">
        <f t="shared" si="8"/>
        <v>3768988.9461776712</v>
      </c>
      <c r="R66" s="1">
        <f t="shared" ref="R66:R97" si="24">Q66-D66</f>
        <v>50360.898279417772</v>
      </c>
      <c r="S66" s="100">
        <f t="shared" si="17"/>
        <v>1.3361911907566455E-2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>
        <f>Dataset!AE67</f>
        <v>13.2</v>
      </c>
      <c r="F67">
        <f>Dataset!AF67</f>
        <v>109.8</v>
      </c>
      <c r="G67" s="8">
        <f>Dataset!AR67</f>
        <v>30</v>
      </c>
      <c r="H67" s="109">
        <f>Dataset!BK67</f>
        <v>0</v>
      </c>
      <c r="I67">
        <f>Dataset!BI67</f>
        <v>0</v>
      </c>
      <c r="K67" s="8">
        <f t="shared" si="20"/>
        <v>491548.13237609901</v>
      </c>
      <c r="L67" s="1">
        <f t="shared" si="21"/>
        <v>27983.72501360251</v>
      </c>
      <c r="M67" s="1">
        <f t="shared" si="22"/>
        <v>371522.35240184423</v>
      </c>
      <c r="N67" s="1">
        <f t="shared" si="23"/>
        <v>2909854.1187777747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3800908.3285693205</v>
      </c>
      <c r="R67" s="1">
        <f t="shared" si="24"/>
        <v>80243.333310584072</v>
      </c>
      <c r="S67" s="100">
        <f t="shared" si="17"/>
        <v>2.1111620269144465E-2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>
        <f>Dataset!AE68</f>
        <v>0</v>
      </c>
      <c r="F68">
        <f>Dataset!AF68</f>
        <v>181.9</v>
      </c>
      <c r="G68" s="8">
        <f>Dataset!AR68</f>
        <v>31</v>
      </c>
      <c r="H68" s="109">
        <f>Dataset!BK68</f>
        <v>0</v>
      </c>
      <c r="I68">
        <f>Dataset!BI68</f>
        <v>0</v>
      </c>
      <c r="K68" s="8">
        <f t="shared" si="20"/>
        <v>491548.13237609901</v>
      </c>
      <c r="L68" s="1">
        <f t="shared" si="21"/>
        <v>0</v>
      </c>
      <c r="M68" s="1">
        <f t="shared" si="22"/>
        <v>615481.92988975835</v>
      </c>
      <c r="N68" s="1">
        <f t="shared" si="23"/>
        <v>3006849.2560703675</v>
      </c>
      <c r="O68" s="1">
        <f t="shared" si="25"/>
        <v>0</v>
      </c>
      <c r="P68" s="1">
        <f t="shared" si="26"/>
        <v>0</v>
      </c>
      <c r="Q68" s="1">
        <f t="shared" si="27"/>
        <v>4113879.3183362251</v>
      </c>
      <c r="R68" s="1">
        <f t="shared" si="24"/>
        <v>74827.887827390339</v>
      </c>
      <c r="S68" s="100">
        <f t="shared" si="17"/>
        <v>1.8189130510919548E-2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>
        <f>Dataset!AE69</f>
        <v>0</v>
      </c>
      <c r="F69">
        <f>Dataset!AF69</f>
        <v>149.30000000000001</v>
      </c>
      <c r="G69" s="8">
        <f>Dataset!AR69</f>
        <v>31</v>
      </c>
      <c r="H69" s="109">
        <f>Dataset!BK69</f>
        <v>0</v>
      </c>
      <c r="I69">
        <f>Dataset!BI69</f>
        <v>0</v>
      </c>
      <c r="K69" s="8">
        <f t="shared" si="20"/>
        <v>491548.13237609901</v>
      </c>
      <c r="L69" s="1">
        <f t="shared" si="21"/>
        <v>0</v>
      </c>
      <c r="M69" s="1">
        <f t="shared" si="22"/>
        <v>505175.65768301778</v>
      </c>
      <c r="N69" s="1">
        <f t="shared" si="23"/>
        <v>3006849.2560703675</v>
      </c>
      <c r="O69" s="1">
        <f t="shared" si="25"/>
        <v>0</v>
      </c>
      <c r="P69" s="1">
        <f t="shared" si="26"/>
        <v>0</v>
      </c>
      <c r="Q69" s="1">
        <f t="shared" si="27"/>
        <v>4003573.0461294842</v>
      </c>
      <c r="R69" s="1">
        <f t="shared" si="24"/>
        <v>46414.14925785223</v>
      </c>
      <c r="S69" s="100">
        <f t="shared" si="17"/>
        <v>1.1593181571327597E-2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>
        <f>Dataset!AE70</f>
        <v>18.100000000000001</v>
      </c>
      <c r="F70">
        <f>Dataset!AF70</f>
        <v>121.1</v>
      </c>
      <c r="G70" s="8">
        <f>Dataset!AR70</f>
        <v>30</v>
      </c>
      <c r="H70" s="109">
        <f>Dataset!BK70</f>
        <v>0</v>
      </c>
      <c r="I70">
        <f>Dataset!BI70</f>
        <v>1</v>
      </c>
      <c r="K70" s="8">
        <f t="shared" si="20"/>
        <v>491548.13237609901</v>
      </c>
      <c r="L70" s="1">
        <f t="shared" si="21"/>
        <v>38371.622935318599</v>
      </c>
      <c r="M70" s="1">
        <f t="shared" si="22"/>
        <v>409757.34859620524</v>
      </c>
      <c r="N70" s="1">
        <f t="shared" si="23"/>
        <v>2909854.1187777747</v>
      </c>
      <c r="O70" s="1">
        <f t="shared" si="25"/>
        <v>0</v>
      </c>
      <c r="P70" s="1">
        <f t="shared" si="26"/>
        <v>-77519.929458595594</v>
      </c>
      <c r="Q70" s="1">
        <f t="shared" si="27"/>
        <v>3772011.2932268018</v>
      </c>
      <c r="R70" s="1">
        <f t="shared" si="24"/>
        <v>94281.496665189043</v>
      </c>
      <c r="S70" s="100">
        <f t="shared" si="17"/>
        <v>2.499501972183521E-2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>
        <f>Dataset!AE71</f>
        <v>78.7</v>
      </c>
      <c r="F71">
        <f>Dataset!AF71</f>
        <v>50</v>
      </c>
      <c r="G71" s="8">
        <f>Dataset!AR71</f>
        <v>31</v>
      </c>
      <c r="H71" s="109">
        <f>Dataset!BK71</f>
        <v>0</v>
      </c>
      <c r="I71">
        <f>Dataset!BI71</f>
        <v>1</v>
      </c>
      <c r="K71" s="8">
        <f t="shared" si="20"/>
        <v>491548.13237609901</v>
      </c>
      <c r="L71" s="1">
        <f t="shared" si="21"/>
        <v>166842.36049776649</v>
      </c>
      <c r="M71" s="1">
        <f t="shared" si="22"/>
        <v>169181.39909009301</v>
      </c>
      <c r="N71" s="1">
        <f t="shared" si="23"/>
        <v>3006849.2560703675</v>
      </c>
      <c r="O71" s="1">
        <f t="shared" si="25"/>
        <v>0</v>
      </c>
      <c r="P71" s="1">
        <f t="shared" si="26"/>
        <v>-77519.929458595594</v>
      </c>
      <c r="Q71" s="1">
        <f t="shared" si="27"/>
        <v>3756901.21857573</v>
      </c>
      <c r="R71" s="1">
        <f t="shared" si="24"/>
        <v>71619.86603130307</v>
      </c>
      <c r="S71" s="100">
        <f t="shared" si="17"/>
        <v>1.9063547818926874E-2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>
        <f>Dataset!AE72</f>
        <v>324.8</v>
      </c>
      <c r="F72">
        <f>Dataset!AF72</f>
        <v>0</v>
      </c>
      <c r="G72" s="8">
        <f>Dataset!AR72</f>
        <v>30</v>
      </c>
      <c r="H72" s="109">
        <f>Dataset!BK72</f>
        <v>0</v>
      </c>
      <c r="I72">
        <f>Dataset!BI72</f>
        <v>1</v>
      </c>
      <c r="K72" s="8">
        <f t="shared" si="20"/>
        <v>491548.13237609901</v>
      </c>
      <c r="L72" s="1">
        <f t="shared" si="21"/>
        <v>688569.23366803757</v>
      </c>
      <c r="M72" s="1">
        <f t="shared" si="22"/>
        <v>0</v>
      </c>
      <c r="N72" s="1">
        <f t="shared" si="23"/>
        <v>2909854.1187777747</v>
      </c>
      <c r="O72" s="1">
        <f t="shared" si="25"/>
        <v>0</v>
      </c>
      <c r="P72" s="1">
        <f t="shared" si="26"/>
        <v>-77519.929458595594</v>
      </c>
      <c r="Q72" s="1">
        <f t="shared" si="27"/>
        <v>4012451.5553633156</v>
      </c>
      <c r="R72" s="1">
        <f t="shared" si="24"/>
        <v>90954.63154095225</v>
      </c>
      <c r="S72" s="100">
        <f t="shared" si="17"/>
        <v>2.2668094626432586E-2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>
        <f>Dataset!AE73</f>
        <v>591.70000000000005</v>
      </c>
      <c r="F73">
        <f>Dataset!AF73</f>
        <v>0</v>
      </c>
      <c r="G73" s="8">
        <f>Dataset!AR73</f>
        <v>31</v>
      </c>
      <c r="H73" s="109">
        <f>Dataset!BK73</f>
        <v>0</v>
      </c>
      <c r="I73">
        <f>Dataset!BI73</f>
        <v>0</v>
      </c>
      <c r="K73" s="8">
        <f t="shared" si="20"/>
        <v>491548.13237609901</v>
      </c>
      <c r="L73" s="1">
        <f t="shared" si="21"/>
        <v>1254391.6735264095</v>
      </c>
      <c r="M73" s="1">
        <f t="shared" si="22"/>
        <v>0</v>
      </c>
      <c r="N73" s="1">
        <f t="shared" si="23"/>
        <v>3006849.2560703675</v>
      </c>
      <c r="O73" s="1">
        <f t="shared" si="25"/>
        <v>0</v>
      </c>
      <c r="P73" s="1">
        <f t="shared" si="26"/>
        <v>0</v>
      </c>
      <c r="Q73" s="1">
        <f t="shared" si="27"/>
        <v>4752789.0619728761</v>
      </c>
      <c r="R73" s="1">
        <f t="shared" si="24"/>
        <v>157659.23897101264</v>
      </c>
      <c r="S73" s="100">
        <f t="shared" si="17"/>
        <v>3.3171941130829087E-2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>
        <f>Dataset!AE74</f>
        <v>592.20000000000005</v>
      </c>
      <c r="F74">
        <f>Dataset!AF74</f>
        <v>0</v>
      </c>
      <c r="G74" s="8">
        <f>Dataset!AR74</f>
        <v>31</v>
      </c>
      <c r="H74" s="109">
        <f>Dataset!BK74</f>
        <v>0</v>
      </c>
      <c r="I74">
        <f>Dataset!BI74</f>
        <v>0</v>
      </c>
      <c r="K74" s="8">
        <f t="shared" si="20"/>
        <v>491548.13237609901</v>
      </c>
      <c r="L74" s="1">
        <f t="shared" si="21"/>
        <v>1255451.6631102583</v>
      </c>
      <c r="M74" s="1">
        <f t="shared" si="22"/>
        <v>0</v>
      </c>
      <c r="N74" s="1">
        <f t="shared" si="23"/>
        <v>3006849.2560703675</v>
      </c>
      <c r="O74" s="1">
        <f t="shared" si="25"/>
        <v>0</v>
      </c>
      <c r="P74" s="1">
        <f t="shared" si="26"/>
        <v>0</v>
      </c>
      <c r="Q74" s="1">
        <f t="shared" si="27"/>
        <v>4753849.0515567251</v>
      </c>
      <c r="R74" s="1">
        <f t="shared" si="24"/>
        <v>-143994.74044285156</v>
      </c>
      <c r="S74" s="100">
        <f t="shared" si="17"/>
        <v>3.0290137293210465E-2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>
        <f>Dataset!AE75</f>
        <v>442.2</v>
      </c>
      <c r="F75">
        <f>Dataset!AF75</f>
        <v>0</v>
      </c>
      <c r="G75" s="8">
        <f>Dataset!AR75</f>
        <v>28</v>
      </c>
      <c r="H75" s="109">
        <f>Dataset!BK75</f>
        <v>0</v>
      </c>
      <c r="I75">
        <f>Dataset!BI75</f>
        <v>0</v>
      </c>
      <c r="K75" s="8">
        <f t="shared" si="20"/>
        <v>491548.13237609901</v>
      </c>
      <c r="L75" s="1">
        <f t="shared" si="21"/>
        <v>937454.78795568412</v>
      </c>
      <c r="M75" s="1">
        <f t="shared" si="22"/>
        <v>0</v>
      </c>
      <c r="N75" s="1">
        <f t="shared" si="23"/>
        <v>2715863.8441925896</v>
      </c>
      <c r="O75" s="1">
        <f t="shared" si="25"/>
        <v>0</v>
      </c>
      <c r="P75" s="1">
        <f t="shared" si="26"/>
        <v>0</v>
      </c>
      <c r="Q75" s="1">
        <f t="shared" si="27"/>
        <v>4144866.7645243728</v>
      </c>
      <c r="R75" s="1">
        <f t="shared" si="24"/>
        <v>-97405.098669868428</v>
      </c>
      <c r="S75" s="100">
        <f t="shared" si="17"/>
        <v>2.3500176049940112E-2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>
        <f>Dataset!AE76</f>
        <v>473.1</v>
      </c>
      <c r="F76">
        <f>Dataset!AF76</f>
        <v>0</v>
      </c>
      <c r="G76" s="8">
        <f>Dataset!AR76</f>
        <v>31</v>
      </c>
      <c r="H76" s="109">
        <f>Dataset!BK76</f>
        <v>0</v>
      </c>
      <c r="I76">
        <f>Dataset!BI76</f>
        <v>1</v>
      </c>
      <c r="K76" s="8">
        <f t="shared" si="20"/>
        <v>491548.13237609901</v>
      </c>
      <c r="L76" s="1">
        <f t="shared" si="21"/>
        <v>1002962.1442375265</v>
      </c>
      <c r="M76" s="1">
        <f t="shared" si="22"/>
        <v>0</v>
      </c>
      <c r="N76" s="1">
        <f t="shared" si="23"/>
        <v>3006849.2560703675</v>
      </c>
      <c r="O76" s="1">
        <f t="shared" si="25"/>
        <v>0</v>
      </c>
      <c r="P76" s="1">
        <f t="shared" si="26"/>
        <v>-77519.929458595594</v>
      </c>
      <c r="Q76" s="1">
        <f t="shared" si="27"/>
        <v>4423839.6032253969</v>
      </c>
      <c r="R76" s="1">
        <f t="shared" si="24"/>
        <v>30424.967364867218</v>
      </c>
      <c r="S76" s="100">
        <f t="shared" si="17"/>
        <v>6.8775023720761804E-3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>
        <f>Dataset!AE77</f>
        <v>352.4</v>
      </c>
      <c r="F77">
        <f>Dataset!AF77</f>
        <v>0</v>
      </c>
      <c r="G77" s="8">
        <f>Dataset!AR77</f>
        <v>30</v>
      </c>
      <c r="H77" s="109">
        <f>Dataset!BK77</f>
        <v>0</v>
      </c>
      <c r="I77">
        <f>Dataset!BI77</f>
        <v>1</v>
      </c>
      <c r="K77" s="8">
        <f t="shared" si="20"/>
        <v>491548.13237609901</v>
      </c>
      <c r="L77" s="1">
        <f t="shared" si="21"/>
        <v>747080.65869647916</v>
      </c>
      <c r="M77" s="1">
        <f t="shared" si="22"/>
        <v>0</v>
      </c>
      <c r="N77" s="1">
        <f t="shared" si="23"/>
        <v>2909854.1187777747</v>
      </c>
      <c r="O77" s="1">
        <f t="shared" si="25"/>
        <v>0</v>
      </c>
      <c r="P77" s="1">
        <f t="shared" si="26"/>
        <v>-77519.929458595594</v>
      </c>
      <c r="Q77" s="1">
        <f t="shared" si="27"/>
        <v>4070962.9803917571</v>
      </c>
      <c r="R77" s="1">
        <f t="shared" si="24"/>
        <v>112551.83975335862</v>
      </c>
      <c r="S77" s="100">
        <f t="shared" si="17"/>
        <v>2.7647473164329174E-2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>
        <f>Dataset!AE78</f>
        <v>59.6</v>
      </c>
      <c r="F78">
        <f>Dataset!AF78</f>
        <v>71.599999999999994</v>
      </c>
      <c r="G78" s="8">
        <f>Dataset!AR78</f>
        <v>31</v>
      </c>
      <c r="H78" s="109">
        <f>Dataset!BK78</f>
        <v>0</v>
      </c>
      <c r="I78">
        <f>Dataset!BI78</f>
        <v>1</v>
      </c>
      <c r="K78" s="8">
        <f t="shared" si="20"/>
        <v>491548.13237609901</v>
      </c>
      <c r="L78" s="1">
        <f t="shared" si="21"/>
        <v>126350.75839475074</v>
      </c>
      <c r="M78" s="1">
        <f t="shared" si="22"/>
        <v>242267.76349701316</v>
      </c>
      <c r="N78" s="1">
        <f t="shared" si="23"/>
        <v>3006849.2560703675</v>
      </c>
      <c r="O78" s="1">
        <f t="shared" si="25"/>
        <v>0</v>
      </c>
      <c r="P78" s="1">
        <f t="shared" si="26"/>
        <v>-77519.929458595594</v>
      </c>
      <c r="Q78" s="1">
        <f t="shared" si="27"/>
        <v>3789495.9808796346</v>
      </c>
      <c r="R78" s="1">
        <f t="shared" si="24"/>
        <v>-19005.012248090468</v>
      </c>
      <c r="S78" s="100">
        <f t="shared" si="17"/>
        <v>5.0151820569232907E-3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>
        <f>Dataset!AE79</f>
        <v>9.3000000000000007</v>
      </c>
      <c r="F79">
        <f>Dataset!AF79</f>
        <v>92.8</v>
      </c>
      <c r="G79" s="8">
        <f>Dataset!AR79</f>
        <v>30</v>
      </c>
      <c r="H79" s="109">
        <f>Dataset!BK79</f>
        <v>0</v>
      </c>
      <c r="I79">
        <f>Dataset!BI79</f>
        <v>0</v>
      </c>
      <c r="K79" s="8">
        <f t="shared" si="20"/>
        <v>491548.13237609901</v>
      </c>
      <c r="L79" s="1">
        <f t="shared" si="21"/>
        <v>19715.806259583587</v>
      </c>
      <c r="M79" s="1">
        <f t="shared" si="22"/>
        <v>314000.67671121261</v>
      </c>
      <c r="N79" s="1">
        <f t="shared" si="23"/>
        <v>2909854.1187777747</v>
      </c>
      <c r="O79" s="1">
        <f t="shared" si="25"/>
        <v>0</v>
      </c>
      <c r="P79" s="1">
        <f t="shared" si="26"/>
        <v>0</v>
      </c>
      <c r="Q79" s="1">
        <f t="shared" si="27"/>
        <v>3735118.7341246698</v>
      </c>
      <c r="R79" s="1">
        <f t="shared" si="24"/>
        <v>-158781.92002777336</v>
      </c>
      <c r="S79" s="100">
        <f t="shared" si="17"/>
        <v>4.2510541519635014E-2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>
        <f>Dataset!AE80</f>
        <v>0</v>
      </c>
      <c r="F80">
        <f>Dataset!AF80</f>
        <v>228.5</v>
      </c>
      <c r="G80" s="8">
        <f>Dataset!AR80</f>
        <v>31</v>
      </c>
      <c r="H80" s="109">
        <f>Dataset!BK80</f>
        <v>0</v>
      </c>
      <c r="I80">
        <f>Dataset!BI80</f>
        <v>0</v>
      </c>
      <c r="K80" s="8">
        <f t="shared" si="20"/>
        <v>491548.13237609901</v>
      </c>
      <c r="L80" s="1">
        <f t="shared" si="21"/>
        <v>0</v>
      </c>
      <c r="M80" s="1">
        <f t="shared" si="22"/>
        <v>773158.99384172505</v>
      </c>
      <c r="N80" s="1">
        <f t="shared" si="23"/>
        <v>3006849.2560703675</v>
      </c>
      <c r="O80" s="1">
        <f t="shared" si="25"/>
        <v>0</v>
      </c>
      <c r="P80" s="1">
        <f t="shared" si="26"/>
        <v>0</v>
      </c>
      <c r="Q80" s="1">
        <f t="shared" si="27"/>
        <v>4271556.3822881915</v>
      </c>
      <c r="R80" s="1">
        <f t="shared" si="24"/>
        <v>-64560.490160858259</v>
      </c>
      <c r="S80" s="100">
        <f t="shared" si="17"/>
        <v>1.5114043777709528E-2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>
        <f>Dataset!AE81</f>
        <v>0</v>
      </c>
      <c r="F81">
        <f>Dataset!AF81</f>
        <v>242.4</v>
      </c>
      <c r="G81" s="8">
        <f>Dataset!AR81</f>
        <v>31</v>
      </c>
      <c r="H81" s="109">
        <f>Dataset!BK81</f>
        <v>0</v>
      </c>
      <c r="I81">
        <f>Dataset!BI81</f>
        <v>0</v>
      </c>
      <c r="K81" s="8">
        <f t="shared" si="20"/>
        <v>491548.13237609901</v>
      </c>
      <c r="L81" s="1">
        <f t="shared" si="21"/>
        <v>0</v>
      </c>
      <c r="M81" s="1">
        <f t="shared" si="22"/>
        <v>820191.42278877099</v>
      </c>
      <c r="N81" s="1">
        <f t="shared" si="23"/>
        <v>3006849.2560703675</v>
      </c>
      <c r="O81" s="1">
        <f t="shared" si="25"/>
        <v>0</v>
      </c>
      <c r="P81" s="1">
        <f t="shared" si="26"/>
        <v>0</v>
      </c>
      <c r="Q81" s="1">
        <f t="shared" si="27"/>
        <v>4318588.8112352379</v>
      </c>
      <c r="R81" s="1">
        <f t="shared" si="24"/>
        <v>-46832.053134728223</v>
      </c>
      <c r="S81" s="100">
        <f t="shared" si="17"/>
        <v>1.0844295482100539E-2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>
        <f>Dataset!AE82</f>
        <v>20</v>
      </c>
      <c r="F82">
        <f>Dataset!AF82</f>
        <v>118.9</v>
      </c>
      <c r="G82" s="8">
        <f>Dataset!AR82</f>
        <v>30</v>
      </c>
      <c r="H82" s="109">
        <f>Dataset!BK82</f>
        <v>0</v>
      </c>
      <c r="I82">
        <f>Dataset!BI82</f>
        <v>1</v>
      </c>
      <c r="K82" s="8">
        <f t="shared" si="20"/>
        <v>491548.13237609901</v>
      </c>
      <c r="L82" s="1">
        <f t="shared" si="21"/>
        <v>42399.583353943199</v>
      </c>
      <c r="M82" s="1">
        <f t="shared" si="22"/>
        <v>402313.36703624122</v>
      </c>
      <c r="N82" s="1">
        <f t="shared" si="23"/>
        <v>2909854.1187777747</v>
      </c>
      <c r="O82" s="1">
        <f t="shared" si="25"/>
        <v>0</v>
      </c>
      <c r="P82" s="1">
        <f t="shared" si="26"/>
        <v>-77519.929458595594</v>
      </c>
      <c r="Q82" s="1">
        <f t="shared" si="27"/>
        <v>3768595.2720854622</v>
      </c>
      <c r="R82" s="1">
        <f t="shared" si="24"/>
        <v>-113941.62614701129</v>
      </c>
      <c r="S82" s="100">
        <f t="shared" si="17"/>
        <v>3.0234508595548486E-2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>
        <f>Dataset!AE83</f>
        <v>182.4</v>
      </c>
      <c r="F83">
        <f>Dataset!AF83</f>
        <v>25.9</v>
      </c>
      <c r="G83" s="8">
        <f>Dataset!AR83</f>
        <v>31</v>
      </c>
      <c r="H83" s="109">
        <f>Dataset!BK83</f>
        <v>0</v>
      </c>
      <c r="I83">
        <f>Dataset!BI83</f>
        <v>1</v>
      </c>
      <c r="K83" s="8">
        <f t="shared" si="20"/>
        <v>491548.13237609901</v>
      </c>
      <c r="L83" s="1">
        <f t="shared" si="21"/>
        <v>386684.20018796198</v>
      </c>
      <c r="M83" s="1">
        <f t="shared" si="22"/>
        <v>87635.964728668172</v>
      </c>
      <c r="N83" s="1">
        <f t="shared" si="23"/>
        <v>3006849.2560703675</v>
      </c>
      <c r="O83" s="1">
        <f t="shared" si="25"/>
        <v>0</v>
      </c>
      <c r="P83" s="1">
        <f t="shared" si="26"/>
        <v>-77519.929458595594</v>
      </c>
      <c r="Q83" s="1">
        <f t="shared" si="27"/>
        <v>3895197.6239045011</v>
      </c>
      <c r="R83" s="1">
        <f t="shared" si="24"/>
        <v>60302.037221559789</v>
      </c>
      <c r="S83" s="100">
        <f t="shared" si="17"/>
        <v>1.5481123949011275E-2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>
        <f>Dataset!AE84</f>
        <v>383</v>
      </c>
      <c r="F84">
        <f>Dataset!AF84</f>
        <v>0</v>
      </c>
      <c r="G84" s="8">
        <f>Dataset!AR84</f>
        <v>30</v>
      </c>
      <c r="H84" s="109">
        <f>Dataset!BK84</f>
        <v>0</v>
      </c>
      <c r="I84">
        <f>Dataset!BI84</f>
        <v>1</v>
      </c>
      <c r="K84" s="8">
        <f t="shared" si="20"/>
        <v>491548.13237609901</v>
      </c>
      <c r="L84" s="1">
        <f t="shared" si="21"/>
        <v>811952.02122801228</v>
      </c>
      <c r="M84" s="1">
        <f t="shared" si="22"/>
        <v>0</v>
      </c>
      <c r="N84" s="1">
        <f t="shared" si="23"/>
        <v>2909854.1187777747</v>
      </c>
      <c r="O84" s="1">
        <f t="shared" si="25"/>
        <v>0</v>
      </c>
      <c r="P84" s="1">
        <f t="shared" si="26"/>
        <v>-77519.929458595594</v>
      </c>
      <c r="Q84" s="1">
        <f t="shared" si="27"/>
        <v>4135834.3429232901</v>
      </c>
      <c r="R84" s="1">
        <f t="shared" si="24"/>
        <v>-26242.764784997329</v>
      </c>
      <c r="S84" s="100">
        <f t="shared" si="17"/>
        <v>6.3452166138860434E-3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>
        <f>Dataset!AE85</f>
        <v>464.3</v>
      </c>
      <c r="F85">
        <f>Dataset!AF85</f>
        <v>0</v>
      </c>
      <c r="G85" s="8">
        <f>Dataset!AR85</f>
        <v>31</v>
      </c>
      <c r="H85" s="109">
        <f>Dataset!BK85</f>
        <v>0</v>
      </c>
      <c r="I85">
        <f>Dataset!BI85</f>
        <v>0</v>
      </c>
      <c r="K85" s="8">
        <f t="shared" si="20"/>
        <v>491548.13237609901</v>
      </c>
      <c r="L85" s="1">
        <f t="shared" si="21"/>
        <v>984306.3275617914</v>
      </c>
      <c r="M85" s="1">
        <f t="shared" si="22"/>
        <v>0</v>
      </c>
      <c r="N85" s="1">
        <f t="shared" si="23"/>
        <v>3006849.2560703675</v>
      </c>
      <c r="O85" s="1">
        <f t="shared" si="25"/>
        <v>0</v>
      </c>
      <c r="P85" s="1">
        <f t="shared" si="26"/>
        <v>0</v>
      </c>
      <c r="Q85" s="1">
        <f t="shared" si="27"/>
        <v>4482703.7160082581</v>
      </c>
      <c r="R85" s="1">
        <f t="shared" si="24"/>
        <v>-62640.677493235096</v>
      </c>
      <c r="S85" s="100">
        <f t="shared" si="17"/>
        <v>1.3973860746035462E-2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>
        <f>Dataset!AE86</f>
        <v>653.9</v>
      </c>
      <c r="F86">
        <f>Dataset!AF86</f>
        <v>0</v>
      </c>
      <c r="G86" s="8">
        <f>Dataset!AR86</f>
        <v>31</v>
      </c>
      <c r="H86" s="109">
        <f>Dataset!BK86</f>
        <v>0</v>
      </c>
      <c r="I86">
        <f>Dataset!BI86</f>
        <v>0</v>
      </c>
      <c r="K86" s="8">
        <f t="shared" si="20"/>
        <v>491548.13237609901</v>
      </c>
      <c r="L86" s="1">
        <f t="shared" si="21"/>
        <v>1386254.3777571728</v>
      </c>
      <c r="M86" s="1">
        <f t="shared" si="22"/>
        <v>0</v>
      </c>
      <c r="N86" s="1">
        <f t="shared" si="23"/>
        <v>3006849.2560703675</v>
      </c>
      <c r="O86" s="1">
        <f t="shared" si="25"/>
        <v>0</v>
      </c>
      <c r="P86" s="1">
        <f t="shared" si="26"/>
        <v>0</v>
      </c>
      <c r="Q86" s="1">
        <f t="shared" si="27"/>
        <v>4884651.7662036391</v>
      </c>
      <c r="R86" s="1">
        <f t="shared" si="24"/>
        <v>4702.1635562581941</v>
      </c>
      <c r="S86" s="100">
        <f t="shared" si="17"/>
        <v>9.6264048724863853E-4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>
        <f>Dataset!AE87</f>
        <v>522.4</v>
      </c>
      <c r="F87">
        <f>Dataset!AF87</f>
        <v>0</v>
      </c>
      <c r="G87" s="8">
        <f>Dataset!AR87</f>
        <v>28</v>
      </c>
      <c r="H87" s="109">
        <f>Dataset!BK87</f>
        <v>0</v>
      </c>
      <c r="I87">
        <f>Dataset!BI87</f>
        <v>0</v>
      </c>
      <c r="K87" s="8">
        <f t="shared" si="20"/>
        <v>491548.13237609901</v>
      </c>
      <c r="L87" s="1">
        <f t="shared" si="21"/>
        <v>1107477.1172049963</v>
      </c>
      <c r="M87" s="1">
        <f t="shared" si="22"/>
        <v>0</v>
      </c>
      <c r="N87" s="1">
        <f t="shared" si="23"/>
        <v>2715863.8441925896</v>
      </c>
      <c r="O87" s="1">
        <f t="shared" si="25"/>
        <v>0</v>
      </c>
      <c r="P87" s="1">
        <f t="shared" si="26"/>
        <v>0</v>
      </c>
      <c r="Q87" s="1">
        <f t="shared" si="27"/>
        <v>4314889.0937736854</v>
      </c>
      <c r="R87" s="1">
        <f t="shared" si="24"/>
        <v>-182503.65689807571</v>
      </c>
      <c r="S87" s="100">
        <f t="shared" si="17"/>
        <v>4.2296256736106035E-2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>
        <f>Dataset!AE88</f>
        <v>487.3</v>
      </c>
      <c r="F88">
        <f>Dataset!AF88</f>
        <v>0</v>
      </c>
      <c r="G88" s="8">
        <f>Dataset!AR88</f>
        <v>31</v>
      </c>
      <c r="H88" s="109">
        <f>Dataset!BK88</f>
        <v>0</v>
      </c>
      <c r="I88">
        <f>Dataset!BI88</f>
        <v>1</v>
      </c>
      <c r="K88" s="8">
        <f t="shared" si="20"/>
        <v>491548.13237609901</v>
      </c>
      <c r="L88" s="1">
        <f t="shared" si="21"/>
        <v>1033065.848418826</v>
      </c>
      <c r="M88" s="1">
        <f t="shared" si="22"/>
        <v>0</v>
      </c>
      <c r="N88" s="1">
        <f t="shared" si="23"/>
        <v>3006849.2560703675</v>
      </c>
      <c r="O88" s="1">
        <f t="shared" si="25"/>
        <v>0</v>
      </c>
      <c r="P88" s="1">
        <f t="shared" si="26"/>
        <v>-77519.929458595594</v>
      </c>
      <c r="Q88" s="1">
        <f t="shared" si="27"/>
        <v>4453943.3074066965</v>
      </c>
      <c r="R88" s="1">
        <f t="shared" si="24"/>
        <v>-109597.2623324208</v>
      </c>
      <c r="S88" s="100">
        <f t="shared" si="17"/>
        <v>2.4606793299359189E-2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>
        <f>Dataset!AE89</f>
        <v>271.10000000000002</v>
      </c>
      <c r="F89">
        <f>Dataset!AF89</f>
        <v>0</v>
      </c>
      <c r="G89" s="8">
        <f>Dataset!AR89</f>
        <v>30</v>
      </c>
      <c r="H89" s="109">
        <f>Dataset!BK89</f>
        <v>0</v>
      </c>
      <c r="I89">
        <f>Dataset!BI89</f>
        <v>1</v>
      </c>
      <c r="K89" s="8">
        <f t="shared" si="20"/>
        <v>491548.13237609901</v>
      </c>
      <c r="L89" s="1">
        <f t="shared" si="21"/>
        <v>574726.35236270016</v>
      </c>
      <c r="M89" s="1">
        <f t="shared" si="22"/>
        <v>0</v>
      </c>
      <c r="N89" s="1">
        <f t="shared" si="23"/>
        <v>2909854.1187777747</v>
      </c>
      <c r="O89" s="1">
        <f t="shared" si="25"/>
        <v>0</v>
      </c>
      <c r="P89" s="1">
        <f t="shared" si="26"/>
        <v>-77519.929458595594</v>
      </c>
      <c r="Q89" s="1">
        <f t="shared" si="27"/>
        <v>3898608.6740579782</v>
      </c>
      <c r="R89" s="1">
        <f t="shared" si="24"/>
        <v>-2152.9348260760307</v>
      </c>
      <c r="S89" s="100">
        <f t="shared" si="17"/>
        <v>5.5223157953811425E-4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>
        <f>Dataset!AE90</f>
        <v>126.3</v>
      </c>
      <c r="F90">
        <f>Dataset!AF90</f>
        <v>13.3</v>
      </c>
      <c r="G90" s="8">
        <f>Dataset!AR90</f>
        <v>31</v>
      </c>
      <c r="H90" s="109">
        <f>Dataset!BK90</f>
        <v>0</v>
      </c>
      <c r="I90">
        <f>Dataset!BI90</f>
        <v>1</v>
      </c>
      <c r="K90" s="8">
        <f t="shared" si="20"/>
        <v>491548.13237609901</v>
      </c>
      <c r="L90" s="1">
        <f t="shared" si="21"/>
        <v>267753.36888015131</v>
      </c>
      <c r="M90" s="1">
        <f t="shared" si="22"/>
        <v>45002.252157964744</v>
      </c>
      <c r="N90" s="1">
        <f t="shared" si="23"/>
        <v>3006849.2560703675</v>
      </c>
      <c r="O90" s="1">
        <f t="shared" si="25"/>
        <v>0</v>
      </c>
      <c r="P90" s="1">
        <f t="shared" si="26"/>
        <v>-77519.929458595594</v>
      </c>
      <c r="Q90" s="1">
        <f t="shared" si="27"/>
        <v>3733633.0800259868</v>
      </c>
      <c r="R90" s="1">
        <f t="shared" si="24"/>
        <v>17593.061632105149</v>
      </c>
      <c r="S90" s="100">
        <f t="shared" si="17"/>
        <v>4.7120488958124129E-3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>
        <f>Dataset!AE91</f>
        <v>23.2</v>
      </c>
      <c r="F91">
        <f>Dataset!AF91</f>
        <v>64</v>
      </c>
      <c r="G91" s="8">
        <f>Dataset!AR91</f>
        <v>30</v>
      </c>
      <c r="H91" s="109">
        <f>Dataset!BK91</f>
        <v>0</v>
      </c>
      <c r="I91">
        <f>Dataset!BI91</f>
        <v>0</v>
      </c>
      <c r="K91" s="8">
        <f t="shared" si="20"/>
        <v>491548.13237609901</v>
      </c>
      <c r="L91" s="1">
        <f t="shared" si="21"/>
        <v>49183.516690574106</v>
      </c>
      <c r="M91" s="1">
        <f t="shared" si="22"/>
        <v>216552.19083531905</v>
      </c>
      <c r="N91" s="1">
        <f t="shared" si="23"/>
        <v>2909854.1187777747</v>
      </c>
      <c r="O91" s="1">
        <f t="shared" si="25"/>
        <v>0</v>
      </c>
      <c r="P91" s="1">
        <f t="shared" si="26"/>
        <v>0</v>
      </c>
      <c r="Q91" s="1">
        <f t="shared" si="27"/>
        <v>3667137.9586797669</v>
      </c>
      <c r="R91" s="1">
        <f t="shared" si="24"/>
        <v>-52046.026959217153</v>
      </c>
      <c r="S91" s="100">
        <f t="shared" si="17"/>
        <v>1.4192546761440801E-2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>
        <f>Dataset!AE92</f>
        <v>0</v>
      </c>
      <c r="F92">
        <f>Dataset!AF92</f>
        <v>225.3</v>
      </c>
      <c r="G92" s="8">
        <f>Dataset!AR92</f>
        <v>31</v>
      </c>
      <c r="H92" s="109">
        <f>Dataset!BK92</f>
        <v>0</v>
      </c>
      <c r="I92">
        <f>Dataset!BI92</f>
        <v>0</v>
      </c>
      <c r="K92" s="8">
        <f t="shared" si="20"/>
        <v>491548.13237609901</v>
      </c>
      <c r="L92" s="1">
        <f t="shared" si="21"/>
        <v>0</v>
      </c>
      <c r="M92" s="1">
        <f t="shared" si="22"/>
        <v>762331.38429995917</v>
      </c>
      <c r="N92" s="1">
        <f t="shared" si="23"/>
        <v>3006849.2560703675</v>
      </c>
      <c r="O92" s="1">
        <f t="shared" si="25"/>
        <v>0</v>
      </c>
      <c r="P92" s="1">
        <f t="shared" si="26"/>
        <v>0</v>
      </c>
      <c r="Q92" s="1">
        <f t="shared" si="27"/>
        <v>4260728.7727464251</v>
      </c>
      <c r="R92" s="1">
        <f t="shared" si="24"/>
        <v>-24315.284394896589</v>
      </c>
      <c r="S92" s="100">
        <f t="shared" si="17"/>
        <v>5.7068369501547004E-3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>
        <f>Dataset!AE93</f>
        <v>0</v>
      </c>
      <c r="F93">
        <f>Dataset!AF93</f>
        <v>173.4</v>
      </c>
      <c r="G93" s="8">
        <f>Dataset!AR93</f>
        <v>31</v>
      </c>
      <c r="H93" s="109">
        <f>Dataset!BK93</f>
        <v>0</v>
      </c>
      <c r="I93">
        <f>Dataset!BI93</f>
        <v>0</v>
      </c>
      <c r="K93" s="8">
        <f t="shared" si="20"/>
        <v>491548.13237609901</v>
      </c>
      <c r="L93" s="1">
        <f t="shared" si="21"/>
        <v>0</v>
      </c>
      <c r="M93" s="1">
        <f t="shared" si="22"/>
        <v>586721.09204444254</v>
      </c>
      <c r="N93" s="1">
        <f t="shared" si="23"/>
        <v>3006849.2560703675</v>
      </c>
      <c r="O93" s="1">
        <f t="shared" si="25"/>
        <v>0</v>
      </c>
      <c r="P93" s="1">
        <f t="shared" si="26"/>
        <v>0</v>
      </c>
      <c r="Q93" s="1">
        <f t="shared" si="27"/>
        <v>4085118.480490909</v>
      </c>
      <c r="R93" s="1">
        <f t="shared" si="24"/>
        <v>-67578.285899360664</v>
      </c>
      <c r="S93" s="100">
        <f t="shared" si="17"/>
        <v>1.6542552247160228E-2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>
        <f>Dataset!AE94</f>
        <v>7</v>
      </c>
      <c r="F94">
        <f>Dataset!AF94</f>
        <v>80.2</v>
      </c>
      <c r="G94" s="8">
        <f>Dataset!AR94</f>
        <v>30</v>
      </c>
      <c r="H94" s="109">
        <f>Dataset!BK94</f>
        <v>0</v>
      </c>
      <c r="I94">
        <f>Dataset!BI94</f>
        <v>1</v>
      </c>
      <c r="K94" s="8">
        <f t="shared" si="20"/>
        <v>491548.13237609901</v>
      </c>
      <c r="L94" s="1">
        <f t="shared" si="21"/>
        <v>14839.85417388012</v>
      </c>
      <c r="M94" s="1">
        <f t="shared" si="22"/>
        <v>271366.9641405092</v>
      </c>
      <c r="N94" s="1">
        <f t="shared" si="23"/>
        <v>2909854.1187777747</v>
      </c>
      <c r="O94" s="1">
        <f t="shared" si="25"/>
        <v>0</v>
      </c>
      <c r="P94" s="1">
        <f t="shared" si="26"/>
        <v>-77519.929458595594</v>
      </c>
      <c r="Q94" s="1">
        <f t="shared" si="27"/>
        <v>3610089.1400096673</v>
      </c>
      <c r="R94" s="1">
        <f t="shared" si="24"/>
        <v>-108997.88931694673</v>
      </c>
      <c r="S94" s="100">
        <f t="shared" si="17"/>
        <v>3.0192575609547096E-2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>
        <f>Dataset!AE95</f>
        <v>134.69999999999999</v>
      </c>
      <c r="F95">
        <f>Dataset!AF95</f>
        <v>9.9</v>
      </c>
      <c r="G95" s="8">
        <f>Dataset!AR95</f>
        <v>31</v>
      </c>
      <c r="H95" s="109">
        <f>Dataset!BK95</f>
        <v>0</v>
      </c>
      <c r="I95">
        <f>Dataset!BI95</f>
        <v>1</v>
      </c>
      <c r="K95" s="8">
        <f t="shared" si="20"/>
        <v>491548.13237609901</v>
      </c>
      <c r="L95" s="1">
        <f t="shared" si="21"/>
        <v>285561.19388880744</v>
      </c>
      <c r="M95" s="1">
        <f t="shared" si="22"/>
        <v>33497.917019838416</v>
      </c>
      <c r="N95" s="1">
        <f t="shared" si="23"/>
        <v>3006849.2560703675</v>
      </c>
      <c r="O95" s="1">
        <f t="shared" si="25"/>
        <v>0</v>
      </c>
      <c r="P95" s="1">
        <f t="shared" si="26"/>
        <v>-77519.929458595594</v>
      </c>
      <c r="Q95" s="1">
        <f t="shared" si="27"/>
        <v>3739936.5698965164</v>
      </c>
      <c r="R95" s="1">
        <f t="shared" si="24"/>
        <v>8240.8088372028433</v>
      </c>
      <c r="S95" s="100">
        <f t="shared" si="17"/>
        <v>2.2034621933256118E-3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>
        <f>Dataset!AE96</f>
        <v>403.2</v>
      </c>
      <c r="F96">
        <f>Dataset!AF96</f>
        <v>0</v>
      </c>
      <c r="G96" s="8">
        <f>Dataset!AR96</f>
        <v>30</v>
      </c>
      <c r="H96" s="109">
        <f>Dataset!BK96</f>
        <v>0</v>
      </c>
      <c r="I96">
        <f>Dataset!BI96</f>
        <v>1</v>
      </c>
      <c r="K96" s="8">
        <f t="shared" si="20"/>
        <v>491548.13237609901</v>
      </c>
      <c r="L96" s="1">
        <f t="shared" si="21"/>
        <v>854775.60041549488</v>
      </c>
      <c r="M96" s="1">
        <f t="shared" si="22"/>
        <v>0</v>
      </c>
      <c r="N96" s="1">
        <f t="shared" si="23"/>
        <v>2909854.1187777747</v>
      </c>
      <c r="O96" s="1">
        <f t="shared" si="25"/>
        <v>0</v>
      </c>
      <c r="P96" s="1">
        <f t="shared" si="26"/>
        <v>-77519.929458595594</v>
      </c>
      <c r="Q96" s="1">
        <f t="shared" si="27"/>
        <v>4178657.9221107727</v>
      </c>
      <c r="R96" s="1">
        <f t="shared" si="24"/>
        <v>68614.996608582791</v>
      </c>
      <c r="S96" s="100">
        <f t="shared" si="17"/>
        <v>1.6420343059314887E-2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>
        <f>Dataset!AE97</f>
        <v>459.1</v>
      </c>
      <c r="F97">
        <f>Dataset!AF97</f>
        <v>0</v>
      </c>
      <c r="G97" s="8">
        <f>Dataset!AR97</f>
        <v>31</v>
      </c>
      <c r="H97" s="109">
        <f>Dataset!BK97</f>
        <v>0</v>
      </c>
      <c r="I97">
        <f>Dataset!BI97</f>
        <v>0</v>
      </c>
      <c r="K97" s="8">
        <f t="shared" si="20"/>
        <v>491548.13237609901</v>
      </c>
      <c r="L97" s="1">
        <f t="shared" si="21"/>
        <v>973282.4358897662</v>
      </c>
      <c r="M97" s="1">
        <f t="shared" si="22"/>
        <v>0</v>
      </c>
      <c r="N97" s="1">
        <f t="shared" si="23"/>
        <v>3006849.2560703675</v>
      </c>
      <c r="O97" s="1">
        <f t="shared" si="25"/>
        <v>0</v>
      </c>
      <c r="P97" s="1">
        <f t="shared" si="26"/>
        <v>0</v>
      </c>
      <c r="Q97" s="1">
        <f t="shared" si="27"/>
        <v>4471679.8243362326</v>
      </c>
      <c r="R97" s="1">
        <f t="shared" si="24"/>
        <v>-26056.651823035441</v>
      </c>
      <c r="S97" s="100">
        <f t="shared" si="17"/>
        <v>5.8270387967464194E-3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>
        <f>Dataset!AE98</f>
        <v>489.8</v>
      </c>
      <c r="F98">
        <f>Dataset!AF98</f>
        <v>0</v>
      </c>
      <c r="G98" s="8">
        <f>Dataset!AR98</f>
        <v>31</v>
      </c>
      <c r="H98" s="109">
        <f>Dataset!BK98</f>
        <v>0</v>
      </c>
      <c r="I98">
        <f>Dataset!BI98</f>
        <v>0</v>
      </c>
      <c r="K98" s="8">
        <f t="shared" ref="K98:K121" si="28">$X$9</f>
        <v>491548.13237609901</v>
      </c>
      <c r="L98" s="1">
        <f t="shared" ref="L98:L117" si="29">E98*$X$10</f>
        <v>1038365.7963380689</v>
      </c>
      <c r="M98" s="1">
        <f t="shared" ref="M98:M117" si="30">F98*$X$11</f>
        <v>0</v>
      </c>
      <c r="N98" s="1">
        <f t="shared" ref="N98:N117" si="31">G98*$X$12</f>
        <v>3006849.2560703675</v>
      </c>
      <c r="O98" s="1">
        <f t="shared" si="25"/>
        <v>0</v>
      </c>
      <c r="P98" s="1">
        <f t="shared" si="26"/>
        <v>0</v>
      </c>
      <c r="Q98" s="1">
        <f t="shared" si="27"/>
        <v>4536763.1847845353</v>
      </c>
      <c r="R98" s="1">
        <f t="shared" ref="R98:R117" si="32">Q98-D98</f>
        <v>-110318.06152380537</v>
      </c>
      <c r="S98" s="100">
        <f t="shared" si="17"/>
        <v>2.4316469039819346E-2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>
        <f>Dataset!AE99</f>
        <v>505.7</v>
      </c>
      <c r="F99">
        <f>Dataset!AF99</f>
        <v>0</v>
      </c>
      <c r="G99" s="8">
        <f>Dataset!AR99</f>
        <v>29</v>
      </c>
      <c r="H99" s="109">
        <f>Dataset!BK99</f>
        <v>0</v>
      </c>
      <c r="I99">
        <f>Dataset!BI99</f>
        <v>0</v>
      </c>
      <c r="K99" s="8">
        <f t="shared" si="28"/>
        <v>491548.13237609901</v>
      </c>
      <c r="L99" s="1">
        <f t="shared" si="29"/>
        <v>1072073.4651044537</v>
      </c>
      <c r="M99" s="1">
        <f t="shared" si="30"/>
        <v>0</v>
      </c>
      <c r="N99" s="1">
        <f t="shared" si="31"/>
        <v>2812858.9814851824</v>
      </c>
      <c r="O99" s="1">
        <f t="shared" si="25"/>
        <v>0</v>
      </c>
      <c r="P99" s="1">
        <f t="shared" si="26"/>
        <v>0</v>
      </c>
      <c r="Q99" s="1">
        <f t="shared" si="27"/>
        <v>4376480.5789657347</v>
      </c>
      <c r="R99" s="1">
        <f t="shared" si="32"/>
        <v>-31060.918504834175</v>
      </c>
      <c r="S99" s="100">
        <f t="shared" si="17"/>
        <v>7.0972366823971152E-3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>
        <f>Dataset!AE100</f>
        <v>362.1</v>
      </c>
      <c r="F100">
        <f>Dataset!AF100</f>
        <v>0</v>
      </c>
      <c r="G100" s="8">
        <f>Dataset!AR100</f>
        <v>31</v>
      </c>
      <c r="H100" s="109">
        <f>Dataset!BK100</f>
        <v>0.5</v>
      </c>
      <c r="I100">
        <f>Dataset!BI100</f>
        <v>1</v>
      </c>
      <c r="K100" s="8">
        <f t="shared" si="28"/>
        <v>491548.13237609901</v>
      </c>
      <c r="L100" s="1">
        <f t="shared" si="29"/>
        <v>767644.45662314165</v>
      </c>
      <c r="M100" s="1">
        <f t="shared" si="30"/>
        <v>0</v>
      </c>
      <c r="N100" s="1">
        <f t="shared" si="31"/>
        <v>3006849.2560703675</v>
      </c>
      <c r="O100" s="1">
        <f t="shared" si="25"/>
        <v>-231285.79949254799</v>
      </c>
      <c r="P100" s="1">
        <f t="shared" si="26"/>
        <v>-77519.929458595594</v>
      </c>
      <c r="Q100" s="1">
        <f t="shared" si="27"/>
        <v>3957236.1161184637</v>
      </c>
      <c r="R100" s="1">
        <f t="shared" si="32"/>
        <v>-1919.1901368065737</v>
      </c>
      <c r="S100" s="100">
        <f t="shared" si="17"/>
        <v>4.8498246768480691E-4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>
        <f>Dataset!AE101</f>
        <v>278.60000000000002</v>
      </c>
      <c r="F101">
        <f>Dataset!AF101</f>
        <v>0</v>
      </c>
      <c r="G101" s="8">
        <f>Dataset!AR101</f>
        <v>30</v>
      </c>
      <c r="H101" s="109">
        <f>Dataset!BK101</f>
        <v>1</v>
      </c>
      <c r="I101">
        <f>Dataset!BI101</f>
        <v>1</v>
      </c>
      <c r="K101" s="8">
        <f t="shared" si="28"/>
        <v>491548.13237609901</v>
      </c>
      <c r="L101" s="1">
        <f t="shared" si="29"/>
        <v>590626.19612042885</v>
      </c>
      <c r="M101" s="1">
        <f t="shared" si="30"/>
        <v>0</v>
      </c>
      <c r="N101" s="1">
        <f t="shared" si="31"/>
        <v>2909854.1187777747</v>
      </c>
      <c r="O101" s="1">
        <f t="shared" si="25"/>
        <v>-462571.59898509597</v>
      </c>
      <c r="P101" s="1">
        <f t="shared" si="26"/>
        <v>-77519.929458595594</v>
      </c>
      <c r="Q101" s="1">
        <f t="shared" si="27"/>
        <v>3451936.9188306108</v>
      </c>
      <c r="R101" s="1">
        <f t="shared" si="32"/>
        <v>333848.69622493954</v>
      </c>
      <c r="S101" s="100">
        <f t="shared" si="17"/>
        <v>9.671344062047206E-2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>
        <f>Dataset!AE102</f>
        <v>148.4</v>
      </c>
      <c r="F102">
        <f>Dataset!AF102</f>
        <v>40.6</v>
      </c>
      <c r="G102" s="8">
        <f>Dataset!AR102</f>
        <v>31</v>
      </c>
      <c r="H102" s="109">
        <f>Dataset!BK102</f>
        <v>1</v>
      </c>
      <c r="I102">
        <f>Dataset!BI102</f>
        <v>1</v>
      </c>
      <c r="K102" s="8">
        <f t="shared" si="28"/>
        <v>491548.13237609901</v>
      </c>
      <c r="L102" s="1">
        <f t="shared" si="29"/>
        <v>314604.90848625853</v>
      </c>
      <c r="M102" s="1">
        <f t="shared" si="30"/>
        <v>137375.29606115553</v>
      </c>
      <c r="N102" s="1">
        <f t="shared" si="31"/>
        <v>3006849.2560703675</v>
      </c>
      <c r="O102" s="1">
        <f t="shared" si="25"/>
        <v>-462571.59898509597</v>
      </c>
      <c r="P102" s="1">
        <f t="shared" si="26"/>
        <v>-77519.929458595594</v>
      </c>
      <c r="Q102" s="1">
        <f t="shared" si="27"/>
        <v>3410286.0645501888</v>
      </c>
      <c r="R102" s="1">
        <f t="shared" si="32"/>
        <v>301057.14093812043</v>
      </c>
      <c r="S102" s="100">
        <f t="shared" si="17"/>
        <v>8.8279145866266021E-2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>
        <f>Dataset!AE103</f>
        <v>14.9</v>
      </c>
      <c r="F103">
        <f>Dataset!AF103</f>
        <v>124</v>
      </c>
      <c r="G103" s="8">
        <f>Dataset!AR103</f>
        <v>30</v>
      </c>
      <c r="H103" s="109">
        <f>Dataset!BK103</f>
        <v>0.5</v>
      </c>
      <c r="I103">
        <f>Dataset!BI103</f>
        <v>0</v>
      </c>
      <c r="K103" s="8">
        <f t="shared" si="28"/>
        <v>491548.13237609901</v>
      </c>
      <c r="L103" s="1">
        <f t="shared" si="29"/>
        <v>31587.689598687684</v>
      </c>
      <c r="M103" s="1">
        <f t="shared" si="30"/>
        <v>419569.86974343064</v>
      </c>
      <c r="N103" s="1">
        <f t="shared" si="31"/>
        <v>2909854.1187777747</v>
      </c>
      <c r="O103" s="1">
        <f t="shared" si="25"/>
        <v>-231285.79949254799</v>
      </c>
      <c r="P103" s="1">
        <f t="shared" si="26"/>
        <v>0</v>
      </c>
      <c r="Q103" s="1">
        <f t="shared" si="27"/>
        <v>3621274.011003444</v>
      </c>
      <c r="R103" s="1">
        <f t="shared" si="32"/>
        <v>296059.46102314861</v>
      </c>
      <c r="S103" s="100">
        <f t="shared" si="17"/>
        <v>8.1755608695601431E-2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>
        <f>Dataset!AE104</f>
        <v>0</v>
      </c>
      <c r="F104">
        <f>Dataset!AF104</f>
        <v>263.39999999999998</v>
      </c>
      <c r="G104" s="8">
        <f>Dataset!AR104</f>
        <v>31</v>
      </c>
      <c r="H104" s="109">
        <f>Dataset!BK104</f>
        <v>0.5</v>
      </c>
      <c r="I104">
        <f>Dataset!BI104</f>
        <v>0</v>
      </c>
      <c r="K104" s="8">
        <f t="shared" si="28"/>
        <v>491548.13237609901</v>
      </c>
      <c r="L104" s="1">
        <f t="shared" si="29"/>
        <v>0</v>
      </c>
      <c r="M104" s="1">
        <f t="shared" si="30"/>
        <v>891247.61040660995</v>
      </c>
      <c r="N104" s="1">
        <f t="shared" si="31"/>
        <v>3006849.2560703675</v>
      </c>
      <c r="O104" s="1">
        <f t="shared" si="25"/>
        <v>-231285.79949254799</v>
      </c>
      <c r="P104" s="1">
        <f t="shared" si="26"/>
        <v>0</v>
      </c>
      <c r="Q104" s="1">
        <f t="shared" si="27"/>
        <v>4158359.199360528</v>
      </c>
      <c r="R104" s="1">
        <f t="shared" si="32"/>
        <v>51450.621913743671</v>
      </c>
      <c r="S104" s="100">
        <f t="shared" si="17"/>
        <v>1.2372818086916527E-2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>
        <f>Dataset!AE105</f>
        <v>0</v>
      </c>
      <c r="F105">
        <f>Dataset!AF105</f>
        <v>199.3</v>
      </c>
      <c r="G105" s="8">
        <f>Dataset!AR105</f>
        <v>31</v>
      </c>
      <c r="H105" s="109">
        <f>Dataset!BK105</f>
        <v>0.5</v>
      </c>
      <c r="I105">
        <f>Dataset!BI105</f>
        <v>0</v>
      </c>
      <c r="K105" s="8">
        <f t="shared" si="28"/>
        <v>491548.13237609901</v>
      </c>
      <c r="L105" s="1">
        <f t="shared" si="29"/>
        <v>0</v>
      </c>
      <c r="M105" s="1">
        <f t="shared" si="30"/>
        <v>674357.05677311076</v>
      </c>
      <c r="N105" s="1">
        <f t="shared" si="31"/>
        <v>3006849.2560703675</v>
      </c>
      <c r="O105" s="1">
        <f t="shared" si="25"/>
        <v>-231285.79949254799</v>
      </c>
      <c r="P105" s="1">
        <f t="shared" si="26"/>
        <v>0</v>
      </c>
      <c r="Q105" s="1">
        <f t="shared" si="27"/>
        <v>3941468.6457270291</v>
      </c>
      <c r="R105" s="1">
        <f t="shared" si="32"/>
        <v>-16726.601880393922</v>
      </c>
      <c r="S105" s="100">
        <f t="shared" si="17"/>
        <v>4.2437485576670353E-3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>
        <f>Dataset!AE106</f>
        <v>21.7</v>
      </c>
      <c r="F106">
        <f>Dataset!AF106</f>
        <v>80.099999999999994</v>
      </c>
      <c r="G106" s="8">
        <f>Dataset!AR106</f>
        <v>30</v>
      </c>
      <c r="H106" s="109">
        <f>Dataset!BK106</f>
        <v>0.5</v>
      </c>
      <c r="I106">
        <f>Dataset!BI106</f>
        <v>1</v>
      </c>
      <c r="K106" s="8">
        <f t="shared" si="28"/>
        <v>491548.13237609901</v>
      </c>
      <c r="L106" s="1">
        <f t="shared" si="29"/>
        <v>46003.547939028373</v>
      </c>
      <c r="M106" s="1">
        <f t="shared" si="30"/>
        <v>271028.601342329</v>
      </c>
      <c r="N106" s="1">
        <f t="shared" si="31"/>
        <v>2909854.1187777747</v>
      </c>
      <c r="O106" s="1">
        <f t="shared" si="25"/>
        <v>-231285.79949254799</v>
      </c>
      <c r="P106" s="1">
        <f t="shared" si="26"/>
        <v>-77519.929458595594</v>
      </c>
      <c r="Q106" s="1">
        <f t="shared" si="27"/>
        <v>3409628.6714840876</v>
      </c>
      <c r="R106" s="1">
        <f t="shared" si="32"/>
        <v>-63133.96346038999</v>
      </c>
      <c r="S106" s="100">
        <f t="shared" si="17"/>
        <v>1.8516375108058342E-2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>
        <f>Dataset!AE107</f>
        <v>159.30000000000001</v>
      </c>
      <c r="F107">
        <f>Dataset!AF107</f>
        <v>3.4</v>
      </c>
      <c r="G107" s="8">
        <f>Dataset!AR107</f>
        <v>31</v>
      </c>
      <c r="H107" s="109">
        <f>Dataset!BK107</f>
        <v>0.5</v>
      </c>
      <c r="I107">
        <f>Dataset!BI107</f>
        <v>1</v>
      </c>
      <c r="K107" s="8">
        <f t="shared" si="28"/>
        <v>491548.13237609901</v>
      </c>
      <c r="L107" s="1">
        <f t="shared" si="29"/>
        <v>337712.68141415762</v>
      </c>
      <c r="M107" s="1">
        <f t="shared" si="30"/>
        <v>11504.335138126324</v>
      </c>
      <c r="N107" s="1">
        <f t="shared" si="31"/>
        <v>3006849.2560703675</v>
      </c>
      <c r="O107" s="1">
        <f t="shared" si="25"/>
        <v>-231285.79949254799</v>
      </c>
      <c r="P107" s="1">
        <f t="shared" si="26"/>
        <v>-77519.929458595594</v>
      </c>
      <c r="Q107" s="1">
        <f t="shared" si="27"/>
        <v>3538808.6760476064</v>
      </c>
      <c r="R107" s="1">
        <f t="shared" si="32"/>
        <v>-19868.156132607721</v>
      </c>
      <c r="S107" s="100">
        <f t="shared" si="17"/>
        <v>5.6143628976285578E-3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>
        <f>Dataset!AE108</f>
        <v>211.9</v>
      </c>
      <c r="F108">
        <f>Dataset!AF108</f>
        <v>25.2</v>
      </c>
      <c r="G108" s="8">
        <f>Dataset!AR108</f>
        <v>30</v>
      </c>
      <c r="H108" s="109">
        <f>Dataset!BK108</f>
        <v>0.5</v>
      </c>
      <c r="I108">
        <f>Dataset!BI108</f>
        <v>1</v>
      </c>
      <c r="K108" s="8">
        <f t="shared" si="28"/>
        <v>491548.13237609901</v>
      </c>
      <c r="L108" s="1">
        <f t="shared" si="29"/>
        <v>449223.5856350282</v>
      </c>
      <c r="M108" s="1">
        <f t="shared" si="30"/>
        <v>85267.425141406871</v>
      </c>
      <c r="N108" s="1">
        <f t="shared" si="31"/>
        <v>2909854.1187777747</v>
      </c>
      <c r="O108" s="1">
        <f t="shared" si="25"/>
        <v>-231285.79949254799</v>
      </c>
      <c r="P108" s="1">
        <f t="shared" si="26"/>
        <v>-77519.929458595594</v>
      </c>
      <c r="Q108" s="1">
        <f t="shared" si="27"/>
        <v>3627087.5329791652</v>
      </c>
      <c r="R108" s="1">
        <f t="shared" si="32"/>
        <v>-159504.98195626261</v>
      </c>
      <c r="S108" s="100">
        <f t="shared" si="17"/>
        <v>4.3976049793662049E-2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>
        <f>Dataset!AE109</f>
        <v>444.6</v>
      </c>
      <c r="F109">
        <f>Dataset!AF109</f>
        <v>0</v>
      </c>
      <c r="G109" s="8">
        <f>Dataset!AR109</f>
        <v>31</v>
      </c>
      <c r="H109" s="109">
        <f>Dataset!BK109</f>
        <v>0.5</v>
      </c>
      <c r="I109">
        <f>Dataset!BI109</f>
        <v>0</v>
      </c>
      <c r="K109" s="8">
        <f t="shared" si="28"/>
        <v>491548.13237609901</v>
      </c>
      <c r="L109" s="1">
        <f t="shared" si="29"/>
        <v>942542.73795815732</v>
      </c>
      <c r="M109" s="1">
        <f t="shared" si="30"/>
        <v>0</v>
      </c>
      <c r="N109" s="1">
        <f t="shared" si="31"/>
        <v>3006849.2560703675</v>
      </c>
      <c r="O109" s="1">
        <f t="shared" si="25"/>
        <v>-231285.79949254799</v>
      </c>
      <c r="P109" s="1">
        <f t="shared" si="26"/>
        <v>0</v>
      </c>
      <c r="Q109" s="1">
        <f t="shared" si="27"/>
        <v>4209654.3269120762</v>
      </c>
      <c r="R109" s="1">
        <f t="shared" si="32"/>
        <v>-128868.56222349592</v>
      </c>
      <c r="S109" s="100">
        <f t="shared" si="17"/>
        <v>3.0612623321503302E-2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4273236.3259665137</v>
      </c>
      <c r="E110">
        <f>Dataset!AE110</f>
        <v>512.70000000000005</v>
      </c>
      <c r="F110">
        <f>Dataset!AF110</f>
        <v>0</v>
      </c>
      <c r="G110" s="8">
        <f>Dataset!AR110</f>
        <v>31</v>
      </c>
      <c r="H110" s="109">
        <f>Dataset!BK110</f>
        <v>0.5</v>
      </c>
      <c r="I110">
        <f>Dataset!BI110</f>
        <v>0</v>
      </c>
      <c r="K110" s="8">
        <f t="shared" si="28"/>
        <v>491548.13237609901</v>
      </c>
      <c r="L110" s="1">
        <f t="shared" si="29"/>
        <v>1086913.319278334</v>
      </c>
      <c r="M110" s="1">
        <f t="shared" si="30"/>
        <v>0</v>
      </c>
      <c r="N110" s="1">
        <f t="shared" si="31"/>
        <v>3006849.2560703675</v>
      </c>
      <c r="O110" s="1">
        <f t="shared" si="25"/>
        <v>-231285.79949254799</v>
      </c>
      <c r="P110" s="1">
        <f t="shared" si="26"/>
        <v>0</v>
      </c>
      <c r="Q110" s="1">
        <f t="shared" si="27"/>
        <v>4354024.9082322521</v>
      </c>
      <c r="R110" s="1">
        <f t="shared" si="32"/>
        <v>80788.582265738398</v>
      </c>
      <c r="S110" s="100">
        <f t="shared" si="17"/>
        <v>1.8554919636079623E-2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4156976.6714535831</v>
      </c>
      <c r="E111">
        <f>Dataset!AE111</f>
        <v>527.6</v>
      </c>
      <c r="F111">
        <f>Dataset!AF111</f>
        <v>0</v>
      </c>
      <c r="G111" s="8">
        <f>Dataset!AR111</f>
        <v>28</v>
      </c>
      <c r="H111" s="109">
        <f>Dataset!BK111</f>
        <v>0.5</v>
      </c>
      <c r="I111">
        <f>Dataset!BI111</f>
        <v>0</v>
      </c>
      <c r="K111" s="8">
        <f t="shared" si="28"/>
        <v>491548.13237609901</v>
      </c>
      <c r="L111" s="1">
        <f t="shared" si="29"/>
        <v>1118501.0088770217</v>
      </c>
      <c r="M111" s="1">
        <f t="shared" si="30"/>
        <v>0</v>
      </c>
      <c r="N111" s="1">
        <f t="shared" si="31"/>
        <v>2715863.8441925896</v>
      </c>
      <c r="O111" s="1">
        <f t="shared" si="25"/>
        <v>-231285.79949254799</v>
      </c>
      <c r="P111" s="1">
        <f t="shared" si="26"/>
        <v>0</v>
      </c>
      <c r="Q111" s="1">
        <f t="shared" si="27"/>
        <v>4094627.1859531617</v>
      </c>
      <c r="R111" s="1">
        <f t="shared" si="32"/>
        <v>-62349.485500421375</v>
      </c>
      <c r="S111" s="100">
        <f t="shared" si="17"/>
        <v>1.5227145883833974E-2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4304580.3632530198</v>
      </c>
      <c r="E112">
        <f>Dataset!AE112</f>
        <v>339.3</v>
      </c>
      <c r="F112">
        <f>Dataset!AF112</f>
        <v>2.4</v>
      </c>
      <c r="G112" s="8">
        <f>Dataset!AR112</f>
        <v>31</v>
      </c>
      <c r="H112" s="109">
        <f>Dataset!BK112</f>
        <v>0.5</v>
      </c>
      <c r="I112">
        <f>Dataset!BI112</f>
        <v>1</v>
      </c>
      <c r="K112" s="8">
        <f t="shared" si="28"/>
        <v>491548.13237609901</v>
      </c>
      <c r="L112" s="1">
        <f t="shared" si="29"/>
        <v>719308.93159964634</v>
      </c>
      <c r="M112" s="1">
        <f t="shared" si="30"/>
        <v>8120.7071563244644</v>
      </c>
      <c r="N112" s="1">
        <f t="shared" si="31"/>
        <v>3006849.2560703675</v>
      </c>
      <c r="O112" s="1">
        <f t="shared" si="25"/>
        <v>-231285.79949254799</v>
      </c>
      <c r="P112" s="1">
        <f t="shared" si="26"/>
        <v>-77519.929458595594</v>
      </c>
      <c r="Q112" s="1">
        <f t="shared" si="27"/>
        <v>3917021.2982512936</v>
      </c>
      <c r="R112" s="1">
        <f t="shared" si="32"/>
        <v>-387559.06500172615</v>
      </c>
      <c r="S112" s="100">
        <f t="shared" si="17"/>
        <v>9.8942291984663741E-2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3493870.4632008304</v>
      </c>
      <c r="E113">
        <f>Dataset!AE113</f>
        <v>205.6</v>
      </c>
      <c r="F113">
        <f>Dataset!AF113</f>
        <v>10.8</v>
      </c>
      <c r="G113" s="8">
        <f>Dataset!AR113</f>
        <v>30</v>
      </c>
      <c r="H113" s="109">
        <f>Dataset!BK113</f>
        <v>0.5</v>
      </c>
      <c r="I113">
        <f>Dataset!BI113</f>
        <v>1</v>
      </c>
      <c r="K113" s="8">
        <f t="shared" si="28"/>
        <v>491548.13237609901</v>
      </c>
      <c r="L113" s="1">
        <f t="shared" si="29"/>
        <v>435867.7168785361</v>
      </c>
      <c r="M113" s="1">
        <f t="shared" si="30"/>
        <v>36543.182203460092</v>
      </c>
      <c r="N113" s="1">
        <f t="shared" si="31"/>
        <v>2909854.1187777747</v>
      </c>
      <c r="O113" s="1">
        <f t="shared" si="25"/>
        <v>-231285.79949254799</v>
      </c>
      <c r="P113" s="1">
        <f t="shared" si="26"/>
        <v>-77519.929458595594</v>
      </c>
      <c r="Q113" s="1">
        <f t="shared" si="27"/>
        <v>3565007.4212847259</v>
      </c>
      <c r="R113" s="1">
        <f t="shared" si="32"/>
        <v>71136.958083895501</v>
      </c>
      <c r="S113" s="100">
        <f t="shared" si="17"/>
        <v>1.9954224403342137E-2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3443371.5331146931</v>
      </c>
      <c r="E114">
        <f>Dataset!AE114</f>
        <v>108.6</v>
      </c>
      <c r="F114">
        <f>Dataset!AF114</f>
        <v>42.6</v>
      </c>
      <c r="G114" s="8">
        <f>Dataset!AR114</f>
        <v>31</v>
      </c>
      <c r="H114" s="109">
        <f>Dataset!BK114</f>
        <v>0.5</v>
      </c>
      <c r="I114">
        <f>Dataset!BI114</f>
        <v>1</v>
      </c>
      <c r="K114" s="8">
        <f t="shared" si="28"/>
        <v>491548.13237609901</v>
      </c>
      <c r="L114" s="1">
        <f t="shared" si="29"/>
        <v>230229.73761191155</v>
      </c>
      <c r="M114" s="1">
        <f t="shared" si="30"/>
        <v>144142.55202475924</v>
      </c>
      <c r="N114" s="1">
        <f t="shared" si="31"/>
        <v>3006849.2560703675</v>
      </c>
      <c r="O114" s="1">
        <f t="shared" si="25"/>
        <v>-231285.79949254799</v>
      </c>
      <c r="P114" s="1">
        <f t="shared" si="26"/>
        <v>-77519.929458595594</v>
      </c>
      <c r="Q114" s="1">
        <f t="shared" si="27"/>
        <v>3563963.9491319936</v>
      </c>
      <c r="R114" s="1">
        <f t="shared" si="32"/>
        <v>120592.41601730045</v>
      </c>
      <c r="S114" s="100">
        <f t="shared" si="17"/>
        <v>3.3836598163870552E-2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3799932.2427311637</v>
      </c>
      <c r="E115">
        <f>Dataset!AE115</f>
        <v>1.6</v>
      </c>
      <c r="F115">
        <f>Dataset!AF115</f>
        <v>181.9</v>
      </c>
      <c r="G115" s="8">
        <f>Dataset!AR115</f>
        <v>30</v>
      </c>
      <c r="H115" s="109">
        <f>Dataset!BK115</f>
        <v>0.5</v>
      </c>
      <c r="I115">
        <f>Dataset!BI115</f>
        <v>0</v>
      </c>
      <c r="K115" s="8">
        <f t="shared" si="28"/>
        <v>491548.13237609901</v>
      </c>
      <c r="L115" s="1">
        <f t="shared" si="29"/>
        <v>3391.966668315456</v>
      </c>
      <c r="M115" s="1">
        <f t="shared" si="30"/>
        <v>615481.92988975835</v>
      </c>
      <c r="N115" s="1">
        <f t="shared" si="31"/>
        <v>2909854.1187777747</v>
      </c>
      <c r="O115" s="1">
        <f t="shared" si="25"/>
        <v>-231285.79949254799</v>
      </c>
      <c r="P115" s="1">
        <f t="shared" si="26"/>
        <v>0</v>
      </c>
      <c r="Q115" s="1">
        <f t="shared" si="27"/>
        <v>3788990.3482193993</v>
      </c>
      <c r="R115" s="1">
        <f t="shared" si="32"/>
        <v>-10941.894511764403</v>
      </c>
      <c r="S115" s="100">
        <f t="shared" si="17"/>
        <v>2.8878127168907794E-3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4003306.3794900794</v>
      </c>
      <c r="E116">
        <f>Dataset!AE116</f>
        <v>0</v>
      </c>
      <c r="F116">
        <f>Dataset!AF116</f>
        <v>173</v>
      </c>
      <c r="G116" s="8">
        <f>Dataset!AR116</f>
        <v>31</v>
      </c>
      <c r="H116" s="109">
        <f>Dataset!BK116</f>
        <v>0.5</v>
      </c>
      <c r="I116">
        <f>Dataset!BI116</f>
        <v>0</v>
      </c>
      <c r="K116" s="8">
        <f t="shared" si="28"/>
        <v>491548.13237609901</v>
      </c>
      <c r="L116" s="1">
        <f t="shared" si="29"/>
        <v>0</v>
      </c>
      <c r="M116" s="1">
        <f t="shared" si="30"/>
        <v>585367.64085172187</v>
      </c>
      <c r="N116" s="1">
        <f t="shared" si="31"/>
        <v>3006849.2560703675</v>
      </c>
      <c r="O116" s="1">
        <f t="shared" si="25"/>
        <v>-231285.79949254799</v>
      </c>
      <c r="P116" s="1">
        <f t="shared" si="26"/>
        <v>0</v>
      </c>
      <c r="Q116" s="1">
        <f t="shared" si="27"/>
        <v>3852479.2298056399</v>
      </c>
      <c r="R116" s="1">
        <f t="shared" si="32"/>
        <v>-150827.14968443941</v>
      </c>
      <c r="S116" s="100">
        <f t="shared" si="17"/>
        <v>3.9150671733030662E-2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4419749.8569190353</v>
      </c>
      <c r="E117">
        <f>Dataset!AE117</f>
        <v>0</v>
      </c>
      <c r="F117">
        <f>Dataset!AF117</f>
        <v>251.7</v>
      </c>
      <c r="G117" s="8">
        <f>Dataset!AR117</f>
        <v>31</v>
      </c>
      <c r="H117" s="109">
        <f>Dataset!BK117</f>
        <v>0.5</v>
      </c>
      <c r="I117">
        <f>Dataset!BI117</f>
        <v>0</v>
      </c>
      <c r="K117" s="8">
        <f t="shared" si="28"/>
        <v>491548.13237609901</v>
      </c>
      <c r="L117" s="1">
        <f t="shared" si="29"/>
        <v>0</v>
      </c>
      <c r="M117" s="1">
        <f t="shared" si="30"/>
        <v>851659.16301952815</v>
      </c>
      <c r="N117" s="1">
        <f t="shared" si="31"/>
        <v>3006849.2560703675</v>
      </c>
      <c r="O117" s="1">
        <f t="shared" si="25"/>
        <v>-231285.79949254799</v>
      </c>
      <c r="P117" s="1">
        <f t="shared" si="26"/>
        <v>0</v>
      </c>
      <c r="Q117" s="1">
        <f t="shared" si="27"/>
        <v>4118770.7519734465</v>
      </c>
      <c r="R117" s="1">
        <f t="shared" si="32"/>
        <v>-300979.10494558886</v>
      </c>
      <c r="S117" s="100">
        <f t="shared" si="17"/>
        <v>7.3074983549734907E-2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Dataset!I118</f>
        <v>3708378.6938781603</v>
      </c>
      <c r="E118">
        <f>Dataset!AE118</f>
        <v>6.1</v>
      </c>
      <c r="F118">
        <f>Dataset!AF118</f>
        <v>92.1</v>
      </c>
      <c r="G118" s="8">
        <f>Dataset!AR118</f>
        <v>30</v>
      </c>
      <c r="H118" s="109">
        <f>Dataset!BK118</f>
        <v>0.5</v>
      </c>
      <c r="I118">
        <f>Dataset!BI118</f>
        <v>1</v>
      </c>
      <c r="K118" s="8">
        <f t="shared" si="28"/>
        <v>491548.13237609901</v>
      </c>
      <c r="L118" s="1">
        <f t="shared" ref="L118:L121" si="33">E118*$X$10</f>
        <v>12931.872922952674</v>
      </c>
      <c r="M118" s="1">
        <f t="shared" ref="M118:M121" si="34">F118*$X$11</f>
        <v>311632.13712395128</v>
      </c>
      <c r="N118" s="1">
        <f t="shared" ref="N118:N121" si="35">G118*$X$12</f>
        <v>2909854.1187777747</v>
      </c>
      <c r="O118" s="1">
        <f t="shared" ref="O118:O121" si="36">H118*$X$13</f>
        <v>-231285.79949254799</v>
      </c>
      <c r="P118" s="1">
        <f t="shared" ref="P118:P121" si="37">I118*$X$14</f>
        <v>-77519.929458595594</v>
      </c>
      <c r="Q118" s="1">
        <f t="shared" ref="Q118:Q121" si="38">SUM(K118:P118)</f>
        <v>3417160.5322496342</v>
      </c>
      <c r="R118" s="1">
        <f t="shared" ref="R118:R121" si="39">Q118-D118</f>
        <v>-291218.16162852617</v>
      </c>
      <c r="S118" s="100">
        <f t="shared" ref="S118:S121" si="40">ABS(R118/Q118)</f>
        <v>8.5222265351638973E-2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3691197.7080561365</v>
      </c>
      <c r="E119">
        <f>Dataset!AE119</f>
        <v>65.900000000000006</v>
      </c>
      <c r="F119">
        <f>Dataset!AF119</f>
        <v>66.8</v>
      </c>
      <c r="G119" s="8">
        <f>Dataset!AR119</f>
        <v>31</v>
      </c>
      <c r="H119" s="109">
        <f>Dataset!BK119</f>
        <v>0.5</v>
      </c>
      <c r="I119">
        <f>Dataset!BI119</f>
        <v>1</v>
      </c>
      <c r="K119" s="8">
        <f t="shared" si="28"/>
        <v>491548.13237609901</v>
      </c>
      <c r="L119" s="1">
        <f t="shared" si="33"/>
        <v>139706.62715124286</v>
      </c>
      <c r="M119" s="1">
        <f t="shared" si="34"/>
        <v>226026.34918436426</v>
      </c>
      <c r="N119" s="1">
        <f t="shared" si="35"/>
        <v>3006849.2560703675</v>
      </c>
      <c r="O119" s="1">
        <f t="shared" si="36"/>
        <v>-231285.79949254799</v>
      </c>
      <c r="P119" s="1">
        <f t="shared" si="37"/>
        <v>-77519.929458595594</v>
      </c>
      <c r="Q119" s="1">
        <f t="shared" si="38"/>
        <v>3555324.6358309295</v>
      </c>
      <c r="R119" s="1">
        <f t="shared" si="39"/>
        <v>-135873.072225207</v>
      </c>
      <c r="S119" s="100">
        <f t="shared" si="40"/>
        <v>3.8216783597161318E-2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Dataset!I120</f>
        <v>3985831.0760538317</v>
      </c>
      <c r="E120">
        <f>Dataset!AE120</f>
        <v>292.60000000000002</v>
      </c>
      <c r="F120">
        <f>Dataset!AF120</f>
        <v>0.1</v>
      </c>
      <c r="G120" s="8">
        <f>Dataset!AR120</f>
        <v>30</v>
      </c>
      <c r="H120" s="109">
        <f>Dataset!BK120</f>
        <v>0.5</v>
      </c>
      <c r="I120">
        <f>Dataset!BI120</f>
        <v>1</v>
      </c>
      <c r="K120" s="8">
        <f t="shared" si="28"/>
        <v>491548.13237609901</v>
      </c>
      <c r="L120" s="1">
        <f t="shared" si="33"/>
        <v>620305.90446818899</v>
      </c>
      <c r="M120" s="1">
        <f t="shared" si="34"/>
        <v>338.36279818018602</v>
      </c>
      <c r="N120" s="1">
        <f t="shared" si="35"/>
        <v>2909854.1187777747</v>
      </c>
      <c r="O120" s="1">
        <f t="shared" si="36"/>
        <v>-231285.79949254799</v>
      </c>
      <c r="P120" s="1">
        <f t="shared" si="37"/>
        <v>-77519.929458595594</v>
      </c>
      <c r="Q120" s="1">
        <f t="shared" si="38"/>
        <v>3713240.7894690987</v>
      </c>
      <c r="R120" s="1">
        <f t="shared" si="39"/>
        <v>-272590.28658473305</v>
      </c>
      <c r="S120" s="100">
        <f t="shared" si="40"/>
        <v>7.3410344774249528E-2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4419793.6759724179</v>
      </c>
      <c r="E121">
        <f>Dataset!AE121</f>
        <v>402.3</v>
      </c>
      <c r="F121">
        <f>Dataset!AF121</f>
        <v>0</v>
      </c>
      <c r="G121" s="8">
        <f>Dataset!AR121</f>
        <v>31</v>
      </c>
      <c r="H121" s="109">
        <f>Dataset!BK121</f>
        <v>0.5</v>
      </c>
      <c r="I121">
        <f>Dataset!BI121</f>
        <v>0</v>
      </c>
      <c r="K121" s="8">
        <f t="shared" si="28"/>
        <v>491548.13237609901</v>
      </c>
      <c r="L121" s="1">
        <f t="shared" si="33"/>
        <v>852867.61916456744</v>
      </c>
      <c r="M121" s="1">
        <f t="shared" si="34"/>
        <v>0</v>
      </c>
      <c r="N121" s="1">
        <f t="shared" si="35"/>
        <v>3006849.2560703675</v>
      </c>
      <c r="O121" s="1">
        <f t="shared" si="36"/>
        <v>-231285.79949254799</v>
      </c>
      <c r="P121" s="1">
        <f t="shared" si="37"/>
        <v>0</v>
      </c>
      <c r="Q121" s="1">
        <f t="shared" si="38"/>
        <v>4119979.2081184862</v>
      </c>
      <c r="R121" s="1">
        <f t="shared" si="39"/>
        <v>-299814.46785393171</v>
      </c>
      <c r="S121" s="100">
        <f t="shared" si="40"/>
        <v>7.277086914981086E-2</v>
      </c>
    </row>
    <row r="122" spans="1:19">
      <c r="S122" s="100">
        <f>AVERAGE(S2:S121)</f>
        <v>2.3738344598353563E-2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22"/>
  <sheetViews>
    <sheetView topLeftCell="T1" workbookViewId="0">
      <selection activeCell="AA4" sqref="AA4:AE24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0" width="11.85546875" customWidth="1"/>
    <col min="21" max="21" width="17.7109375" bestFit="1" customWidth="1"/>
    <col min="22" max="22" width="10.85546875" bestFit="1" customWidth="1"/>
    <col min="23" max="23" width="8.42578125" bestFit="1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9" t="str">
        <f>Dataset!BL1</f>
        <v>COVID2020</v>
      </c>
      <c r="I1" s="109" t="str">
        <f>Dataset!BF1</f>
        <v>Dec</v>
      </c>
      <c r="J1" s="109" t="str">
        <f>Dataset!BM1</f>
        <v>D_2012</v>
      </c>
      <c r="K1" s="109" t="str">
        <f>Dataset!AM1</f>
        <v>OntarioGDP</v>
      </c>
      <c r="M1" t="str">
        <f>AA9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9" t="str">
        <f t="shared" si="0"/>
        <v>Dec</v>
      </c>
      <c r="S1" t="str">
        <f t="shared" si="0"/>
        <v>D_2012</v>
      </c>
      <c r="T1" s="109" t="str">
        <f t="shared" si="0"/>
        <v>OntarioGDP</v>
      </c>
      <c r="U1" s="38" t="s">
        <v>138</v>
      </c>
      <c r="V1" s="38" t="s">
        <v>139</v>
      </c>
      <c r="W1" s="38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9">
        <f>Dataset!BL2</f>
        <v>0</v>
      </c>
      <c r="I2" s="109">
        <f>Dataset!BF2</f>
        <v>0</v>
      </c>
      <c r="J2" s="109">
        <f>Dataset!BM2</f>
        <v>1</v>
      </c>
      <c r="K2" s="109">
        <f>Dataset!AM2</f>
        <v>634944.30000000005</v>
      </c>
      <c r="M2" s="8">
        <f t="shared" ref="M2:M33" si="1">$AB$9</f>
        <v>-4974967.3380324002</v>
      </c>
      <c r="N2" s="1">
        <f t="shared" ref="N2:N33" si="2">E2*$AB$10</f>
        <v>1010760.676083353</v>
      </c>
      <c r="O2" s="1">
        <f t="shared" ref="O2:O33" si="3">F2*$AB$11</f>
        <v>0</v>
      </c>
      <c r="P2" s="1">
        <f>G2*$AB$12</f>
        <v>7632823.6066066818</v>
      </c>
      <c r="Q2" s="1">
        <f>H2*$AB$13</f>
        <v>0</v>
      </c>
      <c r="R2" s="1">
        <f>I2*$AB$14</f>
        <v>0</v>
      </c>
      <c r="S2" s="1">
        <f>J2*$AB$15</f>
        <v>2051845.39234414</v>
      </c>
      <c r="T2" s="1">
        <f>K2*$AB$16</f>
        <v>6951141.6023147758</v>
      </c>
      <c r="U2" s="1">
        <f>SUM(M2:T2)</f>
        <v>12671603.93931655</v>
      </c>
      <c r="V2" s="1">
        <f t="shared" ref="V2:V33" si="4">U2-D2</f>
        <v>-356865.75028491579</v>
      </c>
      <c r="W2" s="100">
        <f>ABS(V2/U2)</f>
        <v>2.8162634501040406E-2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9">
        <f>Dataset!BL3</f>
        <v>0</v>
      </c>
      <c r="I3" s="109">
        <f>Dataset!BF3</f>
        <v>0</v>
      </c>
      <c r="J3" s="109">
        <f>Dataset!BM3</f>
        <v>1</v>
      </c>
      <c r="K3" s="109">
        <f>Dataset!AM3</f>
        <v>634944.30000000005</v>
      </c>
      <c r="M3" s="8">
        <f t="shared" si="1"/>
        <v>-4974967.3380324002</v>
      </c>
      <c r="N3" s="1">
        <f t="shared" si="2"/>
        <v>872680.54874014866</v>
      </c>
      <c r="O3" s="1">
        <f t="shared" si="3"/>
        <v>0</v>
      </c>
      <c r="P3" s="1">
        <f t="shared" ref="P3:P66" si="5">G3*$AB$12</f>
        <v>7140383.3739223797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2051845.39234414</v>
      </c>
      <c r="T3" s="1">
        <f t="shared" ref="T3:T66" si="9">K3*$AB$16</f>
        <v>6951141.6023147758</v>
      </c>
      <c r="U3" s="1">
        <f t="shared" ref="U3:U66" si="10">SUM(M3:T3)</f>
        <v>12041083.579289043</v>
      </c>
      <c r="V3" s="1">
        <f t="shared" si="4"/>
        <v>-508411.45376424678</v>
      </c>
      <c r="W3" s="100">
        <f t="shared" ref="W3:W54" si="11">ABS(V3/U3)</f>
        <v>4.2223064927373051E-2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9">
        <f>Dataset!BL4</f>
        <v>0</v>
      </c>
      <c r="I4" s="109">
        <f>Dataset!BF4</f>
        <v>0</v>
      </c>
      <c r="J4" s="109">
        <f>Dataset!BM4</f>
        <v>1</v>
      </c>
      <c r="K4" s="109">
        <f>Dataset!AM4</f>
        <v>634944.30000000005</v>
      </c>
      <c r="M4" s="8">
        <f t="shared" si="1"/>
        <v>-4974967.3380324002</v>
      </c>
      <c r="N4" s="1">
        <f t="shared" si="2"/>
        <v>538176.5782749214</v>
      </c>
      <c r="O4" s="1">
        <f t="shared" si="3"/>
        <v>14039.617780662122</v>
      </c>
      <c r="P4" s="1">
        <f t="shared" si="5"/>
        <v>7632823.6066066818</v>
      </c>
      <c r="Q4" s="1">
        <f t="shared" si="6"/>
        <v>0</v>
      </c>
      <c r="R4" s="1">
        <f t="shared" si="7"/>
        <v>0</v>
      </c>
      <c r="S4" s="1">
        <f t="shared" si="8"/>
        <v>2051845.39234414</v>
      </c>
      <c r="T4" s="1">
        <f t="shared" si="9"/>
        <v>6951141.6023147758</v>
      </c>
      <c r="U4" s="1">
        <f t="shared" si="10"/>
        <v>12213059.459288782</v>
      </c>
      <c r="V4" s="1">
        <f t="shared" si="4"/>
        <v>-340076.18424570747</v>
      </c>
      <c r="W4" s="100">
        <f t="shared" si="11"/>
        <v>2.7845290148576052E-2</v>
      </c>
      <c r="AA4" t="s">
        <v>346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9">
        <f>Dataset!BL5</f>
        <v>0</v>
      </c>
      <c r="I5" s="109">
        <f>Dataset!BF5</f>
        <v>0</v>
      </c>
      <c r="J5" s="109">
        <f>Dataset!BM5</f>
        <v>1</v>
      </c>
      <c r="K5" s="109">
        <f>Dataset!AM5</f>
        <v>634944.30000000005</v>
      </c>
      <c r="M5" s="8">
        <f t="shared" si="1"/>
        <v>-4974967.3380324002</v>
      </c>
      <c r="N5" s="1">
        <f t="shared" si="2"/>
        <v>563458.85511240957</v>
      </c>
      <c r="O5" s="1">
        <f t="shared" si="3"/>
        <v>0</v>
      </c>
      <c r="P5" s="1">
        <f t="shared" si="5"/>
        <v>7386603.4902645303</v>
      </c>
      <c r="Q5" s="1">
        <f t="shared" si="6"/>
        <v>0</v>
      </c>
      <c r="R5" s="1">
        <f t="shared" si="7"/>
        <v>0</v>
      </c>
      <c r="S5" s="1">
        <f t="shared" si="8"/>
        <v>2051845.39234414</v>
      </c>
      <c r="T5" s="1">
        <f t="shared" si="9"/>
        <v>6951141.6023147758</v>
      </c>
      <c r="U5" s="1">
        <f t="shared" si="10"/>
        <v>11978082.002003456</v>
      </c>
      <c r="V5" s="1">
        <f t="shared" si="4"/>
        <v>359014.39761282876</v>
      </c>
      <c r="W5" s="100">
        <f t="shared" si="11"/>
        <v>2.9972611437522299E-2</v>
      </c>
      <c r="AA5" t="s">
        <v>247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9">
        <f>Dataset!BL6</f>
        <v>0</v>
      </c>
      <c r="I6" s="109">
        <f>Dataset!BF6</f>
        <v>0</v>
      </c>
      <c r="J6" s="109">
        <f>Dataset!BM6</f>
        <v>1</v>
      </c>
      <c r="K6" s="109">
        <f>Dataset!AM6</f>
        <v>634944.30000000005</v>
      </c>
      <c r="M6" s="8">
        <f t="shared" si="1"/>
        <v>-4974967.3380324002</v>
      </c>
      <c r="N6" s="1">
        <f t="shared" si="2"/>
        <v>157704.83174153417</v>
      </c>
      <c r="O6" s="1">
        <f t="shared" si="3"/>
        <v>122345.24066005564</v>
      </c>
      <c r="P6" s="1">
        <f t="shared" si="5"/>
        <v>7632823.6066066818</v>
      </c>
      <c r="Q6" s="1">
        <f t="shared" si="6"/>
        <v>0</v>
      </c>
      <c r="R6" s="1">
        <f t="shared" si="7"/>
        <v>0</v>
      </c>
      <c r="S6" s="1">
        <f t="shared" si="8"/>
        <v>2051845.39234414</v>
      </c>
      <c r="T6" s="1">
        <f t="shared" si="9"/>
        <v>6951141.6023147758</v>
      </c>
      <c r="U6" s="1">
        <f t="shared" si="10"/>
        <v>11940893.335634787</v>
      </c>
      <c r="V6" s="1">
        <f t="shared" si="4"/>
        <v>-347631.36764630675</v>
      </c>
      <c r="W6" s="100">
        <f t="shared" si="11"/>
        <v>2.9112676738253972E-2</v>
      </c>
      <c r="AA6" t="s">
        <v>357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9">
        <f>Dataset!BL7</f>
        <v>0</v>
      </c>
      <c r="I7" s="109">
        <f>Dataset!BF7</f>
        <v>0</v>
      </c>
      <c r="J7" s="109">
        <f>Dataset!BM7</f>
        <v>1</v>
      </c>
      <c r="K7" s="109">
        <f>Dataset!AM7</f>
        <v>634944.30000000005</v>
      </c>
      <c r="M7" s="8">
        <f t="shared" si="1"/>
        <v>-4974967.3380324002</v>
      </c>
      <c r="N7" s="1">
        <f t="shared" si="2"/>
        <v>38188.613964317694</v>
      </c>
      <c r="O7" s="1">
        <f t="shared" si="3"/>
        <v>390100.80833411182</v>
      </c>
      <c r="P7" s="1">
        <f t="shared" si="5"/>
        <v>7386603.4902645303</v>
      </c>
      <c r="Q7" s="1">
        <f t="shared" si="6"/>
        <v>0</v>
      </c>
      <c r="R7" s="1">
        <f t="shared" si="7"/>
        <v>0</v>
      </c>
      <c r="S7" s="1">
        <f t="shared" si="8"/>
        <v>2051845.39234414</v>
      </c>
      <c r="T7" s="1">
        <f t="shared" si="9"/>
        <v>6951141.6023147758</v>
      </c>
      <c r="U7" s="1">
        <f t="shared" si="10"/>
        <v>11842912.569189476</v>
      </c>
      <c r="V7" s="1">
        <f t="shared" si="4"/>
        <v>-504622.67337993905</v>
      </c>
      <c r="W7" s="100">
        <f t="shared" si="11"/>
        <v>4.2609676499070465E-2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9">
        <f>Dataset!BL8</f>
        <v>0</v>
      </c>
      <c r="I8" s="109">
        <f>Dataset!BF8</f>
        <v>0</v>
      </c>
      <c r="J8" s="109">
        <f>Dataset!BM8</f>
        <v>1</v>
      </c>
      <c r="K8" s="109">
        <f>Dataset!AM8</f>
        <v>634944.30000000005</v>
      </c>
      <c r="M8" s="8">
        <f t="shared" si="1"/>
        <v>-4974967.3380324002</v>
      </c>
      <c r="N8" s="1">
        <f t="shared" si="2"/>
        <v>0</v>
      </c>
      <c r="O8" s="1">
        <f t="shared" si="3"/>
        <v>630278.55536758178</v>
      </c>
      <c r="P8" s="1">
        <f t="shared" si="5"/>
        <v>7632823.6066066818</v>
      </c>
      <c r="Q8" s="1">
        <f t="shared" si="6"/>
        <v>0</v>
      </c>
      <c r="R8" s="1">
        <f t="shared" si="7"/>
        <v>0</v>
      </c>
      <c r="S8" s="1">
        <f t="shared" si="8"/>
        <v>2051845.39234414</v>
      </c>
      <c r="T8" s="1">
        <f t="shared" si="9"/>
        <v>6951141.6023147758</v>
      </c>
      <c r="U8" s="1">
        <f t="shared" si="10"/>
        <v>12291121.818600779</v>
      </c>
      <c r="V8" s="1">
        <f t="shared" si="4"/>
        <v>952898.81037265249</v>
      </c>
      <c r="W8" s="100">
        <f t="shared" si="11"/>
        <v>7.7527407541481061E-2</v>
      </c>
      <c r="AB8" t="s">
        <v>120</v>
      </c>
      <c r="AC8" t="s">
        <v>121</v>
      </c>
      <c r="AD8" t="s">
        <v>122</v>
      </c>
      <c r="AE8" t="s">
        <v>123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9">
        <f>Dataset!BL9</f>
        <v>0</v>
      </c>
      <c r="I9" s="109">
        <f>Dataset!BF9</f>
        <v>0</v>
      </c>
      <c r="J9" s="109">
        <f>Dataset!BM9</f>
        <v>0</v>
      </c>
      <c r="K9" s="109">
        <f>Dataset!AM9</f>
        <v>634944.30000000005</v>
      </c>
      <c r="M9" s="8">
        <f t="shared" si="1"/>
        <v>-4974967.3380324002</v>
      </c>
      <c r="N9" s="1">
        <f t="shared" si="2"/>
        <v>0</v>
      </c>
      <c r="O9" s="1">
        <f t="shared" si="3"/>
        <v>449769.18390192586</v>
      </c>
      <c r="P9" s="1">
        <f t="shared" si="5"/>
        <v>7632823.6066066818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6951141.6023147758</v>
      </c>
      <c r="U9" s="1">
        <f t="shared" si="10"/>
        <v>10058767.054790983</v>
      </c>
      <c r="V9" s="1">
        <f t="shared" si="4"/>
        <v>-200215.55957189947</v>
      </c>
      <c r="W9" s="100">
        <f t="shared" si="11"/>
        <v>1.9904582587638012E-2</v>
      </c>
      <c r="AA9" t="s">
        <v>124</v>
      </c>
      <c r="AB9" s="8">
        <v>-4974967.3380324002</v>
      </c>
      <c r="AC9">
        <v>1451506.75952291</v>
      </c>
      <c r="AD9">
        <v>-3.4274503410976802</v>
      </c>
      <c r="AE9">
        <v>8.53123686121326E-4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9">
        <f>Dataset!BL10</f>
        <v>0</v>
      </c>
      <c r="I10" s="109">
        <f>Dataset!BF10</f>
        <v>0</v>
      </c>
      <c r="J10" s="109">
        <f>Dataset!BM10</f>
        <v>0</v>
      </c>
      <c r="K10" s="109">
        <f>Dataset!AM10</f>
        <v>634944.30000000005</v>
      </c>
      <c r="M10" s="8">
        <f t="shared" si="1"/>
        <v>-4974967.3380324002</v>
      </c>
      <c r="N10" s="1">
        <f t="shared" si="2"/>
        <v>95117.936633346835</v>
      </c>
      <c r="O10" s="1">
        <f t="shared" si="3"/>
        <v>122345.24066005564</v>
      </c>
      <c r="P10" s="1">
        <f t="shared" si="5"/>
        <v>7386603.4902645303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6951141.6023147758</v>
      </c>
      <c r="U10" s="1">
        <f t="shared" si="10"/>
        <v>9580240.931840308</v>
      </c>
      <c r="V10" s="1">
        <f t="shared" si="4"/>
        <v>46959.797493293881</v>
      </c>
      <c r="W10" s="100">
        <f t="shared" si="11"/>
        <v>4.9017344999352933E-3</v>
      </c>
      <c r="AA10" t="s">
        <v>28</v>
      </c>
      <c r="AB10" s="8">
        <v>1767.99138723693</v>
      </c>
      <c r="AC10">
        <v>229.38007640415299</v>
      </c>
      <c r="AD10">
        <v>7.7076937759923299</v>
      </c>
      <c r="AE10" s="99">
        <v>5.6225438627621001E-12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9">
        <f>Dataset!BL11</f>
        <v>0</v>
      </c>
      <c r="I11" s="109">
        <f>Dataset!BF11</f>
        <v>0</v>
      </c>
      <c r="J11" s="109">
        <f>Dataset!BM11</f>
        <v>0</v>
      </c>
      <c r="K11" s="109">
        <f>Dataset!AM11</f>
        <v>634944.30000000005</v>
      </c>
      <c r="M11" s="8">
        <f t="shared" si="1"/>
        <v>-4974967.3380324002</v>
      </c>
      <c r="N11" s="1">
        <f t="shared" si="2"/>
        <v>317531.25314775261</v>
      </c>
      <c r="O11" s="1">
        <f t="shared" si="3"/>
        <v>7521.2238110689941</v>
      </c>
      <c r="P11" s="1">
        <f t="shared" si="5"/>
        <v>7632823.6066066818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6951141.6023147758</v>
      </c>
      <c r="U11" s="1">
        <f t="shared" si="10"/>
        <v>9934050.3478478789</v>
      </c>
      <c r="V11" s="1">
        <f t="shared" si="4"/>
        <v>-172701.35063403845</v>
      </c>
      <c r="W11" s="100">
        <f t="shared" si="11"/>
        <v>1.7384787129798733E-2</v>
      </c>
      <c r="AA11" t="s">
        <v>27</v>
      </c>
      <c r="AB11" s="8">
        <v>5014.1492073793297</v>
      </c>
      <c r="AC11">
        <v>1338.4441105033</v>
      </c>
      <c r="AD11">
        <v>3.7462522103323801</v>
      </c>
      <c r="AE11" s="99">
        <v>2.85384601225053E-4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9">
        <f>Dataset!BL12</f>
        <v>0</v>
      </c>
      <c r="I12" s="109">
        <f>Dataset!BF12</f>
        <v>0</v>
      </c>
      <c r="J12" s="109">
        <f>Dataset!BM12</f>
        <v>0</v>
      </c>
      <c r="K12" s="109">
        <f>Dataset!AM12</f>
        <v>634944.30000000005</v>
      </c>
      <c r="M12" s="8">
        <f t="shared" si="1"/>
        <v>-4974967.3380324002</v>
      </c>
      <c r="N12" s="1">
        <f t="shared" si="2"/>
        <v>682444.67547345499</v>
      </c>
      <c r="O12" s="1">
        <f t="shared" si="3"/>
        <v>0</v>
      </c>
      <c r="P12" s="1">
        <f t="shared" si="5"/>
        <v>7386603.4902645303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6951141.6023147758</v>
      </c>
      <c r="U12" s="1">
        <f t="shared" si="10"/>
        <v>10045222.430020362</v>
      </c>
      <c r="V12" s="1">
        <f t="shared" si="4"/>
        <v>127882.84109680355</v>
      </c>
      <c r="W12" s="100">
        <f t="shared" si="11"/>
        <v>1.2730712733112106E-2</v>
      </c>
      <c r="AA12" t="s">
        <v>74</v>
      </c>
      <c r="AB12" s="8">
        <v>246220.11634215101</v>
      </c>
      <c r="AC12">
        <v>35012.914877783798</v>
      </c>
      <c r="AD12">
        <v>7.0322655854734704</v>
      </c>
      <c r="AE12" s="99">
        <v>1.7010171061654101E-10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9">
        <f>Dataset!BL13</f>
        <v>0</v>
      </c>
      <c r="I13" s="109">
        <f>Dataset!BF13</f>
        <v>1</v>
      </c>
      <c r="J13" s="109">
        <f>Dataset!BM13</f>
        <v>0</v>
      </c>
      <c r="K13" s="109">
        <f>Dataset!AM13</f>
        <v>634944.30000000005</v>
      </c>
      <c r="M13" s="8">
        <f t="shared" si="1"/>
        <v>-4974967.3380324002</v>
      </c>
      <c r="N13" s="1">
        <f t="shared" si="2"/>
        <v>851111.05381585809</v>
      </c>
      <c r="O13" s="1">
        <f t="shared" si="3"/>
        <v>0</v>
      </c>
      <c r="P13" s="1">
        <f t="shared" si="5"/>
        <v>7632823.6066066818</v>
      </c>
      <c r="Q13" s="1">
        <f t="shared" si="6"/>
        <v>0</v>
      </c>
      <c r="R13" s="1">
        <f t="shared" si="7"/>
        <v>-585858.10088396806</v>
      </c>
      <c r="S13" s="1">
        <f t="shared" si="8"/>
        <v>0</v>
      </c>
      <c r="T13" s="1">
        <f t="shared" si="9"/>
        <v>6951141.6023147758</v>
      </c>
      <c r="U13" s="1">
        <f t="shared" si="10"/>
        <v>9874250.8238209467</v>
      </c>
      <c r="V13" s="1">
        <f t="shared" si="4"/>
        <v>-84616.915739029646</v>
      </c>
      <c r="W13" s="100">
        <f t="shared" si="11"/>
        <v>8.5694517233547672E-3</v>
      </c>
      <c r="AA13" t="s">
        <v>194</v>
      </c>
      <c r="AB13" s="8">
        <v>-2546251.7466108599</v>
      </c>
      <c r="AC13">
        <v>309179.175038555</v>
      </c>
      <c r="AD13">
        <v>-8.2355215104424193</v>
      </c>
      <c r="AE13" s="99">
        <v>3.6878907762663899E-13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9">
        <f>Dataset!BL14</f>
        <v>0</v>
      </c>
      <c r="I14" s="109">
        <f>Dataset!BF14</f>
        <v>0</v>
      </c>
      <c r="J14" s="109">
        <f>Dataset!BM14</f>
        <v>0</v>
      </c>
      <c r="K14" s="109">
        <f>Dataset!AM14</f>
        <v>643937</v>
      </c>
      <c r="M14" s="8">
        <f t="shared" si="1"/>
        <v>-4974967.3380324002</v>
      </c>
      <c r="N14" s="1">
        <f t="shared" si="2"/>
        <v>1019954.2312969848</v>
      </c>
      <c r="O14" s="1">
        <f t="shared" si="3"/>
        <v>0</v>
      </c>
      <c r="P14" s="1">
        <f t="shared" si="5"/>
        <v>7632823.6066066818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7049590.4443425499</v>
      </c>
      <c r="U14" s="1">
        <f t="shared" si="10"/>
        <v>10727400.944213817</v>
      </c>
      <c r="V14" s="1">
        <f t="shared" si="4"/>
        <v>34743.910106018186</v>
      </c>
      <c r="W14" s="100">
        <f t="shared" si="11"/>
        <v>3.238800366155651E-3</v>
      </c>
      <c r="AA14" t="s">
        <v>49</v>
      </c>
      <c r="AB14" s="8">
        <v>-585858.10088396806</v>
      </c>
      <c r="AC14">
        <v>115065.566064621</v>
      </c>
      <c r="AD14">
        <v>-5.0915153935361603</v>
      </c>
      <c r="AE14" s="99">
        <v>1.44757801163825E-6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9">
        <f>Dataset!BL15</f>
        <v>0</v>
      </c>
      <c r="I15" s="109">
        <f>Dataset!BF15</f>
        <v>0</v>
      </c>
      <c r="J15" s="109">
        <f>Dataset!BM15</f>
        <v>0</v>
      </c>
      <c r="K15" s="109">
        <f>Dataset!AM15</f>
        <v>643937</v>
      </c>
      <c r="M15" s="8">
        <f t="shared" si="1"/>
        <v>-4974967.3380324002</v>
      </c>
      <c r="N15" s="1">
        <f t="shared" si="2"/>
        <v>1046297.3029668151</v>
      </c>
      <c r="O15" s="1">
        <f t="shared" si="3"/>
        <v>0</v>
      </c>
      <c r="P15" s="1">
        <f t="shared" si="5"/>
        <v>6894163.2575802281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7049590.4443425499</v>
      </c>
      <c r="U15" s="1">
        <f t="shared" si="10"/>
        <v>10015083.666857192</v>
      </c>
      <c r="V15" s="1">
        <f t="shared" si="4"/>
        <v>-151669.28105453216</v>
      </c>
      <c r="W15" s="100">
        <f t="shared" si="11"/>
        <v>1.5144085271743626E-2</v>
      </c>
      <c r="AA15" t="s">
        <v>349</v>
      </c>
      <c r="AB15" s="8">
        <v>2051845.39234414</v>
      </c>
      <c r="AC15">
        <v>213625.262590495</v>
      </c>
      <c r="AD15">
        <v>9.6048817797236996</v>
      </c>
      <c r="AE15" s="99">
        <v>2.69855426255304E-16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9">
        <f>Dataset!BL16</f>
        <v>0</v>
      </c>
      <c r="I16" s="109">
        <f>Dataset!BF16</f>
        <v>0</v>
      </c>
      <c r="J16" s="109">
        <f>Dataset!BM16</f>
        <v>0</v>
      </c>
      <c r="K16" s="109">
        <f>Dataset!AM16</f>
        <v>643937</v>
      </c>
      <c r="M16" s="8">
        <f t="shared" si="1"/>
        <v>-4974967.3380324002</v>
      </c>
      <c r="N16" s="1">
        <f t="shared" si="2"/>
        <v>919709.11964065104</v>
      </c>
      <c r="O16" s="1">
        <f t="shared" si="3"/>
        <v>0</v>
      </c>
      <c r="P16" s="1">
        <f t="shared" si="5"/>
        <v>7632823.6066066818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7049590.4443425499</v>
      </c>
      <c r="U16" s="1">
        <f t="shared" si="10"/>
        <v>10627155.832557483</v>
      </c>
      <c r="V16" s="1">
        <f t="shared" si="4"/>
        <v>-162057.26115128584</v>
      </c>
      <c r="W16" s="100">
        <f t="shared" si="11"/>
        <v>1.524935398564546E-2</v>
      </c>
      <c r="AA16" t="s">
        <v>61</v>
      </c>
      <c r="AB16" s="8">
        <v>10.947639977734701</v>
      </c>
      <c r="AC16">
        <v>1.4091050397920399</v>
      </c>
      <c r="AD16">
        <v>7.7692149758760403</v>
      </c>
      <c r="AE16" s="99">
        <v>4.1026458846567502E-12</v>
      </c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9">
        <f>Dataset!BL17</f>
        <v>0</v>
      </c>
      <c r="I17" s="109">
        <f>Dataset!BF17</f>
        <v>0</v>
      </c>
      <c r="J17" s="109">
        <f>Dataset!BM17</f>
        <v>0</v>
      </c>
      <c r="K17" s="109">
        <f>Dataset!AM17</f>
        <v>643937</v>
      </c>
      <c r="M17" s="8">
        <f t="shared" si="1"/>
        <v>-4974967.3380324002</v>
      </c>
      <c r="N17" s="1">
        <f t="shared" si="2"/>
        <v>547016.53521110606</v>
      </c>
      <c r="O17" s="1">
        <f t="shared" si="3"/>
        <v>0</v>
      </c>
      <c r="P17" s="1">
        <f t="shared" si="5"/>
        <v>7386603.4902645303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7049590.4443425499</v>
      </c>
      <c r="U17" s="1">
        <f t="shared" si="10"/>
        <v>10008243.131785786</v>
      </c>
      <c r="V17" s="1">
        <f t="shared" si="4"/>
        <v>104805.16703194194</v>
      </c>
      <c r="W17" s="100">
        <f t="shared" si="11"/>
        <v>1.0471884590721507E-2</v>
      </c>
      <c r="AB17" s="8"/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9">
        <f>Dataset!BL18</f>
        <v>0</v>
      </c>
      <c r="I18" s="109">
        <f>Dataset!BF18</f>
        <v>0</v>
      </c>
      <c r="J18" s="109">
        <f>Dataset!BM18</f>
        <v>0</v>
      </c>
      <c r="K18" s="109">
        <f>Dataset!AM18</f>
        <v>643937</v>
      </c>
      <c r="M18" s="8">
        <f t="shared" si="1"/>
        <v>-4974967.3380324002</v>
      </c>
      <c r="N18" s="1">
        <f t="shared" si="2"/>
        <v>212335.76560715528</v>
      </c>
      <c r="O18" s="1">
        <f t="shared" si="3"/>
        <v>78722.142555855477</v>
      </c>
      <c r="P18" s="1">
        <f t="shared" si="5"/>
        <v>7632823.6066066818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7049590.4443425499</v>
      </c>
      <c r="U18" s="1">
        <f t="shared" si="10"/>
        <v>9998504.6210798416</v>
      </c>
      <c r="V18" s="1">
        <f t="shared" si="4"/>
        <v>351602.87899816781</v>
      </c>
      <c r="W18" s="100">
        <f t="shared" si="11"/>
        <v>3.5165546481509213E-2</v>
      </c>
      <c r="AA18" t="s">
        <v>128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9">
        <f>Dataset!BL19</f>
        <v>0</v>
      </c>
      <c r="I19" s="109">
        <f>Dataset!BF19</f>
        <v>0</v>
      </c>
      <c r="J19" s="109">
        <f>Dataset!BM19</f>
        <v>0</v>
      </c>
      <c r="K19" s="109">
        <f>Dataset!AM19</f>
        <v>643937</v>
      </c>
      <c r="M19" s="8">
        <f t="shared" si="1"/>
        <v>-4974967.3380324002</v>
      </c>
      <c r="N19" s="1">
        <f t="shared" si="2"/>
        <v>69658.860657135039</v>
      </c>
      <c r="O19" s="1">
        <f t="shared" si="3"/>
        <v>205580.11750255252</v>
      </c>
      <c r="P19" s="1">
        <f t="shared" si="5"/>
        <v>7386603.4902645303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7049590.4443425499</v>
      </c>
      <c r="U19" s="1">
        <f t="shared" si="10"/>
        <v>9736465.5747343674</v>
      </c>
      <c r="V19" s="1">
        <f t="shared" si="4"/>
        <v>35287.248012444004</v>
      </c>
      <c r="W19" s="100">
        <f t="shared" si="11"/>
        <v>3.6242358935682593E-3</v>
      </c>
      <c r="AA19" t="s">
        <v>129</v>
      </c>
      <c r="AB19">
        <v>10739969.345647199</v>
      </c>
      <c r="AC19" t="s">
        <v>130</v>
      </c>
      <c r="AD19">
        <v>817838.67846811295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9">
        <f>Dataset!BL20</f>
        <v>0</v>
      </c>
      <c r="I20" s="109">
        <f>Dataset!BF20</f>
        <v>0</v>
      </c>
      <c r="J20" s="109">
        <f>Dataset!BM20</f>
        <v>0</v>
      </c>
      <c r="K20" s="109">
        <f>Dataset!AM20</f>
        <v>643937</v>
      </c>
      <c r="M20" s="8">
        <f t="shared" si="1"/>
        <v>-4974967.3380324002</v>
      </c>
      <c r="N20" s="1">
        <f t="shared" si="2"/>
        <v>353.59827744738601</v>
      </c>
      <c r="O20" s="1">
        <f t="shared" si="3"/>
        <v>491386.62232317432</v>
      </c>
      <c r="P20" s="1">
        <f t="shared" si="5"/>
        <v>7632823.6066066818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7049590.4443425499</v>
      </c>
      <c r="U20" s="1">
        <f t="shared" si="10"/>
        <v>10199186.933517452</v>
      </c>
      <c r="V20" s="1">
        <f t="shared" si="4"/>
        <v>398577.16546370275</v>
      </c>
      <c r="W20" s="100">
        <f t="shared" si="11"/>
        <v>3.9079307797944551E-2</v>
      </c>
      <c r="AA20" t="s">
        <v>131</v>
      </c>
      <c r="AB20">
        <v>14535096004815</v>
      </c>
      <c r="AC20" t="s">
        <v>132</v>
      </c>
      <c r="AD20" s="99">
        <v>360246.64176107699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9">
        <f>Dataset!BL21</f>
        <v>0</v>
      </c>
      <c r="I21" s="109">
        <f>Dataset!BF21</f>
        <v>0</v>
      </c>
      <c r="J21" s="109">
        <f>Dataset!BM21</f>
        <v>0</v>
      </c>
      <c r="K21" s="109">
        <f>Dataset!AM21</f>
        <v>643937</v>
      </c>
      <c r="M21" s="8">
        <f t="shared" si="1"/>
        <v>-4974967.3380324002</v>
      </c>
      <c r="N21" s="1">
        <f t="shared" si="2"/>
        <v>3182.384497026474</v>
      </c>
      <c r="O21" s="1">
        <f t="shared" si="3"/>
        <v>320404.13435153913</v>
      </c>
      <c r="P21" s="1">
        <f t="shared" si="5"/>
        <v>7632823.6066066818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7049590.4443425499</v>
      </c>
      <c r="U21" s="1">
        <f t="shared" si="10"/>
        <v>10031033.231765397</v>
      </c>
      <c r="V21" s="1">
        <f t="shared" si="4"/>
        <v>286316.60672530904</v>
      </c>
      <c r="W21" s="100">
        <f t="shared" si="11"/>
        <v>2.8543082263811737E-2</v>
      </c>
      <c r="AA21" t="s">
        <v>133</v>
      </c>
      <c r="AB21">
        <v>0.81738775647501805</v>
      </c>
      <c r="AC21" t="s">
        <v>134</v>
      </c>
      <c r="AD21" s="99">
        <v>0.80597449125470599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9">
        <f>Dataset!BL22</f>
        <v>0</v>
      </c>
      <c r="I22" s="109">
        <f>Dataset!BF22</f>
        <v>0</v>
      </c>
      <c r="J22" s="109">
        <f>Dataset!BM22</f>
        <v>0</v>
      </c>
      <c r="K22" s="109">
        <f>Dataset!AM22</f>
        <v>643937</v>
      </c>
      <c r="M22" s="8">
        <f t="shared" si="1"/>
        <v>-4974967.3380324002</v>
      </c>
      <c r="N22" s="1">
        <f t="shared" si="2"/>
        <v>111737.05567337398</v>
      </c>
      <c r="O22" s="1">
        <f t="shared" si="3"/>
        <v>120840.99589784186</v>
      </c>
      <c r="P22" s="1">
        <f t="shared" si="5"/>
        <v>7386603.4902645303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7049590.4443425499</v>
      </c>
      <c r="U22" s="1">
        <f t="shared" si="10"/>
        <v>9693804.6481458955</v>
      </c>
      <c r="V22" s="1">
        <f t="shared" si="4"/>
        <v>236266.39401684515</v>
      </c>
      <c r="W22" s="100">
        <f t="shared" si="11"/>
        <v>2.4372927100613184E-2</v>
      </c>
      <c r="AA22" t="s">
        <v>345</v>
      </c>
      <c r="AB22">
        <v>69.299951461292906</v>
      </c>
      <c r="AC22" t="s">
        <v>135</v>
      </c>
      <c r="AD22" s="99">
        <v>9.0924677622865204E-38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9">
        <f>Dataset!BL23</f>
        <v>0</v>
      </c>
      <c r="I23" s="109">
        <f>Dataset!BF23</f>
        <v>0</v>
      </c>
      <c r="J23" s="109">
        <f>Dataset!BM23</f>
        <v>0</v>
      </c>
      <c r="K23" s="109">
        <f>Dataset!AM23</f>
        <v>643937</v>
      </c>
      <c r="M23" s="8">
        <f t="shared" si="1"/>
        <v>-4974967.3380324002</v>
      </c>
      <c r="N23" s="1">
        <f t="shared" si="2"/>
        <v>310105.68932135752</v>
      </c>
      <c r="O23" s="1">
        <f t="shared" si="3"/>
        <v>501.41492073793302</v>
      </c>
      <c r="P23" s="1">
        <f t="shared" si="5"/>
        <v>7632823.6066066818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7049590.4443425499</v>
      </c>
      <c r="U23" s="1">
        <f t="shared" si="10"/>
        <v>10018053.817158926</v>
      </c>
      <c r="V23" s="1">
        <f t="shared" si="4"/>
        <v>520224.05384277925</v>
      </c>
      <c r="W23" s="100">
        <f t="shared" si="11"/>
        <v>5.1928654341199414E-2</v>
      </c>
      <c r="AA23" t="s">
        <v>136</v>
      </c>
      <c r="AB23">
        <v>-6.8470855354420504E-2</v>
      </c>
      <c r="AC23" t="s">
        <v>137</v>
      </c>
      <c r="AD23" s="99">
        <v>2.1283438906838401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9">
        <f>Dataset!BL24</f>
        <v>0</v>
      </c>
      <c r="I24" s="109">
        <f>Dataset!BF24</f>
        <v>0</v>
      </c>
      <c r="J24" s="109">
        <f>Dataset!BM24</f>
        <v>0</v>
      </c>
      <c r="K24" s="109">
        <f>Dataset!AM24</f>
        <v>643937</v>
      </c>
      <c r="M24" s="8">
        <f t="shared" si="1"/>
        <v>-4974967.3380324002</v>
      </c>
      <c r="N24" s="1">
        <f t="shared" si="2"/>
        <v>736722.0110616287</v>
      </c>
      <c r="O24" s="1">
        <f t="shared" si="3"/>
        <v>0</v>
      </c>
      <c r="P24" s="1">
        <f t="shared" si="5"/>
        <v>7386603.4902645303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7049590.4443425499</v>
      </c>
      <c r="U24" s="1">
        <f t="shared" si="10"/>
        <v>10197948.607636308</v>
      </c>
      <c r="V24" s="1">
        <f t="shared" si="4"/>
        <v>231447.61421449482</v>
      </c>
      <c r="W24" s="100">
        <f t="shared" si="11"/>
        <v>2.2695507020028021E-2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9">
        <f>Dataset!BL25</f>
        <v>0</v>
      </c>
      <c r="I25" s="109">
        <f>Dataset!BF25</f>
        <v>1</v>
      </c>
      <c r="J25" s="109">
        <f>Dataset!BM25</f>
        <v>0</v>
      </c>
      <c r="K25" s="109">
        <f>Dataset!AM25</f>
        <v>643937</v>
      </c>
      <c r="M25" s="8">
        <f t="shared" si="1"/>
        <v>-4974967.3380324002</v>
      </c>
      <c r="N25" s="1">
        <f t="shared" si="2"/>
        <v>1158918.3543338077</v>
      </c>
      <c r="O25" s="1">
        <f t="shared" si="3"/>
        <v>0</v>
      </c>
      <c r="P25" s="1">
        <f t="shared" si="5"/>
        <v>7632823.6066066818</v>
      </c>
      <c r="Q25" s="1">
        <f t="shared" si="6"/>
        <v>0</v>
      </c>
      <c r="R25" s="1">
        <f t="shared" si="7"/>
        <v>-585858.10088396806</v>
      </c>
      <c r="S25" s="1">
        <f t="shared" si="8"/>
        <v>0</v>
      </c>
      <c r="T25" s="1">
        <f t="shared" si="9"/>
        <v>7049590.4443425499</v>
      </c>
      <c r="U25" s="1">
        <f t="shared" si="10"/>
        <v>10280506.966366671</v>
      </c>
      <c r="V25" s="1">
        <f t="shared" si="4"/>
        <v>587285.67285060138</v>
      </c>
      <c r="W25" s="100">
        <f t="shared" si="11"/>
        <v>5.7126139282035762E-2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9">
        <f>Dataset!BL26</f>
        <v>0</v>
      </c>
      <c r="I26" s="109">
        <f>Dataset!BF26</f>
        <v>0</v>
      </c>
      <c r="J26" s="109">
        <f>Dataset!BM26</f>
        <v>0</v>
      </c>
      <c r="K26" s="109">
        <f>Dataset!AM26</f>
        <v>659861.19999999995</v>
      </c>
      <c r="M26" s="8">
        <f t="shared" si="1"/>
        <v>-4974967.3380324002</v>
      </c>
      <c r="N26" s="1">
        <f t="shared" si="2"/>
        <v>1350922.2189877382</v>
      </c>
      <c r="O26" s="1">
        <f t="shared" si="3"/>
        <v>0</v>
      </c>
      <c r="P26" s="1">
        <f t="shared" si="5"/>
        <v>7632823.6066066818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7223922.8528759927</v>
      </c>
      <c r="U26" s="1">
        <f t="shared" si="10"/>
        <v>11232701.340438012</v>
      </c>
      <c r="V26" s="1">
        <f t="shared" si="4"/>
        <v>403016.43377105333</v>
      </c>
      <c r="W26" s="100">
        <f t="shared" si="11"/>
        <v>3.5878852428861782E-2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9">
        <f>Dataset!BL27</f>
        <v>0</v>
      </c>
      <c r="I27" s="109">
        <f>Dataset!BF27</f>
        <v>0</v>
      </c>
      <c r="J27" s="109">
        <f>Dataset!BM27</f>
        <v>0</v>
      </c>
      <c r="K27" s="109">
        <f>Dataset!AM27</f>
        <v>659861.19999999995</v>
      </c>
      <c r="M27" s="8">
        <f t="shared" si="1"/>
        <v>-4974967.3380324002</v>
      </c>
      <c r="N27" s="1">
        <f t="shared" si="2"/>
        <v>1209482.9080087838</v>
      </c>
      <c r="O27" s="1">
        <f t="shared" si="3"/>
        <v>0</v>
      </c>
      <c r="P27" s="1">
        <f t="shared" si="5"/>
        <v>6894163.2575802281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7223922.8528759927</v>
      </c>
      <c r="U27" s="1">
        <f t="shared" si="10"/>
        <v>10352601.680432605</v>
      </c>
      <c r="V27" s="1">
        <f t="shared" si="4"/>
        <v>549037.84891062416</v>
      </c>
      <c r="W27" s="100">
        <f t="shared" si="11"/>
        <v>5.3033804048344443E-2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9">
        <f>Dataset!BL28</f>
        <v>0</v>
      </c>
      <c r="I28" s="109">
        <f>Dataset!BF28</f>
        <v>0</v>
      </c>
      <c r="J28" s="109">
        <f>Dataset!BM28</f>
        <v>0</v>
      </c>
      <c r="K28" s="109">
        <f>Dataset!AM28</f>
        <v>659861.19999999995</v>
      </c>
      <c r="M28" s="8">
        <f t="shared" si="1"/>
        <v>-4974967.3380324002</v>
      </c>
      <c r="N28" s="1">
        <f t="shared" si="2"/>
        <v>1181018.2466742692</v>
      </c>
      <c r="O28" s="1">
        <f t="shared" si="3"/>
        <v>0</v>
      </c>
      <c r="P28" s="1">
        <f t="shared" si="5"/>
        <v>7632823.6066066818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7223922.8528759927</v>
      </c>
      <c r="U28" s="1">
        <f t="shared" si="10"/>
        <v>11062797.368124545</v>
      </c>
      <c r="V28" s="1">
        <f t="shared" si="4"/>
        <v>445764.5702465754</v>
      </c>
      <c r="W28" s="100">
        <f t="shared" si="11"/>
        <v>4.0294019262340067E-2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9">
        <f>Dataset!BL29</f>
        <v>0</v>
      </c>
      <c r="I29" s="109">
        <f>Dataset!BF29</f>
        <v>0</v>
      </c>
      <c r="J29" s="109">
        <f>Dataset!BM29</f>
        <v>0</v>
      </c>
      <c r="K29" s="109">
        <f>Dataset!AM29</f>
        <v>659861.19999999995</v>
      </c>
      <c r="M29" s="8">
        <f t="shared" si="1"/>
        <v>-4974967.3380324002</v>
      </c>
      <c r="N29" s="1">
        <f t="shared" si="2"/>
        <v>582906.76037201576</v>
      </c>
      <c r="O29" s="1">
        <f t="shared" si="3"/>
        <v>0</v>
      </c>
      <c r="P29" s="1">
        <f t="shared" si="5"/>
        <v>7386603.4902645303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7223922.8528759927</v>
      </c>
      <c r="U29" s="1">
        <f t="shared" si="10"/>
        <v>10218465.765480138</v>
      </c>
      <c r="V29" s="1">
        <f t="shared" si="4"/>
        <v>463600.2147870753</v>
      </c>
      <c r="W29" s="100">
        <f t="shared" si="11"/>
        <v>4.5368867051764496E-2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9">
        <f>Dataset!BL30</f>
        <v>0</v>
      </c>
      <c r="I30" s="109">
        <f>Dataset!BF30</f>
        <v>0</v>
      </c>
      <c r="J30" s="109">
        <f>Dataset!BM30</f>
        <v>0</v>
      </c>
      <c r="K30" s="109">
        <f>Dataset!AM30</f>
        <v>659861.19999999995</v>
      </c>
      <c r="M30" s="8">
        <f t="shared" si="1"/>
        <v>-4974967.3380324002</v>
      </c>
      <c r="N30" s="1">
        <f t="shared" si="2"/>
        <v>221882.91909823471</v>
      </c>
      <c r="O30" s="1">
        <f t="shared" si="3"/>
        <v>36101.874293131172</v>
      </c>
      <c r="P30" s="1">
        <f t="shared" si="5"/>
        <v>7632823.6066066818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7223922.8528759927</v>
      </c>
      <c r="U30" s="1">
        <f t="shared" si="10"/>
        <v>10139763.914841641</v>
      </c>
      <c r="V30" s="1">
        <f t="shared" si="4"/>
        <v>450721.81180030666</v>
      </c>
      <c r="W30" s="100">
        <f t="shared" si="11"/>
        <v>4.4450917751702491E-2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9">
        <f>Dataset!BL31</f>
        <v>0</v>
      </c>
      <c r="I31" s="109">
        <f>Dataset!BF31</f>
        <v>0</v>
      </c>
      <c r="J31" s="109">
        <f>Dataset!BM31</f>
        <v>0</v>
      </c>
      <c r="K31" s="109">
        <f>Dataset!AM31</f>
        <v>659861.19999999995</v>
      </c>
      <c r="M31" s="8">
        <f t="shared" si="1"/>
        <v>-4974967.3380324002</v>
      </c>
      <c r="N31" s="1">
        <f t="shared" si="2"/>
        <v>42962.190709857401</v>
      </c>
      <c r="O31" s="1">
        <f t="shared" si="3"/>
        <v>208087.19210624218</v>
      </c>
      <c r="P31" s="1">
        <f t="shared" si="5"/>
        <v>7386603.4902645303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7223922.8528759927</v>
      </c>
      <c r="U31" s="1">
        <f t="shared" si="10"/>
        <v>9886608.3879242223</v>
      </c>
      <c r="V31" s="1">
        <f t="shared" si="4"/>
        <v>95992.10523157008</v>
      </c>
      <c r="W31" s="100">
        <f t="shared" si="11"/>
        <v>9.7093059080622119E-3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9">
        <f>Dataset!BL32</f>
        <v>0</v>
      </c>
      <c r="I32" s="109">
        <f>Dataset!BF32</f>
        <v>0</v>
      </c>
      <c r="J32" s="109">
        <f>Dataset!BM32</f>
        <v>0</v>
      </c>
      <c r="K32" s="109">
        <f>Dataset!AM32</f>
        <v>659861.19999999995</v>
      </c>
      <c r="M32" s="8">
        <f t="shared" si="1"/>
        <v>-4974967.3380324002</v>
      </c>
      <c r="N32" s="1">
        <f t="shared" si="2"/>
        <v>11138.345739592658</v>
      </c>
      <c r="O32" s="1">
        <f t="shared" si="3"/>
        <v>252211.70513118026</v>
      </c>
      <c r="P32" s="1">
        <f t="shared" si="5"/>
        <v>7632823.6066066818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7223922.8528759927</v>
      </c>
      <c r="U32" s="1">
        <f t="shared" si="10"/>
        <v>10145129.172321048</v>
      </c>
      <c r="V32" s="1">
        <f t="shared" si="4"/>
        <v>592628.75418518111</v>
      </c>
      <c r="W32" s="100">
        <f t="shared" si="11"/>
        <v>5.8415101879831156E-2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9">
        <f>Dataset!BL33</f>
        <v>0</v>
      </c>
      <c r="I33" s="109">
        <f>Dataset!BF33</f>
        <v>0</v>
      </c>
      <c r="J33" s="109">
        <f>Dataset!BM33</f>
        <v>0</v>
      </c>
      <c r="K33" s="109">
        <f>Dataset!AM33</f>
        <v>659861.19999999995</v>
      </c>
      <c r="M33" s="8">
        <f t="shared" si="1"/>
        <v>-4974967.3380324002</v>
      </c>
      <c r="N33" s="1">
        <f t="shared" si="2"/>
        <v>13436.734543000668</v>
      </c>
      <c r="O33" s="1">
        <f t="shared" si="3"/>
        <v>230149.44861871123</v>
      </c>
      <c r="P33" s="1">
        <f t="shared" si="5"/>
        <v>7632823.6066066818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7223922.8528759927</v>
      </c>
      <c r="U33" s="1">
        <f t="shared" si="10"/>
        <v>10125365.304611985</v>
      </c>
      <c r="V33" s="1">
        <f t="shared" si="4"/>
        <v>534138.71760188416</v>
      </c>
      <c r="W33" s="100">
        <f t="shared" si="11"/>
        <v>5.275253796113314E-2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9">
        <f>Dataset!BL34</f>
        <v>0</v>
      </c>
      <c r="I34" s="109">
        <f>Dataset!BF34</f>
        <v>0</v>
      </c>
      <c r="J34" s="109">
        <f>Dataset!BM34</f>
        <v>0</v>
      </c>
      <c r="K34" s="109">
        <f>Dataset!AM34</f>
        <v>659861.19999999995</v>
      </c>
      <c r="M34" s="8">
        <f t="shared" ref="M34:M65" si="12">$AB$9</f>
        <v>-4974967.3380324002</v>
      </c>
      <c r="N34" s="1">
        <f t="shared" ref="N34:N65" si="13">E34*$AB$10</f>
        <v>81327.603812898786</v>
      </c>
      <c r="O34" s="1">
        <f t="shared" ref="O34:O65" si="14">F34*$AB$11</f>
        <v>107302.79303791765</v>
      </c>
      <c r="P34" s="1">
        <f t="shared" si="5"/>
        <v>7386603.4902645303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7223922.8528759927</v>
      </c>
      <c r="U34" s="1">
        <f t="shared" si="10"/>
        <v>9824189.4019589387</v>
      </c>
      <c r="V34" s="1">
        <f t="shared" ref="V34:V65" si="15">U34-D34</f>
        <v>156755.53091525473</v>
      </c>
      <c r="W34" s="100">
        <f t="shared" si="11"/>
        <v>1.5956077850453266E-2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9">
        <f>Dataset!BL35</f>
        <v>0</v>
      </c>
      <c r="I35" s="109">
        <f>Dataset!BF35</f>
        <v>0</v>
      </c>
      <c r="J35" s="109">
        <f>Dataset!BM35</f>
        <v>0</v>
      </c>
      <c r="K35" s="109">
        <f>Dataset!AM35</f>
        <v>659861.19999999995</v>
      </c>
      <c r="M35" s="8">
        <f t="shared" si="12"/>
        <v>-4974967.3380324002</v>
      </c>
      <c r="N35" s="1">
        <f t="shared" si="13"/>
        <v>321597.6333383976</v>
      </c>
      <c r="O35" s="1">
        <f t="shared" si="14"/>
        <v>6016.9790488551953</v>
      </c>
      <c r="P35" s="1">
        <f t="shared" si="5"/>
        <v>7632823.6066066818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7223922.8528759927</v>
      </c>
      <c r="U35" s="1">
        <f t="shared" si="10"/>
        <v>10209393.733837526</v>
      </c>
      <c r="V35" s="1">
        <f t="shared" si="15"/>
        <v>154168.64345439337</v>
      </c>
      <c r="W35" s="100">
        <f t="shared" si="11"/>
        <v>1.5100665864558068E-2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9">
        <f>Dataset!BL36</f>
        <v>0</v>
      </c>
      <c r="I36" s="109">
        <f>Dataset!BF36</f>
        <v>0</v>
      </c>
      <c r="J36" s="109">
        <f>Dataset!BM36</f>
        <v>0</v>
      </c>
      <c r="K36" s="109">
        <f>Dataset!AM36</f>
        <v>659861.19999999995</v>
      </c>
      <c r="M36" s="8">
        <f t="shared" si="12"/>
        <v>-4974967.3380324002</v>
      </c>
      <c r="N36" s="1">
        <f t="shared" si="13"/>
        <v>739550.79728120787</v>
      </c>
      <c r="O36" s="1">
        <f t="shared" si="14"/>
        <v>0</v>
      </c>
      <c r="P36" s="1">
        <f t="shared" si="5"/>
        <v>7386603.4902645303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7223922.8528759927</v>
      </c>
      <c r="U36" s="1">
        <f t="shared" si="10"/>
        <v>10375109.802389331</v>
      </c>
      <c r="V36" s="1">
        <f t="shared" si="15"/>
        <v>242883.52586530522</v>
      </c>
      <c r="W36" s="100">
        <f t="shared" si="11"/>
        <v>2.3410212565593325E-2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9">
        <f>Dataset!BL37</f>
        <v>0</v>
      </c>
      <c r="I37" s="109">
        <f>Dataset!BF37</f>
        <v>1</v>
      </c>
      <c r="J37" s="109">
        <f>Dataset!BM37</f>
        <v>0</v>
      </c>
      <c r="K37" s="109">
        <f>Dataset!AM37</f>
        <v>659861.19999999995</v>
      </c>
      <c r="M37" s="8">
        <f t="shared" si="12"/>
        <v>-4974967.3380324002</v>
      </c>
      <c r="N37" s="1">
        <f t="shared" si="13"/>
        <v>915996.33772745344</v>
      </c>
      <c r="O37" s="1">
        <f t="shared" si="14"/>
        <v>0</v>
      </c>
      <c r="P37" s="1">
        <f t="shared" si="5"/>
        <v>7632823.6066066818</v>
      </c>
      <c r="Q37" s="1">
        <f t="shared" si="6"/>
        <v>0</v>
      </c>
      <c r="R37" s="1">
        <f t="shared" si="7"/>
        <v>-585858.10088396806</v>
      </c>
      <c r="S37" s="1">
        <f t="shared" si="8"/>
        <v>0</v>
      </c>
      <c r="T37" s="1">
        <f t="shared" si="9"/>
        <v>7223922.8528759927</v>
      </c>
      <c r="U37" s="1">
        <f t="shared" si="10"/>
        <v>10211917.358293761</v>
      </c>
      <c r="V37" s="1">
        <f t="shared" si="15"/>
        <v>-571707.65049265139</v>
      </c>
      <c r="W37" s="100">
        <f t="shared" si="11"/>
        <v>5.5984359296477319E-2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9">
        <f>Dataset!BL38</f>
        <v>0</v>
      </c>
      <c r="I38" s="109">
        <f>Dataset!BF38</f>
        <v>0</v>
      </c>
      <c r="J38" s="109">
        <f>Dataset!BM38</f>
        <v>0</v>
      </c>
      <c r="K38" s="109">
        <f>Dataset!AM38</f>
        <v>677384</v>
      </c>
      <c r="M38" s="8">
        <f t="shared" si="12"/>
        <v>-4974967.3380324002</v>
      </c>
      <c r="N38" s="1">
        <f t="shared" si="13"/>
        <v>1348447.0310456066</v>
      </c>
      <c r="O38" s="1">
        <f t="shared" si="14"/>
        <v>0</v>
      </c>
      <c r="P38" s="1">
        <f t="shared" si="5"/>
        <v>7632823.6066066818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7415756.1586778425</v>
      </c>
      <c r="U38" s="1">
        <f t="shared" si="10"/>
        <v>11422059.458297729</v>
      </c>
      <c r="V38" s="1">
        <f t="shared" si="15"/>
        <v>51966.821726104245</v>
      </c>
      <c r="W38" s="100">
        <f t="shared" si="11"/>
        <v>4.5496893021645191E-3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9">
        <f>Dataset!BL39</f>
        <v>0</v>
      </c>
      <c r="I39" s="109">
        <f>Dataset!BF39</f>
        <v>0</v>
      </c>
      <c r="J39" s="109">
        <f>Dataset!BM39</f>
        <v>0</v>
      </c>
      <c r="K39" s="109">
        <f>Dataset!AM39</f>
        <v>677384</v>
      </c>
      <c r="M39" s="8">
        <f t="shared" si="12"/>
        <v>-4974967.3380324002</v>
      </c>
      <c r="N39" s="1">
        <f t="shared" si="13"/>
        <v>1422702.6693095576</v>
      </c>
      <c r="O39" s="1">
        <f t="shared" si="14"/>
        <v>0</v>
      </c>
      <c r="P39" s="1">
        <f t="shared" si="5"/>
        <v>6894163.2575802281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7415756.1586778425</v>
      </c>
      <c r="U39" s="1">
        <f t="shared" si="10"/>
        <v>10757654.747535229</v>
      </c>
      <c r="V39" s="1">
        <f t="shared" si="15"/>
        <v>-92627.237219838426</v>
      </c>
      <c r="W39" s="100">
        <f t="shared" si="11"/>
        <v>8.6103560110126227E-3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9">
        <f>Dataset!BL40</f>
        <v>0</v>
      </c>
      <c r="I40" s="109">
        <f>Dataset!BF40</f>
        <v>0</v>
      </c>
      <c r="J40" s="109">
        <f>Dataset!BM40</f>
        <v>0</v>
      </c>
      <c r="K40" s="109">
        <f>Dataset!AM40</f>
        <v>677384</v>
      </c>
      <c r="M40" s="8">
        <f t="shared" si="12"/>
        <v>-4974967.3380324002</v>
      </c>
      <c r="N40" s="1">
        <f t="shared" si="13"/>
        <v>1033744.564117433</v>
      </c>
      <c r="O40" s="1">
        <f t="shared" si="14"/>
        <v>0</v>
      </c>
      <c r="P40" s="1">
        <f t="shared" si="5"/>
        <v>7632823.6066066818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7415756.1586778425</v>
      </c>
      <c r="U40" s="1">
        <f t="shared" si="10"/>
        <v>11107356.991369557</v>
      </c>
      <c r="V40" s="1">
        <f t="shared" si="15"/>
        <v>-384598.38121614791</v>
      </c>
      <c r="W40" s="100">
        <f t="shared" si="11"/>
        <v>3.4625553272032386E-2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9">
        <f>Dataset!BL41</f>
        <v>0</v>
      </c>
      <c r="I41" s="109">
        <f>Dataset!BF41</f>
        <v>0</v>
      </c>
      <c r="J41" s="109">
        <f>Dataset!BM41</f>
        <v>0</v>
      </c>
      <c r="K41" s="109">
        <f>Dataset!AM41</f>
        <v>677384</v>
      </c>
      <c r="M41" s="8">
        <f t="shared" si="12"/>
        <v>-4974967.3380324002</v>
      </c>
      <c r="N41" s="1">
        <f t="shared" si="13"/>
        <v>542419.75760429015</v>
      </c>
      <c r="O41" s="1">
        <f t="shared" si="14"/>
        <v>0</v>
      </c>
      <c r="P41" s="1">
        <f t="shared" si="5"/>
        <v>7386603.4902645303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7415756.1586778425</v>
      </c>
      <c r="U41" s="1">
        <f t="shared" si="10"/>
        <v>10369812.068514261</v>
      </c>
      <c r="V41" s="1">
        <f t="shared" si="15"/>
        <v>77487.143004067242</v>
      </c>
      <c r="W41" s="100">
        <f t="shared" si="11"/>
        <v>7.4723767887115858E-3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9">
        <f>Dataset!BL42</f>
        <v>0</v>
      </c>
      <c r="I42" s="109">
        <f>Dataset!BF42</f>
        <v>0</v>
      </c>
      <c r="J42" s="109">
        <f>Dataset!BM42</f>
        <v>0</v>
      </c>
      <c r="K42" s="109">
        <f>Dataset!AM42</f>
        <v>677384</v>
      </c>
      <c r="M42" s="8">
        <f t="shared" si="12"/>
        <v>-4974967.3380324002</v>
      </c>
      <c r="N42" s="1">
        <f t="shared" si="13"/>
        <v>197131.03967691769</v>
      </c>
      <c r="O42" s="1">
        <f t="shared" si="14"/>
        <v>125353.73018448324</v>
      </c>
      <c r="P42" s="1">
        <f t="shared" si="5"/>
        <v>7632823.6066066818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7415756.1586778425</v>
      </c>
      <c r="U42" s="1">
        <f t="shared" si="10"/>
        <v>10396097.197113525</v>
      </c>
      <c r="V42" s="1">
        <f t="shared" si="15"/>
        <v>12777.926847727969</v>
      </c>
      <c r="W42" s="100">
        <f t="shared" si="11"/>
        <v>1.2291080590585244E-3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9">
        <f>Dataset!BL43</f>
        <v>0</v>
      </c>
      <c r="I43" s="109">
        <f>Dataset!BF43</f>
        <v>0</v>
      </c>
      <c r="J43" s="109">
        <f>Dataset!BM43</f>
        <v>0</v>
      </c>
      <c r="K43" s="109">
        <f>Dataset!AM43</f>
        <v>677384</v>
      </c>
      <c r="M43" s="8">
        <f t="shared" si="12"/>
        <v>-4974967.3380324002</v>
      </c>
      <c r="N43" s="1">
        <f t="shared" si="13"/>
        <v>51448.549368594664</v>
      </c>
      <c r="O43" s="1">
        <f t="shared" si="14"/>
        <v>30084.895244275976</v>
      </c>
      <c r="P43" s="1">
        <f t="shared" si="5"/>
        <v>7386603.4902645303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7415756.1586778425</v>
      </c>
      <c r="U43" s="1">
        <f t="shared" si="10"/>
        <v>9908925.7555228435</v>
      </c>
      <c r="V43" s="1">
        <f t="shared" si="15"/>
        <v>-372856.20211318508</v>
      </c>
      <c r="W43" s="100">
        <f t="shared" si="11"/>
        <v>3.7628317267930859E-2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9">
        <f>Dataset!BL44</f>
        <v>0</v>
      </c>
      <c r="I44" s="109">
        <f>Dataset!BF44</f>
        <v>0</v>
      </c>
      <c r="J44" s="109">
        <f>Dataset!BM44</f>
        <v>0</v>
      </c>
      <c r="K44" s="109">
        <f>Dataset!AM44</f>
        <v>677384</v>
      </c>
      <c r="M44" s="8">
        <f t="shared" si="12"/>
        <v>-4974967.3380324002</v>
      </c>
      <c r="N44" s="1">
        <f t="shared" si="13"/>
        <v>8486.3586587372629</v>
      </c>
      <c r="O44" s="1">
        <f t="shared" si="14"/>
        <v>400129.10674887052</v>
      </c>
      <c r="P44" s="1">
        <f t="shared" si="5"/>
        <v>7632823.6066066818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7415756.1586778425</v>
      </c>
      <c r="U44" s="1">
        <f t="shared" si="10"/>
        <v>10482227.892659731</v>
      </c>
      <c r="V44" s="1">
        <f t="shared" si="15"/>
        <v>-35361.339082883671</v>
      </c>
      <c r="W44" s="100">
        <f t="shared" si="11"/>
        <v>3.3734564297772753E-3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9">
        <f>Dataset!BL45</f>
        <v>0</v>
      </c>
      <c r="I45" s="109">
        <f>Dataset!BF45</f>
        <v>0</v>
      </c>
      <c r="J45" s="109">
        <f>Dataset!BM45</f>
        <v>0</v>
      </c>
      <c r="K45" s="109">
        <f>Dataset!AM45</f>
        <v>677384</v>
      </c>
      <c r="M45" s="8">
        <f t="shared" si="12"/>
        <v>-4974967.3380324002</v>
      </c>
      <c r="N45" s="1">
        <f t="shared" si="13"/>
        <v>707.19655489477202</v>
      </c>
      <c r="O45" s="1">
        <f t="shared" si="14"/>
        <v>328928.18800408399</v>
      </c>
      <c r="P45" s="1">
        <f t="shared" si="5"/>
        <v>7632823.6066066818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7415756.1586778425</v>
      </c>
      <c r="U45" s="1">
        <f t="shared" si="10"/>
        <v>10403247.811811103</v>
      </c>
      <c r="V45" s="1">
        <f t="shared" si="15"/>
        <v>-43347.981871495023</v>
      </c>
      <c r="W45" s="100">
        <f t="shared" si="11"/>
        <v>4.1667739397960729E-3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9">
        <f>Dataset!BL46</f>
        <v>0</v>
      </c>
      <c r="I46" s="109">
        <f>Dataset!BF46</f>
        <v>0</v>
      </c>
      <c r="J46" s="109">
        <f>Dataset!BM46</f>
        <v>0</v>
      </c>
      <c r="K46" s="109">
        <f>Dataset!AM46</f>
        <v>677384</v>
      </c>
      <c r="M46" s="8">
        <f t="shared" si="12"/>
        <v>-4974967.3380324002</v>
      </c>
      <c r="N46" s="1">
        <f t="shared" si="13"/>
        <v>19978.302675777311</v>
      </c>
      <c r="O46" s="1">
        <f t="shared" si="14"/>
        <v>350990.44451655308</v>
      </c>
      <c r="P46" s="1">
        <f t="shared" si="5"/>
        <v>7386603.4902645303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7415756.1586778425</v>
      </c>
      <c r="U46" s="1">
        <f t="shared" si="10"/>
        <v>10198361.058102302</v>
      </c>
      <c r="V46" s="1">
        <f t="shared" si="15"/>
        <v>-548459.11227607355</v>
      </c>
      <c r="W46" s="100">
        <f t="shared" si="11"/>
        <v>5.3779142467243662E-2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9">
        <f>Dataset!BL47</f>
        <v>0</v>
      </c>
      <c r="I47" s="109">
        <f>Dataset!BF47</f>
        <v>0</v>
      </c>
      <c r="J47" s="109">
        <f>Dataset!BM47</f>
        <v>0</v>
      </c>
      <c r="K47" s="109">
        <f>Dataset!AM47</f>
        <v>677384</v>
      </c>
      <c r="M47" s="8">
        <f t="shared" si="12"/>
        <v>-4974967.3380324002</v>
      </c>
      <c r="N47" s="1">
        <f t="shared" si="13"/>
        <v>352007.08519887278</v>
      </c>
      <c r="O47" s="1">
        <f t="shared" si="14"/>
        <v>14039.617780662122</v>
      </c>
      <c r="P47" s="1">
        <f t="shared" si="5"/>
        <v>7632823.6066066818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7415756.1586778425</v>
      </c>
      <c r="U47" s="1">
        <f t="shared" si="10"/>
        <v>10439659.13023166</v>
      </c>
      <c r="V47" s="1">
        <f t="shared" si="15"/>
        <v>-241061.61193758436</v>
      </c>
      <c r="W47" s="100">
        <f t="shared" si="11"/>
        <v>2.3090946642070592E-2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9">
        <f>Dataset!BL48</f>
        <v>0</v>
      </c>
      <c r="I48" s="109">
        <f>Dataset!BF48</f>
        <v>0</v>
      </c>
      <c r="J48" s="109">
        <f>Dataset!BM48</f>
        <v>0</v>
      </c>
      <c r="K48" s="109">
        <f>Dataset!AM48</f>
        <v>677384</v>
      </c>
      <c r="M48" s="8">
        <f t="shared" si="12"/>
        <v>-4974967.3380324002</v>
      </c>
      <c r="N48" s="1">
        <f t="shared" si="13"/>
        <v>496982.37895230105</v>
      </c>
      <c r="O48" s="1">
        <f t="shared" si="14"/>
        <v>7521.2238110689941</v>
      </c>
      <c r="P48" s="1">
        <f t="shared" si="5"/>
        <v>7386603.4902645303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7415756.1586778425</v>
      </c>
      <c r="U48" s="1">
        <f t="shared" si="10"/>
        <v>10331895.913673341</v>
      </c>
      <c r="V48" s="1">
        <f t="shared" si="15"/>
        <v>161.11709686182439</v>
      </c>
      <c r="W48" s="100">
        <f t="shared" si="11"/>
        <v>1.5594146341389321E-5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9">
        <f>Dataset!BL49</f>
        <v>0</v>
      </c>
      <c r="I49" s="109">
        <f>Dataset!BF49</f>
        <v>1</v>
      </c>
      <c r="J49" s="109">
        <f>Dataset!BM49</f>
        <v>0</v>
      </c>
      <c r="K49" s="109">
        <f>Dataset!AM49</f>
        <v>677384</v>
      </c>
      <c r="M49" s="8">
        <f t="shared" si="12"/>
        <v>-4974967.3380324002</v>
      </c>
      <c r="N49" s="1">
        <f t="shared" si="13"/>
        <v>662289.573658954</v>
      </c>
      <c r="O49" s="1">
        <f t="shared" si="14"/>
        <v>0</v>
      </c>
      <c r="P49" s="1">
        <f t="shared" si="5"/>
        <v>7632823.6066066818</v>
      </c>
      <c r="Q49" s="1">
        <f t="shared" si="6"/>
        <v>0</v>
      </c>
      <c r="R49" s="1">
        <f t="shared" si="7"/>
        <v>-585858.10088396806</v>
      </c>
      <c r="S49" s="1">
        <f t="shared" si="8"/>
        <v>0</v>
      </c>
      <c r="T49" s="1">
        <f t="shared" si="9"/>
        <v>7415756.1586778425</v>
      </c>
      <c r="U49" s="1">
        <f t="shared" si="10"/>
        <v>10150043.900027111</v>
      </c>
      <c r="V49" s="1">
        <f t="shared" si="15"/>
        <v>-234776.26152197085</v>
      </c>
      <c r="W49" s="100">
        <f t="shared" si="11"/>
        <v>2.3130566117191251E-2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9">
        <f>Dataset!BL50</f>
        <v>0</v>
      </c>
      <c r="I50" s="109">
        <f>Dataset!BF50</f>
        <v>0</v>
      </c>
      <c r="J50" s="109">
        <f>Dataset!BM50</f>
        <v>0</v>
      </c>
      <c r="K50" s="109">
        <f>Dataset!AM50</f>
        <v>692620.80000000005</v>
      </c>
      <c r="M50" s="8">
        <f t="shared" si="12"/>
        <v>-4974967.3380324002</v>
      </c>
      <c r="N50" s="1">
        <f t="shared" si="13"/>
        <v>1096685.0575030677</v>
      </c>
      <c r="O50" s="1">
        <f t="shared" si="14"/>
        <v>0</v>
      </c>
      <c r="P50" s="1">
        <f t="shared" si="5"/>
        <v>7632823.6066066818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7582563.1594905909</v>
      </c>
      <c r="U50" s="1">
        <f t="shared" si="10"/>
        <v>11337104.48556794</v>
      </c>
      <c r="V50" s="1">
        <f t="shared" si="15"/>
        <v>-185245.42265311442</v>
      </c>
      <c r="W50" s="100">
        <f t="shared" si="11"/>
        <v>1.6339747321631432E-2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9">
        <f>Dataset!BL51</f>
        <v>0</v>
      </c>
      <c r="I51" s="109">
        <f>Dataset!BF51</f>
        <v>0</v>
      </c>
      <c r="J51" s="109">
        <f>Dataset!BM51</f>
        <v>0</v>
      </c>
      <c r="K51" s="109">
        <f>Dataset!AM51</f>
        <v>692620.80000000005</v>
      </c>
      <c r="M51" s="8">
        <f t="shared" si="12"/>
        <v>-4974967.3380324002</v>
      </c>
      <c r="N51" s="1">
        <f t="shared" si="13"/>
        <v>999799.12948248396</v>
      </c>
      <c r="O51" s="1">
        <f t="shared" si="14"/>
        <v>0</v>
      </c>
      <c r="P51" s="1">
        <f t="shared" si="5"/>
        <v>7140383.3739223797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7582563.1594905909</v>
      </c>
      <c r="U51" s="1">
        <f t="shared" si="10"/>
        <v>10747778.324863054</v>
      </c>
      <c r="V51" s="1">
        <f t="shared" si="15"/>
        <v>-614577.03930040263</v>
      </c>
      <c r="W51" s="100">
        <f t="shared" si="11"/>
        <v>5.7181774756061822E-2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9">
        <f>Dataset!BL52</f>
        <v>0</v>
      </c>
      <c r="I52" s="109">
        <f>Dataset!BF52</f>
        <v>0</v>
      </c>
      <c r="J52" s="109">
        <f>Dataset!BM52</f>
        <v>0</v>
      </c>
      <c r="K52" s="109">
        <f>Dataset!AM52</f>
        <v>692620.80000000005</v>
      </c>
      <c r="M52" s="8">
        <f t="shared" si="12"/>
        <v>-4974967.3380324002</v>
      </c>
      <c r="N52" s="1">
        <f t="shared" si="13"/>
        <v>797894.51306002657</v>
      </c>
      <c r="O52" s="1">
        <f t="shared" si="14"/>
        <v>0</v>
      </c>
      <c r="P52" s="1">
        <f t="shared" si="5"/>
        <v>7632823.6066066818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7582563.1594905909</v>
      </c>
      <c r="U52" s="1">
        <f t="shared" si="10"/>
        <v>11038313.941124899</v>
      </c>
      <c r="V52" s="1">
        <f t="shared" si="15"/>
        <v>-405235.40680442564</v>
      </c>
      <c r="W52" s="100">
        <f t="shared" si="11"/>
        <v>3.6711712401534459E-2</v>
      </c>
      <c r="AB52">
        <v>1</v>
      </c>
      <c r="AC52">
        <f>AB52+1</f>
        <v>2</v>
      </c>
      <c r="AD52">
        <f t="shared" ref="AD52:AM52" si="16">AC52+1</f>
        <v>3</v>
      </c>
      <c r="AE52">
        <f t="shared" si="16"/>
        <v>4</v>
      </c>
      <c r="AF52">
        <f t="shared" si="16"/>
        <v>5</v>
      </c>
      <c r="AG52">
        <f t="shared" si="16"/>
        <v>6</v>
      </c>
      <c r="AH52">
        <f t="shared" si="16"/>
        <v>7</v>
      </c>
      <c r="AI52">
        <f t="shared" si="16"/>
        <v>8</v>
      </c>
      <c r="AJ52">
        <f t="shared" si="16"/>
        <v>9</v>
      </c>
      <c r="AK52">
        <f t="shared" si="16"/>
        <v>10</v>
      </c>
      <c r="AL52">
        <f>AK52+1</f>
        <v>11</v>
      </c>
      <c r="AM52">
        <f t="shared" si="16"/>
        <v>12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9">
        <f>Dataset!BL53</f>
        <v>0</v>
      </c>
      <c r="I53" s="109">
        <f>Dataset!BF53</f>
        <v>0</v>
      </c>
      <c r="J53" s="109">
        <f>Dataset!BM53</f>
        <v>0</v>
      </c>
      <c r="K53" s="109">
        <f>Dataset!AM53</f>
        <v>692620.80000000005</v>
      </c>
      <c r="M53" s="8">
        <f t="shared" si="12"/>
        <v>-4974967.3380324002</v>
      </c>
      <c r="N53" s="1">
        <f t="shared" si="13"/>
        <v>671483.12887258606</v>
      </c>
      <c r="O53" s="1">
        <f t="shared" si="14"/>
        <v>0</v>
      </c>
      <c r="P53" s="1">
        <f t="shared" si="5"/>
        <v>7386603.4902645303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7582563.1594905909</v>
      </c>
      <c r="U53" s="1">
        <f t="shared" si="10"/>
        <v>10665682.440595306</v>
      </c>
      <c r="V53" s="1">
        <f t="shared" si="15"/>
        <v>338919.76275589131</v>
      </c>
      <c r="W53" s="100">
        <f t="shared" si="11"/>
        <v>3.1776659828714575E-2</v>
      </c>
      <c r="AA53">
        <v>2012</v>
      </c>
      <c r="AB53" s="8">
        <f t="shared" ref="AB53:AM62" si="17">SUMIFS($V:$V,$B:$B,$AA53,$C:$C,AB$52)</f>
        <v>-356865.75028491579</v>
      </c>
      <c r="AC53" s="8">
        <f t="shared" si="17"/>
        <v>-508411.45376424678</v>
      </c>
      <c r="AD53" s="8">
        <f t="shared" si="17"/>
        <v>-340076.18424570747</v>
      </c>
      <c r="AE53" s="8">
        <f t="shared" si="17"/>
        <v>359014.39761282876</v>
      </c>
      <c r="AF53" s="8">
        <f t="shared" si="17"/>
        <v>-347631.36764630675</v>
      </c>
      <c r="AG53" s="8">
        <f t="shared" si="17"/>
        <v>-504622.67337993905</v>
      </c>
      <c r="AH53" s="8">
        <f t="shared" si="17"/>
        <v>952898.81037265249</v>
      </c>
      <c r="AI53" s="8">
        <f t="shared" si="17"/>
        <v>-200215.55957189947</v>
      </c>
      <c r="AJ53" s="8">
        <f t="shared" si="17"/>
        <v>46959.797493293881</v>
      </c>
      <c r="AK53" s="8">
        <f t="shared" si="17"/>
        <v>-172701.35063403845</v>
      </c>
      <c r="AL53" s="8">
        <f t="shared" si="17"/>
        <v>127882.84109680355</v>
      </c>
      <c r="AM53" s="8">
        <f t="shared" si="17"/>
        <v>-84616.915739029646</v>
      </c>
      <c r="AN53" s="1">
        <f t="shared" ref="AN53:AN62" si="18">SUM(AB53:AM53)</f>
        <v>-1028385.4086905047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9">
        <f>Dataset!BL54</f>
        <v>0</v>
      </c>
      <c r="I54" s="109">
        <f>Dataset!BF54</f>
        <v>0</v>
      </c>
      <c r="J54" s="109">
        <f>Dataset!BM54</f>
        <v>0</v>
      </c>
      <c r="K54" s="109">
        <f>Dataset!AM54</f>
        <v>692620.80000000005</v>
      </c>
      <c r="M54" s="8">
        <f t="shared" si="12"/>
        <v>-4974967.3380324002</v>
      </c>
      <c r="N54" s="1">
        <f t="shared" si="13"/>
        <v>276160.25468640844</v>
      </c>
      <c r="O54" s="1">
        <f t="shared" si="14"/>
        <v>92260.345415779666</v>
      </c>
      <c r="P54" s="1">
        <f t="shared" si="5"/>
        <v>7632823.6066066818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7582563.1594905909</v>
      </c>
      <c r="U54" s="1">
        <f t="shared" si="10"/>
        <v>10608840.028167062</v>
      </c>
      <c r="V54" s="1">
        <f t="shared" si="15"/>
        <v>-381096.527834801</v>
      </c>
      <c r="W54" s="100">
        <f t="shared" si="11"/>
        <v>3.5922544483936836E-2</v>
      </c>
      <c r="AA54">
        <f>AA53+1</f>
        <v>2013</v>
      </c>
      <c r="AB54" s="8">
        <f t="shared" si="17"/>
        <v>34743.910106018186</v>
      </c>
      <c r="AC54" s="8">
        <f t="shared" si="17"/>
        <v>-151669.28105453216</v>
      </c>
      <c r="AD54" s="8">
        <f t="shared" si="17"/>
        <v>-162057.26115128584</v>
      </c>
      <c r="AE54" s="8">
        <f t="shared" si="17"/>
        <v>104805.16703194194</v>
      </c>
      <c r="AF54" s="8">
        <f t="shared" si="17"/>
        <v>351602.87899816781</v>
      </c>
      <c r="AG54" s="8">
        <f t="shared" si="17"/>
        <v>35287.248012444004</v>
      </c>
      <c r="AH54" s="8">
        <f t="shared" si="17"/>
        <v>398577.16546370275</v>
      </c>
      <c r="AI54" s="8">
        <f t="shared" si="17"/>
        <v>286316.60672530904</v>
      </c>
      <c r="AJ54" s="8">
        <f t="shared" si="17"/>
        <v>236266.39401684515</v>
      </c>
      <c r="AK54" s="8">
        <f t="shared" si="17"/>
        <v>520224.05384277925</v>
      </c>
      <c r="AL54" s="8">
        <f t="shared" si="17"/>
        <v>231447.61421449482</v>
      </c>
      <c r="AM54" s="8">
        <f t="shared" si="17"/>
        <v>587285.67285060138</v>
      </c>
      <c r="AN54" s="1">
        <f t="shared" si="18"/>
        <v>2472830.1690564863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9">
        <f>Dataset!BL55</f>
        <v>0</v>
      </c>
      <c r="I55" s="109">
        <f>Dataset!BF55</f>
        <v>0</v>
      </c>
      <c r="J55" s="109">
        <f>Dataset!BM55</f>
        <v>0</v>
      </c>
      <c r="K55" s="109">
        <f>Dataset!AM55</f>
        <v>692620.80000000005</v>
      </c>
      <c r="M55" s="8">
        <f t="shared" si="12"/>
        <v>-4974967.3380324002</v>
      </c>
      <c r="N55" s="1">
        <f t="shared" si="13"/>
        <v>50387.754536252505</v>
      </c>
      <c r="O55" s="1">
        <f t="shared" si="14"/>
        <v>187027.76543524899</v>
      </c>
      <c r="P55" s="1">
        <f t="shared" si="5"/>
        <v>7386603.4902645303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7582563.1594905909</v>
      </c>
      <c r="U55" s="1">
        <f t="shared" si="10"/>
        <v>10231614.831694223</v>
      </c>
      <c r="V55" s="1">
        <f t="shared" si="15"/>
        <v>-706875.93193995766</v>
      </c>
      <c r="W55" s="100">
        <f t="shared" ref="W55:W117" si="19">ABS(V55/U55)</f>
        <v>6.9087425940848102E-2</v>
      </c>
      <c r="AA55">
        <f t="shared" ref="AA55:AA62" si="20">AA54+1</f>
        <v>2014</v>
      </c>
      <c r="AB55" s="8">
        <f t="shared" si="17"/>
        <v>403016.43377105333</v>
      </c>
      <c r="AC55" s="8">
        <f t="shared" si="17"/>
        <v>549037.84891062416</v>
      </c>
      <c r="AD55" s="8">
        <f t="shared" si="17"/>
        <v>445764.5702465754</v>
      </c>
      <c r="AE55" s="8">
        <f t="shared" si="17"/>
        <v>463600.2147870753</v>
      </c>
      <c r="AF55" s="8">
        <f t="shared" si="17"/>
        <v>450721.81180030666</v>
      </c>
      <c r="AG55" s="8">
        <f t="shared" si="17"/>
        <v>95992.10523157008</v>
      </c>
      <c r="AH55" s="8">
        <f t="shared" si="17"/>
        <v>592628.75418518111</v>
      </c>
      <c r="AI55" s="8">
        <f t="shared" si="17"/>
        <v>534138.71760188416</v>
      </c>
      <c r="AJ55" s="8">
        <f t="shared" si="17"/>
        <v>156755.53091525473</v>
      </c>
      <c r="AK55" s="8">
        <f t="shared" si="17"/>
        <v>154168.64345439337</v>
      </c>
      <c r="AL55" s="8">
        <f t="shared" si="17"/>
        <v>242883.52586530522</v>
      </c>
      <c r="AM55" s="8">
        <f t="shared" si="17"/>
        <v>-571707.65049265139</v>
      </c>
      <c r="AN55" s="1">
        <f t="shared" si="18"/>
        <v>3517000.5062765721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9">
        <f>Dataset!BL56</f>
        <v>0</v>
      </c>
      <c r="I56" s="109">
        <f>Dataset!BF56</f>
        <v>0</v>
      </c>
      <c r="J56" s="109">
        <f>Dataset!BM56</f>
        <v>0</v>
      </c>
      <c r="K56" s="109">
        <f>Dataset!AM56</f>
        <v>692620.80000000005</v>
      </c>
      <c r="M56" s="8">
        <f t="shared" si="12"/>
        <v>-4974967.3380324002</v>
      </c>
      <c r="N56" s="1">
        <f t="shared" si="13"/>
        <v>0</v>
      </c>
      <c r="O56" s="1">
        <f t="shared" si="14"/>
        <v>618244.59726987139</v>
      </c>
      <c r="P56" s="1">
        <f t="shared" si="5"/>
        <v>7632823.6066066818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7582563.1594905909</v>
      </c>
      <c r="U56" s="1">
        <f t="shared" si="10"/>
        <v>10858664.025334744</v>
      </c>
      <c r="V56" s="1">
        <f t="shared" si="15"/>
        <v>-182901.44043582492</v>
      </c>
      <c r="W56" s="100">
        <f t="shared" si="19"/>
        <v>1.6843825355411211E-2</v>
      </c>
      <c r="AA56">
        <f t="shared" si="20"/>
        <v>2015</v>
      </c>
      <c r="AB56" s="8">
        <f t="shared" si="17"/>
        <v>51966.821726104245</v>
      </c>
      <c r="AC56" s="8">
        <f t="shared" si="17"/>
        <v>-92627.237219838426</v>
      </c>
      <c r="AD56" s="8">
        <f t="shared" si="17"/>
        <v>-384598.38121614791</v>
      </c>
      <c r="AE56" s="8">
        <f t="shared" si="17"/>
        <v>77487.143004067242</v>
      </c>
      <c r="AF56" s="8">
        <f t="shared" si="17"/>
        <v>12777.926847727969</v>
      </c>
      <c r="AG56" s="8">
        <f t="shared" si="17"/>
        <v>-372856.20211318508</v>
      </c>
      <c r="AH56" s="8">
        <f t="shared" si="17"/>
        <v>-35361.339082883671</v>
      </c>
      <c r="AI56" s="8">
        <f t="shared" si="17"/>
        <v>-43347.981871495023</v>
      </c>
      <c r="AJ56" s="8">
        <f t="shared" si="17"/>
        <v>-548459.11227607355</v>
      </c>
      <c r="AK56" s="8">
        <f t="shared" si="17"/>
        <v>-241061.61193758436</v>
      </c>
      <c r="AL56" s="8">
        <f t="shared" si="17"/>
        <v>161.11709686182439</v>
      </c>
      <c r="AM56" s="8">
        <f t="shared" si="17"/>
        <v>-234776.26152197085</v>
      </c>
      <c r="AN56" s="1">
        <f t="shared" si="18"/>
        <v>-1810695.1185644176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9">
        <f>Dataset!BL57</f>
        <v>0</v>
      </c>
      <c r="I57" s="109">
        <f>Dataset!BF57</f>
        <v>0</v>
      </c>
      <c r="J57" s="109">
        <f>Dataset!BM57</f>
        <v>0</v>
      </c>
      <c r="K57" s="109">
        <f>Dataset!AM57</f>
        <v>692620.80000000005</v>
      </c>
      <c r="M57" s="8">
        <f t="shared" si="12"/>
        <v>-4974967.3380324002</v>
      </c>
      <c r="N57" s="1">
        <f t="shared" si="13"/>
        <v>0</v>
      </c>
      <c r="O57" s="1">
        <f t="shared" si="14"/>
        <v>684431.36680727848</v>
      </c>
      <c r="P57" s="1">
        <f t="shared" si="5"/>
        <v>7632823.6066066818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7582563.1594905909</v>
      </c>
      <c r="U57" s="1">
        <f t="shared" si="10"/>
        <v>10924850.79487215</v>
      </c>
      <c r="V57" s="1">
        <f t="shared" si="15"/>
        <v>-556950.66142413579</v>
      </c>
      <c r="W57" s="100">
        <f t="shared" si="19"/>
        <v>5.0980161823862565E-2</v>
      </c>
      <c r="AA57">
        <f t="shared" si="20"/>
        <v>2016</v>
      </c>
      <c r="AB57" s="8">
        <f t="shared" si="17"/>
        <v>-185245.42265311442</v>
      </c>
      <c r="AC57" s="8">
        <f t="shared" si="17"/>
        <v>-614577.03930040263</v>
      </c>
      <c r="AD57" s="8">
        <f t="shared" si="17"/>
        <v>-405235.40680442564</v>
      </c>
      <c r="AE57" s="8">
        <f t="shared" si="17"/>
        <v>338919.76275589131</v>
      </c>
      <c r="AF57" s="8">
        <f t="shared" si="17"/>
        <v>-381096.527834801</v>
      </c>
      <c r="AG57" s="8">
        <f t="shared" si="17"/>
        <v>-706875.93193995766</v>
      </c>
      <c r="AH57" s="8">
        <f t="shared" si="17"/>
        <v>-182901.44043582492</v>
      </c>
      <c r="AI57" s="8">
        <f t="shared" si="17"/>
        <v>-556950.66142413579</v>
      </c>
      <c r="AJ57" s="8">
        <f t="shared" si="17"/>
        <v>-593230.24994784966</v>
      </c>
      <c r="AK57" s="8">
        <f t="shared" si="17"/>
        <v>-592573.59423941933</v>
      </c>
      <c r="AL57" s="8">
        <f t="shared" si="17"/>
        <v>-525763.06892231666</v>
      </c>
      <c r="AM57" s="8">
        <f t="shared" si="17"/>
        <v>121895.1767780669</v>
      </c>
      <c r="AN57" s="1">
        <f t="shared" si="18"/>
        <v>-4283634.4039682895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9">
        <f>Dataset!BL58</f>
        <v>0</v>
      </c>
      <c r="I58" s="109">
        <f>Dataset!BF58</f>
        <v>0</v>
      </c>
      <c r="J58" s="109">
        <f>Dataset!BM58</f>
        <v>0</v>
      </c>
      <c r="K58" s="109">
        <f>Dataset!AM58</f>
        <v>692620.80000000005</v>
      </c>
      <c r="M58" s="8">
        <f t="shared" si="12"/>
        <v>-4974967.3380324002</v>
      </c>
      <c r="N58" s="1">
        <f t="shared" si="13"/>
        <v>34475.832051120138</v>
      </c>
      <c r="O58" s="1">
        <f t="shared" si="14"/>
        <v>207585.77718550424</v>
      </c>
      <c r="P58" s="1">
        <f t="shared" si="5"/>
        <v>7386603.4902645303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7582563.1594905909</v>
      </c>
      <c r="U58" s="1">
        <f t="shared" si="10"/>
        <v>10236260.920959346</v>
      </c>
      <c r="V58" s="1">
        <f t="shared" si="15"/>
        <v>-593230.24994784966</v>
      </c>
      <c r="W58" s="100">
        <f t="shared" si="19"/>
        <v>5.7953803105309266E-2</v>
      </c>
      <c r="AA58">
        <f t="shared" si="20"/>
        <v>2017</v>
      </c>
      <c r="AB58" s="8">
        <f t="shared" si="17"/>
        <v>-199412.46961266361</v>
      </c>
      <c r="AC58" s="8">
        <f t="shared" si="17"/>
        <v>-120712.96820887737</v>
      </c>
      <c r="AD58" s="8">
        <f t="shared" si="17"/>
        <v>-280800.18133251928</v>
      </c>
      <c r="AE58" s="8">
        <f t="shared" si="17"/>
        <v>775150.63492289744</v>
      </c>
      <c r="AF58" s="8">
        <f t="shared" si="17"/>
        <v>171743.54994226433</v>
      </c>
      <c r="AG58" s="8">
        <f t="shared" si="17"/>
        <v>-56436.568616613746</v>
      </c>
      <c r="AH58" s="8">
        <f t="shared" si="17"/>
        <v>865942.14483529516</v>
      </c>
      <c r="AI58" s="8">
        <f t="shared" si="17"/>
        <v>189049.49109822139</v>
      </c>
      <c r="AJ58" s="8">
        <f t="shared" si="17"/>
        <v>-258654.01308725961</v>
      </c>
      <c r="AK58" s="8">
        <f t="shared" si="17"/>
        <v>-598969.85889667086</v>
      </c>
      <c r="AL58" s="8">
        <f t="shared" si="17"/>
        <v>-333655.24769102409</v>
      </c>
      <c r="AM58" s="8">
        <f t="shared" si="17"/>
        <v>-55159.310840060934</v>
      </c>
      <c r="AN58" s="1">
        <f t="shared" si="18"/>
        <v>98085.202512988821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9">
        <f>Dataset!BL59</f>
        <v>0</v>
      </c>
      <c r="I59" s="109">
        <f>Dataset!BF59</f>
        <v>0</v>
      </c>
      <c r="J59" s="109">
        <f>Dataset!BM59</f>
        <v>0</v>
      </c>
      <c r="K59" s="109">
        <f>Dataset!AM59</f>
        <v>692620.80000000005</v>
      </c>
      <c r="M59" s="8">
        <f t="shared" si="12"/>
        <v>-4974967.3380324002</v>
      </c>
      <c r="N59" s="1">
        <f t="shared" si="13"/>
        <v>260955.52875617085</v>
      </c>
      <c r="O59" s="1">
        <f t="shared" si="14"/>
        <v>22563.671433206982</v>
      </c>
      <c r="P59" s="1">
        <f t="shared" si="5"/>
        <v>7632823.6066066818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7582563.1594905909</v>
      </c>
      <c r="U59" s="1">
        <f t="shared" si="10"/>
        <v>10523938.62825425</v>
      </c>
      <c r="V59" s="1">
        <f t="shared" si="15"/>
        <v>-592573.59423941933</v>
      </c>
      <c r="W59" s="100">
        <f t="shared" si="19"/>
        <v>5.630720732715995E-2</v>
      </c>
      <c r="AA59">
        <f t="shared" si="20"/>
        <v>2018</v>
      </c>
      <c r="AB59" s="8">
        <f t="shared" si="17"/>
        <v>-710047.92485900037</v>
      </c>
      <c r="AC59" s="8">
        <f t="shared" si="17"/>
        <v>-232606.42718433402</v>
      </c>
      <c r="AD59" s="8">
        <f t="shared" si="17"/>
        <v>-228488.16725831106</v>
      </c>
      <c r="AE59" s="8">
        <f t="shared" si="17"/>
        <v>321403.44268945232</v>
      </c>
      <c r="AF59" s="8">
        <f t="shared" si="17"/>
        <v>28524.714568208903</v>
      </c>
      <c r="AG59" s="8">
        <f t="shared" si="17"/>
        <v>-359703.17286714166</v>
      </c>
      <c r="AH59" s="8">
        <f t="shared" si="17"/>
        <v>-563676.41339936666</v>
      </c>
      <c r="AI59" s="8">
        <f t="shared" si="17"/>
        <v>-244306.52906489931</v>
      </c>
      <c r="AJ59" s="8">
        <f t="shared" si="17"/>
        <v>-305561.60461174883</v>
      </c>
      <c r="AK59" s="8">
        <f t="shared" si="17"/>
        <v>-169661.18282446265</v>
      </c>
      <c r="AL59" s="8">
        <f t="shared" si="17"/>
        <v>-248449.10587120987</v>
      </c>
      <c r="AM59" s="8">
        <f t="shared" si="17"/>
        <v>-312061.90154630691</v>
      </c>
      <c r="AN59" s="1">
        <f t="shared" si="18"/>
        <v>-3024634.2722291201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9">
        <f>Dataset!BL60</f>
        <v>0</v>
      </c>
      <c r="I60" s="109">
        <f>Dataset!BF60</f>
        <v>0</v>
      </c>
      <c r="J60" s="109">
        <f>Dataset!BM60</f>
        <v>0</v>
      </c>
      <c r="K60" s="109">
        <f>Dataset!AM60</f>
        <v>692620.80000000005</v>
      </c>
      <c r="M60" s="8">
        <f t="shared" si="12"/>
        <v>-4974967.3380324002</v>
      </c>
      <c r="N60" s="1">
        <f t="shared" si="13"/>
        <v>454373.786519891</v>
      </c>
      <c r="O60" s="1">
        <f t="shared" si="14"/>
        <v>0</v>
      </c>
      <c r="P60" s="1">
        <f t="shared" si="5"/>
        <v>7386603.4902645303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7582563.1594905909</v>
      </c>
      <c r="U60" s="1">
        <f t="shared" si="10"/>
        <v>10448573.098242611</v>
      </c>
      <c r="V60" s="1">
        <f t="shared" si="15"/>
        <v>-525763.06892231666</v>
      </c>
      <c r="W60" s="100">
        <f t="shared" si="19"/>
        <v>5.0319126255693895E-2</v>
      </c>
      <c r="AA60">
        <f t="shared" si="20"/>
        <v>2019</v>
      </c>
      <c r="AB60" s="8">
        <f t="shared" si="17"/>
        <v>-88053.406972767785</v>
      </c>
      <c r="AC60" s="8">
        <f t="shared" si="17"/>
        <v>39024.943709809333</v>
      </c>
      <c r="AD60" s="8">
        <f t="shared" si="17"/>
        <v>133740.02866733819</v>
      </c>
      <c r="AE60" s="8">
        <f t="shared" si="17"/>
        <v>460393.56901431642</v>
      </c>
      <c r="AF60" s="8">
        <f t="shared" si="17"/>
        <v>373430.88512209803</v>
      </c>
      <c r="AG60" s="8">
        <f t="shared" si="17"/>
        <v>135971.17075359263</v>
      </c>
      <c r="AH60" s="8">
        <f t="shared" si="17"/>
        <v>380246.52888514102</v>
      </c>
      <c r="AI60" s="8">
        <f t="shared" si="17"/>
        <v>-161353.41065501049</v>
      </c>
      <c r="AJ60" s="8">
        <f t="shared" si="17"/>
        <v>-258002.35042075813</v>
      </c>
      <c r="AK60" s="8">
        <f t="shared" si="17"/>
        <v>206954.6798586268</v>
      </c>
      <c r="AL60" s="8">
        <f t="shared" si="17"/>
        <v>-11017.42378907837</v>
      </c>
      <c r="AM60" s="8">
        <f t="shared" si="17"/>
        <v>237269.87321661226</v>
      </c>
      <c r="AN60" s="1">
        <f t="shared" si="18"/>
        <v>1448605.0873899199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9">
        <f>Dataset!BL61</f>
        <v>0</v>
      </c>
      <c r="I61" s="109">
        <f>Dataset!BF61</f>
        <v>1</v>
      </c>
      <c r="J61" s="109">
        <f>Dataset!BM61</f>
        <v>0</v>
      </c>
      <c r="K61" s="109">
        <f>Dataset!AM61</f>
        <v>692620.80000000005</v>
      </c>
      <c r="M61" s="8">
        <f t="shared" si="12"/>
        <v>-4974967.3380324002</v>
      </c>
      <c r="N61" s="1">
        <f t="shared" si="13"/>
        <v>944814.59733941534</v>
      </c>
      <c r="O61" s="1">
        <f t="shared" si="14"/>
        <v>0</v>
      </c>
      <c r="P61" s="1">
        <f t="shared" si="5"/>
        <v>7632823.6066066818</v>
      </c>
      <c r="Q61" s="1">
        <f t="shared" si="6"/>
        <v>0</v>
      </c>
      <c r="R61" s="1">
        <f t="shared" si="7"/>
        <v>-585858.10088396806</v>
      </c>
      <c r="S61" s="1">
        <f t="shared" si="8"/>
        <v>0</v>
      </c>
      <c r="T61" s="1">
        <f t="shared" si="9"/>
        <v>7582563.1594905909</v>
      </c>
      <c r="U61" s="1">
        <f t="shared" si="10"/>
        <v>10599375.924520319</v>
      </c>
      <c r="V61" s="1">
        <f t="shared" si="15"/>
        <v>121895.1767780669</v>
      </c>
      <c r="W61" s="100">
        <f t="shared" si="19"/>
        <v>1.1500222055156831E-2</v>
      </c>
      <c r="AA61">
        <f t="shared" si="20"/>
        <v>2020</v>
      </c>
      <c r="AB61" s="8">
        <f t="shared" si="17"/>
        <v>-39072.261686882004</v>
      </c>
      <c r="AC61" s="8">
        <f t="shared" si="17"/>
        <v>-110013.8245418556</v>
      </c>
      <c r="AD61" s="8">
        <f t="shared" si="17"/>
        <v>-644392.84108079225</v>
      </c>
      <c r="AE61" s="8">
        <f t="shared" si="17"/>
        <v>563744.28844938334</v>
      </c>
      <c r="AF61" s="8">
        <f t="shared" si="17"/>
        <v>-153970.32847185247</v>
      </c>
      <c r="AG61" s="8">
        <f t="shared" si="17"/>
        <v>-537740.14629279636</v>
      </c>
      <c r="AH61" s="8">
        <f t="shared" si="17"/>
        <v>72520.731312043965</v>
      </c>
      <c r="AI61" s="8">
        <f t="shared" si="17"/>
        <v>12564.251769267023</v>
      </c>
      <c r="AJ61" s="8">
        <f t="shared" si="17"/>
        <v>101776.32238259539</v>
      </c>
      <c r="AK61" s="8">
        <f t="shared" si="17"/>
        <v>61463.636848771945</v>
      </c>
      <c r="AL61" s="8">
        <f t="shared" si="17"/>
        <v>-172410.42939769477</v>
      </c>
      <c r="AM61" s="8">
        <f t="shared" si="17"/>
        <v>-117805.20645011961</v>
      </c>
      <c r="AN61" s="1">
        <f t="shared" si="18"/>
        <v>-963335.8071599314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9">
        <f>Dataset!BL62</f>
        <v>0</v>
      </c>
      <c r="I62" s="109">
        <f>Dataset!BF62</f>
        <v>0</v>
      </c>
      <c r="J62" s="109">
        <f>Dataset!BM62</f>
        <v>0</v>
      </c>
      <c r="K62" s="109">
        <f>Dataset!AM62</f>
        <v>711695.1</v>
      </c>
      <c r="M62" s="8">
        <f t="shared" si="12"/>
        <v>-4974967.3380324002</v>
      </c>
      <c r="N62" s="1">
        <f t="shared" si="13"/>
        <v>975931.24575478537</v>
      </c>
      <c r="O62" s="1">
        <f t="shared" si="14"/>
        <v>0</v>
      </c>
      <c r="P62" s="1">
        <f t="shared" si="5"/>
        <v>7632823.6066066818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7791381.7287178952</v>
      </c>
      <c r="U62" s="1">
        <f t="shared" si="10"/>
        <v>11425169.243046962</v>
      </c>
      <c r="V62" s="1">
        <f t="shared" si="15"/>
        <v>-199412.46961266361</v>
      </c>
      <c r="W62" s="100">
        <f t="shared" si="19"/>
        <v>1.7453786930466737E-2</v>
      </c>
      <c r="AA62">
        <f t="shared" si="20"/>
        <v>2021</v>
      </c>
      <c r="AB62" s="8">
        <f t="shared" si="17"/>
        <v>339120.22897167504</v>
      </c>
      <c r="AC62" s="8">
        <f t="shared" si="17"/>
        <v>289208.5309492033</v>
      </c>
      <c r="AD62" s="8">
        <f t="shared" si="17"/>
        <v>171963.40665074997</v>
      </c>
      <c r="AE62" s="8">
        <f t="shared" si="17"/>
        <v>745370.81122587621</v>
      </c>
      <c r="AF62" s="8">
        <f t="shared" si="17"/>
        <v>984551.77265303582</v>
      </c>
      <c r="AG62" s="8">
        <f t="shared" si="17"/>
        <v>270561.10652242973</v>
      </c>
      <c r="AH62" s="8">
        <f t="shared" si="17"/>
        <v>575047.08080550656</v>
      </c>
      <c r="AI62" s="8">
        <f t="shared" si="17"/>
        <v>-238467.04732710496</v>
      </c>
      <c r="AJ62" s="8">
        <f t="shared" si="17"/>
        <v>330697.5763876643</v>
      </c>
      <c r="AK62" s="8">
        <f t="shared" si="17"/>
        <v>-50359.254710493609</v>
      </c>
      <c r="AL62" s="8">
        <f t="shared" si="17"/>
        <v>119381.69783176668</v>
      </c>
      <c r="AM62" s="8">
        <f t="shared" si="17"/>
        <v>147845.38370471448</v>
      </c>
      <c r="AN62" s="1">
        <f t="shared" si="18"/>
        <v>3684921.2936650235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9">
        <f>Dataset!BL63</f>
        <v>0</v>
      </c>
      <c r="I63" s="109">
        <f>Dataset!BF63</f>
        <v>0</v>
      </c>
      <c r="J63" s="109">
        <f>Dataset!BM63</f>
        <v>0</v>
      </c>
      <c r="K63" s="109">
        <f>Dataset!AM63</f>
        <v>711695.1</v>
      </c>
      <c r="M63" s="8">
        <f t="shared" si="12"/>
        <v>-4974967.3380324002</v>
      </c>
      <c r="N63" s="1">
        <f t="shared" si="13"/>
        <v>806911.26913493476</v>
      </c>
      <c r="O63" s="1">
        <f t="shared" si="14"/>
        <v>0</v>
      </c>
      <c r="P63" s="1">
        <f t="shared" si="5"/>
        <v>6894163.2575802281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7791381.7287178952</v>
      </c>
      <c r="U63" s="1">
        <f t="shared" si="10"/>
        <v>10517488.917400658</v>
      </c>
      <c r="V63" s="1">
        <f t="shared" si="15"/>
        <v>-120712.96820887737</v>
      </c>
      <c r="W63" s="100">
        <f t="shared" si="19"/>
        <v>1.1477356349685695E-2</v>
      </c>
      <c r="AB63" s="1">
        <f t="shared" ref="AB63:AM63" si="21">SUM(AB53:AB62)</f>
        <v>-749849.84149449319</v>
      </c>
      <c r="AC63" s="1">
        <f t="shared" si="21"/>
        <v>-953346.90770445019</v>
      </c>
      <c r="AD63" s="1">
        <f t="shared" si="21"/>
        <v>-1694180.4175245259</v>
      </c>
      <c r="AE63" s="1">
        <f t="shared" si="21"/>
        <v>4209889.4314937303</v>
      </c>
      <c r="AF63" s="1">
        <f t="shared" si="21"/>
        <v>1490655.3159788493</v>
      </c>
      <c r="AG63" s="1">
        <f t="shared" si="21"/>
        <v>-2000423.0646895971</v>
      </c>
      <c r="AH63" s="1">
        <f t="shared" si="21"/>
        <v>3055922.0229414478</v>
      </c>
      <c r="AI63" s="1">
        <f t="shared" si="21"/>
        <v>-422572.12271986343</v>
      </c>
      <c r="AJ63" s="1">
        <f t="shared" si="21"/>
        <v>-1091451.7091480363</v>
      </c>
      <c r="AK63" s="1">
        <f t="shared" si="21"/>
        <v>-882515.83923809789</v>
      </c>
      <c r="AL63" s="1">
        <f t="shared" si="21"/>
        <v>-569538.47956609167</v>
      </c>
      <c r="AM63" s="1">
        <f t="shared" si="21"/>
        <v>-281831.14004014432</v>
      </c>
      <c r="AN63" s="1">
        <f>SUM(AB63:AM63)</f>
        <v>110757.24828872737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9">
        <f>Dataset!BL64</f>
        <v>0</v>
      </c>
      <c r="I64" s="109">
        <f>Dataset!BF64</f>
        <v>0</v>
      </c>
      <c r="J64" s="109">
        <f>Dataset!BM64</f>
        <v>0</v>
      </c>
      <c r="K64" s="109">
        <f>Dataset!AM64</f>
        <v>711695.1</v>
      </c>
      <c r="M64" s="8">
        <f t="shared" si="12"/>
        <v>-4974967.3380324002</v>
      </c>
      <c r="N64" s="1">
        <f t="shared" si="13"/>
        <v>967268.08795732446</v>
      </c>
      <c r="O64" s="1">
        <f t="shared" si="14"/>
        <v>0</v>
      </c>
      <c r="P64" s="1">
        <f t="shared" si="5"/>
        <v>7632823.6066066818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7791381.7287178952</v>
      </c>
      <c r="U64" s="1">
        <f t="shared" si="10"/>
        <v>11416506.085249502</v>
      </c>
      <c r="V64" s="1">
        <f t="shared" si="15"/>
        <v>-280800.18133251928</v>
      </c>
      <c r="W64" s="100">
        <f t="shared" si="19"/>
        <v>2.4595982276514727E-2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9">
        <f>Dataset!BL65</f>
        <v>0</v>
      </c>
      <c r="I65" s="109">
        <f>Dataset!BF65</f>
        <v>0</v>
      </c>
      <c r="J65" s="109">
        <f>Dataset!BM65</f>
        <v>0</v>
      </c>
      <c r="K65" s="109">
        <f>Dataset!AM65</f>
        <v>711695.1</v>
      </c>
      <c r="M65" s="8">
        <f t="shared" si="12"/>
        <v>-4974967.3380324002</v>
      </c>
      <c r="N65" s="1">
        <f t="shared" si="13"/>
        <v>425909.12518537644</v>
      </c>
      <c r="O65" s="1">
        <f t="shared" si="14"/>
        <v>2507.0746036896649</v>
      </c>
      <c r="P65" s="1">
        <f t="shared" si="5"/>
        <v>7386603.4902645303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7791381.7287178952</v>
      </c>
      <c r="U65" s="1">
        <f t="shared" si="10"/>
        <v>10631434.080739092</v>
      </c>
      <c r="V65" s="1">
        <f t="shared" si="15"/>
        <v>775150.63492289744</v>
      </c>
      <c r="W65" s="100">
        <f t="shared" si="19"/>
        <v>7.2911201728394603E-2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9">
        <f>Dataset!BL66</f>
        <v>0</v>
      </c>
      <c r="I66" s="109">
        <f>Dataset!BF66</f>
        <v>0</v>
      </c>
      <c r="J66" s="109">
        <f>Dataset!BM66</f>
        <v>0</v>
      </c>
      <c r="K66" s="109">
        <f>Dataset!AM66</f>
        <v>711695.1</v>
      </c>
      <c r="M66" s="8">
        <f t="shared" ref="M66:M97" si="22">$AB$9</f>
        <v>-4974967.3380324002</v>
      </c>
      <c r="N66" s="1">
        <f t="shared" ref="N66:N97" si="23">E66*$AB$10</f>
        <v>296492.15563963313</v>
      </c>
      <c r="O66" s="1">
        <f t="shared" ref="O66:O97" si="24">F66*$AB$11</f>
        <v>43121.683183462235</v>
      </c>
      <c r="P66" s="1">
        <f t="shared" si="5"/>
        <v>7632823.6066066818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7791381.7287178952</v>
      </c>
      <c r="U66" s="1">
        <f t="shared" si="10"/>
        <v>10788851.836115273</v>
      </c>
      <c r="V66" s="1">
        <f t="shared" ref="V66:V97" si="25">U66-D66</f>
        <v>171743.54994226433</v>
      </c>
      <c r="W66" s="100">
        <f t="shared" si="19"/>
        <v>1.5918612337168198E-2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9">
        <f>Dataset!BL67</f>
        <v>0</v>
      </c>
      <c r="I67" s="109">
        <f>Dataset!BF67</f>
        <v>0</v>
      </c>
      <c r="J67" s="109">
        <f>Dataset!BM67</f>
        <v>0</v>
      </c>
      <c r="K67" s="109">
        <f>Dataset!AM67</f>
        <v>711695.1</v>
      </c>
      <c r="M67" s="8">
        <f t="shared" si="22"/>
        <v>-4974967.3380324002</v>
      </c>
      <c r="N67" s="1">
        <f t="shared" si="23"/>
        <v>60288.506304779316</v>
      </c>
      <c r="O67" s="1">
        <f t="shared" si="24"/>
        <v>205078.70258181458</v>
      </c>
      <c r="P67" s="1">
        <f t="shared" ref="P67:P117" si="26">G67*$AB$12</f>
        <v>7386603.4902645303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7791381.7287178952</v>
      </c>
      <c r="U67" s="1">
        <f t="shared" ref="U67:U121" si="31">SUM(M67:T67)</f>
        <v>10468385.08983662</v>
      </c>
      <c r="V67" s="1">
        <f t="shared" si="25"/>
        <v>-56436.568616613746</v>
      </c>
      <c r="W67" s="100">
        <f t="shared" si="19"/>
        <v>5.3911437277375275E-3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9">
        <f>Dataset!BL68</f>
        <v>0</v>
      </c>
      <c r="I68" s="109">
        <f>Dataset!BF68</f>
        <v>0</v>
      </c>
      <c r="J68" s="109">
        <f>Dataset!BM68</f>
        <v>0</v>
      </c>
      <c r="K68" s="109">
        <f>Dataset!AM68</f>
        <v>711695.1</v>
      </c>
      <c r="M68" s="8">
        <f t="shared" si="22"/>
        <v>-4974967.3380324002</v>
      </c>
      <c r="N68" s="1">
        <f t="shared" si="23"/>
        <v>0</v>
      </c>
      <c r="O68" s="1">
        <f t="shared" si="24"/>
        <v>309874.42101604259</v>
      </c>
      <c r="P68" s="1">
        <f t="shared" si="26"/>
        <v>7632823.6066066818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7791381.7287178952</v>
      </c>
      <c r="U68" s="1">
        <f t="shared" si="31"/>
        <v>10759112.418308221</v>
      </c>
      <c r="V68" s="1">
        <f t="shared" si="25"/>
        <v>865942.14483529516</v>
      </c>
      <c r="W68" s="100">
        <f t="shared" si="19"/>
        <v>8.0484533590500132E-2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9">
        <f>Dataset!BL69</f>
        <v>0</v>
      </c>
      <c r="I69" s="109">
        <f>Dataset!BF69</f>
        <v>0</v>
      </c>
      <c r="J69" s="109">
        <f>Dataset!BM69</f>
        <v>0</v>
      </c>
      <c r="K69" s="109">
        <f>Dataset!AM69</f>
        <v>711695.1</v>
      </c>
      <c r="M69" s="8">
        <f t="shared" si="22"/>
        <v>-4974967.3380324002</v>
      </c>
      <c r="N69" s="1">
        <f t="shared" si="23"/>
        <v>10431.149184697888</v>
      </c>
      <c r="O69" s="1">
        <f t="shared" si="24"/>
        <v>223631.0546491181</v>
      </c>
      <c r="P69" s="1">
        <f t="shared" si="26"/>
        <v>7632823.6066066818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7791381.7287178952</v>
      </c>
      <c r="U69" s="1">
        <f t="shared" si="31"/>
        <v>10683300.201125994</v>
      </c>
      <c r="V69" s="1">
        <f t="shared" si="25"/>
        <v>189049.49109822139</v>
      </c>
      <c r="W69" s="100">
        <f t="shared" si="19"/>
        <v>1.7695795076346915E-2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9">
        <f>Dataset!BL70</f>
        <v>0</v>
      </c>
      <c r="I70" s="109">
        <f>Dataset!BF70</f>
        <v>0</v>
      </c>
      <c r="J70" s="109">
        <f>Dataset!BM70</f>
        <v>0</v>
      </c>
      <c r="K70" s="109">
        <f>Dataset!AM70</f>
        <v>711695.1</v>
      </c>
      <c r="M70" s="8">
        <f t="shared" si="22"/>
        <v>-4974967.3380324002</v>
      </c>
      <c r="N70" s="1">
        <f t="shared" si="23"/>
        <v>72310.847737990436</v>
      </c>
      <c r="O70" s="1">
        <f t="shared" si="24"/>
        <v>260735.75878372515</v>
      </c>
      <c r="P70" s="1">
        <f t="shared" si="26"/>
        <v>7386603.4902645303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7791381.7287178952</v>
      </c>
      <c r="U70" s="1">
        <f t="shared" si="31"/>
        <v>10536064.487471741</v>
      </c>
      <c r="V70" s="1">
        <f t="shared" si="25"/>
        <v>-258654.01308725961</v>
      </c>
      <c r="W70" s="100">
        <f t="shared" si="19"/>
        <v>2.4549395402317514E-2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9">
        <f>Dataset!BL71</f>
        <v>0</v>
      </c>
      <c r="I71" s="109">
        <f>Dataset!BF71</f>
        <v>0</v>
      </c>
      <c r="J71" s="109">
        <f>Dataset!BM71</f>
        <v>0</v>
      </c>
      <c r="K71" s="109">
        <f>Dataset!AM71</f>
        <v>711695.1</v>
      </c>
      <c r="M71" s="8">
        <f t="shared" si="22"/>
        <v>-4974967.3380324002</v>
      </c>
      <c r="N71" s="1">
        <f t="shared" si="23"/>
        <v>196600.64226074662</v>
      </c>
      <c r="O71" s="1">
        <f t="shared" si="24"/>
        <v>27577.820640586313</v>
      </c>
      <c r="P71" s="1">
        <f t="shared" si="26"/>
        <v>7632823.6066066818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7791381.7287178952</v>
      </c>
      <c r="U71" s="1">
        <f t="shared" si="31"/>
        <v>10673416.460193511</v>
      </c>
      <c r="V71" s="1">
        <f t="shared" si="25"/>
        <v>-598969.85889667086</v>
      </c>
      <c r="W71" s="100">
        <f t="shared" si="19"/>
        <v>5.6117913240856659E-2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9">
        <f>Dataset!BL72</f>
        <v>0</v>
      </c>
      <c r="I72" s="109">
        <f>Dataset!BF72</f>
        <v>0</v>
      </c>
      <c r="J72" s="109">
        <f>Dataset!BM72</f>
        <v>0</v>
      </c>
      <c r="K72" s="109">
        <f>Dataset!AM72</f>
        <v>711695.1</v>
      </c>
      <c r="M72" s="8">
        <f t="shared" si="22"/>
        <v>-4974967.3380324002</v>
      </c>
      <c r="N72" s="1">
        <f t="shared" si="23"/>
        <v>680323.08580877073</v>
      </c>
      <c r="O72" s="1">
        <f t="shared" si="24"/>
        <v>0</v>
      </c>
      <c r="P72" s="1">
        <f t="shared" si="26"/>
        <v>7386603.4902645303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7791381.7287178952</v>
      </c>
      <c r="U72" s="1">
        <f t="shared" si="31"/>
        <v>10883340.966758795</v>
      </c>
      <c r="V72" s="1">
        <f t="shared" si="25"/>
        <v>-333655.24769102409</v>
      </c>
      <c r="W72" s="100">
        <f t="shared" si="19"/>
        <v>3.0657428514838776E-2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9">
        <f>Dataset!BL73</f>
        <v>0</v>
      </c>
      <c r="I73" s="109">
        <f>Dataset!BF73</f>
        <v>1</v>
      </c>
      <c r="J73" s="109">
        <f>Dataset!BM73</f>
        <v>0</v>
      </c>
      <c r="K73" s="109">
        <f>Dataset!AM73</f>
        <v>711695.1</v>
      </c>
      <c r="M73" s="8">
        <f t="shared" si="22"/>
        <v>-4974967.3380324002</v>
      </c>
      <c r="N73" s="1">
        <f t="shared" si="23"/>
        <v>1155735.9698367813</v>
      </c>
      <c r="O73" s="1">
        <f t="shared" si="24"/>
        <v>0</v>
      </c>
      <c r="P73" s="1">
        <f t="shared" si="26"/>
        <v>7632823.6066066818</v>
      </c>
      <c r="Q73" s="1">
        <f t="shared" si="27"/>
        <v>0</v>
      </c>
      <c r="R73" s="1">
        <f t="shared" si="28"/>
        <v>-585858.10088396806</v>
      </c>
      <c r="S73" s="1">
        <f t="shared" si="29"/>
        <v>0</v>
      </c>
      <c r="T73" s="1">
        <f t="shared" si="30"/>
        <v>7791381.7287178952</v>
      </c>
      <c r="U73" s="1">
        <f t="shared" si="31"/>
        <v>11019115.86624499</v>
      </c>
      <c r="V73" s="1">
        <f t="shared" si="25"/>
        <v>-55159.310840060934</v>
      </c>
      <c r="W73" s="100">
        <f t="shared" si="19"/>
        <v>5.0057837225426782E-3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9">
        <f>Dataset!BL74</f>
        <v>0</v>
      </c>
      <c r="I74" s="109">
        <f>Dataset!BF74</f>
        <v>0</v>
      </c>
      <c r="J74" s="109">
        <f>Dataset!BM74</f>
        <v>0</v>
      </c>
      <c r="K74" s="109">
        <f>Dataset!AM74</f>
        <v>732426.3</v>
      </c>
      <c r="M74" s="8">
        <f t="shared" si="22"/>
        <v>-4974967.3380324002</v>
      </c>
      <c r="N74" s="1">
        <f t="shared" si="23"/>
        <v>1156619.9655303997</v>
      </c>
      <c r="O74" s="1">
        <f t="shared" si="24"/>
        <v>0</v>
      </c>
      <c r="P74" s="1">
        <f t="shared" si="26"/>
        <v>7632823.6066066818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8018339.44262431</v>
      </c>
      <c r="U74" s="1">
        <f t="shared" si="31"/>
        <v>11832815.676728992</v>
      </c>
      <c r="V74" s="1">
        <f t="shared" si="25"/>
        <v>-710047.92485900037</v>
      </c>
      <c r="W74" s="100">
        <f t="shared" si="19"/>
        <v>6.0006675017799542E-2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9">
        <f>Dataset!BL75</f>
        <v>0</v>
      </c>
      <c r="I75" s="109">
        <f>Dataset!BF75</f>
        <v>0</v>
      </c>
      <c r="J75" s="109">
        <f>Dataset!BM75</f>
        <v>0</v>
      </c>
      <c r="K75" s="109">
        <f>Dataset!AM75</f>
        <v>732426.3</v>
      </c>
      <c r="M75" s="8">
        <f t="shared" si="22"/>
        <v>-4974967.3380324002</v>
      </c>
      <c r="N75" s="1">
        <f t="shared" si="23"/>
        <v>880813.30912143853</v>
      </c>
      <c r="O75" s="1">
        <f t="shared" si="24"/>
        <v>0</v>
      </c>
      <c r="P75" s="1">
        <f t="shared" si="26"/>
        <v>6894163.2575802281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8018339.44262431</v>
      </c>
      <c r="U75" s="1">
        <f t="shared" si="31"/>
        <v>10818348.671293575</v>
      </c>
      <c r="V75" s="1">
        <f t="shared" si="25"/>
        <v>-232606.42718433402</v>
      </c>
      <c r="W75" s="100">
        <f t="shared" si="19"/>
        <v>2.1501102825568361E-2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9">
        <f>Dataset!BL76</f>
        <v>0</v>
      </c>
      <c r="I76" s="109">
        <f>Dataset!BF76</f>
        <v>0</v>
      </c>
      <c r="J76" s="109">
        <f>Dataset!BM76</f>
        <v>0</v>
      </c>
      <c r="K76" s="109">
        <f>Dataset!AM76</f>
        <v>732426.3</v>
      </c>
      <c r="M76" s="8">
        <f t="shared" si="22"/>
        <v>-4974967.3380324002</v>
      </c>
      <c r="N76" s="1">
        <f t="shared" si="23"/>
        <v>946052.19131048128</v>
      </c>
      <c r="O76" s="1">
        <f t="shared" si="24"/>
        <v>0</v>
      </c>
      <c r="P76" s="1">
        <f t="shared" si="26"/>
        <v>7632823.6066066818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8018339.44262431</v>
      </c>
      <c r="U76" s="1">
        <f t="shared" si="31"/>
        <v>11622247.902509073</v>
      </c>
      <c r="V76" s="1">
        <f t="shared" si="25"/>
        <v>-228488.16725831106</v>
      </c>
      <c r="W76" s="100">
        <f t="shared" si="19"/>
        <v>1.9659550301709173E-2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9">
        <f>Dataset!BL77</f>
        <v>0</v>
      </c>
      <c r="I77" s="109">
        <f>Dataset!BF77</f>
        <v>0</v>
      </c>
      <c r="J77" s="109">
        <f>Dataset!BM77</f>
        <v>0</v>
      </c>
      <c r="K77" s="109">
        <f>Dataset!AM77</f>
        <v>732426.3</v>
      </c>
      <c r="M77" s="8">
        <f t="shared" si="22"/>
        <v>-4974967.3380324002</v>
      </c>
      <c r="N77" s="1">
        <f t="shared" si="23"/>
        <v>729119.64809650986</v>
      </c>
      <c r="O77" s="1">
        <f t="shared" si="24"/>
        <v>0</v>
      </c>
      <c r="P77" s="1">
        <f t="shared" si="26"/>
        <v>7386603.4902645303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8018339.44262431</v>
      </c>
      <c r="U77" s="1">
        <f t="shared" si="31"/>
        <v>11159095.24295295</v>
      </c>
      <c r="V77" s="1">
        <f t="shared" si="25"/>
        <v>321403.44268945232</v>
      </c>
      <c r="W77" s="100">
        <f t="shared" si="19"/>
        <v>2.8801926651931833E-2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9">
        <f>Dataset!BL78</f>
        <v>0</v>
      </c>
      <c r="I78" s="109">
        <f>Dataset!BF78</f>
        <v>0</v>
      </c>
      <c r="J78" s="109">
        <f>Dataset!BM78</f>
        <v>0</v>
      </c>
      <c r="K78" s="109">
        <f>Dataset!AM78</f>
        <v>732426.3</v>
      </c>
      <c r="M78" s="8">
        <f t="shared" si="22"/>
        <v>-4974967.3380324002</v>
      </c>
      <c r="N78" s="1">
        <f t="shared" si="23"/>
        <v>168843.17748112683</v>
      </c>
      <c r="O78" s="1">
        <f t="shared" si="24"/>
        <v>134379.19875776605</v>
      </c>
      <c r="P78" s="1">
        <f t="shared" si="26"/>
        <v>7632823.6066066818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8018339.44262431</v>
      </c>
      <c r="U78" s="1">
        <f t="shared" si="31"/>
        <v>10979418.087437484</v>
      </c>
      <c r="V78" s="1">
        <f t="shared" si="25"/>
        <v>28524.714568208903</v>
      </c>
      <c r="W78" s="100">
        <f t="shared" si="19"/>
        <v>2.5980169751297229E-3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9">
        <f>Dataset!BL79</f>
        <v>0</v>
      </c>
      <c r="I79" s="109">
        <f>Dataset!BF79</f>
        <v>0</v>
      </c>
      <c r="J79" s="109">
        <f>Dataset!BM79</f>
        <v>0</v>
      </c>
      <c r="K79" s="109">
        <f>Dataset!AM79</f>
        <v>732426.3</v>
      </c>
      <c r="M79" s="8">
        <f t="shared" si="22"/>
        <v>-4974967.3380324002</v>
      </c>
      <c r="N79" s="1">
        <f t="shared" si="23"/>
        <v>54630.933865621133</v>
      </c>
      <c r="O79" s="1">
        <f t="shared" si="24"/>
        <v>157444.28511171095</v>
      </c>
      <c r="P79" s="1">
        <f t="shared" si="26"/>
        <v>7386603.4902645303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8018339.44262431</v>
      </c>
      <c r="U79" s="1">
        <f t="shared" si="31"/>
        <v>10642050.813833773</v>
      </c>
      <c r="V79" s="1">
        <f t="shared" si="25"/>
        <v>-359703.17286714166</v>
      </c>
      <c r="W79" s="100">
        <f t="shared" si="19"/>
        <v>3.3800174342294785E-2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9">
        <f>Dataset!BL80</f>
        <v>0</v>
      </c>
      <c r="I80" s="109">
        <f>Dataset!BF80</f>
        <v>0</v>
      </c>
      <c r="J80" s="109">
        <f>Dataset!BM80</f>
        <v>0</v>
      </c>
      <c r="K80" s="109">
        <f>Dataset!AM80</f>
        <v>732426.3</v>
      </c>
      <c r="M80" s="8">
        <f t="shared" si="22"/>
        <v>-4974967.3380324002</v>
      </c>
      <c r="N80" s="1">
        <f t="shared" si="23"/>
        <v>0</v>
      </c>
      <c r="O80" s="1">
        <f t="shared" si="24"/>
        <v>548046.50836656068</v>
      </c>
      <c r="P80" s="1">
        <f t="shared" si="26"/>
        <v>7632823.6066066818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8018339.44262431</v>
      </c>
      <c r="U80" s="1">
        <f t="shared" si="31"/>
        <v>11224242.219565153</v>
      </c>
      <c r="V80" s="1">
        <f t="shared" si="25"/>
        <v>-563676.41339936666</v>
      </c>
      <c r="W80" s="100">
        <f t="shared" si="19"/>
        <v>5.0219551785581878E-2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9">
        <f>Dataset!BL81</f>
        <v>0</v>
      </c>
      <c r="I81" s="109">
        <f>Dataset!BF81</f>
        <v>0</v>
      </c>
      <c r="J81" s="109">
        <f>Dataset!BM81</f>
        <v>0</v>
      </c>
      <c r="K81" s="109">
        <f>Dataset!AM81</f>
        <v>732426.3</v>
      </c>
      <c r="M81" s="8">
        <f t="shared" si="22"/>
        <v>-4974967.3380324002</v>
      </c>
      <c r="N81" s="1">
        <f t="shared" si="23"/>
        <v>1944.7905259606232</v>
      </c>
      <c r="O81" s="1">
        <f t="shared" si="24"/>
        <v>612227.61822101614</v>
      </c>
      <c r="P81" s="1">
        <f t="shared" si="26"/>
        <v>7632823.6066066818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8018339.44262431</v>
      </c>
      <c r="U81" s="1">
        <f t="shared" si="31"/>
        <v>11290368.119945567</v>
      </c>
      <c r="V81" s="1">
        <f t="shared" si="25"/>
        <v>-244306.52906489931</v>
      </c>
      <c r="W81" s="100">
        <f t="shared" si="19"/>
        <v>2.1638491010165323E-2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9">
        <f>Dataset!BL82</f>
        <v>0</v>
      </c>
      <c r="I82" s="109">
        <f>Dataset!BF82</f>
        <v>0</v>
      </c>
      <c r="J82" s="109">
        <f>Dataset!BM82</f>
        <v>0</v>
      </c>
      <c r="K82" s="109">
        <f>Dataset!AM82</f>
        <v>732426.3</v>
      </c>
      <c r="M82" s="8">
        <f t="shared" si="22"/>
        <v>-4974967.3380324002</v>
      </c>
      <c r="N82" s="1">
        <f t="shared" si="23"/>
        <v>77261.223622253849</v>
      </c>
      <c r="O82" s="1">
        <f t="shared" si="24"/>
        <v>274775.37656438723</v>
      </c>
      <c r="P82" s="1">
        <f t="shared" si="26"/>
        <v>7386603.4902645303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8018339.44262431</v>
      </c>
      <c r="U82" s="1">
        <f t="shared" si="31"/>
        <v>10782012.195043081</v>
      </c>
      <c r="V82" s="1">
        <f t="shared" si="25"/>
        <v>-305561.60461174883</v>
      </c>
      <c r="W82" s="100">
        <f t="shared" si="19"/>
        <v>2.8339942404463948E-2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9">
        <f>Dataset!BL83</f>
        <v>0</v>
      </c>
      <c r="I83" s="109">
        <f>Dataset!BF83</f>
        <v>0</v>
      </c>
      <c r="J83" s="109">
        <f>Dataset!BM83</f>
        <v>0</v>
      </c>
      <c r="K83" s="109">
        <f>Dataset!AM83</f>
        <v>732426.3</v>
      </c>
      <c r="M83" s="8">
        <f t="shared" si="22"/>
        <v>-4974967.3380324002</v>
      </c>
      <c r="N83" s="1">
        <f t="shared" si="23"/>
        <v>416538.77083302068</v>
      </c>
      <c r="O83" s="1">
        <f t="shared" si="24"/>
        <v>63178.280012979551</v>
      </c>
      <c r="P83" s="1">
        <f t="shared" si="26"/>
        <v>7632823.6066066818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8018339.44262431</v>
      </c>
      <c r="U83" s="1">
        <f t="shared" si="31"/>
        <v>11155912.762044592</v>
      </c>
      <c r="V83" s="1">
        <f t="shared" si="25"/>
        <v>-169661.18282446265</v>
      </c>
      <c r="W83" s="100">
        <f t="shared" si="19"/>
        <v>1.5208184793421432E-2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9">
        <f>Dataset!BL84</f>
        <v>0</v>
      </c>
      <c r="I84" s="109">
        <f>Dataset!BF84</f>
        <v>0</v>
      </c>
      <c r="J84" s="109">
        <f>Dataset!BM84</f>
        <v>0</v>
      </c>
      <c r="K84" s="109">
        <f>Dataset!AM84</f>
        <v>732426.3</v>
      </c>
      <c r="M84" s="8">
        <f t="shared" si="22"/>
        <v>-4974967.3380324002</v>
      </c>
      <c r="N84" s="1">
        <f t="shared" si="23"/>
        <v>783220.18454596004</v>
      </c>
      <c r="O84" s="1">
        <f t="shared" si="24"/>
        <v>0</v>
      </c>
      <c r="P84" s="1">
        <f t="shared" si="26"/>
        <v>7386603.4902645303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8018339.44262431</v>
      </c>
      <c r="U84" s="1">
        <f t="shared" si="31"/>
        <v>11213195.779402401</v>
      </c>
      <c r="V84" s="1">
        <f t="shared" si="25"/>
        <v>-248449.10587120987</v>
      </c>
      <c r="W84" s="100">
        <f t="shared" si="19"/>
        <v>2.2156850799625545E-2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9">
        <f>Dataset!BL85</f>
        <v>0</v>
      </c>
      <c r="I85" s="109">
        <f>Dataset!BF85</f>
        <v>1</v>
      </c>
      <c r="J85" s="109">
        <f>Dataset!BM85</f>
        <v>0</v>
      </c>
      <c r="K85" s="109">
        <f>Dataset!AM85</f>
        <v>732426.3</v>
      </c>
      <c r="M85" s="8">
        <f t="shared" si="22"/>
        <v>-4974967.3380324002</v>
      </c>
      <c r="N85" s="1">
        <f t="shared" si="23"/>
        <v>930493.86710279621</v>
      </c>
      <c r="O85" s="1">
        <f t="shared" si="24"/>
        <v>0</v>
      </c>
      <c r="P85" s="1">
        <f t="shared" si="26"/>
        <v>7632823.6066066818</v>
      </c>
      <c r="Q85" s="1">
        <f t="shared" si="27"/>
        <v>0</v>
      </c>
      <c r="R85" s="1">
        <f t="shared" si="28"/>
        <v>-585858.10088396806</v>
      </c>
      <c r="S85" s="1">
        <f t="shared" si="29"/>
        <v>0</v>
      </c>
      <c r="T85" s="1">
        <f t="shared" si="30"/>
        <v>8018339.44262431</v>
      </c>
      <c r="U85" s="1">
        <f t="shared" si="31"/>
        <v>11020831.477417421</v>
      </c>
      <c r="V85" s="1">
        <f t="shared" si="25"/>
        <v>-312061.90154630691</v>
      </c>
      <c r="W85" s="100">
        <f t="shared" si="19"/>
        <v>2.8315640447433309E-2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9">
        <f>Dataset!BL86</f>
        <v>0</v>
      </c>
      <c r="I86" s="109">
        <f>Dataset!BF86</f>
        <v>0</v>
      </c>
      <c r="J86" s="109">
        <f>Dataset!BM86</f>
        <v>0</v>
      </c>
      <c r="K86" s="109">
        <f>Dataset!AM86</f>
        <v>747589.4</v>
      </c>
      <c r="M86" s="8">
        <f t="shared" si="22"/>
        <v>-4974967.3380324002</v>
      </c>
      <c r="N86" s="1">
        <f t="shared" si="23"/>
        <v>1265705.034122918</v>
      </c>
      <c r="O86" s="1">
        <f t="shared" si="24"/>
        <v>0</v>
      </c>
      <c r="P86" s="1">
        <f t="shared" si="26"/>
        <v>7632823.6066066818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8184339.6023706989</v>
      </c>
      <c r="U86" s="1">
        <f t="shared" si="31"/>
        <v>12107900.905067898</v>
      </c>
      <c r="V86" s="1">
        <f t="shared" si="25"/>
        <v>-88053.406972767785</v>
      </c>
      <c r="W86" s="100">
        <f t="shared" si="19"/>
        <v>7.272392437231795E-3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9">
        <f>Dataset!BL87</f>
        <v>0</v>
      </c>
      <c r="I87" s="109">
        <f>Dataset!BF87</f>
        <v>0</v>
      </c>
      <c r="J87" s="109">
        <f>Dataset!BM87</f>
        <v>0</v>
      </c>
      <c r="K87" s="109">
        <f>Dataset!AM87</f>
        <v>747589.4</v>
      </c>
      <c r="M87" s="8">
        <f t="shared" si="22"/>
        <v>-4974967.3380324002</v>
      </c>
      <c r="N87" s="1">
        <f t="shared" si="23"/>
        <v>1022606.2183778402</v>
      </c>
      <c r="O87" s="1">
        <f t="shared" si="24"/>
        <v>0</v>
      </c>
      <c r="P87" s="1">
        <f t="shared" si="26"/>
        <v>6894163.2575802281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8184339.6023706989</v>
      </c>
      <c r="U87" s="1">
        <f t="shared" si="31"/>
        <v>11126141.740296368</v>
      </c>
      <c r="V87" s="1">
        <f t="shared" si="25"/>
        <v>39024.943709809333</v>
      </c>
      <c r="W87" s="100">
        <f t="shared" si="19"/>
        <v>3.5075001398256339E-3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9">
        <f>Dataset!BL88</f>
        <v>0</v>
      </c>
      <c r="I88" s="109">
        <f>Dataset!BF88</f>
        <v>0</v>
      </c>
      <c r="J88" s="109">
        <f>Dataset!BM88</f>
        <v>0</v>
      </c>
      <c r="K88" s="109">
        <f>Dataset!AM88</f>
        <v>747589.4</v>
      </c>
      <c r="M88" s="8">
        <f t="shared" si="22"/>
        <v>-4974967.3380324002</v>
      </c>
      <c r="N88" s="1">
        <f t="shared" si="23"/>
        <v>971157.66900924558</v>
      </c>
      <c r="O88" s="1">
        <f t="shared" si="24"/>
        <v>0</v>
      </c>
      <c r="P88" s="1">
        <f t="shared" si="26"/>
        <v>7632823.6066066818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8184339.6023706989</v>
      </c>
      <c r="U88" s="1">
        <f t="shared" si="31"/>
        <v>11813353.539954226</v>
      </c>
      <c r="V88" s="1">
        <f t="shared" si="25"/>
        <v>133740.02866733819</v>
      </c>
      <c r="W88" s="100">
        <f t="shared" si="19"/>
        <v>1.1321089156860737E-2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9">
        <f>Dataset!BL89</f>
        <v>0</v>
      </c>
      <c r="I89" s="109">
        <f>Dataset!BF89</f>
        <v>0</v>
      </c>
      <c r="J89" s="109">
        <f>Dataset!BM89</f>
        <v>0</v>
      </c>
      <c r="K89" s="109">
        <f>Dataset!AM89</f>
        <v>747589.4</v>
      </c>
      <c r="M89" s="8">
        <f t="shared" si="22"/>
        <v>-4974967.3380324002</v>
      </c>
      <c r="N89" s="1">
        <f t="shared" si="23"/>
        <v>585381.94831414754</v>
      </c>
      <c r="O89" s="1">
        <f t="shared" si="24"/>
        <v>0</v>
      </c>
      <c r="P89" s="1">
        <f t="shared" si="26"/>
        <v>7386603.4902645303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8184339.6023706989</v>
      </c>
      <c r="U89" s="1">
        <f t="shared" si="31"/>
        <v>11181357.702916976</v>
      </c>
      <c r="V89" s="1">
        <f t="shared" si="25"/>
        <v>460393.56901431642</v>
      </c>
      <c r="W89" s="100">
        <f t="shared" si="19"/>
        <v>4.1175104244649076E-2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9">
        <f>Dataset!BL90</f>
        <v>0</v>
      </c>
      <c r="I90" s="109">
        <f>Dataset!BF90</f>
        <v>0</v>
      </c>
      <c r="J90" s="109">
        <f>Dataset!BM90</f>
        <v>0</v>
      </c>
      <c r="K90" s="109">
        <f>Dataset!AM90</f>
        <v>747589.4</v>
      </c>
      <c r="M90" s="8">
        <f t="shared" si="22"/>
        <v>-4974967.3380324002</v>
      </c>
      <c r="N90" s="1">
        <f t="shared" si="23"/>
        <v>317531.25314775261</v>
      </c>
      <c r="O90" s="1">
        <f t="shared" si="24"/>
        <v>0</v>
      </c>
      <c r="P90" s="1">
        <f t="shared" si="26"/>
        <v>7632823.6066066818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8184339.6023706989</v>
      </c>
      <c r="U90" s="1">
        <f t="shared" si="31"/>
        <v>11159727.124092733</v>
      </c>
      <c r="V90" s="1">
        <f t="shared" si="25"/>
        <v>373430.88512209803</v>
      </c>
      <c r="W90" s="100">
        <f t="shared" si="19"/>
        <v>3.3462367042640148E-2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9">
        <f>Dataset!BL91</f>
        <v>0</v>
      </c>
      <c r="I91" s="109">
        <f>Dataset!BF91</f>
        <v>0</v>
      </c>
      <c r="J91" s="109">
        <f>Dataset!BM91</f>
        <v>0</v>
      </c>
      <c r="K91" s="109">
        <f>Dataset!AM91</f>
        <v>747589.4</v>
      </c>
      <c r="M91" s="8">
        <f t="shared" si="22"/>
        <v>-4974967.3380324002</v>
      </c>
      <c r="N91" s="1">
        <f t="shared" si="23"/>
        <v>94764.338355899454</v>
      </c>
      <c r="O91" s="1">
        <f t="shared" si="24"/>
        <v>84739.121604710672</v>
      </c>
      <c r="P91" s="1">
        <f t="shared" si="26"/>
        <v>7386603.4902645303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8184339.6023706989</v>
      </c>
      <c r="U91" s="1">
        <f t="shared" si="31"/>
        <v>10775479.214563441</v>
      </c>
      <c r="V91" s="1">
        <f t="shared" si="25"/>
        <v>135971.17075359263</v>
      </c>
      <c r="W91" s="100">
        <f t="shared" si="19"/>
        <v>1.261857296980563E-2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9">
        <f>Dataset!BL92</f>
        <v>0</v>
      </c>
      <c r="I92" s="109">
        <f>Dataset!BF92</f>
        <v>0</v>
      </c>
      <c r="J92" s="109">
        <f>Dataset!BM92</f>
        <v>0</v>
      </c>
      <c r="K92" s="109">
        <f>Dataset!AM92</f>
        <v>747589.4</v>
      </c>
      <c r="M92" s="8">
        <f t="shared" si="22"/>
        <v>-4974967.3380324002</v>
      </c>
      <c r="N92" s="1">
        <f t="shared" si="23"/>
        <v>0</v>
      </c>
      <c r="O92" s="1">
        <f t="shared" si="24"/>
        <v>527989.9115370434</v>
      </c>
      <c r="P92" s="1">
        <f t="shared" si="26"/>
        <v>7632823.6066066818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8184339.6023706989</v>
      </c>
      <c r="U92" s="1">
        <f t="shared" si="31"/>
        <v>11370185.782482024</v>
      </c>
      <c r="V92" s="1">
        <f t="shared" si="25"/>
        <v>380246.52888514102</v>
      </c>
      <c r="W92" s="100">
        <f t="shared" si="19"/>
        <v>3.3442420041278877E-2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9">
        <f>Dataset!BL93</f>
        <v>0</v>
      </c>
      <c r="I93" s="109">
        <f>Dataset!BF93</f>
        <v>0</v>
      </c>
      <c r="J93" s="109">
        <f>Dataset!BM93</f>
        <v>0</v>
      </c>
      <c r="K93" s="109">
        <f>Dataset!AM93</f>
        <v>747589.4</v>
      </c>
      <c r="M93" s="8">
        <f t="shared" si="22"/>
        <v>-4974967.3380324002</v>
      </c>
      <c r="N93" s="1">
        <f t="shared" si="23"/>
        <v>0</v>
      </c>
      <c r="O93" s="1">
        <f t="shared" si="24"/>
        <v>284302.26005840802</v>
      </c>
      <c r="P93" s="1">
        <f t="shared" si="26"/>
        <v>7632823.6066066818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8184339.6023706989</v>
      </c>
      <c r="U93" s="1">
        <f t="shared" si="31"/>
        <v>11126498.131003387</v>
      </c>
      <c r="V93" s="1">
        <f t="shared" si="25"/>
        <v>-161353.41065501049</v>
      </c>
      <c r="W93" s="100">
        <f t="shared" si="19"/>
        <v>1.4501724509835482E-2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9">
        <f>Dataset!BL94</f>
        <v>0</v>
      </c>
      <c r="I94" s="109">
        <f>Dataset!BF94</f>
        <v>0</v>
      </c>
      <c r="J94" s="109">
        <f>Dataset!BM94</f>
        <v>0</v>
      </c>
      <c r="K94" s="109">
        <f>Dataset!AM94</f>
        <v>747589.4</v>
      </c>
      <c r="M94" s="8">
        <f t="shared" si="22"/>
        <v>-4974967.3380324002</v>
      </c>
      <c r="N94" s="1">
        <f t="shared" si="23"/>
        <v>45614.177790712798</v>
      </c>
      <c r="O94" s="1">
        <f t="shared" si="24"/>
        <v>74209.40826921408</v>
      </c>
      <c r="P94" s="1">
        <f t="shared" si="26"/>
        <v>7386603.4902645303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8184339.6023706989</v>
      </c>
      <c r="U94" s="1">
        <f t="shared" si="31"/>
        <v>10715799.340662755</v>
      </c>
      <c r="V94" s="1">
        <f t="shared" si="25"/>
        <v>-258002.35042075813</v>
      </c>
      <c r="W94" s="100">
        <f t="shared" si="19"/>
        <v>2.407681799730314E-2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9">
        <f>Dataset!BL95</f>
        <v>0</v>
      </c>
      <c r="I95" s="109">
        <f>Dataset!BF95</f>
        <v>0</v>
      </c>
      <c r="J95" s="109">
        <f>Dataset!BM95</f>
        <v>0</v>
      </c>
      <c r="K95" s="109">
        <f>Dataset!AM95</f>
        <v>747589.4</v>
      </c>
      <c r="M95" s="8">
        <f t="shared" si="22"/>
        <v>-4974967.3380324002</v>
      </c>
      <c r="N95" s="1">
        <f t="shared" si="23"/>
        <v>340515.1411818327</v>
      </c>
      <c r="O95" s="1">
        <f t="shared" si="24"/>
        <v>19053.766988041451</v>
      </c>
      <c r="P95" s="1">
        <f t="shared" si="26"/>
        <v>7632823.6066066818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8184339.6023706989</v>
      </c>
      <c r="U95" s="1">
        <f t="shared" si="31"/>
        <v>11201764.779114855</v>
      </c>
      <c r="V95" s="1">
        <f t="shared" si="25"/>
        <v>206954.6798586268</v>
      </c>
      <c r="W95" s="100">
        <f t="shared" si="19"/>
        <v>1.8475185289061211E-2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9">
        <f>Dataset!BL96</f>
        <v>0</v>
      </c>
      <c r="I96" s="109">
        <f>Dataset!BF96</f>
        <v>0</v>
      </c>
      <c r="J96" s="109">
        <f>Dataset!BM96</f>
        <v>0</v>
      </c>
      <c r="K96" s="109">
        <f>Dataset!AM96</f>
        <v>747589.4</v>
      </c>
      <c r="M96" s="8">
        <f t="shared" si="22"/>
        <v>-4974967.3380324002</v>
      </c>
      <c r="N96" s="1">
        <f t="shared" si="23"/>
        <v>818933.61056814599</v>
      </c>
      <c r="O96" s="1">
        <f t="shared" si="24"/>
        <v>0</v>
      </c>
      <c r="P96" s="1">
        <f t="shared" si="26"/>
        <v>7386603.4902645303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8184339.6023706989</v>
      </c>
      <c r="U96" s="1">
        <f t="shared" si="31"/>
        <v>11414909.365170974</v>
      </c>
      <c r="V96" s="1">
        <f t="shared" si="25"/>
        <v>-11017.42378907837</v>
      </c>
      <c r="W96" s="100">
        <f t="shared" si="19"/>
        <v>9.6517838526993414E-4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9">
        <f>Dataset!BL97</f>
        <v>0</v>
      </c>
      <c r="I97" s="109">
        <f>Dataset!BF97</f>
        <v>1</v>
      </c>
      <c r="J97" s="109">
        <f>Dataset!BM97</f>
        <v>0</v>
      </c>
      <c r="K97" s="109">
        <f>Dataset!AM97</f>
        <v>747589.4</v>
      </c>
      <c r="M97" s="8">
        <f t="shared" si="22"/>
        <v>-4974967.3380324002</v>
      </c>
      <c r="N97" s="1">
        <f t="shared" si="23"/>
        <v>921300.31188916427</v>
      </c>
      <c r="O97" s="1">
        <f t="shared" si="24"/>
        <v>0</v>
      </c>
      <c r="P97" s="1">
        <f t="shared" si="26"/>
        <v>7632823.6066066818</v>
      </c>
      <c r="Q97" s="1">
        <f t="shared" si="27"/>
        <v>0</v>
      </c>
      <c r="R97" s="1">
        <f t="shared" si="28"/>
        <v>-585858.10088396806</v>
      </c>
      <c r="S97" s="1">
        <f t="shared" si="29"/>
        <v>0</v>
      </c>
      <c r="T97" s="1">
        <f t="shared" si="30"/>
        <v>8184339.6023706989</v>
      </c>
      <c r="U97" s="1">
        <f t="shared" si="31"/>
        <v>11177638.081950177</v>
      </c>
      <c r="V97" s="1">
        <f t="shared" si="25"/>
        <v>237269.87321661226</v>
      </c>
      <c r="W97" s="100">
        <f t="shared" si="19"/>
        <v>2.1227192317110299E-2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9">
        <f>Dataset!BL98</f>
        <v>0</v>
      </c>
      <c r="I98" s="109">
        <f>Dataset!BF98</f>
        <v>0</v>
      </c>
      <c r="J98" s="109">
        <f>Dataset!BM98</f>
        <v>0</v>
      </c>
      <c r="K98" s="109">
        <f>Dataset!AM98</f>
        <v>710048.9</v>
      </c>
      <c r="M98" s="8">
        <f t="shared" ref="M98:M121" si="32">$AB$9</f>
        <v>-4974967.3380324002</v>
      </c>
      <c r="N98" s="1">
        <f t="shared" ref="N98:N117" si="33">E98*$AB$10</f>
        <v>975577.64747733786</v>
      </c>
      <c r="O98" s="1">
        <f t="shared" ref="O98:O117" si="34">F98*$AB$11</f>
        <v>0</v>
      </c>
      <c r="P98" s="1">
        <f t="shared" si="26"/>
        <v>7632823.6066066818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7773359.7237865487</v>
      </c>
      <c r="U98" s="1">
        <f t="shared" si="31"/>
        <v>11406793.639838168</v>
      </c>
      <c r="V98" s="1">
        <f t="shared" ref="V98:V117" si="35">U98-D98</f>
        <v>-39072.261686882004</v>
      </c>
      <c r="W98" s="100">
        <f t="shared" si="19"/>
        <v>3.4253500957904886E-3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9">
        <f>Dataset!BL99</f>
        <v>0</v>
      </c>
      <c r="I99" s="109">
        <f>Dataset!BF99</f>
        <v>0</v>
      </c>
      <c r="J99" s="109">
        <f>Dataset!BM99</f>
        <v>0</v>
      </c>
      <c r="K99" s="109">
        <f>Dataset!AM99</f>
        <v>710048.9</v>
      </c>
      <c r="M99" s="8">
        <f t="shared" si="32"/>
        <v>-4974967.3380324002</v>
      </c>
      <c r="N99" s="1">
        <f t="shared" si="33"/>
        <v>996616.74498545751</v>
      </c>
      <c r="O99" s="1">
        <f t="shared" si="34"/>
        <v>0</v>
      </c>
      <c r="P99" s="1">
        <f t="shared" si="26"/>
        <v>7140383.3739223797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7773359.7237865487</v>
      </c>
      <c r="U99" s="1">
        <f t="shared" si="31"/>
        <v>10935392.504661985</v>
      </c>
      <c r="V99" s="1">
        <f t="shared" si="35"/>
        <v>-110013.8245418556</v>
      </c>
      <c r="W99" s="100">
        <f t="shared" si="19"/>
        <v>1.0060345295786541E-2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9">
        <f>Dataset!BL100</f>
        <v>0.5</v>
      </c>
      <c r="I100" s="109">
        <f>Dataset!BF100</f>
        <v>0</v>
      </c>
      <c r="J100" s="109">
        <f>Dataset!BM100</f>
        <v>0</v>
      </c>
      <c r="K100" s="109">
        <f>Dataset!AM100</f>
        <v>710048.9</v>
      </c>
      <c r="M100" s="8">
        <f t="shared" si="32"/>
        <v>-4974967.3380324002</v>
      </c>
      <c r="N100" s="1">
        <f t="shared" si="33"/>
        <v>749805.147327182</v>
      </c>
      <c r="O100" s="1">
        <f t="shared" si="34"/>
        <v>0</v>
      </c>
      <c r="P100" s="1">
        <f t="shared" si="26"/>
        <v>7632823.6066066818</v>
      </c>
      <c r="Q100" s="1">
        <f t="shared" si="27"/>
        <v>-1273125.8733054299</v>
      </c>
      <c r="R100" s="1">
        <f t="shared" si="28"/>
        <v>0</v>
      </c>
      <c r="S100" s="1">
        <f t="shared" si="29"/>
        <v>0</v>
      </c>
      <c r="T100" s="1">
        <f t="shared" si="30"/>
        <v>7773359.7237865487</v>
      </c>
      <c r="U100" s="1">
        <f t="shared" si="31"/>
        <v>9907895.2663825825</v>
      </c>
      <c r="V100" s="1">
        <f t="shared" si="35"/>
        <v>-644392.84108079225</v>
      </c>
      <c r="W100" s="100">
        <f t="shared" si="19"/>
        <v>6.5038317801684134E-2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9">
        <f>Dataset!BL101</f>
        <v>1</v>
      </c>
      <c r="I101" s="109">
        <f>Dataset!BF101</f>
        <v>0</v>
      </c>
      <c r="J101" s="109">
        <f>Dataset!BM101</f>
        <v>0</v>
      </c>
      <c r="K101" s="109">
        <f>Dataset!AM101</f>
        <v>710048.9</v>
      </c>
      <c r="M101" s="8">
        <f t="shared" si="32"/>
        <v>-4974967.3380324002</v>
      </c>
      <c r="N101" s="1">
        <f t="shared" si="33"/>
        <v>598641.88371842459</v>
      </c>
      <c r="O101" s="1">
        <f t="shared" si="34"/>
        <v>0</v>
      </c>
      <c r="P101" s="1">
        <f t="shared" si="26"/>
        <v>7386603.4902645303</v>
      </c>
      <c r="Q101" s="1">
        <f t="shared" si="27"/>
        <v>-2546251.7466108599</v>
      </c>
      <c r="R101" s="1">
        <f t="shared" si="28"/>
        <v>0</v>
      </c>
      <c r="S101" s="1">
        <f t="shared" si="29"/>
        <v>0</v>
      </c>
      <c r="T101" s="1">
        <f t="shared" si="30"/>
        <v>7773359.7237865487</v>
      </c>
      <c r="U101" s="1">
        <f t="shared" si="31"/>
        <v>8237386.0131262429</v>
      </c>
      <c r="V101" s="1">
        <f t="shared" si="35"/>
        <v>563744.28844938334</v>
      </c>
      <c r="W101" s="100">
        <f t="shared" si="19"/>
        <v>6.8437279441689272E-2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9">
        <f>Dataset!BL102</f>
        <v>1</v>
      </c>
      <c r="I102" s="109">
        <f>Dataset!BF102</f>
        <v>0</v>
      </c>
      <c r="J102" s="109">
        <f>Dataset!BM102</f>
        <v>0</v>
      </c>
      <c r="K102" s="109">
        <f>Dataset!AM102</f>
        <v>710048.9</v>
      </c>
      <c r="M102" s="8">
        <f t="shared" si="32"/>
        <v>-4974967.3380324002</v>
      </c>
      <c r="N102" s="1">
        <f t="shared" si="33"/>
        <v>350592.69208908326</v>
      </c>
      <c r="O102" s="1">
        <f t="shared" si="34"/>
        <v>97274.494623158986</v>
      </c>
      <c r="P102" s="1">
        <f t="shared" si="26"/>
        <v>7632823.6066066818</v>
      </c>
      <c r="Q102" s="1">
        <f t="shared" si="27"/>
        <v>-2546251.7466108599</v>
      </c>
      <c r="R102" s="1">
        <f t="shared" si="28"/>
        <v>0</v>
      </c>
      <c r="S102" s="1">
        <f t="shared" si="29"/>
        <v>0</v>
      </c>
      <c r="T102" s="1">
        <f t="shared" si="30"/>
        <v>7773359.7237865487</v>
      </c>
      <c r="U102" s="1">
        <f t="shared" si="31"/>
        <v>8332831.4324622136</v>
      </c>
      <c r="V102" s="1">
        <f t="shared" si="35"/>
        <v>-153970.32847185247</v>
      </c>
      <c r="W102" s="100">
        <f t="shared" si="19"/>
        <v>1.8477552284572832E-2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9">
        <f>Dataset!BL103</f>
        <v>0.5</v>
      </c>
      <c r="I103" s="109">
        <f>Dataset!BF103</f>
        <v>0</v>
      </c>
      <c r="J103" s="109">
        <f>Dataset!BM103</f>
        <v>0</v>
      </c>
      <c r="K103" s="109">
        <f>Dataset!AM103</f>
        <v>710048.9</v>
      </c>
      <c r="M103" s="8">
        <f t="shared" si="32"/>
        <v>-4974967.3380324002</v>
      </c>
      <c r="N103" s="1">
        <f t="shared" si="33"/>
        <v>52509.344200936823</v>
      </c>
      <c r="O103" s="1">
        <f t="shared" si="34"/>
        <v>226639.54417354573</v>
      </c>
      <c r="P103" s="1">
        <f t="shared" si="26"/>
        <v>7386603.4902645303</v>
      </c>
      <c r="Q103" s="1">
        <f t="shared" si="27"/>
        <v>-1273125.8733054299</v>
      </c>
      <c r="R103" s="1">
        <f t="shared" si="28"/>
        <v>0</v>
      </c>
      <c r="S103" s="1">
        <f t="shared" si="29"/>
        <v>0</v>
      </c>
      <c r="T103" s="1">
        <f t="shared" si="30"/>
        <v>7773359.7237865487</v>
      </c>
      <c r="U103" s="1">
        <f t="shared" si="31"/>
        <v>9191018.8910877313</v>
      </c>
      <c r="V103" s="1">
        <f t="shared" si="35"/>
        <v>-537740.14629279636</v>
      </c>
      <c r="W103" s="100">
        <f t="shared" si="19"/>
        <v>5.8507131000919567E-2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9">
        <f>Dataset!BL104</f>
        <v>0</v>
      </c>
      <c r="I104" s="109">
        <f>Dataset!BF104</f>
        <v>0</v>
      </c>
      <c r="J104" s="109">
        <f>Dataset!BM104</f>
        <v>0</v>
      </c>
      <c r="K104" s="109">
        <f>Dataset!AM104</f>
        <v>710048.9</v>
      </c>
      <c r="M104" s="8">
        <f t="shared" si="32"/>
        <v>-4974967.3380324002</v>
      </c>
      <c r="N104" s="1">
        <f t="shared" si="33"/>
        <v>0</v>
      </c>
      <c r="O104" s="1">
        <f t="shared" si="34"/>
        <v>698972.39950867859</v>
      </c>
      <c r="P104" s="1">
        <f t="shared" si="26"/>
        <v>7632823.6066066818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7773359.7237865487</v>
      </c>
      <c r="U104" s="1">
        <f t="shared" si="31"/>
        <v>11130188.391869508</v>
      </c>
      <c r="V104" s="1">
        <f t="shared" si="35"/>
        <v>72520.731312043965</v>
      </c>
      <c r="W104" s="100">
        <f t="shared" si="19"/>
        <v>6.5156786892322186E-3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9">
        <f>Dataset!BL105</f>
        <v>0</v>
      </c>
      <c r="I105" s="109">
        <f>Dataset!BF105</f>
        <v>0</v>
      </c>
      <c r="J105" s="109">
        <f>Dataset!BM105</f>
        <v>0</v>
      </c>
      <c r="K105" s="109">
        <f>Dataset!AM105</f>
        <v>710048.9</v>
      </c>
      <c r="M105" s="8">
        <f t="shared" si="32"/>
        <v>-4974967.3380324002</v>
      </c>
      <c r="N105" s="1">
        <f t="shared" si="33"/>
        <v>1237.5939710658508</v>
      </c>
      <c r="O105" s="1">
        <f t="shared" si="34"/>
        <v>407650.3305599395</v>
      </c>
      <c r="P105" s="1">
        <f t="shared" si="26"/>
        <v>7632823.6066066818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7773359.7237865487</v>
      </c>
      <c r="U105" s="1">
        <f t="shared" si="31"/>
        <v>10840103.916891836</v>
      </c>
      <c r="V105" s="1">
        <f t="shared" si="35"/>
        <v>12564.251769267023</v>
      </c>
      <c r="W105" s="100">
        <f t="shared" si="19"/>
        <v>1.1590527051764232E-3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9">
        <f>Dataset!BL106</f>
        <v>0</v>
      </c>
      <c r="I106" s="109">
        <f>Dataset!BF106</f>
        <v>0</v>
      </c>
      <c r="J106" s="109">
        <f>Dataset!BM106</f>
        <v>0</v>
      </c>
      <c r="K106" s="109">
        <f>Dataset!AM106</f>
        <v>710048.9</v>
      </c>
      <c r="M106" s="8">
        <f t="shared" si="32"/>
        <v>-4974967.3380324002</v>
      </c>
      <c r="N106" s="1">
        <f t="shared" si="33"/>
        <v>83449.193477583103</v>
      </c>
      <c r="O106" s="1">
        <f t="shared" si="34"/>
        <v>115325.43176972459</v>
      </c>
      <c r="P106" s="1">
        <f t="shared" si="26"/>
        <v>7386603.4902645303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7773359.7237865487</v>
      </c>
      <c r="U106" s="1">
        <f t="shared" si="31"/>
        <v>10383770.501265988</v>
      </c>
      <c r="V106" s="1">
        <f t="shared" si="35"/>
        <v>101776.32238259539</v>
      </c>
      <c r="W106" s="100">
        <f t="shared" si="19"/>
        <v>9.8014803360866685E-3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9">
        <f>Dataset!BL107</f>
        <v>0</v>
      </c>
      <c r="I107" s="109">
        <f>Dataset!BF107</f>
        <v>0</v>
      </c>
      <c r="J107" s="109">
        <f>Dataset!BM107</f>
        <v>0</v>
      </c>
      <c r="K107" s="109">
        <f>Dataset!AM107</f>
        <v>710048.9</v>
      </c>
      <c r="M107" s="8">
        <f t="shared" si="32"/>
        <v>-4974967.3380324002</v>
      </c>
      <c r="N107" s="1">
        <f t="shared" si="33"/>
        <v>385598.92155637441</v>
      </c>
      <c r="O107" s="1">
        <f t="shared" si="34"/>
        <v>0</v>
      </c>
      <c r="P107" s="1">
        <f t="shared" si="26"/>
        <v>7632823.6066066818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7773359.7237865487</v>
      </c>
      <c r="U107" s="1">
        <f t="shared" si="31"/>
        <v>10816814.913917204</v>
      </c>
      <c r="V107" s="1">
        <f t="shared" si="35"/>
        <v>61463.636848771945</v>
      </c>
      <c r="W107" s="100">
        <f t="shared" si="19"/>
        <v>5.6822306139019891E-3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9">
        <f>Dataset!BL108</f>
        <v>0</v>
      </c>
      <c r="I108" s="109">
        <f>Dataset!BF108</f>
        <v>0</v>
      </c>
      <c r="J108" s="109">
        <f>Dataset!BM108</f>
        <v>0</v>
      </c>
      <c r="K108" s="109">
        <f>Dataset!AM108</f>
        <v>710048.9</v>
      </c>
      <c r="M108" s="8">
        <f t="shared" si="32"/>
        <v>-4974967.3380324002</v>
      </c>
      <c r="N108" s="1">
        <f t="shared" si="33"/>
        <v>459500.96154287807</v>
      </c>
      <c r="O108" s="1">
        <f t="shared" si="34"/>
        <v>27076.405719848382</v>
      </c>
      <c r="P108" s="1">
        <f t="shared" si="26"/>
        <v>7386603.4902645303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7773359.7237865487</v>
      </c>
      <c r="U108" s="1">
        <f t="shared" si="31"/>
        <v>10671573.243281405</v>
      </c>
      <c r="V108" s="1">
        <f t="shared" si="35"/>
        <v>-172410.42939769477</v>
      </c>
      <c r="W108" s="100">
        <f t="shared" si="19"/>
        <v>1.6156046111218014E-2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9">
        <f>Dataset!BL109</f>
        <v>0</v>
      </c>
      <c r="I109" s="109">
        <f>Dataset!BF109</f>
        <v>1</v>
      </c>
      <c r="J109" s="109">
        <f>Dataset!BM109</f>
        <v>0</v>
      </c>
      <c r="K109" s="109">
        <f>Dataset!AM109</f>
        <v>710048.9</v>
      </c>
      <c r="M109" s="8">
        <f t="shared" si="32"/>
        <v>-4974967.3380324002</v>
      </c>
      <c r="N109" s="1">
        <f t="shared" si="33"/>
        <v>895664.43677422882</v>
      </c>
      <c r="O109" s="1">
        <f t="shared" si="34"/>
        <v>0</v>
      </c>
      <c r="P109" s="1">
        <f t="shared" si="26"/>
        <v>7632823.6066066818</v>
      </c>
      <c r="Q109" s="1">
        <f t="shared" si="27"/>
        <v>0</v>
      </c>
      <c r="R109" s="1">
        <f t="shared" si="28"/>
        <v>-585858.10088396806</v>
      </c>
      <c r="S109" s="1">
        <f t="shared" si="29"/>
        <v>0</v>
      </c>
      <c r="T109" s="1">
        <f t="shared" si="30"/>
        <v>7773359.7237865487</v>
      </c>
      <c r="U109" s="1">
        <f t="shared" si="31"/>
        <v>10741022.32825109</v>
      </c>
      <c r="V109" s="1">
        <f t="shared" si="35"/>
        <v>-117805.20645011961</v>
      </c>
      <c r="W109" s="100">
        <f t="shared" si="19"/>
        <v>1.09677834055207E-2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>
        <f>Dataset!L110</f>
        <v>11438528.201895148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9">
        <f>Dataset!BL110</f>
        <v>0</v>
      </c>
      <c r="I110" s="109">
        <f>Dataset!BF110</f>
        <v>0</v>
      </c>
      <c r="J110" s="109">
        <f>Dataset!BM110</f>
        <v>0</v>
      </c>
      <c r="K110" s="109">
        <f>Dataset!AM110</f>
        <v>740225.97825000004</v>
      </c>
      <c r="M110" s="8">
        <f t="shared" si="32"/>
        <v>-4974967.3380324002</v>
      </c>
      <c r="N110" s="1">
        <f t="shared" si="33"/>
        <v>1016064.6502450637</v>
      </c>
      <c r="O110" s="1">
        <f t="shared" si="34"/>
        <v>0</v>
      </c>
      <c r="P110" s="1">
        <f t="shared" si="26"/>
        <v>7632823.6066066818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8103727.512047478</v>
      </c>
      <c r="U110" s="1">
        <f t="shared" si="31"/>
        <v>11777648.430866823</v>
      </c>
      <c r="V110" s="1">
        <f t="shared" si="35"/>
        <v>339120.22897167504</v>
      </c>
      <c r="W110" s="100">
        <f t="shared" si="19"/>
        <v>2.8793543207055652E-2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>
        <f>Dataset!L111</f>
        <v>10765514.674237575</v>
      </c>
      <c r="E111">
        <f>Dataset!AC111</f>
        <v>583.6</v>
      </c>
      <c r="F111">
        <f>Dataset!AB111</f>
        <v>0</v>
      </c>
      <c r="G111" s="8">
        <f>Dataset!AR111</f>
        <v>28</v>
      </c>
      <c r="H111" s="109">
        <f>Dataset!BL111</f>
        <v>0</v>
      </c>
      <c r="I111" s="109">
        <f>Dataset!BF111</f>
        <v>0</v>
      </c>
      <c r="J111" s="109">
        <f>Dataset!BM111</f>
        <v>0</v>
      </c>
      <c r="K111" s="109">
        <f>Dataset!AM111</f>
        <v>740225.97825000004</v>
      </c>
      <c r="M111" s="8">
        <f t="shared" si="32"/>
        <v>-4974967.3380324002</v>
      </c>
      <c r="N111" s="1">
        <f t="shared" si="33"/>
        <v>1031799.7735914724</v>
      </c>
      <c r="O111" s="1">
        <f t="shared" si="34"/>
        <v>0</v>
      </c>
      <c r="P111" s="1">
        <f t="shared" si="26"/>
        <v>6894163.2575802281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8103727.512047478</v>
      </c>
      <c r="U111" s="1">
        <f t="shared" si="31"/>
        <v>11054723.205186779</v>
      </c>
      <c r="V111" s="1">
        <f t="shared" si="35"/>
        <v>289208.5309492033</v>
      </c>
      <c r="W111" s="100">
        <f t="shared" si="19"/>
        <v>2.6161535262457698E-2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>
        <f>Dataset!L112</f>
        <v>11294872.138339821</v>
      </c>
      <c r="E112">
        <f>Dataset!AC112</f>
        <v>398.9</v>
      </c>
      <c r="F112">
        <f>Dataset!AB112</f>
        <v>0</v>
      </c>
      <c r="G112" s="8">
        <f>Dataset!AR112</f>
        <v>31</v>
      </c>
      <c r="H112" s="109">
        <f>Dataset!BL112</f>
        <v>0</v>
      </c>
      <c r="I112" s="109">
        <f>Dataset!BF112</f>
        <v>0</v>
      </c>
      <c r="J112" s="109">
        <f>Dataset!BM112</f>
        <v>0</v>
      </c>
      <c r="K112" s="109">
        <f>Dataset!AM112</f>
        <v>740225.97825000004</v>
      </c>
      <c r="M112" s="8">
        <f t="shared" si="32"/>
        <v>-4974967.3380324002</v>
      </c>
      <c r="N112" s="1">
        <f t="shared" si="33"/>
        <v>705251.76436881139</v>
      </c>
      <c r="O112" s="1">
        <f t="shared" si="34"/>
        <v>0</v>
      </c>
      <c r="P112" s="1">
        <f t="shared" si="26"/>
        <v>7632823.6066066818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8103727.512047478</v>
      </c>
      <c r="U112" s="1">
        <f t="shared" si="31"/>
        <v>11466835.544990571</v>
      </c>
      <c r="V112" s="1">
        <f t="shared" si="35"/>
        <v>171963.40665074997</v>
      </c>
      <c r="W112" s="100">
        <f t="shared" si="19"/>
        <v>1.4996587853383344E-2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>
        <f>Dataset!L113</f>
        <v>10228699.670555416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9">
        <f>Dataset!BL113</f>
        <v>0</v>
      </c>
      <c r="I113" s="109">
        <f>Dataset!BF113</f>
        <v>0</v>
      </c>
      <c r="J113" s="109">
        <f>Dataset!BM113</f>
        <v>0</v>
      </c>
      <c r="K113" s="109">
        <f>Dataset!AM113</f>
        <v>740225.97825000004</v>
      </c>
      <c r="M113" s="8">
        <f t="shared" si="32"/>
        <v>-4974967.3380324002</v>
      </c>
      <c r="N113" s="1">
        <f t="shared" si="33"/>
        <v>457202.57273947011</v>
      </c>
      <c r="O113" s="1">
        <f t="shared" si="34"/>
        <v>1504.2447622137988</v>
      </c>
      <c r="P113" s="1">
        <f t="shared" si="26"/>
        <v>7386603.4902645303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8103727.512047478</v>
      </c>
      <c r="U113" s="1">
        <f t="shared" si="31"/>
        <v>10974070.481781293</v>
      </c>
      <c r="V113" s="1">
        <f t="shared" si="35"/>
        <v>745370.81122587621</v>
      </c>
      <c r="W113" s="100">
        <f t="shared" si="19"/>
        <v>6.7921088393163742E-2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>
        <f>Dataset!L114</f>
        <v>10129882.667198729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9">
        <f>Dataset!BL114</f>
        <v>0</v>
      </c>
      <c r="I114" s="109">
        <f>Dataset!BF114</f>
        <v>0</v>
      </c>
      <c r="J114" s="109">
        <f>Dataset!BM114</f>
        <v>0</v>
      </c>
      <c r="K114" s="109">
        <f>Dataset!AM114</f>
        <v>740225.97825000004</v>
      </c>
      <c r="M114" s="8">
        <f t="shared" si="32"/>
        <v>-4974967.3380324002</v>
      </c>
      <c r="N114" s="1">
        <f t="shared" si="33"/>
        <v>272624.2719119346</v>
      </c>
      <c r="O114" s="1">
        <f t="shared" si="34"/>
        <v>80226.387318069275</v>
      </c>
      <c r="P114" s="1">
        <f t="shared" si="26"/>
        <v>7632823.6066066818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8103727.512047478</v>
      </c>
      <c r="U114" s="1">
        <f t="shared" si="31"/>
        <v>11114434.439851765</v>
      </c>
      <c r="V114" s="1">
        <f t="shared" si="35"/>
        <v>984551.77265303582</v>
      </c>
      <c r="W114" s="100">
        <f t="shared" si="19"/>
        <v>8.8583164350930929E-2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>
        <f>Dataset!L115</f>
        <v>10673883.279096492</v>
      </c>
      <c r="E115">
        <f>Dataset!AC115</f>
        <v>7.3</v>
      </c>
      <c r="F115">
        <f>Dataset!AB115</f>
        <v>83</v>
      </c>
      <c r="G115" s="8">
        <f>Dataset!AR115</f>
        <v>30</v>
      </c>
      <c r="H115" s="109">
        <f>Dataset!BL115</f>
        <v>0</v>
      </c>
      <c r="I115" s="109">
        <f>Dataset!BF115</f>
        <v>0</v>
      </c>
      <c r="J115" s="109">
        <f>Dataset!BM115</f>
        <v>0</v>
      </c>
      <c r="K115" s="109">
        <f>Dataset!AM115</f>
        <v>740225.97825000004</v>
      </c>
      <c r="M115" s="8">
        <f t="shared" si="32"/>
        <v>-4974967.3380324002</v>
      </c>
      <c r="N115" s="1">
        <f t="shared" si="33"/>
        <v>12906.337126829589</v>
      </c>
      <c r="O115" s="1">
        <f t="shared" si="34"/>
        <v>416174.38421248435</v>
      </c>
      <c r="P115" s="1">
        <f t="shared" si="26"/>
        <v>7386603.4902645303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8103727.512047478</v>
      </c>
      <c r="U115" s="1">
        <f t="shared" si="31"/>
        <v>10944444.385618921</v>
      </c>
      <c r="V115" s="1">
        <f t="shared" si="35"/>
        <v>270561.10652242973</v>
      </c>
      <c r="W115" s="100">
        <f t="shared" si="19"/>
        <v>2.4721319510559073E-2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>
        <f>Dataset!L116</f>
        <v>10507497.309913272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9">
        <f>Dataset!BL116</f>
        <v>0</v>
      </c>
      <c r="I116" s="109">
        <f>Dataset!BF116</f>
        <v>0</v>
      </c>
      <c r="J116" s="109">
        <f>Dataset!BM116</f>
        <v>0</v>
      </c>
      <c r="K116" s="109">
        <f>Dataset!AM116</f>
        <v>740225.97825000004</v>
      </c>
      <c r="M116" s="8">
        <f t="shared" si="32"/>
        <v>-4974967.3380324002</v>
      </c>
      <c r="N116" s="1">
        <f t="shared" si="33"/>
        <v>4066.3801906449385</v>
      </c>
      <c r="O116" s="1">
        <f t="shared" si="34"/>
        <v>316894.22990637366</v>
      </c>
      <c r="P116" s="1">
        <f t="shared" si="26"/>
        <v>7632823.6066066818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8103727.512047478</v>
      </c>
      <c r="U116" s="1">
        <f t="shared" si="31"/>
        <v>11082544.390718779</v>
      </c>
      <c r="V116" s="1">
        <f t="shared" si="35"/>
        <v>575047.08080550656</v>
      </c>
      <c r="W116" s="100">
        <f t="shared" si="19"/>
        <v>5.188764064749312E-2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>
        <f>Dataset!L117</f>
        <v>11658260.80223448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9">
        <f>Dataset!BL117</f>
        <v>0</v>
      </c>
      <c r="I117" s="109">
        <f>Dataset!BF117</f>
        <v>0</v>
      </c>
      <c r="J117" s="109">
        <f>Dataset!BM117</f>
        <v>0</v>
      </c>
      <c r="K117" s="109">
        <f>Dataset!AM117</f>
        <v>740225.97825000004</v>
      </c>
      <c r="M117" s="8">
        <f t="shared" si="32"/>
        <v>-4974967.3380324002</v>
      </c>
      <c r="N117" s="1">
        <f t="shared" si="33"/>
        <v>353.59827744738601</v>
      </c>
      <c r="O117" s="1">
        <f t="shared" si="34"/>
        <v>657856.37600816798</v>
      </c>
      <c r="P117" s="1">
        <f t="shared" si="26"/>
        <v>7632823.6066066818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8103727.512047478</v>
      </c>
      <c r="U117" s="1">
        <f t="shared" si="31"/>
        <v>11419793.754907375</v>
      </c>
      <c r="V117" s="1">
        <f t="shared" si="35"/>
        <v>-238467.04732710496</v>
      </c>
      <c r="W117" s="100">
        <f t="shared" si="19"/>
        <v>2.088190491396831E-2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>
        <f>Dataset!L118</f>
        <v>10318152.519291902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9">
        <f>Dataset!BL118</f>
        <v>0</v>
      </c>
      <c r="I118" s="109">
        <f>Dataset!BF118</f>
        <v>0</v>
      </c>
      <c r="J118" s="109">
        <f>Dataset!BM118</f>
        <v>0</v>
      </c>
      <c r="K118" s="109">
        <f>Dataset!AM118</f>
        <v>740225.97825000004</v>
      </c>
      <c r="M118" s="8">
        <f t="shared" si="32"/>
        <v>-4974967.3380324002</v>
      </c>
      <c r="N118" s="1">
        <f t="shared" ref="N118:N121" si="36">E118*$AB$10</f>
        <v>38719.011380488766</v>
      </c>
      <c r="O118" s="1">
        <f t="shared" ref="O118:O121" si="37">F118*$AB$11</f>
        <v>94767.420019469326</v>
      </c>
      <c r="P118" s="1">
        <f t="shared" ref="P118:P121" si="38">G118*$AB$12</f>
        <v>7386603.4902645303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8103727.512047478</v>
      </c>
      <c r="U118" s="1">
        <f t="shared" si="31"/>
        <v>10648850.095679566</v>
      </c>
      <c r="V118" s="1">
        <f t="shared" ref="V118:V121" si="41">U118-D118</f>
        <v>330697.5763876643</v>
      </c>
      <c r="W118" s="100">
        <f t="shared" ref="W118:W121" si="42">ABS(V118/U118)</f>
        <v>3.1054768676087793E-2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Dataset!L119</f>
        <v>11053578.323806679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9">
        <f>Dataset!BL119</f>
        <v>0</v>
      </c>
      <c r="I119" s="109">
        <f>Dataset!BF119</f>
        <v>0</v>
      </c>
      <c r="J119" s="109">
        <f>Dataset!BM119</f>
        <v>0</v>
      </c>
      <c r="K119" s="109">
        <f>Dataset!AM119</f>
        <v>740225.97825000004</v>
      </c>
      <c r="M119" s="8">
        <f t="shared" si="32"/>
        <v>-4974967.3380324002</v>
      </c>
      <c r="N119" s="1">
        <f t="shared" si="36"/>
        <v>170434.36972964005</v>
      </c>
      <c r="O119" s="1">
        <f t="shared" si="37"/>
        <v>71200.918744786482</v>
      </c>
      <c r="P119" s="1">
        <f t="shared" si="38"/>
        <v>7632823.6066066818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8103727.512047478</v>
      </c>
      <c r="U119" s="1">
        <f t="shared" si="31"/>
        <v>11003219.069096185</v>
      </c>
      <c r="V119" s="1">
        <f t="shared" si="41"/>
        <v>-50359.254710493609</v>
      </c>
      <c r="W119" s="100">
        <f t="shared" si="42"/>
        <v>4.5767747051345554E-3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Dataset!L120</f>
        <v>11019198.930448858</v>
      </c>
      <c r="E120">
        <f>Dataset!AC120</f>
        <v>352.5</v>
      </c>
      <c r="F120">
        <f>Dataset!AB120</f>
        <v>0</v>
      </c>
      <c r="G120" s="8">
        <f>Dataset!AR120</f>
        <v>30</v>
      </c>
      <c r="H120" s="109">
        <f>Dataset!BL120</f>
        <v>0</v>
      </c>
      <c r="I120" s="109">
        <f>Dataset!BF120</f>
        <v>0</v>
      </c>
      <c r="J120" s="109">
        <f>Dataset!BM120</f>
        <v>0</v>
      </c>
      <c r="K120" s="109">
        <f>Dataset!AM120</f>
        <v>740225.97825000004</v>
      </c>
      <c r="M120" s="8">
        <f t="shared" si="32"/>
        <v>-4974967.3380324002</v>
      </c>
      <c r="N120" s="1">
        <f t="shared" si="36"/>
        <v>623216.96400101786</v>
      </c>
      <c r="O120" s="1">
        <f t="shared" si="37"/>
        <v>0</v>
      </c>
      <c r="P120" s="1">
        <f t="shared" si="38"/>
        <v>7386603.4902645303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8103727.512047478</v>
      </c>
      <c r="U120" s="1">
        <f t="shared" si="31"/>
        <v>11138580.628280625</v>
      </c>
      <c r="V120" s="1">
        <f t="shared" si="41"/>
        <v>119381.69783176668</v>
      </c>
      <c r="W120" s="100">
        <f t="shared" si="42"/>
        <v>1.0717855516407452E-2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Dataset!L121</f>
        <v>10848758.697127184</v>
      </c>
      <c r="E121">
        <f>Dataset!AC121</f>
        <v>464.3</v>
      </c>
      <c r="F121">
        <f>Dataset!AB121</f>
        <v>0</v>
      </c>
      <c r="G121" s="8">
        <f>Dataset!AR121</f>
        <v>31</v>
      </c>
      <c r="H121" s="109">
        <f>Dataset!BL121</f>
        <v>0</v>
      </c>
      <c r="I121" s="109">
        <f>Dataset!BF121</f>
        <v>1</v>
      </c>
      <c r="J121" s="109">
        <f>Dataset!BM121</f>
        <v>0</v>
      </c>
      <c r="K121" s="109">
        <f>Dataset!AM121</f>
        <v>740225.97825000004</v>
      </c>
      <c r="M121" s="8">
        <f t="shared" si="32"/>
        <v>-4974967.3380324002</v>
      </c>
      <c r="N121" s="1">
        <f t="shared" si="36"/>
        <v>820878.40109410661</v>
      </c>
      <c r="O121" s="1">
        <f t="shared" si="37"/>
        <v>0</v>
      </c>
      <c r="P121" s="1">
        <f t="shared" si="38"/>
        <v>7632823.6066066818</v>
      </c>
      <c r="Q121" s="1">
        <f t="shared" si="39"/>
        <v>0</v>
      </c>
      <c r="R121" s="1">
        <f t="shared" si="40"/>
        <v>-585858.10088396806</v>
      </c>
      <c r="S121" s="1">
        <f t="shared" si="29"/>
        <v>0</v>
      </c>
      <c r="T121" s="1">
        <f t="shared" si="30"/>
        <v>8103727.512047478</v>
      </c>
      <c r="U121" s="1">
        <f t="shared" si="31"/>
        <v>10996604.080831898</v>
      </c>
      <c r="V121" s="1">
        <f t="shared" si="41"/>
        <v>147845.38370471448</v>
      </c>
      <c r="W121" s="100">
        <f t="shared" si="42"/>
        <v>1.3444640055962614E-2</v>
      </c>
    </row>
    <row r="122" spans="1:23">
      <c r="W122" s="100">
        <f>AVERAGE(W2:W121)</f>
        <v>2.8042121862395457E-2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1" width="11.85546875" customWidth="1"/>
    <col min="22" max="22" width="13.42578125" bestFit="1" customWidth="1"/>
    <col min="23" max="23" width="10.85546875" bestFit="1" customWidth="1"/>
    <col min="24" max="24" width="8.42578125" bestFit="1" customWidth="1"/>
    <col min="29" max="29" width="12.140625" customWidth="1"/>
    <col min="30" max="30" width="13.42578125" customWidth="1"/>
    <col min="31" max="31" width="12.5703125" bestFit="1" customWidth="1"/>
    <col min="32" max="32" width="12" bestFit="1" customWidth="1"/>
    <col min="33" max="33" width="10.28515625" bestFit="1" customWidth="1"/>
    <col min="34" max="37" width="10.85546875" bestFit="1" customWidth="1"/>
    <col min="38" max="38" width="10.28515625" bestFit="1" customWidth="1"/>
    <col min="39" max="40" width="10.85546875" bestFit="1" customWidth="1"/>
    <col min="41" max="41" width="12.85546875" customWidth="1"/>
  </cols>
  <sheetData>
    <row r="1" spans="1:32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9" t="str">
        <f>Dataset!BL1</f>
        <v>COVID2020</v>
      </c>
      <c r="I1" s="109" t="str">
        <f>Dataset!BF1</f>
        <v>Dec</v>
      </c>
      <c r="J1" s="109" t="str">
        <f>Dataset!BM1</f>
        <v>D_2012</v>
      </c>
      <c r="K1" s="109" t="str">
        <f>Dataset!AM1</f>
        <v>OntarioGDP</v>
      </c>
      <c r="L1" s="109"/>
      <c r="M1" t="str">
        <f>AB9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9" t="str">
        <f t="shared" si="0"/>
        <v>Dec</v>
      </c>
      <c r="S1" s="109" t="str">
        <f t="shared" si="0"/>
        <v>D_2012</v>
      </c>
      <c r="T1" s="109" t="str">
        <f t="shared" si="0"/>
        <v>OntarioGDP</v>
      </c>
      <c r="U1" s="109" t="str">
        <f>Dataset!S1</f>
        <v>GSgt50Cust</v>
      </c>
      <c r="V1" s="38" t="s">
        <v>138</v>
      </c>
      <c r="W1" s="38" t="s">
        <v>139</v>
      </c>
      <c r="X1" s="38" t="s">
        <v>140</v>
      </c>
    </row>
    <row r="2" spans="1:32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9">
        <f>Dataset!BL2</f>
        <v>0</v>
      </c>
      <c r="I2" s="109">
        <f>Dataset!BF2</f>
        <v>0</v>
      </c>
      <c r="J2" s="109">
        <f>Dataset!BM2</f>
        <v>1</v>
      </c>
      <c r="K2" s="109">
        <f>Dataset!AM2</f>
        <v>634944.30000000005</v>
      </c>
      <c r="L2" s="109"/>
      <c r="M2" s="8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09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100">
        <f>ABS(W2/V2)</f>
        <v>1.9613958397011157E-2</v>
      </c>
    </row>
    <row r="3" spans="1:32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9">
        <f>Dataset!BL3</f>
        <v>0</v>
      </c>
      <c r="I3" s="109">
        <f>Dataset!BF3</f>
        <v>0</v>
      </c>
      <c r="J3" s="109">
        <f>Dataset!BM3</f>
        <v>1</v>
      </c>
      <c r="K3" s="109">
        <f>Dataset!AM3</f>
        <v>634944.30000000005</v>
      </c>
      <c r="L3" s="109"/>
      <c r="M3" s="8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09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100">
        <f t="shared" ref="X3:X66" si="11">ABS(W3/V3)</f>
        <v>4.7229925903461194E-2</v>
      </c>
    </row>
    <row r="4" spans="1:32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9">
        <f>Dataset!BL4</f>
        <v>0</v>
      </c>
      <c r="I4" s="109">
        <f>Dataset!BF4</f>
        <v>0</v>
      </c>
      <c r="J4" s="109">
        <f>Dataset!BM4</f>
        <v>1</v>
      </c>
      <c r="K4" s="109">
        <f>Dataset!AM4</f>
        <v>634944.30000000005</v>
      </c>
      <c r="M4" s="8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09">
        <f>Dataset!S4</f>
        <v>116</v>
      </c>
      <c r="V4" s="1">
        <f t="shared" si="10"/>
        <v>12391258.572971717</v>
      </c>
      <c r="W4" s="1">
        <f t="shared" si="4"/>
        <v>-161877.07056277245</v>
      </c>
      <c r="X4" s="100">
        <f t="shared" si="11"/>
        <v>1.3063811848448136E-2</v>
      </c>
      <c r="AB4" t="s">
        <v>343</v>
      </c>
    </row>
    <row r="5" spans="1:32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9">
        <f>Dataset!BL5</f>
        <v>0</v>
      </c>
      <c r="I5" s="109">
        <f>Dataset!BF5</f>
        <v>0</v>
      </c>
      <c r="J5" s="109">
        <f>Dataset!BM5</f>
        <v>1</v>
      </c>
      <c r="K5" s="109">
        <f>Dataset!AM5</f>
        <v>634944.30000000005</v>
      </c>
      <c r="M5" s="8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09">
        <f>Dataset!S5</f>
        <v>115</v>
      </c>
      <c r="V5" s="1">
        <f t="shared" si="10"/>
        <v>12063741.130108841</v>
      </c>
      <c r="W5" s="1">
        <f t="shared" si="4"/>
        <v>444673.52571821399</v>
      </c>
      <c r="X5" s="100">
        <f t="shared" si="11"/>
        <v>3.686033386512183E-2</v>
      </c>
      <c r="AB5" t="s">
        <v>196</v>
      </c>
    </row>
    <row r="6" spans="1:32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9">
        <f>Dataset!BL6</f>
        <v>0</v>
      </c>
      <c r="I6" s="109">
        <f>Dataset!BF6</f>
        <v>0</v>
      </c>
      <c r="J6" s="109">
        <f>Dataset!BM6</f>
        <v>1</v>
      </c>
      <c r="K6" s="109">
        <f>Dataset!AM6</f>
        <v>634944.30000000005</v>
      </c>
      <c r="M6" s="8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09">
        <f>Dataset!S6</f>
        <v>115</v>
      </c>
      <c r="V6" s="1">
        <f t="shared" si="10"/>
        <v>12042006.176039977</v>
      </c>
      <c r="W6" s="1">
        <f t="shared" si="4"/>
        <v>-246518.52724111639</v>
      </c>
      <c r="X6" s="100">
        <f t="shared" si="11"/>
        <v>2.0471549643581416E-2</v>
      </c>
      <c r="AB6" t="s">
        <v>352</v>
      </c>
    </row>
    <row r="7" spans="1:32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9">
        <f>Dataset!BL7</f>
        <v>0</v>
      </c>
      <c r="I7" s="109">
        <f>Dataset!BF7</f>
        <v>0</v>
      </c>
      <c r="J7" s="109">
        <f>Dataset!BM7</f>
        <v>1</v>
      </c>
      <c r="K7" s="109">
        <f>Dataset!AM7</f>
        <v>634944.30000000005</v>
      </c>
      <c r="M7" s="8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09">
        <f>Dataset!S7</f>
        <v>114</v>
      </c>
      <c r="V7" s="1">
        <f t="shared" si="10"/>
        <v>11789618.936754687</v>
      </c>
      <c r="W7" s="1">
        <f t="shared" si="4"/>
        <v>-557916.30581472814</v>
      </c>
      <c r="X7" s="100">
        <f t="shared" si="11"/>
        <v>4.7322675042142208E-2</v>
      </c>
    </row>
    <row r="8" spans="1:32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9">
        <f>Dataset!BL8</f>
        <v>0</v>
      </c>
      <c r="I8" s="109">
        <f>Dataset!BF8</f>
        <v>0</v>
      </c>
      <c r="J8" s="109">
        <f>Dataset!BM8</f>
        <v>1</v>
      </c>
      <c r="K8" s="109">
        <f>Dataset!AM8</f>
        <v>634944.30000000005</v>
      </c>
      <c r="M8" s="8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09">
        <f>Dataset!S8</f>
        <v>113</v>
      </c>
      <c r="V8" s="1">
        <f t="shared" si="10"/>
        <v>12043985.107539413</v>
      </c>
      <c r="W8" s="1">
        <f t="shared" si="4"/>
        <v>705762.09931128658</v>
      </c>
      <c r="X8" s="100">
        <f t="shared" si="11"/>
        <v>5.8598719029425456E-2</v>
      </c>
      <c r="AC8" t="s">
        <v>120</v>
      </c>
      <c r="AD8" t="s">
        <v>121</v>
      </c>
      <c r="AE8" t="s">
        <v>122</v>
      </c>
      <c r="AF8" t="s">
        <v>123</v>
      </c>
    </row>
    <row r="9" spans="1:32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9">
        <f>Dataset!BL9</f>
        <v>0</v>
      </c>
      <c r="I9" s="109">
        <f>Dataset!BF9</f>
        <v>0</v>
      </c>
      <c r="J9" s="109">
        <f>Dataset!BM9</f>
        <v>0</v>
      </c>
      <c r="K9" s="109">
        <f>Dataset!AM9</f>
        <v>634944.30000000005</v>
      </c>
      <c r="M9" s="8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09">
        <f>Dataset!S9</f>
        <v>115</v>
      </c>
      <c r="V9" s="1">
        <f t="shared" si="10"/>
        <v>9687320.6308748443</v>
      </c>
      <c r="W9" s="1">
        <f t="shared" si="4"/>
        <v>-571661.98348803818</v>
      </c>
      <c r="X9" s="100">
        <f t="shared" si="11"/>
        <v>5.9011361889485886E-2</v>
      </c>
      <c r="AB9" t="s">
        <v>124</v>
      </c>
      <c r="AC9" s="8">
        <v>-2628.34316708592</v>
      </c>
      <c r="AD9">
        <v>14218.252237836001</v>
      </c>
      <c r="AE9">
        <v>-0.18485697982566901</v>
      </c>
      <c r="AF9">
        <v>0.85367553895759096</v>
      </c>
    </row>
    <row r="10" spans="1:32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9">
        <f>Dataset!BL10</f>
        <v>0</v>
      </c>
      <c r="I10" s="109">
        <f>Dataset!BF10</f>
        <v>0</v>
      </c>
      <c r="J10" s="109">
        <f>Dataset!BM10</f>
        <v>0</v>
      </c>
      <c r="K10" s="109">
        <f>Dataset!AM10</f>
        <v>634944.30000000005</v>
      </c>
      <c r="M10" s="8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09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100">
        <f t="shared" si="11"/>
        <v>1.5040619603749117E-2</v>
      </c>
      <c r="AB10" t="s">
        <v>28</v>
      </c>
      <c r="AC10" s="8">
        <v>12.7791445671681</v>
      </c>
      <c r="AD10">
        <v>2.21613986024576</v>
      </c>
      <c r="AE10">
        <v>5.7663980493320404</v>
      </c>
      <c r="AF10" s="99">
        <v>7.2775325307212804E-8</v>
      </c>
    </row>
    <row r="11" spans="1:32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9">
        <f>Dataset!BL11</f>
        <v>0</v>
      </c>
      <c r="I11" s="109">
        <f>Dataset!BF11</f>
        <v>0</v>
      </c>
      <c r="J11" s="109">
        <f>Dataset!BM11</f>
        <v>0</v>
      </c>
      <c r="K11" s="109">
        <f>Dataset!AM11</f>
        <v>634944.30000000005</v>
      </c>
      <c r="M11" s="8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09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100">
        <f t="shared" si="11"/>
        <v>5.6540739301390995E-2</v>
      </c>
      <c r="AB11" t="s">
        <v>27</v>
      </c>
      <c r="AC11" s="8">
        <v>29.721041630884901</v>
      </c>
      <c r="AD11">
        <v>13.234313534343899</v>
      </c>
      <c r="AE11">
        <v>2.24575619685577</v>
      </c>
      <c r="AF11" s="99">
        <v>2.6681987300500001E-2</v>
      </c>
    </row>
    <row r="12" spans="1:32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9">
        <f>Dataset!BL12</f>
        <v>0</v>
      </c>
      <c r="I12" s="109">
        <f>Dataset!BF12</f>
        <v>0</v>
      </c>
      <c r="J12" s="109">
        <f>Dataset!BM12</f>
        <v>0</v>
      </c>
      <c r="K12" s="109">
        <f>Dataset!AM12</f>
        <v>634944.30000000005</v>
      </c>
      <c r="M12" s="8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09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100">
        <f t="shared" si="11"/>
        <v>2.9691224016309813E-2</v>
      </c>
      <c r="AB12" t="s">
        <v>74</v>
      </c>
      <c r="AC12" s="8">
        <v>2018.62066177267</v>
      </c>
      <c r="AD12">
        <v>360.43438755870301</v>
      </c>
      <c r="AE12">
        <v>5.6005218465563402</v>
      </c>
      <c r="AF12" s="99">
        <v>1.5449596472068701E-7</v>
      </c>
    </row>
    <row r="13" spans="1:32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9">
        <f>Dataset!BL13</f>
        <v>0</v>
      </c>
      <c r="I13" s="109">
        <f>Dataset!BF13</f>
        <v>1</v>
      </c>
      <c r="J13" s="109">
        <f>Dataset!BM13</f>
        <v>0</v>
      </c>
      <c r="K13" s="109">
        <f>Dataset!AM13</f>
        <v>634944.30000000005</v>
      </c>
      <c r="M13" s="8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09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100">
        <f t="shared" si="11"/>
        <v>3.3218419795361574E-2</v>
      </c>
      <c r="AB13" t="s">
        <v>194</v>
      </c>
      <c r="AC13" s="8">
        <v>-22448.886137193102</v>
      </c>
      <c r="AD13">
        <v>2919.7694943716501</v>
      </c>
      <c r="AE13">
        <v>-7.6885816433341896</v>
      </c>
      <c r="AF13" s="99">
        <v>6.1999972772677999E-12</v>
      </c>
    </row>
    <row r="14" spans="1:32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9">
        <f>Dataset!BL14</f>
        <v>0</v>
      </c>
      <c r="I14" s="109">
        <f>Dataset!BF14</f>
        <v>0</v>
      </c>
      <c r="J14" s="109">
        <f>Dataset!BM14</f>
        <v>0</v>
      </c>
      <c r="K14" s="109">
        <f>Dataset!AM14</f>
        <v>643937</v>
      </c>
      <c r="M14" s="8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09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100">
        <f t="shared" si="11"/>
        <v>5.0925573005677335E-2</v>
      </c>
      <c r="AB14" t="s">
        <v>49</v>
      </c>
      <c r="AC14" s="8">
        <v>-4631.3542612973397</v>
      </c>
      <c r="AD14">
        <v>1170.62287374165</v>
      </c>
      <c r="AE14">
        <v>-3.95631621864195</v>
      </c>
      <c r="AF14" s="99">
        <v>1.33874504921235E-4</v>
      </c>
    </row>
    <row r="15" spans="1:32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9">
        <f>Dataset!BL15</f>
        <v>0</v>
      </c>
      <c r="I15" s="109">
        <f>Dataset!BF15</f>
        <v>0</v>
      </c>
      <c r="J15" s="109">
        <f>Dataset!BM15</f>
        <v>0</v>
      </c>
      <c r="K15" s="109">
        <f>Dataset!AM15</f>
        <v>643937</v>
      </c>
      <c r="M15" s="8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09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100">
        <f t="shared" si="11"/>
        <v>7.899046954453269E-2</v>
      </c>
      <c r="AB15" t="s">
        <v>349</v>
      </c>
      <c r="AC15" s="8">
        <v>21276.410802802198</v>
      </c>
      <c r="AD15">
        <v>1990.0202741058399</v>
      </c>
      <c r="AE15">
        <v>10.6915547945169</v>
      </c>
      <c r="AF15" s="99">
        <v>8.2013431370538801E-19</v>
      </c>
    </row>
    <row r="16" spans="1:32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9">
        <f>Dataset!BL16</f>
        <v>0</v>
      </c>
      <c r="I16" s="109">
        <f>Dataset!BF16</f>
        <v>0</v>
      </c>
      <c r="J16" s="109">
        <f>Dataset!BM16</f>
        <v>0</v>
      </c>
      <c r="K16" s="109">
        <f>Dataset!AM16</f>
        <v>643937</v>
      </c>
      <c r="M16" s="8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09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100">
        <f t="shared" si="11"/>
        <v>3.2854508501746184E-2</v>
      </c>
      <c r="AB16" t="s">
        <v>61</v>
      </c>
      <c r="AC16" s="8">
        <v>3.4054476780250302E-2</v>
      </c>
      <c r="AD16">
        <v>1.28808812715422E-2</v>
      </c>
      <c r="AE16">
        <v>2.6438002231638502</v>
      </c>
      <c r="AF16">
        <v>9.3737411531385692E-3</v>
      </c>
    </row>
    <row r="17" spans="1:31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9">
        <f>Dataset!BL17</f>
        <v>0</v>
      </c>
      <c r="I17" s="109">
        <f>Dataset!BF17</f>
        <v>0</v>
      </c>
      <c r="J17" s="109">
        <f>Dataset!BM17</f>
        <v>0</v>
      </c>
      <c r="K17" s="109">
        <f>Dataset!AM17</f>
        <v>643937</v>
      </c>
      <c r="M17" s="8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09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100">
        <f t="shared" si="11"/>
        <v>9.9231203975452993E-3</v>
      </c>
      <c r="AC17" s="8"/>
    </row>
    <row r="18" spans="1:31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9">
        <f>Dataset!BL18</f>
        <v>0</v>
      </c>
      <c r="I18" s="109">
        <f>Dataset!BF18</f>
        <v>0</v>
      </c>
      <c r="J18" s="109">
        <f>Dataset!BM18</f>
        <v>0</v>
      </c>
      <c r="K18" s="109">
        <f>Dataset!AM18</f>
        <v>643937</v>
      </c>
      <c r="M18" s="8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09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100">
        <f t="shared" si="11"/>
        <v>1.7013495794701523E-2</v>
      </c>
      <c r="AB18" t="s">
        <v>128</v>
      </c>
    </row>
    <row r="19" spans="1:31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9">
        <f>Dataset!BL19</f>
        <v>0</v>
      </c>
      <c r="I19" s="109">
        <f>Dataset!BF19</f>
        <v>0</v>
      </c>
      <c r="J19" s="109">
        <f>Dataset!BM19</f>
        <v>0</v>
      </c>
      <c r="K19" s="109">
        <f>Dataset!AM19</f>
        <v>643937</v>
      </c>
      <c r="M19" s="8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09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100">
        <f t="shared" si="11"/>
        <v>1.6361337405332372E-2</v>
      </c>
      <c r="AB19" t="s">
        <v>129</v>
      </c>
      <c r="AC19">
        <v>86985.025667157199</v>
      </c>
      <c r="AD19" t="s">
        <v>130</v>
      </c>
      <c r="AE19">
        <v>7412.7340242046002</v>
      </c>
    </row>
    <row r="20" spans="1:31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9">
        <f>Dataset!BL20</f>
        <v>0</v>
      </c>
      <c r="I20" s="109">
        <f>Dataset!BF20</f>
        <v>0</v>
      </c>
      <c r="J20" s="109">
        <f>Dataset!BM20</f>
        <v>0</v>
      </c>
      <c r="K20" s="109">
        <f>Dataset!AM20</f>
        <v>643937</v>
      </c>
      <c r="M20" s="8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09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100">
        <f t="shared" si="11"/>
        <v>2.0485615610352958E-2</v>
      </c>
      <c r="AB20" t="s">
        <v>131</v>
      </c>
      <c r="AC20">
        <v>1427858887.40607</v>
      </c>
      <c r="AD20" t="s">
        <v>132</v>
      </c>
      <c r="AE20" s="99">
        <v>3570.5377838815298</v>
      </c>
    </row>
    <row r="21" spans="1:31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9">
        <f>Dataset!BL21</f>
        <v>0</v>
      </c>
      <c r="I21" s="109">
        <f>Dataset!BF21</f>
        <v>0</v>
      </c>
      <c r="J21" s="109">
        <f>Dataset!BM21</f>
        <v>0</v>
      </c>
      <c r="K21" s="109">
        <f>Dataset!AM21</f>
        <v>643937</v>
      </c>
      <c r="M21" s="8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09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100">
        <f t="shared" si="11"/>
        <v>8.6779295565982281E-2</v>
      </c>
      <c r="AB21" t="s">
        <v>133</v>
      </c>
      <c r="AC21">
        <v>0.78171871235906099</v>
      </c>
      <c r="AD21" t="s">
        <v>134</v>
      </c>
      <c r="AE21" s="99">
        <v>0.76807613188150203</v>
      </c>
    </row>
    <row r="22" spans="1:31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9">
        <f>Dataset!BL22</f>
        <v>0</v>
      </c>
      <c r="I22" s="109">
        <f>Dataset!BF22</f>
        <v>0</v>
      </c>
      <c r="J22" s="109">
        <f>Dataset!BM22</f>
        <v>0</v>
      </c>
      <c r="K22" s="109">
        <f>Dataset!AM22</f>
        <v>643937</v>
      </c>
      <c r="M22" s="8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09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100">
        <f t="shared" si="11"/>
        <v>6.2822151707210644E-2</v>
      </c>
      <c r="AB22" t="s">
        <v>345</v>
      </c>
      <c r="AC22">
        <v>53.548865988694999</v>
      </c>
      <c r="AD22" t="s">
        <v>135</v>
      </c>
      <c r="AE22" s="99">
        <v>7.3545669960789694E-33</v>
      </c>
    </row>
    <row r="23" spans="1:31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9">
        <f>Dataset!BL23</f>
        <v>0</v>
      </c>
      <c r="I23" s="109">
        <f>Dataset!BF23</f>
        <v>0</v>
      </c>
      <c r="J23" s="109">
        <f>Dataset!BM23</f>
        <v>0</v>
      </c>
      <c r="K23" s="109">
        <f>Dataset!AM23</f>
        <v>643937</v>
      </c>
      <c r="M23" s="8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09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100">
        <f t="shared" si="11"/>
        <v>0.14140639399108143</v>
      </c>
      <c r="AB23" t="s">
        <v>136</v>
      </c>
      <c r="AC23">
        <v>-7.01616816312268E-3</v>
      </c>
      <c r="AD23" t="s">
        <v>137</v>
      </c>
      <c r="AE23" s="99">
        <v>2.0091875043806402</v>
      </c>
    </row>
    <row r="24" spans="1:31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9">
        <f>Dataset!BL24</f>
        <v>0</v>
      </c>
      <c r="I24" s="109">
        <f>Dataset!BF24</f>
        <v>0</v>
      </c>
      <c r="J24" s="109">
        <f>Dataset!BM24</f>
        <v>0</v>
      </c>
      <c r="K24" s="109">
        <f>Dataset!AM24</f>
        <v>643937</v>
      </c>
      <c r="M24" s="8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09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100">
        <f t="shared" si="11"/>
        <v>0.15827846684601904</v>
      </c>
    </row>
    <row r="25" spans="1:31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9">
        <f>Dataset!BL25</f>
        <v>0</v>
      </c>
      <c r="I25" s="109">
        <f>Dataset!BF25</f>
        <v>1</v>
      </c>
      <c r="J25" s="109">
        <f>Dataset!BM25</f>
        <v>0</v>
      </c>
      <c r="K25" s="109">
        <f>Dataset!AM25</f>
        <v>643937</v>
      </c>
      <c r="M25" s="8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09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100">
        <f t="shared" si="11"/>
        <v>4.061126417511858E-2</v>
      </c>
    </row>
    <row r="26" spans="1:31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9">
        <f>Dataset!BL26</f>
        <v>0</v>
      </c>
      <c r="I26" s="109">
        <f>Dataset!BF26</f>
        <v>0</v>
      </c>
      <c r="J26" s="109">
        <f>Dataset!BM26</f>
        <v>0</v>
      </c>
      <c r="K26" s="109">
        <f>Dataset!AM26</f>
        <v>659861.19999999995</v>
      </c>
      <c r="M26" s="8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09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100">
        <f t="shared" si="11"/>
        <v>4.4224152716470372E-3</v>
      </c>
    </row>
    <row r="27" spans="1:31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9">
        <f>Dataset!BL27</f>
        <v>0</v>
      </c>
      <c r="I27" s="109">
        <f>Dataset!BF27</f>
        <v>0</v>
      </c>
      <c r="J27" s="109">
        <f>Dataset!BM27</f>
        <v>0</v>
      </c>
      <c r="K27" s="109">
        <f>Dataset!AM27</f>
        <v>659861.19999999995</v>
      </c>
      <c r="M27" s="8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09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100">
        <f t="shared" si="11"/>
        <v>6.967680905896269E-3</v>
      </c>
    </row>
    <row r="28" spans="1:31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9">
        <f>Dataset!BL28</f>
        <v>0</v>
      </c>
      <c r="I28" s="109">
        <f>Dataset!BF28</f>
        <v>0</v>
      </c>
      <c r="J28" s="109">
        <f>Dataset!BM28</f>
        <v>0</v>
      </c>
      <c r="K28" s="109">
        <f>Dataset!AM28</f>
        <v>659861.19999999995</v>
      </c>
      <c r="M28" s="8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09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100">
        <f t="shared" si="11"/>
        <v>6.2617887606867418E-3</v>
      </c>
    </row>
    <row r="29" spans="1:31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9">
        <f>Dataset!BL29</f>
        <v>0</v>
      </c>
      <c r="I29" s="109">
        <f>Dataset!BF29</f>
        <v>0</v>
      </c>
      <c r="J29" s="109">
        <f>Dataset!BM29</f>
        <v>0</v>
      </c>
      <c r="K29" s="109">
        <f>Dataset!AM29</f>
        <v>659861.19999999995</v>
      </c>
      <c r="M29" s="8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09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100">
        <f t="shared" si="11"/>
        <v>1.1277077109489282E-2</v>
      </c>
    </row>
    <row r="30" spans="1:31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9">
        <f>Dataset!BL30</f>
        <v>0</v>
      </c>
      <c r="I30" s="109">
        <f>Dataset!BF30</f>
        <v>0</v>
      </c>
      <c r="J30" s="109">
        <f>Dataset!BM30</f>
        <v>0</v>
      </c>
      <c r="K30" s="109">
        <f>Dataset!AM30</f>
        <v>659861.19999999995</v>
      </c>
      <c r="M30" s="8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09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100">
        <f t="shared" si="11"/>
        <v>1.7875992058384364E-2</v>
      </c>
    </row>
    <row r="31" spans="1:31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9">
        <f>Dataset!BL31</f>
        <v>0</v>
      </c>
      <c r="I31" s="109">
        <f>Dataset!BF31</f>
        <v>0</v>
      </c>
      <c r="J31" s="109">
        <f>Dataset!BM31</f>
        <v>0</v>
      </c>
      <c r="K31" s="109">
        <f>Dataset!AM31</f>
        <v>659861.19999999995</v>
      </c>
      <c r="M31" s="8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09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100">
        <f t="shared" si="11"/>
        <v>4.8045832931533944E-2</v>
      </c>
    </row>
    <row r="32" spans="1:31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9">
        <f>Dataset!BL32</f>
        <v>0</v>
      </c>
      <c r="I32" s="109">
        <f>Dataset!BF32</f>
        <v>0</v>
      </c>
      <c r="J32" s="109">
        <f>Dataset!BM32</f>
        <v>0</v>
      </c>
      <c r="K32" s="109">
        <f>Dataset!AM32</f>
        <v>659861.19999999995</v>
      </c>
      <c r="M32" s="8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09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100">
        <f t="shared" si="11"/>
        <v>3.6218668717740883E-2</v>
      </c>
    </row>
    <row r="33" spans="1:24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9">
        <f>Dataset!BL33</f>
        <v>0</v>
      </c>
      <c r="I33" s="109">
        <f>Dataset!BF33</f>
        <v>0</v>
      </c>
      <c r="J33" s="109">
        <f>Dataset!BM33</f>
        <v>0</v>
      </c>
      <c r="K33" s="109">
        <f>Dataset!AM33</f>
        <v>659861.19999999995</v>
      </c>
      <c r="M33" s="8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09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100">
        <f t="shared" si="11"/>
        <v>3.0994475601363272E-2</v>
      </c>
    </row>
    <row r="34" spans="1:24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9">
        <f>Dataset!BL34</f>
        <v>0</v>
      </c>
      <c r="I34" s="109">
        <f>Dataset!BF34</f>
        <v>0</v>
      </c>
      <c r="J34" s="109">
        <f>Dataset!BM34</f>
        <v>0</v>
      </c>
      <c r="K34" s="109">
        <f>Dataset!AM34</f>
        <v>659861.19999999995</v>
      </c>
      <c r="M34" s="8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09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100">
        <f t="shared" si="11"/>
        <v>3.7001991615639128E-3</v>
      </c>
    </row>
    <row r="35" spans="1:24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9">
        <f>Dataset!BL35</f>
        <v>0</v>
      </c>
      <c r="I35" s="109">
        <f>Dataset!BF35</f>
        <v>0</v>
      </c>
      <c r="J35" s="109">
        <f>Dataset!BM35</f>
        <v>0</v>
      </c>
      <c r="K35" s="109">
        <f>Dataset!AM35</f>
        <v>659861.19999999995</v>
      </c>
      <c r="M35" s="8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09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100">
        <f t="shared" si="11"/>
        <v>4.3521799874037315E-2</v>
      </c>
    </row>
    <row r="36" spans="1:24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9">
        <f>Dataset!BL36</f>
        <v>0</v>
      </c>
      <c r="I36" s="109">
        <f>Dataset!BF36</f>
        <v>0</v>
      </c>
      <c r="J36" s="109">
        <f>Dataset!BM36</f>
        <v>0</v>
      </c>
      <c r="K36" s="109">
        <f>Dataset!AM36</f>
        <v>659861.19999999995</v>
      </c>
      <c r="M36" s="8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09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100">
        <f t="shared" si="11"/>
        <v>3.931562117724665E-2</v>
      </c>
    </row>
    <row r="37" spans="1:24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9">
        <f>Dataset!BL37</f>
        <v>0</v>
      </c>
      <c r="I37" s="109">
        <f>Dataset!BF37</f>
        <v>1</v>
      </c>
      <c r="J37" s="109">
        <f>Dataset!BM37</f>
        <v>0</v>
      </c>
      <c r="K37" s="109">
        <f>Dataset!AM37</f>
        <v>659861.19999999995</v>
      </c>
      <c r="M37" s="8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09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100">
        <f t="shared" si="11"/>
        <v>4.7159576211042199E-2</v>
      </c>
    </row>
    <row r="38" spans="1:24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9">
        <f>Dataset!BL38</f>
        <v>0</v>
      </c>
      <c r="I38" s="109">
        <f>Dataset!BF38</f>
        <v>0</v>
      </c>
      <c r="J38" s="109">
        <f>Dataset!BM38</f>
        <v>0</v>
      </c>
      <c r="K38" s="109">
        <f>Dataset!AM38</f>
        <v>677384</v>
      </c>
      <c r="M38" s="8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09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100">
        <f t="shared" si="11"/>
        <v>3.4898537184751477E-3</v>
      </c>
    </row>
    <row r="39" spans="1:24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9">
        <f>Dataset!BL39</f>
        <v>0</v>
      </c>
      <c r="I39" s="109">
        <f>Dataset!BF39</f>
        <v>0</v>
      </c>
      <c r="J39" s="109">
        <f>Dataset!BM39</f>
        <v>0</v>
      </c>
      <c r="K39" s="109">
        <f>Dataset!AM39</f>
        <v>677384</v>
      </c>
      <c r="M39" s="8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09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100">
        <f t="shared" si="11"/>
        <v>1.1110218000554593E-2</v>
      </c>
    </row>
    <row r="40" spans="1:24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9">
        <f>Dataset!BL40</f>
        <v>0</v>
      </c>
      <c r="I40" s="109">
        <f>Dataset!BF40</f>
        <v>0</v>
      </c>
      <c r="J40" s="109">
        <f>Dataset!BM40</f>
        <v>0</v>
      </c>
      <c r="K40" s="109">
        <f>Dataset!AM40</f>
        <v>677384</v>
      </c>
      <c r="M40" s="8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09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100">
        <f t="shared" si="11"/>
        <v>4.9575371531566506E-2</v>
      </c>
    </row>
    <row r="41" spans="1:24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9">
        <f>Dataset!BL41</f>
        <v>0</v>
      </c>
      <c r="I41" s="109">
        <f>Dataset!BF41</f>
        <v>0</v>
      </c>
      <c r="J41" s="109">
        <f>Dataset!BM41</f>
        <v>0</v>
      </c>
      <c r="K41" s="109">
        <f>Dataset!AM41</f>
        <v>677384</v>
      </c>
      <c r="M41" s="8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09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100">
        <f t="shared" si="11"/>
        <v>1.4619099771524969E-2</v>
      </c>
    </row>
    <row r="42" spans="1:24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9">
        <f>Dataset!BL42</f>
        <v>0</v>
      </c>
      <c r="I42" s="109">
        <f>Dataset!BF42</f>
        <v>0</v>
      </c>
      <c r="J42" s="109">
        <f>Dataset!BM42</f>
        <v>0</v>
      </c>
      <c r="K42" s="109">
        <f>Dataset!AM42</f>
        <v>677384</v>
      </c>
      <c r="M42" s="8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09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100">
        <f t="shared" si="11"/>
        <v>1.7001985475190429E-2</v>
      </c>
    </row>
    <row r="43" spans="1:24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9">
        <f>Dataset!BL43</f>
        <v>0</v>
      </c>
      <c r="I43" s="109">
        <f>Dataset!BF43</f>
        <v>0</v>
      </c>
      <c r="J43" s="109">
        <f>Dataset!BM43</f>
        <v>0</v>
      </c>
      <c r="K43" s="109">
        <f>Dataset!AM43</f>
        <v>677384</v>
      </c>
      <c r="M43" s="8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09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100">
        <f t="shared" si="11"/>
        <v>4.1999223152424763E-2</v>
      </c>
    </row>
    <row r="44" spans="1:24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9">
        <f>Dataset!BL44</f>
        <v>0</v>
      </c>
      <c r="I44" s="109">
        <f>Dataset!BF44</f>
        <v>0</v>
      </c>
      <c r="J44" s="109">
        <f>Dataset!BM44</f>
        <v>0</v>
      </c>
      <c r="K44" s="109">
        <f>Dataset!AM44</f>
        <v>677384</v>
      </c>
      <c r="M44" s="8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09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100">
        <f t="shared" si="11"/>
        <v>1.7229866922862904E-2</v>
      </c>
    </row>
    <row r="45" spans="1:24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9">
        <f>Dataset!BL45</f>
        <v>0</v>
      </c>
      <c r="I45" s="109">
        <f>Dataset!BF45</f>
        <v>0</v>
      </c>
      <c r="J45" s="109">
        <f>Dataset!BM45</f>
        <v>0</v>
      </c>
      <c r="K45" s="109">
        <f>Dataset!AM45</f>
        <v>677384</v>
      </c>
      <c r="M45" s="8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09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100">
        <f t="shared" si="11"/>
        <v>1.6463142778398238E-2</v>
      </c>
    </row>
    <row r="46" spans="1:24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9">
        <f>Dataset!BL46</f>
        <v>0</v>
      </c>
      <c r="I46" s="109">
        <f>Dataset!BF46</f>
        <v>0</v>
      </c>
      <c r="J46" s="109">
        <f>Dataset!BM46</f>
        <v>0</v>
      </c>
      <c r="K46" s="109">
        <f>Dataset!AM46</f>
        <v>677384</v>
      </c>
      <c r="M46" s="8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09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100">
        <f t="shared" si="11"/>
        <v>3.3061125399592828E-2</v>
      </c>
    </row>
    <row r="47" spans="1:24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9">
        <f>Dataset!BL47</f>
        <v>0</v>
      </c>
      <c r="I47" s="109">
        <f>Dataset!BF47</f>
        <v>0</v>
      </c>
      <c r="J47" s="109">
        <f>Dataset!BM47</f>
        <v>0</v>
      </c>
      <c r="K47" s="109">
        <f>Dataset!AM47</f>
        <v>677384</v>
      </c>
      <c r="M47" s="8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09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100">
        <f t="shared" si="11"/>
        <v>2.3193075775595822E-3</v>
      </c>
    </row>
    <row r="48" spans="1:24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9">
        <f>Dataset!BL48</f>
        <v>0</v>
      </c>
      <c r="I48" s="109">
        <f>Dataset!BF48</f>
        <v>0</v>
      </c>
      <c r="J48" s="109">
        <f>Dataset!BM48</f>
        <v>0</v>
      </c>
      <c r="K48" s="109">
        <f>Dataset!AM48</f>
        <v>677384</v>
      </c>
      <c r="M48" s="8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09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100">
        <f t="shared" si="11"/>
        <v>3.1158944070201661E-2</v>
      </c>
    </row>
    <row r="49" spans="1:4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9">
        <f>Dataset!BL49</f>
        <v>0</v>
      </c>
      <c r="I49" s="109">
        <f>Dataset!BF49</f>
        <v>1</v>
      </c>
      <c r="J49" s="109">
        <f>Dataset!BM49</f>
        <v>0</v>
      </c>
      <c r="K49" s="109">
        <f>Dataset!AM49</f>
        <v>677384</v>
      </c>
      <c r="M49" s="8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09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100">
        <f t="shared" si="11"/>
        <v>9.0578026437206274E-3</v>
      </c>
    </row>
    <row r="50" spans="1:4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9">
        <f>Dataset!BL50</f>
        <v>0</v>
      </c>
      <c r="I50" s="109">
        <f>Dataset!BF50</f>
        <v>0</v>
      </c>
      <c r="J50" s="109">
        <f>Dataset!BM50</f>
        <v>0</v>
      </c>
      <c r="K50" s="109">
        <f>Dataset!AM50</f>
        <v>692620.80000000005</v>
      </c>
      <c r="M50" s="8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09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100">
        <f t="shared" si="11"/>
        <v>1.6857353162639749E-4</v>
      </c>
    </row>
    <row r="51" spans="1:4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9">
        <f>Dataset!BL51</f>
        <v>0</v>
      </c>
      <c r="I51" s="109">
        <f>Dataset!BF51</f>
        <v>0</v>
      </c>
      <c r="J51" s="109">
        <f>Dataset!BM51</f>
        <v>0</v>
      </c>
      <c r="K51" s="109">
        <f>Dataset!AM51</f>
        <v>692620.80000000005</v>
      </c>
      <c r="M51" s="8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09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100">
        <f t="shared" si="11"/>
        <v>9.0168308055715005E-2</v>
      </c>
    </row>
    <row r="52" spans="1:4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9">
        <f>Dataset!BL52</f>
        <v>0</v>
      </c>
      <c r="I52" s="109">
        <f>Dataset!BF52</f>
        <v>0</v>
      </c>
      <c r="J52" s="109">
        <f>Dataset!BM52</f>
        <v>0</v>
      </c>
      <c r="K52" s="109">
        <f>Dataset!AM52</f>
        <v>692620.80000000005</v>
      </c>
      <c r="M52" s="8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09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100">
        <f t="shared" si="11"/>
        <v>5.7772091672076059E-2</v>
      </c>
      <c r="AC52">
        <v>1</v>
      </c>
      <c r="AD52">
        <f>AC52+1</f>
        <v>2</v>
      </c>
      <c r="AE52">
        <f t="shared" ref="AE52:AN52" si="16">AD52+1</f>
        <v>3</v>
      </c>
      <c r="AF52">
        <f t="shared" si="16"/>
        <v>4</v>
      </c>
      <c r="AG52">
        <f t="shared" si="16"/>
        <v>5</v>
      </c>
      <c r="AH52">
        <f t="shared" si="16"/>
        <v>6</v>
      </c>
      <c r="AI52">
        <f t="shared" si="16"/>
        <v>7</v>
      </c>
      <c r="AJ52">
        <f t="shared" si="16"/>
        <v>8</v>
      </c>
      <c r="AK52">
        <f t="shared" si="16"/>
        <v>9</v>
      </c>
      <c r="AL52">
        <f t="shared" si="16"/>
        <v>10</v>
      </c>
      <c r="AM52">
        <f>AL52+1</f>
        <v>11</v>
      </c>
      <c r="AN52">
        <f t="shared" si="16"/>
        <v>12</v>
      </c>
    </row>
    <row r="53" spans="1:4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9">
        <f>Dataset!BL53</f>
        <v>0</v>
      </c>
      <c r="I53" s="109">
        <f>Dataset!BF53</f>
        <v>0</v>
      </c>
      <c r="J53" s="109">
        <f>Dataset!BM53</f>
        <v>0</v>
      </c>
      <c r="K53" s="109">
        <f>Dataset!AM53</f>
        <v>692620.80000000005</v>
      </c>
      <c r="M53" s="8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09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100">
        <f t="shared" si="11"/>
        <v>8.0281901146254969E-2</v>
      </c>
      <c r="AB53">
        <v>2012</v>
      </c>
      <c r="AC53" s="8">
        <f t="shared" ref="AC53:AN62" si="17">SUMIFS($W:$W,$B:$B,$AB53,$C:$C,AC$52)</f>
        <v>-250624.13118619099</v>
      </c>
      <c r="AD53" s="8">
        <f t="shared" si="17"/>
        <v>-565980.50330314972</v>
      </c>
      <c r="AE53" s="8">
        <f t="shared" si="17"/>
        <v>-161877.07056277245</v>
      </c>
      <c r="AF53" s="8">
        <f t="shared" si="17"/>
        <v>444673.52571821399</v>
      </c>
      <c r="AG53" s="8">
        <f t="shared" si="17"/>
        <v>-246518.52724111639</v>
      </c>
      <c r="AH53" s="8">
        <f t="shared" si="17"/>
        <v>-557916.30581472814</v>
      </c>
      <c r="AI53" s="8">
        <f t="shared" si="17"/>
        <v>705762.09931128658</v>
      </c>
      <c r="AJ53" s="8">
        <f t="shared" si="17"/>
        <v>-571661.98348803818</v>
      </c>
      <c r="AK53" s="8">
        <f t="shared" si="17"/>
        <v>-141261.79026538506</v>
      </c>
      <c r="AL53" s="8">
        <f t="shared" si="17"/>
        <v>-540862.45017452724</v>
      </c>
      <c r="AM53" s="8">
        <f t="shared" si="17"/>
        <v>-285967.23416949622</v>
      </c>
      <c r="AN53" s="8">
        <f t="shared" si="17"/>
        <v>-320181.91209241934</v>
      </c>
      <c r="AO53" s="1">
        <f t="shared" ref="AO53:AO62" si="18">SUM(AC53:AN53)</f>
        <v>-2492416.2832683232</v>
      </c>
    </row>
    <row r="54" spans="1:4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9">
        <f>Dataset!BL54</f>
        <v>0</v>
      </c>
      <c r="I54" s="109">
        <f>Dataset!BF54</f>
        <v>0</v>
      </c>
      <c r="J54" s="109">
        <f>Dataset!BM54</f>
        <v>0</v>
      </c>
      <c r="K54" s="109">
        <f>Dataset!AM54</f>
        <v>692620.80000000005</v>
      </c>
      <c r="M54" s="8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09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100">
        <f t="shared" si="11"/>
        <v>1.0285926141732385E-2</v>
      </c>
      <c r="AB54">
        <f>AB53+1</f>
        <v>2013</v>
      </c>
      <c r="AC54" s="8">
        <f t="shared" si="17"/>
        <v>-518142.95931324176</v>
      </c>
      <c r="AD54" s="8">
        <f t="shared" si="17"/>
        <v>-744285.1552134715</v>
      </c>
      <c r="AE54" s="8">
        <f t="shared" si="17"/>
        <v>-343198.66970286518</v>
      </c>
      <c r="AF54" s="8">
        <f t="shared" si="17"/>
        <v>-97307.414088301361</v>
      </c>
      <c r="AG54" s="8">
        <f t="shared" si="17"/>
        <v>166968.23559494875</v>
      </c>
      <c r="AH54" s="8">
        <f t="shared" si="17"/>
        <v>-156169.1162298657</v>
      </c>
      <c r="AI54" s="8">
        <f t="shared" si="17"/>
        <v>204970.47073027305</v>
      </c>
      <c r="AJ54" s="8">
        <f t="shared" si="17"/>
        <v>-778115.34288633615</v>
      </c>
      <c r="AK54" s="8">
        <f t="shared" si="17"/>
        <v>633970.28009140864</v>
      </c>
      <c r="AL54" s="8">
        <f t="shared" si="17"/>
        <v>1564248.6132813711</v>
      </c>
      <c r="AM54" s="8">
        <f t="shared" si="17"/>
        <v>1874114.4605713114</v>
      </c>
      <c r="AN54" s="8">
        <f t="shared" si="17"/>
        <v>410317.48232941516</v>
      </c>
      <c r="AO54" s="1">
        <f t="shared" si="18"/>
        <v>2217370.8851646464</v>
      </c>
    </row>
    <row r="55" spans="1:4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9">
        <f>Dataset!BL55</f>
        <v>0</v>
      </c>
      <c r="I55" s="109">
        <f>Dataset!BF55</f>
        <v>0</v>
      </c>
      <c r="J55" s="109">
        <f>Dataset!BM55</f>
        <v>0</v>
      </c>
      <c r="K55" s="109">
        <f>Dataset!AM55</f>
        <v>692620.80000000005</v>
      </c>
      <c r="M55" s="8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09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100">
        <f t="shared" si="11"/>
        <v>6.2944021698399688E-2</v>
      </c>
      <c r="AB55">
        <f t="shared" ref="AB55:AB62" si="19">AB54+1</f>
        <v>2014</v>
      </c>
      <c r="AC55" s="8">
        <f t="shared" si="17"/>
        <v>48106.109109956771</v>
      </c>
      <c r="AD55" s="8">
        <f t="shared" si="17"/>
        <v>68787.393124269322</v>
      </c>
      <c r="AE55" s="8">
        <f t="shared" si="17"/>
        <v>-66067.913328472525</v>
      </c>
      <c r="AF55" s="8">
        <f t="shared" si="17"/>
        <v>-108779.65445661545</v>
      </c>
      <c r="AG55" s="8">
        <f t="shared" si="17"/>
        <v>-170159.47034674138</v>
      </c>
      <c r="AH55" s="8">
        <f t="shared" si="17"/>
        <v>-448833.7240931876</v>
      </c>
      <c r="AI55" s="8">
        <f t="shared" si="17"/>
        <v>358980.64928300492</v>
      </c>
      <c r="AJ55" s="8">
        <f t="shared" si="17"/>
        <v>306783.6363706179</v>
      </c>
      <c r="AK55" s="8">
        <f t="shared" si="17"/>
        <v>-35639.557244276628</v>
      </c>
      <c r="AL55" s="8">
        <f t="shared" si="17"/>
        <v>457534.20623117313</v>
      </c>
      <c r="AM55" s="8">
        <f t="shared" si="17"/>
        <v>414657.27844780497</v>
      </c>
      <c r="AN55" s="8">
        <f t="shared" si="17"/>
        <v>-485648.22113670968</v>
      </c>
      <c r="AO55" s="1">
        <f t="shared" si="18"/>
        <v>339720.73196082376</v>
      </c>
    </row>
    <row r="56" spans="1:4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9">
        <f>Dataset!BL56</f>
        <v>0</v>
      </c>
      <c r="I56" s="109">
        <f>Dataset!BF56</f>
        <v>0</v>
      </c>
      <c r="J56" s="109">
        <f>Dataset!BM56</f>
        <v>0</v>
      </c>
      <c r="K56" s="109">
        <f>Dataset!AM56</f>
        <v>692620.80000000005</v>
      </c>
      <c r="M56" s="8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09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100">
        <f t="shared" si="11"/>
        <v>4.9441460304769369E-3</v>
      </c>
      <c r="AB56">
        <f t="shared" si="19"/>
        <v>2015</v>
      </c>
      <c r="AC56" s="8">
        <f t="shared" si="17"/>
        <v>39818.922281134874</v>
      </c>
      <c r="AD56" s="8">
        <f t="shared" si="17"/>
        <v>-119224.38926243037</v>
      </c>
      <c r="AE56" s="8">
        <f t="shared" si="17"/>
        <v>-542808.04663772881</v>
      </c>
      <c r="AF56" s="8">
        <f t="shared" si="17"/>
        <v>152696.81493937969</v>
      </c>
      <c r="AG56" s="8">
        <f t="shared" si="17"/>
        <v>179590.4374259226</v>
      </c>
      <c r="AH56" s="8">
        <f t="shared" si="17"/>
        <v>-414421.4748422727</v>
      </c>
      <c r="AI56" s="8">
        <f t="shared" si="17"/>
        <v>-178147.21008973569</v>
      </c>
      <c r="AJ56" s="8">
        <f t="shared" si="17"/>
        <v>174862.58581650816</v>
      </c>
      <c r="AK56" s="8">
        <f t="shared" si="17"/>
        <v>-343931.21623110212</v>
      </c>
      <c r="AL56" s="8">
        <f t="shared" si="17"/>
        <v>24829.463714450598</v>
      </c>
      <c r="AM56" s="8">
        <f t="shared" si="17"/>
        <v>332279.42261977121</v>
      </c>
      <c r="AN56" s="8">
        <f t="shared" si="17"/>
        <v>94923.449384629726</v>
      </c>
      <c r="AO56" s="1">
        <f t="shared" si="18"/>
        <v>-599531.24088147283</v>
      </c>
    </row>
    <row r="57" spans="1:4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9">
        <f>Dataset!BL57</f>
        <v>0</v>
      </c>
      <c r="I57" s="109">
        <f>Dataset!BF57</f>
        <v>0</v>
      </c>
      <c r="J57" s="109">
        <f>Dataset!BM57</f>
        <v>0</v>
      </c>
      <c r="K57" s="109">
        <f>Dataset!AM57</f>
        <v>692620.80000000005</v>
      </c>
      <c r="M57" s="8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09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100">
        <f t="shared" si="11"/>
        <v>2.4076394440713123E-2</v>
      </c>
      <c r="AB57">
        <f t="shared" si="19"/>
        <v>2016</v>
      </c>
      <c r="AC57" s="8">
        <f t="shared" si="17"/>
        <v>1942.6907028965652</v>
      </c>
      <c r="AD57" s="8">
        <f t="shared" si="17"/>
        <v>1126059.2126935218</v>
      </c>
      <c r="AE57" s="8">
        <f t="shared" si="17"/>
        <v>701653.78900283016</v>
      </c>
      <c r="AF57" s="8">
        <f t="shared" si="17"/>
        <v>901419.83885757625</v>
      </c>
      <c r="AG57" s="8">
        <f t="shared" si="17"/>
        <v>114216.4981818255</v>
      </c>
      <c r="AH57" s="8">
        <f t="shared" si="17"/>
        <v>-647741.16596828029</v>
      </c>
      <c r="AI57" s="8">
        <f t="shared" si="17"/>
        <v>-54322.53352932632</v>
      </c>
      <c r="AJ57" s="8">
        <f t="shared" si="17"/>
        <v>-269941.1706513539</v>
      </c>
      <c r="AK57" s="8">
        <f t="shared" si="17"/>
        <v>-288902.64077374153</v>
      </c>
      <c r="AL57" s="8">
        <f t="shared" si="17"/>
        <v>-165384.83376557566</v>
      </c>
      <c r="AM57" s="8">
        <f t="shared" si="17"/>
        <v>-119762.62592015602</v>
      </c>
      <c r="AN57" s="8">
        <f t="shared" si="17"/>
        <v>667881.64852747694</v>
      </c>
      <c r="AO57" s="1">
        <f t="shared" si="18"/>
        <v>1967118.7073576935</v>
      </c>
    </row>
    <row r="58" spans="1:4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9">
        <f>Dataset!BL58</f>
        <v>0</v>
      </c>
      <c r="I58" s="109">
        <f>Dataset!BF58</f>
        <v>0</v>
      </c>
      <c r="J58" s="109">
        <f>Dataset!BM58</f>
        <v>0</v>
      </c>
      <c r="K58" s="109">
        <f>Dataset!AM58</f>
        <v>692620.80000000005</v>
      </c>
      <c r="M58" s="8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09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100">
        <f t="shared" si="11"/>
        <v>2.7408587285978021E-2</v>
      </c>
      <c r="AB58">
        <f t="shared" si="19"/>
        <v>2017</v>
      </c>
      <c r="AC58" s="8">
        <f t="shared" si="17"/>
        <v>-128418.64743916877</v>
      </c>
      <c r="AD58" s="8">
        <f t="shared" si="17"/>
        <v>-59009.894337428734</v>
      </c>
      <c r="AE58" s="8">
        <f t="shared" si="17"/>
        <v>-391386.58841359802</v>
      </c>
      <c r="AF58" s="8">
        <f t="shared" si="17"/>
        <v>801221.22802234627</v>
      </c>
      <c r="AG58" s="8">
        <f t="shared" si="17"/>
        <v>205887.35224879906</v>
      </c>
      <c r="AH58" s="8">
        <f t="shared" si="17"/>
        <v>-47566.611440017819</v>
      </c>
      <c r="AI58" s="8">
        <f t="shared" si="17"/>
        <v>1031631.5977614541</v>
      </c>
      <c r="AJ58" s="8">
        <f t="shared" si="17"/>
        <v>546376.44492251612</v>
      </c>
      <c r="AK58" s="8">
        <f t="shared" si="17"/>
        <v>-96893.551158308983</v>
      </c>
      <c r="AL58" s="8">
        <f t="shared" si="17"/>
        <v>-293850.86817514524</v>
      </c>
      <c r="AM58" s="8">
        <f t="shared" si="17"/>
        <v>103936.2360542696</v>
      </c>
      <c r="AN58" s="8">
        <f t="shared" si="17"/>
        <v>441630.1362630222</v>
      </c>
      <c r="AO58" s="1">
        <f t="shared" si="18"/>
        <v>2113556.8343087398</v>
      </c>
    </row>
    <row r="59" spans="1:4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9">
        <f>Dataset!BL59</f>
        <v>0</v>
      </c>
      <c r="I59" s="109">
        <f>Dataset!BF59</f>
        <v>0</v>
      </c>
      <c r="J59" s="109">
        <f>Dataset!BM59</f>
        <v>0</v>
      </c>
      <c r="K59" s="109">
        <f>Dataset!AM59</f>
        <v>692620.80000000005</v>
      </c>
      <c r="M59" s="8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09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100">
        <f t="shared" si="11"/>
        <v>1.5102082908450588E-2</v>
      </c>
      <c r="AB59">
        <f t="shared" si="19"/>
        <v>2018</v>
      </c>
      <c r="AC59" s="8">
        <f t="shared" si="17"/>
        <v>-326929.13389831595</v>
      </c>
      <c r="AD59" s="8">
        <f t="shared" si="17"/>
        <v>195708.85037296638</v>
      </c>
      <c r="AE59" s="8">
        <f t="shared" si="17"/>
        <v>-17641.917593827471</v>
      </c>
      <c r="AF59" s="8">
        <f t="shared" si="17"/>
        <v>1237870.4752463885</v>
      </c>
      <c r="AG59" s="8">
        <f t="shared" si="17"/>
        <v>86451.074665112421</v>
      </c>
      <c r="AH59" s="8">
        <f t="shared" si="17"/>
        <v>-308253.98854885437</v>
      </c>
      <c r="AI59" s="8">
        <f t="shared" si="17"/>
        <v>-506024.02500071563</v>
      </c>
      <c r="AJ59" s="8">
        <f t="shared" si="17"/>
        <v>-379354.35891679674</v>
      </c>
      <c r="AK59" s="8">
        <f t="shared" si="17"/>
        <v>-455094.69819901139</v>
      </c>
      <c r="AL59" s="8">
        <f t="shared" si="17"/>
        <v>-114452.93827155232</v>
      </c>
      <c r="AM59" s="8">
        <f t="shared" si="17"/>
        <v>-483449.69793651998</v>
      </c>
      <c r="AN59" s="8">
        <f t="shared" si="17"/>
        <v>-459693.21660563722</v>
      </c>
      <c r="AO59" s="1">
        <f t="shared" si="18"/>
        <v>-1530863.5746867638</v>
      </c>
    </row>
    <row r="60" spans="1:4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9">
        <f>Dataset!BL60</f>
        <v>0</v>
      </c>
      <c r="I60" s="109">
        <f>Dataset!BF60</f>
        <v>0</v>
      </c>
      <c r="J60" s="109">
        <f>Dataset!BM60</f>
        <v>0</v>
      </c>
      <c r="K60" s="109">
        <f>Dataset!AM60</f>
        <v>692620.80000000005</v>
      </c>
      <c r="M60" s="8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09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100">
        <f t="shared" si="11"/>
        <v>1.1033379198647171E-2</v>
      </c>
      <c r="AB60">
        <f t="shared" si="19"/>
        <v>2019</v>
      </c>
      <c r="AC60" s="8">
        <f t="shared" si="17"/>
        <v>-376422.7111701984</v>
      </c>
      <c r="AD60" s="8">
        <f t="shared" si="17"/>
        <v>-330952.74957270175</v>
      </c>
      <c r="AE60" s="8">
        <f t="shared" si="17"/>
        <v>-218634.84334976971</v>
      </c>
      <c r="AF60" s="8">
        <f t="shared" si="17"/>
        <v>143942.81324969605</v>
      </c>
      <c r="AG60" s="8">
        <f t="shared" si="17"/>
        <v>88850.660402709618</v>
      </c>
      <c r="AH60" s="8">
        <f t="shared" si="17"/>
        <v>-152048.04637206532</v>
      </c>
      <c r="AI60" s="8">
        <f t="shared" si="17"/>
        <v>-11315.430609408766</v>
      </c>
      <c r="AJ60" s="8">
        <f t="shared" si="17"/>
        <v>-488338.60395528749</v>
      </c>
      <c r="AK60" s="8">
        <f t="shared" si="17"/>
        <v>-285657.4723517783</v>
      </c>
      <c r="AL60" s="8">
        <f t="shared" si="17"/>
        <v>354850.66804167442</v>
      </c>
      <c r="AM60" s="8">
        <f t="shared" si="17"/>
        <v>-173075.65751352347</v>
      </c>
      <c r="AN60" s="8">
        <f t="shared" si="17"/>
        <v>76507.460448175669</v>
      </c>
      <c r="AO60" s="1">
        <f t="shared" si="18"/>
        <v>-1372293.9127524775</v>
      </c>
    </row>
    <row r="61" spans="1:4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9">
        <f>Dataset!BL61</f>
        <v>0</v>
      </c>
      <c r="I61" s="109">
        <f>Dataset!BF61</f>
        <v>1</v>
      </c>
      <c r="J61" s="109">
        <f>Dataset!BM61</f>
        <v>0</v>
      </c>
      <c r="K61" s="109">
        <f>Dataset!AM61</f>
        <v>692620.80000000005</v>
      </c>
      <c r="M61" s="8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09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100">
        <f t="shared" si="11"/>
        <v>5.9924623783522014E-2</v>
      </c>
      <c r="AB61">
        <f t="shared" si="19"/>
        <v>2020</v>
      </c>
      <c r="AC61" s="8">
        <f t="shared" si="17"/>
        <v>42911.508813181892</v>
      </c>
      <c r="AD61" s="8">
        <f t="shared" si="17"/>
        <v>41135.327326416969</v>
      </c>
      <c r="AE61" s="8">
        <f t="shared" si="17"/>
        <v>-605085.08241485618</v>
      </c>
      <c r="AF61" s="8">
        <f t="shared" si="17"/>
        <v>580907.37068664469</v>
      </c>
      <c r="AG61" s="8">
        <f t="shared" si="17"/>
        <v>-128756.62519424129</v>
      </c>
      <c r="AH61" s="8">
        <f t="shared" si="17"/>
        <v>-289574.85818292573</v>
      </c>
      <c r="AI61" s="8">
        <f t="shared" si="17"/>
        <v>417738.40222611837</v>
      </c>
      <c r="AJ61" s="8">
        <f t="shared" si="17"/>
        <v>251437.25795545802</v>
      </c>
      <c r="AK61" s="8">
        <f t="shared" si="17"/>
        <v>59280.94670493342</v>
      </c>
      <c r="AL61" s="8">
        <f t="shared" si="17"/>
        <v>109195.29241387732</v>
      </c>
      <c r="AM61" s="8">
        <f t="shared" si="17"/>
        <v>-316116.77997767366</v>
      </c>
      <c r="AN61" s="8">
        <f t="shared" si="17"/>
        <v>-198324.14842975698</v>
      </c>
      <c r="AO61" s="1">
        <f t="shared" si="18"/>
        <v>-35251.388072823174</v>
      </c>
    </row>
    <row r="62" spans="1:4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9">
        <f>Dataset!BL62</f>
        <v>0</v>
      </c>
      <c r="I62" s="109">
        <f>Dataset!BF62</f>
        <v>0</v>
      </c>
      <c r="J62" s="109">
        <f>Dataset!BM62</f>
        <v>0</v>
      </c>
      <c r="K62" s="109">
        <f>Dataset!AM62</f>
        <v>711695.1</v>
      </c>
      <c r="M62" s="8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09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100">
        <f t="shared" si="11"/>
        <v>1.1170565928007402E-2</v>
      </c>
      <c r="AB62">
        <f t="shared" si="19"/>
        <v>2021</v>
      </c>
      <c r="AC62" s="8">
        <f t="shared" si="17"/>
        <v>31605.732869660482</v>
      </c>
      <c r="AD62" s="8">
        <f t="shared" si="17"/>
        <v>54354.390812529251</v>
      </c>
      <c r="AE62" s="8">
        <f t="shared" si="17"/>
        <v>-13058.825319461524</v>
      </c>
      <c r="AF62" s="8">
        <f t="shared" si="17"/>
        <v>-113828.75441903807</v>
      </c>
      <c r="AG62" s="8">
        <f t="shared" si="17"/>
        <v>820490.64463515021</v>
      </c>
      <c r="AH62" s="8">
        <f t="shared" si="17"/>
        <v>209815.97013034113</v>
      </c>
      <c r="AI62" s="8">
        <f t="shared" si="17"/>
        <v>549715.47527351417</v>
      </c>
      <c r="AJ62" s="8">
        <f t="shared" si="17"/>
        <v>364685.5984382052</v>
      </c>
      <c r="AK62" s="8">
        <f t="shared" si="17"/>
        <v>-72607.643950128928</v>
      </c>
      <c r="AL62" s="8">
        <f t="shared" si="17"/>
        <v>-462654.12802879885</v>
      </c>
      <c r="AM62" s="8">
        <f t="shared" si="17"/>
        <v>-326761.039243076</v>
      </c>
      <c r="AN62" s="8">
        <f t="shared" si="17"/>
        <v>-300771.88482506573</v>
      </c>
      <c r="AO62" s="1">
        <f t="shared" si="18"/>
        <v>740985.53637383133</v>
      </c>
    </row>
    <row r="63" spans="1:4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9">
        <f>Dataset!BL63</f>
        <v>0</v>
      </c>
      <c r="I63" s="109">
        <f>Dataset!BF63</f>
        <v>0</v>
      </c>
      <c r="J63" s="109">
        <f>Dataset!BM63</f>
        <v>0</v>
      </c>
      <c r="K63" s="109">
        <f>Dataset!AM63</f>
        <v>711695.1</v>
      </c>
      <c r="M63" s="8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09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100">
        <f t="shared" si="11"/>
        <v>5.5779207321421361E-3</v>
      </c>
      <c r="AC63" s="1">
        <f t="shared" ref="AC63:AN63" si="20">SUM(AC53:AC62)</f>
        <v>-1436152.6192302853</v>
      </c>
      <c r="AD63" s="1">
        <f t="shared" si="20"/>
        <v>-333407.5173594784</v>
      </c>
      <c r="AE63" s="1">
        <f t="shared" si="20"/>
        <v>-1658105.1683205217</v>
      </c>
      <c r="AF63" s="1">
        <f t="shared" si="20"/>
        <v>3942816.2437562905</v>
      </c>
      <c r="AG63" s="1">
        <f t="shared" si="20"/>
        <v>1117020.2803723691</v>
      </c>
      <c r="AH63" s="1">
        <f t="shared" si="20"/>
        <v>-2812709.3213618565</v>
      </c>
      <c r="AI63" s="1">
        <f t="shared" si="20"/>
        <v>2518989.4953564648</v>
      </c>
      <c r="AJ63" s="1">
        <f t="shared" si="20"/>
        <v>-843265.93639450707</v>
      </c>
      <c r="AK63" s="1">
        <f t="shared" si="20"/>
        <v>-1026737.3433773909</v>
      </c>
      <c r="AL63" s="1">
        <f t="shared" si="20"/>
        <v>933453.02526694722</v>
      </c>
      <c r="AM63" s="1">
        <f t="shared" si="20"/>
        <v>1019854.3629327118</v>
      </c>
      <c r="AN63" s="1">
        <f t="shared" si="20"/>
        <v>-73359.206136869267</v>
      </c>
      <c r="AO63" s="1">
        <f>SUM(AC63:AN63)</f>
        <v>1348396.2955038743</v>
      </c>
    </row>
    <row r="64" spans="1:4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9">
        <f>Dataset!BL64</f>
        <v>0</v>
      </c>
      <c r="I64" s="109">
        <f>Dataset!BF64</f>
        <v>0</v>
      </c>
      <c r="J64" s="109">
        <f>Dataset!BM64</f>
        <v>0</v>
      </c>
      <c r="K64" s="109">
        <f>Dataset!AM64</f>
        <v>711695.1</v>
      </c>
      <c r="M64" s="8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09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100">
        <f t="shared" si="11"/>
        <v>3.4617846186308948E-2</v>
      </c>
    </row>
    <row r="65" spans="1:24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9">
        <f>Dataset!BL65</f>
        <v>0</v>
      </c>
      <c r="I65" s="109">
        <f>Dataset!BF65</f>
        <v>0</v>
      </c>
      <c r="J65" s="109">
        <f>Dataset!BM65</f>
        <v>0</v>
      </c>
      <c r="K65" s="109">
        <f>Dataset!AM65</f>
        <v>711695.1</v>
      </c>
      <c r="M65" s="8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09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100">
        <f t="shared" si="11"/>
        <v>7.517906419399846E-2</v>
      </c>
    </row>
    <row r="66" spans="1:24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9">
        <f>Dataset!BL66</f>
        <v>0</v>
      </c>
      <c r="I66" s="109">
        <f>Dataset!BF66</f>
        <v>0</v>
      </c>
      <c r="J66" s="109">
        <f>Dataset!BM66</f>
        <v>0</v>
      </c>
      <c r="K66" s="109">
        <f>Dataset!AM66</f>
        <v>711695.1</v>
      </c>
      <c r="M66" s="8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09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100">
        <f t="shared" si="11"/>
        <v>1.9023139168410606E-2</v>
      </c>
    </row>
    <row r="67" spans="1:24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9">
        <f>Dataset!BL67</f>
        <v>0</v>
      </c>
      <c r="I67" s="109">
        <f>Dataset!BF67</f>
        <v>0</v>
      </c>
      <c r="J67" s="109">
        <f>Dataset!BM67</f>
        <v>0</v>
      </c>
      <c r="K67" s="109">
        <f>Dataset!AM67</f>
        <v>711695.1</v>
      </c>
      <c r="M67" s="8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09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100">
        <f t="shared" ref="X67:X117" si="31">ABS(W67/V67)</f>
        <v>4.5399879287636299E-3</v>
      </c>
    </row>
    <row r="68" spans="1:24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9">
        <f>Dataset!BL68</f>
        <v>0</v>
      </c>
      <c r="I68" s="109">
        <f>Dataset!BF68</f>
        <v>0</v>
      </c>
      <c r="J68" s="109">
        <f>Dataset!BM68</f>
        <v>0</v>
      </c>
      <c r="K68" s="109">
        <f>Dataset!AM68</f>
        <v>711695.1</v>
      </c>
      <c r="M68" s="8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09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100">
        <f t="shared" si="31"/>
        <v>9.4430234060152454E-2</v>
      </c>
    </row>
    <row r="69" spans="1:24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9">
        <f>Dataset!BL69</f>
        <v>0</v>
      </c>
      <c r="I69" s="109">
        <f>Dataset!BF69</f>
        <v>0</v>
      </c>
      <c r="J69" s="109">
        <f>Dataset!BM69</f>
        <v>0</v>
      </c>
      <c r="K69" s="109">
        <f>Dataset!AM69</f>
        <v>711695.1</v>
      </c>
      <c r="M69" s="8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09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100">
        <f t="shared" si="31"/>
        <v>4.9487808731729262E-2</v>
      </c>
    </row>
    <row r="70" spans="1:24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9">
        <f>Dataset!BL70</f>
        <v>0</v>
      </c>
      <c r="I70" s="109">
        <f>Dataset!BF70</f>
        <v>0</v>
      </c>
      <c r="J70" s="109">
        <f>Dataset!BM70</f>
        <v>0</v>
      </c>
      <c r="K70" s="109">
        <f>Dataset!AM70</f>
        <v>711695.1</v>
      </c>
      <c r="M70" s="8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09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100">
        <f t="shared" si="31"/>
        <v>9.0573132030672375E-3</v>
      </c>
    </row>
    <row r="71" spans="1:24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9">
        <f>Dataset!BL71</f>
        <v>0</v>
      </c>
      <c r="I71" s="109">
        <f>Dataset!BF71</f>
        <v>0</v>
      </c>
      <c r="J71" s="109">
        <f>Dataset!BM71</f>
        <v>0</v>
      </c>
      <c r="K71" s="109">
        <f>Dataset!AM71</f>
        <v>711695.1</v>
      </c>
      <c r="M71" s="8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09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100">
        <f t="shared" si="31"/>
        <v>2.6765944281817063E-2</v>
      </c>
    </row>
    <row r="72" spans="1:24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9">
        <f>Dataset!BL72</f>
        <v>0</v>
      </c>
      <c r="I72" s="109">
        <f>Dataset!BF72</f>
        <v>0</v>
      </c>
      <c r="J72" s="109">
        <f>Dataset!BM72</f>
        <v>0</v>
      </c>
      <c r="K72" s="109">
        <f>Dataset!AM72</f>
        <v>711695.1</v>
      </c>
      <c r="M72" s="8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09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100">
        <f t="shared" si="31"/>
        <v>9.1808900467064986E-3</v>
      </c>
    </row>
    <row r="73" spans="1:24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9">
        <f>Dataset!BL73</f>
        <v>0</v>
      </c>
      <c r="I73" s="109">
        <f>Dataset!BF73</f>
        <v>1</v>
      </c>
      <c r="J73" s="109">
        <f>Dataset!BM73</f>
        <v>0</v>
      </c>
      <c r="K73" s="109">
        <f>Dataset!AM73</f>
        <v>711695.1</v>
      </c>
      <c r="M73" s="8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09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100">
        <f t="shared" si="31"/>
        <v>3.8349580362659737E-2</v>
      </c>
    </row>
    <row r="74" spans="1:24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9">
        <f>Dataset!BL74</f>
        <v>0</v>
      </c>
      <c r="I74" s="109">
        <f>Dataset!BF74</f>
        <v>0</v>
      </c>
      <c r="J74" s="109">
        <f>Dataset!BM74</f>
        <v>0</v>
      </c>
      <c r="K74" s="109">
        <f>Dataset!AM74</f>
        <v>732426.3</v>
      </c>
      <c r="M74" s="8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24942.394426594645</v>
      </c>
      <c r="U74" s="109">
        <f>Dataset!S74</f>
        <v>131</v>
      </c>
      <c r="V74" s="1">
        <f t="shared" si="30"/>
        <v>12215934.467689676</v>
      </c>
      <c r="W74" s="1">
        <f t="shared" si="24"/>
        <v>-326929.13389831595</v>
      </c>
      <c r="X74" s="100">
        <f t="shared" si="31"/>
        <v>2.6762515365731657E-2</v>
      </c>
    </row>
    <row r="75" spans="1:24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9">
        <f>Dataset!BL75</f>
        <v>0</v>
      </c>
      <c r="I75" s="109">
        <f>Dataset!BF75</f>
        <v>0</v>
      </c>
      <c r="J75" s="109">
        <f>Dataset!BM75</f>
        <v>0</v>
      </c>
      <c r="K75" s="109">
        <f>Dataset!AM75</f>
        <v>732426.3</v>
      </c>
      <c r="M75" s="8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24942.394426594645</v>
      </c>
      <c r="U75" s="109">
        <f>Dataset!S75</f>
        <v>132</v>
      </c>
      <c r="V75" s="1">
        <f t="shared" si="30"/>
        <v>11246663.948850876</v>
      </c>
      <c r="W75" s="1">
        <f t="shared" si="24"/>
        <v>195708.85037296638</v>
      </c>
      <c r="X75" s="100">
        <f t="shared" si="31"/>
        <v>1.7401502460021746E-2</v>
      </c>
    </row>
    <row r="76" spans="1:24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9">
        <f>Dataset!BL76</f>
        <v>0</v>
      </c>
      <c r="I76" s="109">
        <f>Dataset!BF76</f>
        <v>0</v>
      </c>
      <c r="J76" s="109">
        <f>Dataset!BM76</f>
        <v>0</v>
      </c>
      <c r="K76" s="109">
        <f>Dataset!AM76</f>
        <v>732426.3</v>
      </c>
      <c r="M76" s="8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24942.394426594645</v>
      </c>
      <c r="U76" s="109">
        <f>Dataset!S76</f>
        <v>129</v>
      </c>
      <c r="V76" s="1">
        <f t="shared" si="30"/>
        <v>11833094.152173556</v>
      </c>
      <c r="W76" s="1">
        <f t="shared" si="24"/>
        <v>-17641.917593827471</v>
      </c>
      <c r="X76" s="100">
        <f t="shared" si="31"/>
        <v>1.4908964102670411E-3</v>
      </c>
    </row>
    <row r="77" spans="1:24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9">
        <f>Dataset!BL77</f>
        <v>0</v>
      </c>
      <c r="I77" s="109">
        <f>Dataset!BF77</f>
        <v>0</v>
      </c>
      <c r="J77" s="109">
        <f>Dataset!BM77</f>
        <v>0</v>
      </c>
      <c r="K77" s="109">
        <f>Dataset!AM77</f>
        <v>732426.3</v>
      </c>
      <c r="M77" s="8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24942.394426594645</v>
      </c>
      <c r="U77" s="109">
        <f>Dataset!S77</f>
        <v>137</v>
      </c>
      <c r="V77" s="1">
        <f t="shared" si="30"/>
        <v>12075562.275509886</v>
      </c>
      <c r="W77" s="1">
        <f t="shared" si="24"/>
        <v>1237870.4752463885</v>
      </c>
      <c r="X77" s="100">
        <f t="shared" si="31"/>
        <v>0.10251037980706533</v>
      </c>
    </row>
    <row r="78" spans="1:24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9">
        <f>Dataset!BL78</f>
        <v>0</v>
      </c>
      <c r="I78" s="109">
        <f>Dataset!BF78</f>
        <v>0</v>
      </c>
      <c r="J78" s="109">
        <f>Dataset!BM78</f>
        <v>0</v>
      </c>
      <c r="K78" s="109">
        <f>Dataset!AM78</f>
        <v>732426.3</v>
      </c>
      <c r="M78" s="8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24942.394426594645</v>
      </c>
      <c r="U78" s="109">
        <f>Dataset!S78</f>
        <v>127</v>
      </c>
      <c r="V78" s="1">
        <f t="shared" si="30"/>
        <v>11037344.447534388</v>
      </c>
      <c r="W78" s="1">
        <f t="shared" si="24"/>
        <v>86451.074665112421</v>
      </c>
      <c r="X78" s="100">
        <f t="shared" si="31"/>
        <v>7.8325973313648437E-3</v>
      </c>
    </row>
    <row r="79" spans="1:24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9">
        <f>Dataset!BL79</f>
        <v>0</v>
      </c>
      <c r="I79" s="109">
        <f>Dataset!BF79</f>
        <v>0</v>
      </c>
      <c r="J79" s="109">
        <f>Dataset!BM79</f>
        <v>0</v>
      </c>
      <c r="K79" s="109">
        <f>Dataset!AM79</f>
        <v>732426.3</v>
      </c>
      <c r="M79" s="8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24942.394426594645</v>
      </c>
      <c r="U79" s="109">
        <f>Dataset!S79</f>
        <v>127</v>
      </c>
      <c r="V79" s="1">
        <f t="shared" si="30"/>
        <v>10693499.99815206</v>
      </c>
      <c r="W79" s="1">
        <f t="shared" si="24"/>
        <v>-308253.98854885437</v>
      </c>
      <c r="X79" s="100">
        <f t="shared" si="31"/>
        <v>2.8826295282379354E-2</v>
      </c>
    </row>
    <row r="80" spans="1:24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9">
        <f>Dataset!BL80</f>
        <v>0</v>
      </c>
      <c r="I80" s="109">
        <f>Dataset!BF80</f>
        <v>0</v>
      </c>
      <c r="J80" s="109">
        <f>Dataset!BM80</f>
        <v>0</v>
      </c>
      <c r="K80" s="109">
        <f>Dataset!AM80</f>
        <v>732426.3</v>
      </c>
      <c r="M80" s="8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24942.394426594645</v>
      </c>
      <c r="U80" s="109">
        <f>Dataset!S80</f>
        <v>128</v>
      </c>
      <c r="V80" s="1">
        <f t="shared" si="30"/>
        <v>11281894.607963804</v>
      </c>
      <c r="W80" s="1">
        <f t="shared" si="24"/>
        <v>-506024.02500071563</v>
      </c>
      <c r="X80" s="100">
        <f t="shared" si="31"/>
        <v>4.4852752359831216E-2</v>
      </c>
    </row>
    <row r="81" spans="1:24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9">
        <f>Dataset!BL81</f>
        <v>0</v>
      </c>
      <c r="I81" s="109">
        <f>Dataset!BF81</f>
        <v>0</v>
      </c>
      <c r="J81" s="109">
        <f>Dataset!BM81</f>
        <v>0</v>
      </c>
      <c r="K81" s="109">
        <f>Dataset!AM81</f>
        <v>732426.3</v>
      </c>
      <c r="M81" s="8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24942.394426594645</v>
      </c>
      <c r="U81" s="109">
        <f>Dataset!S81</f>
        <v>126</v>
      </c>
      <c r="V81" s="1">
        <f t="shared" si="30"/>
        <v>11155320.29009367</v>
      </c>
      <c r="W81" s="1">
        <f t="shared" si="24"/>
        <v>-379354.35891679674</v>
      </c>
      <c r="X81" s="100">
        <f t="shared" si="31"/>
        <v>3.4006586010235602E-2</v>
      </c>
    </row>
    <row r="82" spans="1:24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9">
        <f>Dataset!BL82</f>
        <v>0</v>
      </c>
      <c r="I82" s="109">
        <f>Dataset!BF82</f>
        <v>0</v>
      </c>
      <c r="J82" s="109">
        <f>Dataset!BM82</f>
        <v>0</v>
      </c>
      <c r="K82" s="109">
        <f>Dataset!AM82</f>
        <v>732426.3</v>
      </c>
      <c r="M82" s="8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24942.394426594645</v>
      </c>
      <c r="U82" s="109">
        <f>Dataset!S82</f>
        <v>125</v>
      </c>
      <c r="V82" s="1">
        <f t="shared" si="30"/>
        <v>10632479.101455819</v>
      </c>
      <c r="W82" s="1">
        <f t="shared" si="24"/>
        <v>-455094.69819901139</v>
      </c>
      <c r="X82" s="100">
        <f t="shared" si="31"/>
        <v>4.2802312974845061E-2</v>
      </c>
    </row>
    <row r="83" spans="1:24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9">
        <f>Dataset!BL83</f>
        <v>0</v>
      </c>
      <c r="I83" s="109">
        <f>Dataset!BF83</f>
        <v>0</v>
      </c>
      <c r="J83" s="109">
        <f>Dataset!BM83</f>
        <v>0</v>
      </c>
      <c r="K83" s="109">
        <f>Dataset!AM83</f>
        <v>732426.3</v>
      </c>
      <c r="M83" s="8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24942.394426594645</v>
      </c>
      <c r="U83" s="109">
        <f>Dataset!S83</f>
        <v>127</v>
      </c>
      <c r="V83" s="1">
        <f t="shared" si="30"/>
        <v>11211121.006597502</v>
      </c>
      <c r="W83" s="1">
        <f t="shared" si="24"/>
        <v>-114452.93827155232</v>
      </c>
      <c r="X83" s="100">
        <f t="shared" si="31"/>
        <v>1.0208875473219784E-2</v>
      </c>
    </row>
    <row r="84" spans="1:24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9">
        <f>Dataset!BL84</f>
        <v>0</v>
      </c>
      <c r="I84" s="109">
        <f>Dataset!BF84</f>
        <v>0</v>
      </c>
      <c r="J84" s="109">
        <f>Dataset!BM84</f>
        <v>0</v>
      </c>
      <c r="K84" s="109">
        <f>Dataset!AM84</f>
        <v>732426.3</v>
      </c>
      <c r="M84" s="8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24942.394426594645</v>
      </c>
      <c r="U84" s="109">
        <f>Dataset!S84</f>
        <v>124</v>
      </c>
      <c r="V84" s="1">
        <f t="shared" si="30"/>
        <v>10978195.187337091</v>
      </c>
      <c r="W84" s="1">
        <f t="shared" si="24"/>
        <v>-483449.69793651998</v>
      </c>
      <c r="X84" s="100">
        <f t="shared" si="31"/>
        <v>4.4037265660402891E-2</v>
      </c>
    </row>
    <row r="85" spans="1:24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9">
        <f>Dataset!BL85</f>
        <v>0</v>
      </c>
      <c r="I85" s="109">
        <f>Dataset!BF85</f>
        <v>1</v>
      </c>
      <c r="J85" s="109">
        <f>Dataset!BM85</f>
        <v>0</v>
      </c>
      <c r="K85" s="109">
        <f>Dataset!AM85</f>
        <v>732426.3</v>
      </c>
      <c r="M85" s="8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24942.394426594645</v>
      </c>
      <c r="U85" s="109">
        <f>Dataset!S85</f>
        <v>125</v>
      </c>
      <c r="V85" s="1">
        <f t="shared" si="30"/>
        <v>10873200.16235809</v>
      </c>
      <c r="W85" s="1">
        <f t="shared" si="24"/>
        <v>-459693.21660563722</v>
      </c>
      <c r="X85" s="100">
        <f t="shared" si="31"/>
        <v>4.2277637654188342E-2</v>
      </c>
    </row>
    <row r="86" spans="1:24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9">
        <f>Dataset!BL86</f>
        <v>0</v>
      </c>
      <c r="I86" s="109">
        <f>Dataset!BF86</f>
        <v>0</v>
      </c>
      <c r="J86" s="109">
        <f>Dataset!BM86</f>
        <v>0</v>
      </c>
      <c r="K86" s="109">
        <f>Dataset!AM86</f>
        <v>747589.4</v>
      </c>
      <c r="M86" s="8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25458.765863461256</v>
      </c>
      <c r="U86" s="109">
        <f>Dataset!S86</f>
        <v>125</v>
      </c>
      <c r="V86" s="1">
        <f t="shared" si="30"/>
        <v>11819531.600870468</v>
      </c>
      <c r="W86" s="1">
        <f t="shared" si="24"/>
        <v>-376422.7111701984</v>
      </c>
      <c r="X86" s="100">
        <f t="shared" si="31"/>
        <v>3.1847515103092257E-2</v>
      </c>
    </row>
    <row r="87" spans="1:24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9">
        <f>Dataset!BL87</f>
        <v>0</v>
      </c>
      <c r="I87" s="109">
        <f>Dataset!BF87</f>
        <v>0</v>
      </c>
      <c r="J87" s="109">
        <f>Dataset!BM87</f>
        <v>0</v>
      </c>
      <c r="K87" s="109">
        <f>Dataset!AM87</f>
        <v>747589.4</v>
      </c>
      <c r="M87" s="8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25458.765863461256</v>
      </c>
      <c r="U87" s="109">
        <f>Dataset!S87</f>
        <v>124</v>
      </c>
      <c r="V87" s="1">
        <f t="shared" si="30"/>
        <v>10756164.047013856</v>
      </c>
      <c r="W87" s="1">
        <f t="shared" si="24"/>
        <v>-330952.74957270175</v>
      </c>
      <c r="X87" s="100">
        <f t="shared" si="31"/>
        <v>3.0768659544996562E-2</v>
      </c>
    </row>
    <row r="88" spans="1:24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9">
        <f>Dataset!BL88</f>
        <v>0</v>
      </c>
      <c r="I88" s="109">
        <f>Dataset!BF88</f>
        <v>0</v>
      </c>
      <c r="J88" s="109">
        <f>Dataset!BM88</f>
        <v>0</v>
      </c>
      <c r="K88" s="109">
        <f>Dataset!AM88</f>
        <v>747589.4</v>
      </c>
      <c r="M88" s="8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25458.765863461256</v>
      </c>
      <c r="U88" s="109">
        <f>Dataset!S88</f>
        <v>124</v>
      </c>
      <c r="V88" s="1">
        <f t="shared" si="30"/>
        <v>11460978.667937119</v>
      </c>
      <c r="W88" s="1">
        <f t="shared" si="24"/>
        <v>-218634.84334976971</v>
      </c>
      <c r="X88" s="100">
        <f t="shared" si="31"/>
        <v>1.9076454959419464E-2</v>
      </c>
    </row>
    <row r="89" spans="1:24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9">
        <f>Dataset!BL89</f>
        <v>0</v>
      </c>
      <c r="I89" s="109">
        <f>Dataset!BF89</f>
        <v>0</v>
      </c>
      <c r="J89" s="109">
        <f>Dataset!BM89</f>
        <v>0</v>
      </c>
      <c r="K89" s="109">
        <f>Dataset!AM89</f>
        <v>747589.4</v>
      </c>
      <c r="M89" s="8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25458.765863461256</v>
      </c>
      <c r="U89" s="109">
        <f>Dataset!S89</f>
        <v>124</v>
      </c>
      <c r="V89" s="1">
        <f t="shared" si="30"/>
        <v>10864906.947152356</v>
      </c>
      <c r="W89" s="1">
        <f t="shared" si="24"/>
        <v>143942.81324969605</v>
      </c>
      <c r="X89" s="100">
        <f t="shared" si="31"/>
        <v>1.3248416571797959E-2</v>
      </c>
    </row>
    <row r="90" spans="1:24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9">
        <f>Dataset!BL90</f>
        <v>0</v>
      </c>
      <c r="I90" s="109">
        <f>Dataset!BF90</f>
        <v>0</v>
      </c>
      <c r="J90" s="109">
        <f>Dataset!BM90</f>
        <v>0</v>
      </c>
      <c r="K90" s="109">
        <f>Dataset!AM90</f>
        <v>747589.4</v>
      </c>
      <c r="M90" s="8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25458.765863461256</v>
      </c>
      <c r="U90" s="109">
        <f>Dataset!S90</f>
        <v>124</v>
      </c>
      <c r="V90" s="1">
        <f t="shared" si="30"/>
        <v>10875146.899373345</v>
      </c>
      <c r="W90" s="1">
        <f t="shared" si="24"/>
        <v>88850.660402709618</v>
      </c>
      <c r="X90" s="100">
        <f t="shared" si="31"/>
        <v>8.1700653080676484E-3</v>
      </c>
    </row>
    <row r="91" spans="1:24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9">
        <f>Dataset!BL91</f>
        <v>0</v>
      </c>
      <c r="I91" s="109">
        <f>Dataset!BF91</f>
        <v>0</v>
      </c>
      <c r="J91" s="109">
        <f>Dataset!BM91</f>
        <v>0</v>
      </c>
      <c r="K91" s="109">
        <f>Dataset!AM91</f>
        <v>747589.4</v>
      </c>
      <c r="M91" s="8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25458.765863461256</v>
      </c>
      <c r="U91" s="109">
        <f>Dataset!S91</f>
        <v>124</v>
      </c>
      <c r="V91" s="1">
        <f t="shared" si="30"/>
        <v>10487459.997437783</v>
      </c>
      <c r="W91" s="1">
        <f t="shared" si="24"/>
        <v>-152048.04637206532</v>
      </c>
      <c r="X91" s="100">
        <f t="shared" si="31"/>
        <v>1.4498081175919867E-2</v>
      </c>
    </row>
    <row r="92" spans="1:24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9">
        <f>Dataset!BL92</f>
        <v>0</v>
      </c>
      <c r="I92" s="109">
        <f>Dataset!BF92</f>
        <v>0</v>
      </c>
      <c r="J92" s="109">
        <f>Dataset!BM92</f>
        <v>0</v>
      </c>
      <c r="K92" s="109">
        <f>Dataset!AM92</f>
        <v>747589.4</v>
      </c>
      <c r="M92" s="8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25458.765863461256</v>
      </c>
      <c r="U92" s="109">
        <f>Dataset!S92</f>
        <v>124</v>
      </c>
      <c r="V92" s="1">
        <f t="shared" si="30"/>
        <v>10978623.822987475</v>
      </c>
      <c r="W92" s="1">
        <f t="shared" si="24"/>
        <v>-11315.430609408766</v>
      </c>
      <c r="X92" s="100">
        <f t="shared" si="31"/>
        <v>1.0306784157879671E-3</v>
      </c>
    </row>
    <row r="93" spans="1:24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9">
        <f>Dataset!BL93</f>
        <v>0</v>
      </c>
      <c r="I93" s="109">
        <f>Dataset!BF93</f>
        <v>0</v>
      </c>
      <c r="J93" s="109">
        <f>Dataset!BM93</f>
        <v>0</v>
      </c>
      <c r="K93" s="109">
        <f>Dataset!AM93</f>
        <v>747589.4</v>
      </c>
      <c r="M93" s="8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25458.765863461256</v>
      </c>
      <c r="U93" s="109">
        <f>Dataset!S93</f>
        <v>124</v>
      </c>
      <c r="V93" s="1">
        <f t="shared" si="30"/>
        <v>10799512.93770311</v>
      </c>
      <c r="W93" s="1">
        <f t="shared" si="24"/>
        <v>-488338.60395528749</v>
      </c>
      <c r="X93" s="100">
        <f t="shared" si="31"/>
        <v>4.5218576686954698E-2</v>
      </c>
    </row>
    <row r="94" spans="1:24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9">
        <f>Dataset!BL94</f>
        <v>0</v>
      </c>
      <c r="I94" s="109">
        <f>Dataset!BF94</f>
        <v>0</v>
      </c>
      <c r="J94" s="109">
        <f>Dataset!BM94</f>
        <v>0</v>
      </c>
      <c r="K94" s="109">
        <f>Dataset!AM94</f>
        <v>747589.4</v>
      </c>
      <c r="M94" s="8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25458.765863461256</v>
      </c>
      <c r="U94" s="109">
        <f>Dataset!S94</f>
        <v>127</v>
      </c>
      <c r="V94" s="1">
        <f t="shared" si="30"/>
        <v>10688144.218731735</v>
      </c>
      <c r="W94" s="1">
        <f t="shared" si="24"/>
        <v>-285657.4723517783</v>
      </c>
      <c r="X94" s="100">
        <f t="shared" si="31"/>
        <v>2.6726573529120539E-2</v>
      </c>
    </row>
    <row r="95" spans="1:24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9">
        <f>Dataset!BL95</f>
        <v>0</v>
      </c>
      <c r="I95" s="109">
        <f>Dataset!BF95</f>
        <v>0</v>
      </c>
      <c r="J95" s="109">
        <f>Dataset!BM95</f>
        <v>0</v>
      </c>
      <c r="K95" s="109">
        <f>Dataset!AM95</f>
        <v>747589.4</v>
      </c>
      <c r="M95" s="8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25458.765863461256</v>
      </c>
      <c r="U95" s="109">
        <f>Dataset!S95</f>
        <v>129</v>
      </c>
      <c r="V95" s="1">
        <f t="shared" si="30"/>
        <v>11349660.767297903</v>
      </c>
      <c r="W95" s="1">
        <f t="shared" si="24"/>
        <v>354850.66804167442</v>
      </c>
      <c r="X95" s="100">
        <f t="shared" si="31"/>
        <v>3.1265310507263409E-2</v>
      </c>
    </row>
    <row r="96" spans="1:24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9">
        <f>Dataset!BL96</f>
        <v>0</v>
      </c>
      <c r="I96" s="109">
        <f>Dataset!BF96</f>
        <v>0</v>
      </c>
      <c r="J96" s="109">
        <f>Dataset!BM96</f>
        <v>0</v>
      </c>
      <c r="K96" s="109">
        <f>Dataset!AM96</f>
        <v>747589.4</v>
      </c>
      <c r="M96" s="8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25458.765863461256</v>
      </c>
      <c r="U96" s="109">
        <f>Dataset!S96</f>
        <v>126</v>
      </c>
      <c r="V96" s="1">
        <f t="shared" si="30"/>
        <v>11252851.131446529</v>
      </c>
      <c r="W96" s="1">
        <f t="shared" si="24"/>
        <v>-173075.65751352347</v>
      </c>
      <c r="X96" s="100">
        <f t="shared" si="31"/>
        <v>1.5380604923303112E-2</v>
      </c>
    </row>
    <row r="97" spans="1:24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9">
        <f>Dataset!BL97</f>
        <v>0</v>
      </c>
      <c r="I97" s="109">
        <f>Dataset!BF97</f>
        <v>1</v>
      </c>
      <c r="J97" s="109">
        <f>Dataset!BM97</f>
        <v>0</v>
      </c>
      <c r="K97" s="109">
        <f>Dataset!AM97</f>
        <v>747589.4</v>
      </c>
      <c r="M97" s="8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25458.765863461256</v>
      </c>
      <c r="U97" s="109">
        <f>Dataset!S97</f>
        <v>126</v>
      </c>
      <c r="V97" s="1">
        <f t="shared" si="30"/>
        <v>11016875.66918174</v>
      </c>
      <c r="W97" s="1">
        <f t="shared" si="24"/>
        <v>76507.460448175669</v>
      </c>
      <c r="X97" s="100">
        <f t="shared" si="31"/>
        <v>6.9445696534631155E-3</v>
      </c>
    </row>
    <row r="98" spans="1:24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9">
        <f>Dataset!BL98</f>
        <v>0</v>
      </c>
      <c r="I98" s="109">
        <f>Dataset!BF98</f>
        <v>0</v>
      </c>
      <c r="J98" s="109">
        <f>Dataset!BM98</f>
        <v>0</v>
      </c>
      <c r="K98" s="109">
        <f>Dataset!AM98</f>
        <v>710048.9</v>
      </c>
      <c r="M98" s="8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24180.343777892271</v>
      </c>
      <c r="U98" s="109">
        <f>Dataset!S98</f>
        <v>126</v>
      </c>
      <c r="V98" s="1">
        <f t="shared" si="30"/>
        <v>11488777.410338232</v>
      </c>
      <c r="W98" s="1">
        <f t="shared" ref="W98:W117" si="35">V98-D98</f>
        <v>42911.508813181892</v>
      </c>
      <c r="X98" s="100">
        <f t="shared" si="31"/>
        <v>3.73508052950593E-3</v>
      </c>
    </row>
    <row r="99" spans="1:24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9">
        <f>Dataset!BL99</f>
        <v>0</v>
      </c>
      <c r="I99" s="109">
        <f>Dataset!BF99</f>
        <v>0</v>
      </c>
      <c r="J99" s="109">
        <f>Dataset!BM99</f>
        <v>0</v>
      </c>
      <c r="K99" s="109">
        <f>Dataset!AM99</f>
        <v>710048.9</v>
      </c>
      <c r="M99" s="8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24180.343777892271</v>
      </c>
      <c r="U99" s="109">
        <f>Dataset!S99</f>
        <v>127</v>
      </c>
      <c r="V99" s="1">
        <f t="shared" si="30"/>
        <v>11086541.656530257</v>
      </c>
      <c r="W99" s="1">
        <f t="shared" si="35"/>
        <v>41135.327326416969</v>
      </c>
      <c r="X99" s="100">
        <f t="shared" si="31"/>
        <v>3.7103840494918635E-3</v>
      </c>
    </row>
    <row r="100" spans="1:24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9">
        <f>Dataset!BL100</f>
        <v>0.5</v>
      </c>
      <c r="I100" s="109">
        <f>Dataset!BF100</f>
        <v>0</v>
      </c>
      <c r="J100" s="109">
        <f>Dataset!BM100</f>
        <v>0</v>
      </c>
      <c r="K100" s="109">
        <f>Dataset!AM100</f>
        <v>710048.9</v>
      </c>
      <c r="M100" s="8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24180.343777892271</v>
      </c>
      <c r="U100" s="109">
        <f>Dataset!S100</f>
        <v>127</v>
      </c>
      <c r="V100" s="1">
        <f t="shared" si="30"/>
        <v>9947203.0250485186</v>
      </c>
      <c r="W100" s="1">
        <f t="shared" si="35"/>
        <v>-605085.08241485618</v>
      </c>
      <c r="X100" s="100">
        <f t="shared" si="31"/>
        <v>6.0829670500457574E-2</v>
      </c>
    </row>
    <row r="101" spans="1:24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9">
        <f>Dataset!BL101</f>
        <v>1</v>
      </c>
      <c r="I101" s="109">
        <f>Dataset!BF101</f>
        <v>0</v>
      </c>
      <c r="J101" s="109">
        <f>Dataset!BM101</f>
        <v>0</v>
      </c>
      <c r="K101" s="109">
        <f>Dataset!AM101</f>
        <v>710048.9</v>
      </c>
      <c r="M101" s="8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24180.343777892271</v>
      </c>
      <c r="U101" s="109">
        <f>Dataset!S101</f>
        <v>129</v>
      </c>
      <c r="V101" s="1">
        <f t="shared" si="30"/>
        <v>8254549.0953635043</v>
      </c>
      <c r="W101" s="1">
        <f t="shared" si="35"/>
        <v>580907.37068664469</v>
      </c>
      <c r="X101" s="100">
        <f t="shared" si="31"/>
        <v>7.0374209902383938E-2</v>
      </c>
    </row>
    <row r="102" spans="1:24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9">
        <f>Dataset!BL102</f>
        <v>1</v>
      </c>
      <c r="I102" s="109">
        <f>Dataset!BF102</f>
        <v>0</v>
      </c>
      <c r="J102" s="109">
        <f>Dataset!BM102</f>
        <v>0</v>
      </c>
      <c r="K102" s="109">
        <f>Dataset!AM102</f>
        <v>710048.9</v>
      </c>
      <c r="M102" s="8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24180.343777892271</v>
      </c>
      <c r="U102" s="109">
        <f>Dataset!S102</f>
        <v>129</v>
      </c>
      <c r="V102" s="1">
        <f t="shared" si="30"/>
        <v>8358045.1357398247</v>
      </c>
      <c r="W102" s="1">
        <f t="shared" si="35"/>
        <v>-128756.62519424129</v>
      </c>
      <c r="X102" s="100">
        <f t="shared" si="31"/>
        <v>1.5405112451913578E-2</v>
      </c>
    </row>
    <row r="103" spans="1:24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9">
        <f>Dataset!BL103</f>
        <v>0.5</v>
      </c>
      <c r="I103" s="109">
        <f>Dataset!BF103</f>
        <v>0</v>
      </c>
      <c r="J103" s="109">
        <f>Dataset!BM103</f>
        <v>0</v>
      </c>
      <c r="K103" s="109">
        <f>Dataset!AM103</f>
        <v>710048.9</v>
      </c>
      <c r="M103" s="8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24180.343777892271</v>
      </c>
      <c r="U103" s="109">
        <f>Dataset!S103</f>
        <v>130</v>
      </c>
      <c r="V103" s="1">
        <f t="shared" si="30"/>
        <v>9439184.179197602</v>
      </c>
      <c r="W103" s="1">
        <f t="shared" si="35"/>
        <v>-289574.85818292573</v>
      </c>
      <c r="X103" s="100">
        <f t="shared" si="31"/>
        <v>3.0677954014405266E-2</v>
      </c>
    </row>
    <row r="104" spans="1:24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9">
        <f>Dataset!BL104</f>
        <v>0</v>
      </c>
      <c r="I104" s="109">
        <f>Dataset!BF104</f>
        <v>0</v>
      </c>
      <c r="J104" s="109">
        <f>Dataset!BM104</f>
        <v>0</v>
      </c>
      <c r="K104" s="109">
        <f>Dataset!AM104</f>
        <v>710048.9</v>
      </c>
      <c r="M104" s="8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24180.343777892271</v>
      </c>
      <c r="U104" s="109">
        <f>Dataset!S104</f>
        <v>130</v>
      </c>
      <c r="V104" s="1">
        <f t="shared" si="30"/>
        <v>11475406.062783582</v>
      </c>
      <c r="W104" s="1">
        <f t="shared" si="35"/>
        <v>417738.40222611837</v>
      </c>
      <c r="X104" s="100">
        <f t="shared" si="31"/>
        <v>3.6402929878089893E-2</v>
      </c>
    </row>
    <row r="105" spans="1:24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9">
        <f>Dataset!BL105</f>
        <v>0</v>
      </c>
      <c r="I105" s="109">
        <f>Dataset!BF105</f>
        <v>0</v>
      </c>
      <c r="J105" s="109">
        <f>Dataset!BM105</f>
        <v>0</v>
      </c>
      <c r="K105" s="109">
        <f>Dataset!AM105</f>
        <v>710048.9</v>
      </c>
      <c r="M105" s="8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24180.343777892271</v>
      </c>
      <c r="U105" s="109">
        <f>Dataset!S105</f>
        <v>128</v>
      </c>
      <c r="V105" s="1">
        <f t="shared" si="30"/>
        <v>11078976.923078027</v>
      </c>
      <c r="W105" s="1">
        <f t="shared" si="35"/>
        <v>251437.25795545802</v>
      </c>
      <c r="X105" s="100">
        <f t="shared" si="31"/>
        <v>2.2694988869568132E-2</v>
      </c>
    </row>
    <row r="106" spans="1:24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9">
        <f>Dataset!BL106</f>
        <v>0</v>
      </c>
      <c r="I106" s="109">
        <f>Dataset!BF106</f>
        <v>0</v>
      </c>
      <c r="J106" s="109">
        <f>Dataset!BM106</f>
        <v>0</v>
      </c>
      <c r="K106" s="109">
        <f>Dataset!AM106</f>
        <v>710048.9</v>
      </c>
      <c r="M106" s="8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24180.343777892271</v>
      </c>
      <c r="U106" s="109">
        <f>Dataset!S106</f>
        <v>124</v>
      </c>
      <c r="V106" s="1">
        <f t="shared" si="30"/>
        <v>10341275.125588326</v>
      </c>
      <c r="W106" s="1">
        <f t="shared" si="35"/>
        <v>59280.94670493342</v>
      </c>
      <c r="X106" s="100">
        <f t="shared" si="31"/>
        <v>5.7324600675451873E-3</v>
      </c>
    </row>
    <row r="107" spans="1:24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9">
        <f>Dataset!BL107</f>
        <v>0</v>
      </c>
      <c r="I107" s="109">
        <f>Dataset!BF107</f>
        <v>0</v>
      </c>
      <c r="J107" s="109">
        <f>Dataset!BM107</f>
        <v>0</v>
      </c>
      <c r="K107" s="109">
        <f>Dataset!AM107</f>
        <v>710048.9</v>
      </c>
      <c r="M107" s="8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24180.343777892271</v>
      </c>
      <c r="U107" s="109">
        <f>Dataset!S107</f>
        <v>125</v>
      </c>
      <c r="V107" s="1">
        <f t="shared" si="30"/>
        <v>10864546.56948231</v>
      </c>
      <c r="W107" s="1">
        <f t="shared" si="35"/>
        <v>109195.29241387732</v>
      </c>
      <c r="X107" s="100">
        <f t="shared" si="31"/>
        <v>1.0050607424390692E-2</v>
      </c>
    </row>
    <row r="108" spans="1:24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9">
        <f>Dataset!BL108</f>
        <v>0</v>
      </c>
      <c r="I108" s="109">
        <f>Dataset!BF108</f>
        <v>0</v>
      </c>
      <c r="J108" s="109">
        <f>Dataset!BM108</f>
        <v>0</v>
      </c>
      <c r="K108" s="109">
        <f>Dataset!AM108</f>
        <v>710048.9</v>
      </c>
      <c r="M108" s="8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24180.343777892271</v>
      </c>
      <c r="U108" s="109">
        <f>Dataset!S108</f>
        <v>123</v>
      </c>
      <c r="V108" s="1">
        <f t="shared" si="30"/>
        <v>10527866.892701427</v>
      </c>
      <c r="W108" s="1">
        <f t="shared" si="35"/>
        <v>-316116.77997767366</v>
      </c>
      <c r="X108" s="100">
        <f t="shared" si="31"/>
        <v>3.0026669523797411E-2</v>
      </c>
    </row>
    <row r="109" spans="1:24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9">
        <f>Dataset!BL109</f>
        <v>0</v>
      </c>
      <c r="I109" s="109">
        <f>Dataset!BF109</f>
        <v>1</v>
      </c>
      <c r="J109" s="109">
        <f>Dataset!BM109</f>
        <v>0</v>
      </c>
      <c r="K109" s="109">
        <f>Dataset!AM109</f>
        <v>710048.9</v>
      </c>
      <c r="M109" s="8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24180.343777892271</v>
      </c>
      <c r="U109" s="109">
        <f>Dataset!S109</f>
        <v>124</v>
      </c>
      <c r="V109" s="1">
        <f t="shared" si="30"/>
        <v>10660503.386271453</v>
      </c>
      <c r="W109" s="1">
        <f t="shared" si="35"/>
        <v>-198324.14842975698</v>
      </c>
      <c r="X109" s="100">
        <f t="shared" si="31"/>
        <v>1.8603638237680024E-2</v>
      </c>
    </row>
    <row r="110" spans="1:24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11438528.201895148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9">
        <f>Dataset!BL110</f>
        <v>0</v>
      </c>
      <c r="I110" s="109">
        <f>Dataset!BF110</f>
        <v>0</v>
      </c>
      <c r="J110" s="109">
        <f>Dataset!BM110</f>
        <v>0</v>
      </c>
      <c r="K110" s="109">
        <f>Dataset!AM110</f>
        <v>740225.97825000004</v>
      </c>
      <c r="M110" s="8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25208.00838845269</v>
      </c>
      <c r="U110" s="109">
        <f>Dataset!S110</f>
        <v>124</v>
      </c>
      <c r="V110" s="1">
        <f t="shared" si="30"/>
        <v>11470133.934764808</v>
      </c>
      <c r="W110" s="1">
        <f t="shared" si="35"/>
        <v>31605.732869660482</v>
      </c>
      <c r="X110" s="100">
        <f t="shared" si="31"/>
        <v>2.7554807162161136E-3</v>
      </c>
    </row>
    <row r="111" spans="1:24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10765514.674237575</v>
      </c>
      <c r="E111">
        <f>Dataset!AC111</f>
        <v>583.6</v>
      </c>
      <c r="F111">
        <f>Dataset!AB111</f>
        <v>0</v>
      </c>
      <c r="G111" s="8">
        <f>Dataset!AR111</f>
        <v>28</v>
      </c>
      <c r="H111" s="109">
        <f>Dataset!BL111</f>
        <v>0</v>
      </c>
      <c r="I111" s="109">
        <f>Dataset!BF111</f>
        <v>0</v>
      </c>
      <c r="J111" s="109">
        <f>Dataset!BM111</f>
        <v>0</v>
      </c>
      <c r="K111" s="109">
        <f>Dataset!AM111</f>
        <v>740225.97825000004</v>
      </c>
      <c r="M111" s="8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25208.00838845269</v>
      </c>
      <c r="U111" s="109">
        <f>Dataset!S111</f>
        <v>125</v>
      </c>
      <c r="V111" s="1">
        <f t="shared" si="30"/>
        <v>10819869.065050105</v>
      </c>
      <c r="W111" s="1">
        <f t="shared" si="35"/>
        <v>54354.390812529251</v>
      </c>
      <c r="X111" s="100">
        <f t="shared" si="31"/>
        <v>5.0235719569012684E-3</v>
      </c>
    </row>
    <row r="112" spans="1:24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11294872.138339821</v>
      </c>
      <c r="E112">
        <f>Dataset!AC112</f>
        <v>398.9</v>
      </c>
      <c r="F112">
        <f>Dataset!AB112</f>
        <v>0</v>
      </c>
      <c r="G112" s="8">
        <f>Dataset!AR112</f>
        <v>31</v>
      </c>
      <c r="H112" s="109">
        <f>Dataset!BL112</f>
        <v>0</v>
      </c>
      <c r="I112" s="109">
        <f>Dataset!BF112</f>
        <v>0</v>
      </c>
      <c r="J112" s="109">
        <f>Dataset!BM112</f>
        <v>0</v>
      </c>
      <c r="K112" s="109">
        <f>Dataset!AM112</f>
        <v>740225.97825000004</v>
      </c>
      <c r="M112" s="8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25208.00838845269</v>
      </c>
      <c r="U112" s="109">
        <f>Dataset!S112</f>
        <v>125</v>
      </c>
      <c r="V112" s="1">
        <f t="shared" si="30"/>
        <v>11281813.31302036</v>
      </c>
      <c r="W112" s="1">
        <f t="shared" si="35"/>
        <v>-13058.825319461524</v>
      </c>
      <c r="X112" s="100">
        <f t="shared" si="31"/>
        <v>1.1575112047271967E-3</v>
      </c>
    </row>
    <row r="113" spans="1:24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10228699.670555416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9">
        <f>Dataset!BL113</f>
        <v>0</v>
      </c>
      <c r="I113" s="109">
        <f>Dataset!BF113</f>
        <v>0</v>
      </c>
      <c r="J113" s="109">
        <f>Dataset!BM113</f>
        <v>0</v>
      </c>
      <c r="K113" s="109">
        <f>Dataset!AM113</f>
        <v>740225.97825000004</v>
      </c>
      <c r="M113" s="8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25208.00838845269</v>
      </c>
      <c r="U113" s="109">
        <f>Dataset!S113</f>
        <v>117</v>
      </c>
      <c r="V113" s="1">
        <f t="shared" si="30"/>
        <v>10114870.916136378</v>
      </c>
      <c r="W113" s="1">
        <f t="shared" si="35"/>
        <v>-113828.75441903807</v>
      </c>
      <c r="X113" s="100">
        <f t="shared" si="31"/>
        <v>1.1253604258799354E-2</v>
      </c>
    </row>
    <row r="114" spans="1:24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10129882.667198729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9">
        <f>Dataset!BL114</f>
        <v>0</v>
      </c>
      <c r="I114" s="109">
        <f>Dataset!BF114</f>
        <v>0</v>
      </c>
      <c r="J114" s="109">
        <f>Dataset!BM114</f>
        <v>0</v>
      </c>
      <c r="K114" s="109">
        <f>Dataset!AM114</f>
        <v>740225.97825000004</v>
      </c>
      <c r="M114" s="8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25208.00838845269</v>
      </c>
      <c r="U114" s="109">
        <f>Dataset!S114</f>
        <v>125</v>
      </c>
      <c r="V114" s="1">
        <f t="shared" si="30"/>
        <v>10950373.311833879</v>
      </c>
      <c r="W114" s="1">
        <f t="shared" si="35"/>
        <v>820490.64463515021</v>
      </c>
      <c r="X114" s="100">
        <f t="shared" si="31"/>
        <v>7.4928097999039003E-2</v>
      </c>
    </row>
    <row r="115" spans="1:24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10673883.279096492</v>
      </c>
      <c r="E115">
        <f>Dataset!AC115</f>
        <v>7.3</v>
      </c>
      <c r="F115">
        <f>Dataset!AB115</f>
        <v>83</v>
      </c>
      <c r="G115" s="8">
        <f>Dataset!AR115</f>
        <v>30</v>
      </c>
      <c r="H115" s="109">
        <f>Dataset!BL115</f>
        <v>0</v>
      </c>
      <c r="I115" s="109">
        <f>Dataset!BF115</f>
        <v>0</v>
      </c>
      <c r="J115" s="109">
        <f>Dataset!BM115</f>
        <v>0</v>
      </c>
      <c r="K115" s="109">
        <f>Dataset!AM115</f>
        <v>740225.97825000004</v>
      </c>
      <c r="M115" s="8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25208.00838845269</v>
      </c>
      <c r="U115" s="109">
        <f>Dataset!S115</f>
        <v>127</v>
      </c>
      <c r="V115" s="1">
        <f t="shared" si="30"/>
        <v>10883699.249226833</v>
      </c>
      <c r="W115" s="1">
        <f t="shared" si="35"/>
        <v>209815.97013034113</v>
      </c>
      <c r="X115" s="100">
        <f t="shared" si="31"/>
        <v>1.9278001470432606E-2</v>
      </c>
    </row>
    <row r="116" spans="1:24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10507497.309913272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9">
        <f>Dataset!BL116</f>
        <v>0</v>
      </c>
      <c r="I116" s="109">
        <f>Dataset!BF116</f>
        <v>0</v>
      </c>
      <c r="J116" s="109">
        <f>Dataset!BM116</f>
        <v>0</v>
      </c>
      <c r="K116" s="109">
        <f>Dataset!AM116</f>
        <v>740225.97825000004</v>
      </c>
      <c r="M116" s="8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25208.00838845269</v>
      </c>
      <c r="U116" s="109">
        <f>Dataset!S116</f>
        <v>127</v>
      </c>
      <c r="V116" s="1">
        <f t="shared" si="30"/>
        <v>11057212.785186786</v>
      </c>
      <c r="W116" s="1">
        <f t="shared" si="35"/>
        <v>549715.47527351417</v>
      </c>
      <c r="X116" s="100">
        <f t="shared" si="31"/>
        <v>4.9715555443588938E-2</v>
      </c>
    </row>
    <row r="117" spans="1:24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11658260.80223448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9">
        <f>Dataset!BL117</f>
        <v>0</v>
      </c>
      <c r="I117" s="109">
        <f>Dataset!BF117</f>
        <v>0</v>
      </c>
      <c r="J117" s="109">
        <f>Dataset!BM117</f>
        <v>0</v>
      </c>
      <c r="K117" s="109">
        <f>Dataset!AM117</f>
        <v>740225.97825000004</v>
      </c>
      <c r="M117" s="8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25208.00838845269</v>
      </c>
      <c r="U117" s="109">
        <f>Dataset!S117</f>
        <v>135</v>
      </c>
      <c r="V117" s="1">
        <f t="shared" si="30"/>
        <v>12022946.400672685</v>
      </c>
      <c r="W117" s="1">
        <f t="shared" si="35"/>
        <v>364685.5984382052</v>
      </c>
      <c r="X117" s="100">
        <f t="shared" si="31"/>
        <v>3.0332464795634537E-2</v>
      </c>
    </row>
    <row r="118" spans="1:24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10318152.519291902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9">
        <f>Dataset!BL118</f>
        <v>0</v>
      </c>
      <c r="I118" s="109">
        <f>Dataset!BF118</f>
        <v>0</v>
      </c>
      <c r="J118" s="109">
        <f>Dataset!BM118</f>
        <v>0</v>
      </c>
      <c r="K118" s="109">
        <f>Dataset!AM118</f>
        <v>740225.97825000004</v>
      </c>
      <c r="M118" s="8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25208.00838845269</v>
      </c>
      <c r="U118" s="109">
        <f>Dataset!S118</f>
        <v>122</v>
      </c>
      <c r="V118" s="1">
        <f t="shared" si="30"/>
        <v>10245544.875341773</v>
      </c>
      <c r="W118" s="1">
        <f t="shared" ref="W118:W121" si="42">V118-D118</f>
        <v>-72607.643950128928</v>
      </c>
      <c r="X118" s="100">
        <f t="shared" ref="X118:X121" si="43">ABS(W118/V118)</f>
        <v>7.0867528114464352E-3</v>
      </c>
    </row>
    <row r="119" spans="1:24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11053578.323806679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9">
        <f>Dataset!BL119</f>
        <v>0</v>
      </c>
      <c r="I119" s="109">
        <f>Dataset!BF119</f>
        <v>0</v>
      </c>
      <c r="J119" s="109">
        <f>Dataset!BM119</f>
        <v>0</v>
      </c>
      <c r="K119" s="109">
        <f>Dataset!AM119</f>
        <v>740225.97825000004</v>
      </c>
      <c r="M119" s="8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25208.00838845269</v>
      </c>
      <c r="U119" s="109">
        <f>Dataset!S119</f>
        <v>122</v>
      </c>
      <c r="V119" s="1">
        <f t="shared" si="30"/>
        <v>10590924.19577788</v>
      </c>
      <c r="W119" s="1">
        <f t="shared" si="42"/>
        <v>-462654.12802879885</v>
      </c>
      <c r="X119" s="100">
        <f t="shared" si="43"/>
        <v>4.368401845546567E-2</v>
      </c>
    </row>
    <row r="120" spans="1:24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11019198.930448858</v>
      </c>
      <c r="E120">
        <f>Dataset!AC120</f>
        <v>352.5</v>
      </c>
      <c r="F120">
        <f>Dataset!AB120</f>
        <v>0</v>
      </c>
      <c r="G120" s="8">
        <f>Dataset!AR120</f>
        <v>30</v>
      </c>
      <c r="H120" s="109">
        <f>Dataset!BL120</f>
        <v>0</v>
      </c>
      <c r="I120" s="109">
        <f>Dataset!BF120</f>
        <v>0</v>
      </c>
      <c r="J120" s="109">
        <f>Dataset!BM120</f>
        <v>0</v>
      </c>
      <c r="K120" s="109">
        <f>Dataset!AM120</f>
        <v>740225.97825000004</v>
      </c>
      <c r="M120" s="8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25208.00838845269</v>
      </c>
      <c r="U120" s="109">
        <f>Dataset!S120</f>
        <v>122</v>
      </c>
      <c r="V120" s="1">
        <f t="shared" si="30"/>
        <v>10692437.891205782</v>
      </c>
      <c r="W120" s="1">
        <f t="shared" si="42"/>
        <v>-326761.039243076</v>
      </c>
      <c r="X120" s="100">
        <f t="shared" si="43"/>
        <v>3.0560012839712391E-2</v>
      </c>
    </row>
    <row r="121" spans="1:24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10848758.697127184</v>
      </c>
      <c r="E121">
        <f>Dataset!AC121</f>
        <v>464.3</v>
      </c>
      <c r="F121">
        <f>Dataset!AB121</f>
        <v>0</v>
      </c>
      <c r="G121" s="8">
        <f>Dataset!AR121</f>
        <v>31</v>
      </c>
      <c r="H121" s="109">
        <f>Dataset!BL121</f>
        <v>0</v>
      </c>
      <c r="I121" s="109">
        <f>Dataset!BF121</f>
        <v>1</v>
      </c>
      <c r="J121" s="109">
        <f>Dataset!BM121</f>
        <v>0</v>
      </c>
      <c r="K121" s="109">
        <f>Dataset!AM121</f>
        <v>740225.97825000004</v>
      </c>
      <c r="M121" s="8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25208.00838845269</v>
      </c>
      <c r="U121" s="109">
        <f>Dataset!S121</f>
        <v>122</v>
      </c>
      <c r="V121" s="1">
        <f t="shared" si="30"/>
        <v>10547986.812302118</v>
      </c>
      <c r="W121" s="1">
        <f t="shared" si="42"/>
        <v>-300771.88482506573</v>
      </c>
      <c r="X121" s="100">
        <f t="shared" si="43"/>
        <v>2.8514624655604941E-2</v>
      </c>
    </row>
    <row r="122" spans="1:24">
      <c r="X122" s="100">
        <f>AVERAGE(X2:X121)</f>
        <v>3.1476424630386551E-2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S17"/>
  <sheetViews>
    <sheetView workbookViewId="0">
      <selection activeCell="V28" sqref="V28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19">
      <c r="B2" s="357" t="s">
        <v>89</v>
      </c>
      <c r="C2" s="357"/>
      <c r="D2" s="357"/>
      <c r="I2" s="357" t="s">
        <v>152</v>
      </c>
      <c r="J2" s="357"/>
      <c r="K2" s="357"/>
      <c r="P2" s="357" t="s">
        <v>153</v>
      </c>
      <c r="Q2" s="357"/>
      <c r="R2" s="357"/>
    </row>
    <row r="3" spans="2:19" ht="15">
      <c r="B3" s="111" t="s">
        <v>10</v>
      </c>
      <c r="C3" s="113" t="s">
        <v>151</v>
      </c>
      <c r="D3" s="112" t="s">
        <v>149</v>
      </c>
      <c r="E3" s="111" t="s">
        <v>150</v>
      </c>
      <c r="I3" s="111" t="s">
        <v>10</v>
      </c>
      <c r="J3" s="113" t="s">
        <v>151</v>
      </c>
      <c r="K3" s="112" t="s">
        <v>149</v>
      </c>
      <c r="L3" s="111" t="s">
        <v>150</v>
      </c>
      <c r="P3" s="111" t="s">
        <v>10</v>
      </c>
      <c r="Q3" s="113" t="s">
        <v>151</v>
      </c>
      <c r="R3" s="112" t="s">
        <v>149</v>
      </c>
      <c r="S3" s="111" t="s">
        <v>150</v>
      </c>
    </row>
    <row r="4" spans="2:19">
      <c r="B4">
        <v>2012</v>
      </c>
      <c r="C4" s="8">
        <f>SUMIFS(Residential!$D:$D,Residential!$B:$B,'Model Summary'!B4)</f>
        <v>116259185.99955964</v>
      </c>
      <c r="D4" s="8">
        <f>SUMIFS(Residential!$U:$U,Residential!$B:$B,'Model Summary'!B4)</f>
        <v>115389858.74579962</v>
      </c>
      <c r="E4" s="100">
        <f t="shared" ref="E4:E14" si="0">ABS((D4-C4)/C4)</f>
        <v>7.4774930366647988E-3</v>
      </c>
      <c r="I4">
        <v>2012</v>
      </c>
      <c r="J4" s="8">
        <f>SUMIFS(GSlt50!$D:$D,GSlt50!$B:$B,'Model Summary'!I4)</f>
        <v>47300955.913410679</v>
      </c>
      <c r="K4" s="8">
        <f>SUMIFS(GSlt50!$Q:$Q,GSlt50!$B:$B,'Model Summary'!I4)</f>
        <v>48740125.747868396</v>
      </c>
      <c r="L4" s="100">
        <f t="shared" ref="L4:L14" si="1">ABS((K4-J4)/J4)</f>
        <v>3.0425808668481626E-2</v>
      </c>
      <c r="P4">
        <v>2012</v>
      </c>
      <c r="Q4" s="8">
        <f>SUMIFS(GSgt50!$D:$D,GSgt50!$B:$B,'Model Summary'!P4)</f>
        <v>135499673.70033383</v>
      </c>
      <c r="R4" s="8">
        <f>SUMIFS(GSgt50!$U:$U,GSgt50!$B:$B,'Model Summary'!P4)</f>
        <v>134471288.29164335</v>
      </c>
      <c r="S4" s="100">
        <f t="shared" ref="S4:S14" si="2">ABS((R4-Q4)/Q4)</f>
        <v>7.5895784883203646E-3</v>
      </c>
    </row>
    <row r="5" spans="2:19">
      <c r="B5">
        <f t="shared" ref="B5:B13" si="3">B4+1</f>
        <v>2013</v>
      </c>
      <c r="C5" s="8">
        <f>SUMIFS(Residential!$D:$D,Residential!$B:$B,'Model Summary'!B5)</f>
        <v>121667910.4500396</v>
      </c>
      <c r="D5" s="8">
        <f>SUMIFS(Residential!$U:$U,Residential!$B:$B,'Model Summary'!B5)</f>
        <v>120356685.82874228</v>
      </c>
      <c r="E5" s="100">
        <f t="shared" si="0"/>
        <v>1.0777078495448822E-2</v>
      </c>
      <c r="I5">
        <f t="shared" ref="I5:I10" si="4">I4+1</f>
        <v>2013</v>
      </c>
      <c r="J5" s="8">
        <f>SUMIFS(GSlt50!$D:$D,GSlt50!$B:$B,'Model Summary'!I5)</f>
        <v>49189696.778905213</v>
      </c>
      <c r="K5" s="8">
        <f>SUMIFS(GSlt50!$Q:$Q,GSlt50!$B:$B,'Model Summary'!I5)</f>
        <v>49285024.363830931</v>
      </c>
      <c r="L5" s="100">
        <f t="shared" si="1"/>
        <v>1.9379583768160049E-3</v>
      </c>
      <c r="P5">
        <f t="shared" ref="P5:P10" si="5">P4+1</f>
        <v>2013</v>
      </c>
      <c r="Q5" s="8">
        <f>SUMIFS(GSgt50!$D:$D,GSgt50!$B:$B,'Model Summary'!P5)</f>
        <v>119060557.80676265</v>
      </c>
      <c r="R5" s="8">
        <f>SUMIFS(GSgt50!$U:$U,GSgt50!$B:$B,'Model Summary'!P5)</f>
        <v>121533387.97581914</v>
      </c>
      <c r="S5" s="100">
        <f t="shared" si="2"/>
        <v>2.076951607324011E-2</v>
      </c>
    </row>
    <row r="6" spans="2:19">
      <c r="B6">
        <f t="shared" si="3"/>
        <v>2014</v>
      </c>
      <c r="C6" s="8">
        <f>SUMIFS(Residential!$D:$D,Residential!$B:$B,'Model Summary'!B6)</f>
        <v>123418601.83523293</v>
      </c>
      <c r="D6" s="8">
        <f>SUMIFS(Residential!$U:$U,Residential!$B:$B,'Model Summary'!B6)</f>
        <v>122681481.718503</v>
      </c>
      <c r="E6" s="100">
        <f t="shared" si="0"/>
        <v>5.9725203961879646E-3</v>
      </c>
      <c r="I6">
        <f t="shared" si="4"/>
        <v>2014</v>
      </c>
      <c r="J6" s="8">
        <f>SUMIFS(GSlt50!$D:$D,GSlt50!$B:$B,'Model Summary'!I6)</f>
        <v>49579267.559930004</v>
      </c>
      <c r="K6" s="8">
        <f>SUMIFS(GSlt50!$Q:$Q,GSlt50!$B:$B,'Model Summary'!I6)</f>
        <v>49540514.554885067</v>
      </c>
      <c r="L6" s="100">
        <f t="shared" si="1"/>
        <v>7.8163730430453834E-4</v>
      </c>
      <c r="P6">
        <f t="shared" si="5"/>
        <v>2014</v>
      </c>
      <c r="Q6" s="8">
        <f>SUMIFS(GSgt50!$D:$D,GSgt50!$B:$B,'Model Summary'!P6)</f>
        <v>120267042.72437717</v>
      </c>
      <c r="R6" s="8">
        <f>SUMIFS(GSgt50!$U:$U,GSgt50!$B:$B,'Model Summary'!P6)</f>
        <v>123784043.23065375</v>
      </c>
      <c r="S6" s="100">
        <f t="shared" si="2"/>
        <v>2.9243260885167752E-2</v>
      </c>
    </row>
    <row r="7" spans="2:19">
      <c r="B7">
        <f t="shared" si="3"/>
        <v>2015</v>
      </c>
      <c r="C7" s="8">
        <f>SUMIFS(Residential!$D:$D,Residential!$B:$B,'Model Summary'!B7)</f>
        <v>121502966.31220472</v>
      </c>
      <c r="D7" s="8">
        <f>SUMIFS(Residential!$U:$U,Residential!$B:$B,'Model Summary'!B7)</f>
        <v>123086342.40679801</v>
      </c>
      <c r="E7" s="100">
        <f t="shared" si="0"/>
        <v>1.3031583858823368E-2</v>
      </c>
      <c r="I7">
        <f t="shared" si="4"/>
        <v>2015</v>
      </c>
      <c r="J7" s="8">
        <f>SUMIFS(GSlt50!$D:$D,GSlt50!$B:$B,'Model Summary'!I7)</f>
        <v>48835654.62582469</v>
      </c>
      <c r="K7" s="8">
        <f>SUMIFS(GSlt50!$Q:$Q,GSlt50!$B:$B,'Model Summary'!I7)</f>
        <v>49499891.794778161</v>
      </c>
      <c r="L7" s="100">
        <f t="shared" si="1"/>
        <v>1.3601479780353285E-2</v>
      </c>
      <c r="P7">
        <f t="shared" si="5"/>
        <v>2015</v>
      </c>
      <c r="Q7" s="8">
        <f>SUMIFS(GSgt50!$D:$D,GSgt50!$B:$B,'Model Summary'!P7)</f>
        <v>127778037.04342282</v>
      </c>
      <c r="R7" s="8">
        <f>SUMIFS(GSgt50!$U:$U,GSgt50!$B:$B,'Model Summary'!P7)</f>
        <v>125967341.92485839</v>
      </c>
      <c r="S7" s="100">
        <f t="shared" si="2"/>
        <v>1.4170628696926204E-2</v>
      </c>
    </row>
    <row r="8" spans="2:19">
      <c r="B8">
        <f t="shared" si="3"/>
        <v>2016</v>
      </c>
      <c r="C8" s="8">
        <f>SUMIFS(Residential!$D:$D,Residential!$B:$B,'Model Summary'!B8)</f>
        <v>121752962.61463043</v>
      </c>
      <c r="D8" s="8">
        <f>SUMIFS(Residential!$U:$U,Residential!$B:$B,'Model Summary'!B8)</f>
        <v>124293417.8720537</v>
      </c>
      <c r="E8" s="100">
        <f t="shared" si="0"/>
        <v>2.0865654542339598E-2</v>
      </c>
      <c r="I8">
        <f t="shared" si="4"/>
        <v>2016</v>
      </c>
      <c r="J8" s="8">
        <f>SUMIFS(GSlt50!$D:$D,GSlt50!$B:$B,'Model Summary'!I8)</f>
        <v>49685006.185670987</v>
      </c>
      <c r="K8" s="8">
        <f>SUMIFS(GSlt50!$Q:$Q,GSlt50!$B:$B,'Model Summary'!I8)</f>
        <v>49366506.789914504</v>
      </c>
      <c r="L8" s="100">
        <f t="shared" si="1"/>
        <v>6.4103724686329494E-3</v>
      </c>
      <c r="P8">
        <f t="shared" si="5"/>
        <v>2016</v>
      </c>
      <c r="Q8" s="8">
        <f>SUMIFS(GSgt50!$D:$D,GSgt50!$B:$B,'Model Summary'!P8)</f>
        <v>132504631.84816419</v>
      </c>
      <c r="R8" s="8">
        <f>SUMIFS(GSgt50!$U:$U,GSgt50!$B:$B,'Model Summary'!P8)</f>
        <v>128220997.44419591</v>
      </c>
      <c r="S8" s="100">
        <f t="shared" si="2"/>
        <v>3.2328186148819694E-2</v>
      </c>
    </row>
    <row r="9" spans="2:19">
      <c r="B9">
        <f t="shared" si="3"/>
        <v>2017</v>
      </c>
      <c r="C9" s="8">
        <f>SUMIFS(Residential!$D:$D,Residential!$B:$B,'Model Summary'!B9)</f>
        <v>121679899.81260221</v>
      </c>
      <c r="D9" s="8">
        <f>SUMIFS(Residential!$U:$U,Residential!$B:$B,'Model Summary'!B9)</f>
        <v>124202860.55095698</v>
      </c>
      <c r="E9" s="100">
        <f t="shared" si="0"/>
        <v>2.0734408412896088E-2</v>
      </c>
      <c r="I9">
        <f t="shared" si="4"/>
        <v>2017</v>
      </c>
      <c r="J9" s="8">
        <f>SUMIFS(GSlt50!$D:$D,GSlt50!$B:$B,'Model Summary'!I9)</f>
        <v>48194435.190106712</v>
      </c>
      <c r="K9" s="8">
        <f>SUMIFS(GSlt50!$Q:$Q,GSlt50!$B:$B,'Model Summary'!I9)</f>
        <v>48763732.07135094</v>
      </c>
      <c r="L9" s="100">
        <f t="shared" si="1"/>
        <v>1.1812502397809857E-2</v>
      </c>
      <c r="P9">
        <f t="shared" si="5"/>
        <v>2017</v>
      </c>
      <c r="Q9" s="8">
        <f>SUMIFS(GSgt50!$D:$D,GSgt50!$B:$B,'Model Summary'!P9)</f>
        <v>129704100.44997838</v>
      </c>
      <c r="R9" s="8">
        <f>SUMIFS(GSgt50!$U:$U,GSgt50!$B:$B,'Model Summary'!P9)</f>
        <v>129802185.65249135</v>
      </c>
      <c r="S9" s="100">
        <f t="shared" si="2"/>
        <v>7.5622283468819169E-4</v>
      </c>
    </row>
    <row r="10" spans="2:19">
      <c r="B10">
        <f t="shared" si="3"/>
        <v>2018</v>
      </c>
      <c r="C10" s="8">
        <f>SUMIFS(Residential!$D:$D,Residential!$B:$B,'Model Summary'!B10)</f>
        <v>133945646.92123963</v>
      </c>
      <c r="D10" s="8">
        <f>SUMIFS(Residential!$U:$U,Residential!$B:$B,'Model Summary'!B10)</f>
        <v>131254401.82717319</v>
      </c>
      <c r="E10" s="100">
        <f t="shared" si="0"/>
        <v>2.0092068357017229E-2</v>
      </c>
      <c r="I10">
        <f t="shared" si="4"/>
        <v>2018</v>
      </c>
      <c r="J10" s="8">
        <f>SUMIFS(GSlt50!$D:$D,GSlt50!$B:$B,'Model Summary'!I10)</f>
        <v>50320734.801917121</v>
      </c>
      <c r="K10" s="8">
        <f>SUMIFS(GSlt50!$Q:$Q,GSlt50!$B:$B,'Model Summary'!I10)</f>
        <v>49790609.263147503</v>
      </c>
      <c r="L10" s="100">
        <f t="shared" si="1"/>
        <v>1.0534932386349432E-2</v>
      </c>
      <c r="P10">
        <f t="shared" si="5"/>
        <v>2018</v>
      </c>
      <c r="Q10" s="8">
        <f>SUMIFS(GSgt50!$D:$D,GSgt50!$B:$B,'Model Summary'!P10)</f>
        <v>136765173.22040319</v>
      </c>
      <c r="R10" s="8">
        <f>SUMIFS(GSgt50!$U:$U,GSgt50!$B:$B,'Model Summary'!P10)</f>
        <v>133740538.94817407</v>
      </c>
      <c r="S10" s="100">
        <f t="shared" si="2"/>
        <v>2.2115529860476883E-2</v>
      </c>
    </row>
    <row r="11" spans="2:19">
      <c r="B11">
        <f>B10+1</f>
        <v>2019</v>
      </c>
      <c r="C11" s="8">
        <f>SUMIFS(Residential!$D:$D,Residential!$B:$B,'Model Summary'!B11)</f>
        <v>133206959.71744621</v>
      </c>
      <c r="D11" s="8">
        <f>SUMIFS(Residential!$U:$U,Residential!$B:$B,'Model Summary'!B11)</f>
        <v>132270802.41446516</v>
      </c>
      <c r="E11" s="100">
        <f t="shared" si="0"/>
        <v>7.0278407747372349E-3</v>
      </c>
      <c r="I11">
        <f>I10+1</f>
        <v>2019</v>
      </c>
      <c r="J11" s="8">
        <f>SUMIFS(GSlt50!$D:$D,GSlt50!$B:$B,'Model Summary'!I11)</f>
        <v>49773171.551554158</v>
      </c>
      <c r="K11" s="8">
        <f>SUMIFS(GSlt50!$Q:$Q,GSlt50!$B:$B,'Model Summary'!I11)</f>
        <v>49299074.589738272</v>
      </c>
      <c r="L11" s="100">
        <f t="shared" si="1"/>
        <v>9.5251507395871897E-3</v>
      </c>
      <c r="P11">
        <f>P10+1</f>
        <v>2019</v>
      </c>
      <c r="Q11" s="8">
        <f>SUMIFS(GSgt50!$D:$D,GSgt50!$B:$B,'Model Summary'!P11)</f>
        <v>133722150.61988592</v>
      </c>
      <c r="R11" s="8">
        <f>SUMIFS(GSgt50!$U:$U,GSgt50!$B:$B,'Model Summary'!P11)</f>
        <v>135170755.70727581</v>
      </c>
      <c r="S11" s="100">
        <f t="shared" si="2"/>
        <v>1.0832947874938404E-2</v>
      </c>
    </row>
    <row r="12" spans="2:19">
      <c r="B12">
        <f t="shared" si="3"/>
        <v>2020</v>
      </c>
      <c r="C12" s="8">
        <f>SUMIFS(Residential!$D:$D,Residential!$B:$B,'Model Summary'!B12)</f>
        <v>142034261.03903431</v>
      </c>
      <c r="D12" s="8">
        <f>SUMIFS(Residential!$U:$U,Residential!$B:$B,'Model Summary'!B12)</f>
        <v>141621294.44702959</v>
      </c>
      <c r="E12" s="100">
        <f t="shared" si="0"/>
        <v>2.9075139264548543E-3</v>
      </c>
      <c r="I12">
        <f t="shared" ref="I12:I13" si="6">I11+1</f>
        <v>2020</v>
      </c>
      <c r="J12" s="8">
        <f>SUMIFS(GSlt50!$D:$D,GSlt50!$B:$B,'Model Summary'!I12)</f>
        <v>45787968.442482114</v>
      </c>
      <c r="K12" s="8">
        <f>SUMIFS(GSlt50!$Q:$Q,GSlt50!$B:$B,'Model Summary'!I12)</f>
        <v>46238983.926763475</v>
      </c>
      <c r="L12" s="100">
        <f t="shared" si="1"/>
        <v>9.8500872526789945E-3</v>
      </c>
      <c r="P12">
        <f t="shared" ref="P12:P13" si="7">P11+1</f>
        <v>2020</v>
      </c>
      <c r="Q12" s="8">
        <f>SUMIFS(GSgt50!$D:$D,GSgt50!$B:$B,'Model Summary'!P12)</f>
        <v>123558126.85019588</v>
      </c>
      <c r="R12" s="8">
        <f>SUMIFS(GSgt50!$U:$U,GSgt50!$B:$B,'Model Summary'!P12)</f>
        <v>122594791.04303597</v>
      </c>
      <c r="S12" s="100">
        <f t="shared" si="2"/>
        <v>7.7966203577032323E-3</v>
      </c>
    </row>
    <row r="13" spans="2:19">
      <c r="B13">
        <f t="shared" si="3"/>
        <v>2021</v>
      </c>
      <c r="C13" s="8">
        <f>SUMIFS(Residential!$D:$D,Residential!$B:$B,'Model Summary'!B13)</f>
        <v>143098831.87412524</v>
      </c>
      <c r="D13" s="8">
        <f>SUMIFS(Residential!$U:$U,Residential!$B:$B,'Model Summary'!B13)</f>
        <v>143566858.04742056</v>
      </c>
      <c r="E13" s="100">
        <f t="shared" si="0"/>
        <v>3.270649852033812E-3</v>
      </c>
      <c r="I13">
        <f t="shared" si="6"/>
        <v>2021</v>
      </c>
      <c r="J13" s="8">
        <f>SUMIFS(GSlt50!$D:$D,GSlt50!$B:$B,'Model Summary'!I13)</f>
        <v>47700224.990089461</v>
      </c>
      <c r="K13" s="8">
        <f>SUMIFS(GSlt50!$Q:$Q,GSlt50!$B:$B,'Model Summary'!I13)</f>
        <v>46060590.258520067</v>
      </c>
      <c r="L13" s="100">
        <f t="shared" si="1"/>
        <v>3.4373731610491495E-2</v>
      </c>
      <c r="P13">
        <f t="shared" si="7"/>
        <v>2021</v>
      </c>
      <c r="Q13" s="8">
        <f>SUMIFS(GSgt50!$D:$D,GSgt50!$B:$B,'Model Summary'!P13)</f>
        <v>129936827.21414556</v>
      </c>
      <c r="R13" s="8">
        <f>SUMIFS(GSgt50!$U:$U,GSgt50!$B:$B,'Model Summary'!P13)</f>
        <v>133621748.50781056</v>
      </c>
      <c r="S13" s="100">
        <f t="shared" si="2"/>
        <v>2.8359329473175317E-2</v>
      </c>
    </row>
    <row r="14" spans="2:19">
      <c r="B14" s="38" t="s">
        <v>146</v>
      </c>
      <c r="C14" s="1">
        <f>SUM(C4:C13)</f>
        <v>1278567226.5761149</v>
      </c>
      <c r="D14" s="1">
        <f>SUM(D4:D13)</f>
        <v>1278724003.858942</v>
      </c>
      <c r="E14" s="100">
        <f t="shared" si="0"/>
        <v>1.2261950687331006E-4</v>
      </c>
      <c r="I14" s="38" t="s">
        <v>146</v>
      </c>
      <c r="J14" s="1">
        <f>SUM(J4:J13)</f>
        <v>486367116.03989112</v>
      </c>
      <c r="K14" s="1">
        <f>SUM(K4:K13)</f>
        <v>486585053.36079729</v>
      </c>
      <c r="L14" s="100">
        <f t="shared" si="1"/>
        <v>4.4809222029781995E-4</v>
      </c>
      <c r="P14" s="38" t="s">
        <v>146</v>
      </c>
      <c r="Q14" s="1">
        <f>SUM(Q4:Q13)</f>
        <v>1288796321.4776697</v>
      </c>
      <c r="R14" s="1">
        <f>SUM(R4:R13)</f>
        <v>1288907078.7259583</v>
      </c>
      <c r="S14" s="100">
        <f t="shared" si="2"/>
        <v>8.5938519875384728E-5</v>
      </c>
    </row>
    <row r="16" spans="2:19" ht="15">
      <c r="B16" s="358" t="s">
        <v>147</v>
      </c>
      <c r="C16" s="358"/>
      <c r="D16" s="358"/>
      <c r="E16" s="110">
        <f>AVERAGE(E4:E13)</f>
        <v>1.1215681165260376E-2</v>
      </c>
      <c r="I16" s="358" t="s">
        <v>147</v>
      </c>
      <c r="J16" s="358"/>
      <c r="K16" s="358"/>
      <c r="L16" s="110">
        <f>AVERAGE(L4:L13)</f>
        <v>1.292536609855054E-2</v>
      </c>
      <c r="P16" s="358" t="s">
        <v>147</v>
      </c>
      <c r="Q16" s="358"/>
      <c r="R16" s="358"/>
      <c r="S16" s="110">
        <f>AVERAGE(S4:S13)</f>
        <v>1.7396182069345616E-2</v>
      </c>
    </row>
    <row r="17" spans="2:19" ht="15">
      <c r="B17" s="358" t="s">
        <v>148</v>
      </c>
      <c r="C17" s="358"/>
      <c r="D17" s="358"/>
      <c r="E17" s="100">
        <f>Residential!W122</f>
        <v>2.5517901097870697E-2</v>
      </c>
      <c r="I17" s="358" t="s">
        <v>148</v>
      </c>
      <c r="J17" s="358"/>
      <c r="K17" s="358"/>
      <c r="L17" s="100">
        <f>GSlt50!S122</f>
        <v>2.3738344598353563E-2</v>
      </c>
      <c r="P17" s="358" t="s">
        <v>148</v>
      </c>
      <c r="Q17" s="358"/>
      <c r="R17" s="358"/>
      <c r="S17" s="100">
        <f>GSgt50!W122</f>
        <v>2.8042121862395457E-2</v>
      </c>
    </row>
  </sheetData>
  <mergeCells count="9">
    <mergeCell ref="P2:R2"/>
    <mergeCell ref="P16:R16"/>
    <mergeCell ref="P17:R17"/>
    <mergeCell ref="B16:D16"/>
    <mergeCell ref="B17:D17"/>
    <mergeCell ref="B2:D2"/>
    <mergeCell ref="I2:K2"/>
    <mergeCell ref="I16:K16"/>
    <mergeCell ref="I17:K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A121" workbookViewId="0">
      <selection activeCell="T2" sqref="Q2:T193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Y8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8" t="s">
        <v>154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114">
        <f ca="1">Weather!BP61</f>
        <v>634.42999999999995</v>
      </c>
      <c r="F2" s="114">
        <f ca="1">Weather!BQ61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$Z$8</f>
        <v>-11221082.251499301</v>
      </c>
      <c r="N2" s="1">
        <f t="shared" ref="N2:N33" ca="1" si="2">E2*$Z$9</f>
        <v>5772088.1023953483</v>
      </c>
      <c r="O2" s="1">
        <f t="shared" ref="O2:O33" ca="1" si="3">F2*$Z$10</f>
        <v>0</v>
      </c>
      <c r="P2" s="1">
        <f t="shared" ref="P2:P33" si="4">G2*$Z$11</f>
        <v>9022308.1599650197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9283304.5730329715</v>
      </c>
      <c r="U2" s="1">
        <f t="shared" ref="U2:U33" ca="1" si="5">SUM(M2:T2)</f>
        <v>12856618.583894039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114">
        <f ca="1">Weather!BP62</f>
        <v>582</v>
      </c>
      <c r="F3" s="114">
        <f ca="1">Weather!BQ62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-11221082.251499301</v>
      </c>
      <c r="N3" s="1">
        <f t="shared" ca="1" si="2"/>
        <v>5295076.3292941581</v>
      </c>
      <c r="O3" s="1">
        <f t="shared" ca="1" si="3"/>
        <v>0</v>
      </c>
      <c r="P3" s="1">
        <f t="shared" si="4"/>
        <v>8440223.7625479214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9246556.2103212383</v>
      </c>
      <c r="U3" s="1">
        <f t="shared" ca="1" si="5"/>
        <v>11760774.050664017</v>
      </c>
      <c r="Y3" t="s">
        <v>343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114">
        <f ca="1">Weather!BP63</f>
        <v>498.31000000000006</v>
      </c>
      <c r="F4" s="114">
        <f ca="1">Weather!BQ63</f>
        <v>0.67999999999999994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-11221082.251499301</v>
      </c>
      <c r="N4" s="1">
        <f t="shared" ca="1" si="2"/>
        <v>4533658.9100525295</v>
      </c>
      <c r="O4" s="1">
        <f t="shared" ca="1" si="3"/>
        <v>10404.54527222322</v>
      </c>
      <c r="P4" s="1">
        <f t="shared" si="4"/>
        <v>9022308.1599650197</v>
      </c>
      <c r="Q4" s="1">
        <f t="shared" si="6"/>
        <v>-615865.74721267004</v>
      </c>
      <c r="R4" s="1">
        <f t="shared" si="7"/>
        <v>0</v>
      </c>
      <c r="S4" s="1">
        <f t="shared" si="8"/>
        <v>0</v>
      </c>
      <c r="T4" s="1">
        <f t="shared" si="9"/>
        <v>9295999.4619697519</v>
      </c>
      <c r="U4" s="1">
        <f t="shared" ca="1" si="5"/>
        <v>11025423.078547554</v>
      </c>
      <c r="Y4" t="s">
        <v>244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114">
        <f ca="1">Weather!BP64</f>
        <v>322.59999999999997</v>
      </c>
      <c r="F5" s="114">
        <f ca="1">Weather!BQ64</f>
        <v>0.78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-11221082.251499301</v>
      </c>
      <c r="N5" s="1">
        <f t="shared" ca="1" si="2"/>
        <v>2935037.1543475864</v>
      </c>
      <c r="O5" s="1">
        <f t="shared" ca="1" si="3"/>
        <v>11934.625459314871</v>
      </c>
      <c r="P5" s="1">
        <f t="shared" si="4"/>
        <v>8731265.9612564705</v>
      </c>
      <c r="Q5" s="1">
        <f t="shared" si="6"/>
        <v>-615865.74721267004</v>
      </c>
      <c r="R5" s="1">
        <f t="shared" si="7"/>
        <v>0</v>
      </c>
      <c r="S5" s="1">
        <f t="shared" si="8"/>
        <v>0</v>
      </c>
      <c r="T5" s="1">
        <f t="shared" si="9"/>
        <v>9307358.0468079243</v>
      </c>
      <c r="U5" s="1">
        <f t="shared" ca="1" si="5"/>
        <v>9148647.7891593259</v>
      </c>
      <c r="Y5" t="s">
        <v>344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114">
        <f ca="1">Weather!BP65</f>
        <v>139.78</v>
      </c>
      <c r="F6" s="114">
        <f ca="1">Weather!BQ65</f>
        <v>28.54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-11221082.251499301</v>
      </c>
      <c r="N6" s="1">
        <f t="shared" ca="1" si="2"/>
        <v>1271728.1259600299</v>
      </c>
      <c r="O6" s="1">
        <f t="shared" ca="1" si="3"/>
        <v>436684.88539595692</v>
      </c>
      <c r="P6" s="1">
        <f t="shared" si="4"/>
        <v>9022308.1599650197</v>
      </c>
      <c r="Q6" s="1">
        <f t="shared" si="6"/>
        <v>-615865.74721267004</v>
      </c>
      <c r="R6" s="1">
        <f t="shared" si="7"/>
        <v>0</v>
      </c>
      <c r="S6" s="1">
        <f t="shared" si="8"/>
        <v>0</v>
      </c>
      <c r="T6" s="1">
        <f t="shared" si="9"/>
        <v>9321389.2398433127</v>
      </c>
      <c r="U6" s="1">
        <f t="shared" ca="1" si="5"/>
        <v>8215162.4124523485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114">
        <f ca="1">Weather!BP66</f>
        <v>29.85</v>
      </c>
      <c r="F7" s="114">
        <f ca="1">Weather!BQ66</f>
        <v>71.179999999999993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-11221082.251499301</v>
      </c>
      <c r="N7" s="1">
        <f t="shared" ca="1" si="2"/>
        <v>271577.3684354478</v>
      </c>
      <c r="O7" s="1">
        <f t="shared" ca="1" si="3"/>
        <v>1089111.0771718365</v>
      </c>
      <c r="P7" s="1">
        <f t="shared" si="4"/>
        <v>8731265.9612564705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9321389.2398433127</v>
      </c>
      <c r="U7" s="1">
        <f t="shared" ca="1" si="5"/>
        <v>8192261.3952077664</v>
      </c>
      <c r="Z7" t="s">
        <v>120</v>
      </c>
      <c r="AA7" t="s">
        <v>121</v>
      </c>
      <c r="AB7" t="s">
        <v>122</v>
      </c>
      <c r="AC7" t="s">
        <v>123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114">
        <f ca="1">Weather!BP67</f>
        <v>1.36</v>
      </c>
      <c r="F8" s="114">
        <f ca="1">Weather!BQ67</f>
        <v>150.63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-11221082.251499301</v>
      </c>
      <c r="N8" s="1">
        <f t="shared" ca="1" si="2"/>
        <v>12373.374240275009</v>
      </c>
      <c r="O8" s="1">
        <f t="shared" ca="1" si="3"/>
        <v>2304759.7858161526</v>
      </c>
      <c r="P8" s="1">
        <f t="shared" si="4"/>
        <v>9022308.1599650197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9371500.6435411293</v>
      </c>
      <c r="U8" s="1">
        <f t="shared" ca="1" si="5"/>
        <v>9489859.7120632771</v>
      </c>
      <c r="Y8" t="s">
        <v>124</v>
      </c>
      <c r="Z8" s="8">
        <v>-11221082.251499301</v>
      </c>
      <c r="AA8">
        <v>1433769.8023192701</v>
      </c>
      <c r="AB8">
        <v>-7.8262788303589899</v>
      </c>
      <c r="AC8" s="99">
        <v>3.0609073422246402E-12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114">
        <f ca="1">Weather!BP68</f>
        <v>1.77</v>
      </c>
      <c r="F9" s="114">
        <f ca="1">Weather!BQ68</f>
        <v>138.02000000000001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-11221082.251499301</v>
      </c>
      <c r="N9" s="1">
        <f t="shared" ca="1" si="2"/>
        <v>16103.582650946151</v>
      </c>
      <c r="O9" s="1">
        <f t="shared" ca="1" si="3"/>
        <v>2111816.6742238957</v>
      </c>
      <c r="P9" s="1">
        <f t="shared" si="4"/>
        <v>9022308.1599650197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9359473.9066536538</v>
      </c>
      <c r="U9" s="1">
        <f t="shared" ca="1" si="5"/>
        <v>9288620.0719942153</v>
      </c>
      <c r="Y9" t="s">
        <v>28</v>
      </c>
      <c r="Z9" s="8">
        <v>9098.0692943198592</v>
      </c>
      <c r="AA9">
        <v>236.27381884789099</v>
      </c>
      <c r="AB9">
        <v>38.506463977615098</v>
      </c>
      <c r="AC9" s="99">
        <v>1.98309639282704E-66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114">
        <f ca="1">Weather!BP69</f>
        <v>37.33</v>
      </c>
      <c r="F10" s="114">
        <f ca="1">Weather!BQ69</f>
        <v>62.11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-11221082.251499301</v>
      </c>
      <c r="N10" s="1">
        <f t="shared" ca="1" si="2"/>
        <v>339630.92675696034</v>
      </c>
      <c r="O10" s="1">
        <f t="shared" ca="1" si="3"/>
        <v>950332.8042026239</v>
      </c>
      <c r="P10" s="1">
        <f t="shared" si="4"/>
        <v>8731265.9612564705</v>
      </c>
      <c r="Q10" s="1">
        <f t="shared" si="6"/>
        <v>-615865.74721267004</v>
      </c>
      <c r="R10" s="1">
        <f t="shared" si="7"/>
        <v>0</v>
      </c>
      <c r="S10" s="1">
        <f t="shared" si="8"/>
        <v>0</v>
      </c>
      <c r="T10" s="1">
        <f t="shared" si="9"/>
        <v>9412257.9185486883</v>
      </c>
      <c r="U10" s="1">
        <f t="shared" ca="1" si="5"/>
        <v>7596539.6120527731</v>
      </c>
      <c r="Y10" t="s">
        <v>29</v>
      </c>
      <c r="Z10" s="8">
        <v>15300.801870916501</v>
      </c>
      <c r="AA10">
        <v>1121.2340749161301</v>
      </c>
      <c r="AB10">
        <v>13.6463939272102</v>
      </c>
      <c r="AC10" s="99">
        <v>1.43936677478488E-25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114">
        <f ca="1">Weather!BP70</f>
        <v>173.75</v>
      </c>
      <c r="F11" s="114">
        <f ca="1">Weather!BQ70</f>
        <v>11.59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-11221082.251499301</v>
      </c>
      <c r="N11" s="1">
        <f t="shared" ca="1" si="2"/>
        <v>1580789.5398880756</v>
      </c>
      <c r="O11" s="1">
        <f t="shared" ca="1" si="3"/>
        <v>177336.29368392224</v>
      </c>
      <c r="P11" s="1">
        <f t="shared" si="4"/>
        <v>9022308.1599650197</v>
      </c>
      <c r="Q11" s="1">
        <f t="shared" si="6"/>
        <v>-615865.74721267004</v>
      </c>
      <c r="R11" s="1">
        <f t="shared" si="7"/>
        <v>0</v>
      </c>
      <c r="S11" s="1">
        <f t="shared" si="8"/>
        <v>0</v>
      </c>
      <c r="T11" s="1">
        <f t="shared" si="9"/>
        <v>9436979.5443729442</v>
      </c>
      <c r="U11" s="1">
        <f t="shared" ca="1" si="5"/>
        <v>8380465.5391979897</v>
      </c>
      <c r="Y11" t="s">
        <v>74</v>
      </c>
      <c r="Z11" s="8">
        <v>291042.19870854903</v>
      </c>
      <c r="AA11">
        <v>35181.241552807798</v>
      </c>
      <c r="AB11">
        <v>8.2726528645013495</v>
      </c>
      <c r="AC11" s="99">
        <v>3.03986996006752E-13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114">
        <f ca="1">Weather!BP71</f>
        <v>366.25</v>
      </c>
      <c r="F12" s="114">
        <f ca="1">Weather!BQ71</f>
        <v>1.6800000000000002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-11221082.251499301</v>
      </c>
      <c r="N12" s="1">
        <f t="shared" ca="1" si="2"/>
        <v>3332167.8790446483</v>
      </c>
      <c r="O12" s="1">
        <f t="shared" ca="1" si="3"/>
        <v>25705.347143139723</v>
      </c>
      <c r="P12" s="1">
        <f t="shared" si="4"/>
        <v>8731265.9612564705</v>
      </c>
      <c r="Q12" s="1">
        <f t="shared" si="6"/>
        <v>-615865.74721267004</v>
      </c>
      <c r="R12" s="1">
        <f t="shared" si="7"/>
        <v>0</v>
      </c>
      <c r="S12" s="1">
        <f t="shared" si="8"/>
        <v>0</v>
      </c>
      <c r="T12" s="1">
        <f t="shared" si="9"/>
        <v>9461033.018147897</v>
      </c>
      <c r="U12" s="1">
        <f t="shared" ca="1" si="5"/>
        <v>9713224.2068801839</v>
      </c>
      <c r="Y12" t="s">
        <v>83</v>
      </c>
      <c r="Z12" s="8">
        <v>-615865.74721267004</v>
      </c>
      <c r="AA12">
        <v>79730.320945037194</v>
      </c>
      <c r="AB12">
        <v>-7.7243605683868104</v>
      </c>
      <c r="AC12" s="99">
        <v>5.1627716116446701E-12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114">
        <f ca="1">Weather!BP72</f>
        <v>523.60000000000014</v>
      </c>
      <c r="F13" s="114">
        <f ca="1">Weather!BQ72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-11221082.251499301</v>
      </c>
      <c r="N13" s="1">
        <f t="shared" ca="1" si="2"/>
        <v>4763749.0825058799</v>
      </c>
      <c r="O13" s="1">
        <f t="shared" ca="1" si="3"/>
        <v>0</v>
      </c>
      <c r="P13" s="1">
        <f t="shared" si="4"/>
        <v>9022308.1599650197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9504128.8253280204</v>
      </c>
      <c r="U13" s="1">
        <f t="shared" ca="1" si="5"/>
        <v>12069103.816299619</v>
      </c>
      <c r="Y13" t="s">
        <v>125</v>
      </c>
      <c r="Z13" s="8">
        <v>1422.9476254880601</v>
      </c>
      <c r="AA13">
        <v>367.072433201595</v>
      </c>
      <c r="AB13">
        <v>3.8764764029735299</v>
      </c>
      <c r="AC13" s="99">
        <v>1.7907713249717101E-4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114">
        <f t="shared" ref="E14:F14" ca="1" si="10">E2</f>
        <v>634.42999999999995</v>
      </c>
      <c r="F14" s="114">
        <f t="shared" ca="1" si="10"/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-11221082.251499301</v>
      </c>
      <c r="N14" s="1">
        <f t="shared" ca="1" si="2"/>
        <v>5772088.1023953483</v>
      </c>
      <c r="O14" s="1">
        <f t="shared" ca="1" si="3"/>
        <v>0</v>
      </c>
      <c r="P14" s="1">
        <f t="shared" si="4"/>
        <v>9022308.1599650197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9504128.8253280204</v>
      </c>
      <c r="U14" s="1">
        <f t="shared" ca="1" si="5"/>
        <v>13077442.836189087</v>
      </c>
      <c r="Y14" t="s">
        <v>126</v>
      </c>
      <c r="Z14" s="8">
        <v>9228.8537176183108</v>
      </c>
      <c r="AA14">
        <v>1359.76600484047</v>
      </c>
      <c r="AB14">
        <v>6.7870896056863002</v>
      </c>
      <c r="AC14" s="99">
        <v>5.7114514902318504E-10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114">
        <f t="shared" ref="E15:F15" ca="1" si="11">E3</f>
        <v>582</v>
      </c>
      <c r="F15" s="114">
        <f t="shared" ca="1" si="11"/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-11221082.251499301</v>
      </c>
      <c r="N15" s="1">
        <f t="shared" ca="1" si="2"/>
        <v>5295076.3292941581</v>
      </c>
      <c r="O15" s="1">
        <f t="shared" ca="1" si="3"/>
        <v>0</v>
      </c>
      <c r="P15" s="1">
        <f t="shared" si="4"/>
        <v>8149181.5638393722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9507135.5095498879</v>
      </c>
      <c r="U15" s="1">
        <f t="shared" ca="1" si="5"/>
        <v>11730311.151184117</v>
      </c>
      <c r="Y15" t="s">
        <v>127</v>
      </c>
      <c r="Z15" s="8">
        <v>668.15204930422999</v>
      </c>
      <c r="AA15">
        <v>64.655212487723901</v>
      </c>
      <c r="AB15">
        <v>10.334078624072101</v>
      </c>
      <c r="AC15" s="99">
        <v>5.5273272447958299E-18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114">
        <f t="shared" ref="E16:F16" ca="1" si="12">E4</f>
        <v>498.31000000000006</v>
      </c>
      <c r="F16" s="114">
        <f t="shared" ca="1" si="12"/>
        <v>0.67999999999999994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-11221082.251499301</v>
      </c>
      <c r="N16" s="1">
        <f t="shared" ca="1" si="2"/>
        <v>4533658.9100525295</v>
      </c>
      <c r="O16" s="1">
        <f t="shared" ca="1" si="3"/>
        <v>10404.54527222322</v>
      </c>
      <c r="P16" s="1">
        <f t="shared" si="4"/>
        <v>9022308.1599650197</v>
      </c>
      <c r="Q16" s="1">
        <f t="shared" si="6"/>
        <v>-615865.74721267004</v>
      </c>
      <c r="R16" s="1">
        <f t="shared" si="7"/>
        <v>0</v>
      </c>
      <c r="S16" s="1">
        <f t="shared" si="8"/>
        <v>0</v>
      </c>
      <c r="T16" s="1">
        <f t="shared" si="9"/>
        <v>9517157.7902894523</v>
      </c>
      <c r="U16" s="1">
        <f t="shared" ca="1" si="5"/>
        <v>11246581.406867255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114">
        <f t="shared" ref="E17:F17" ca="1" si="13">E5</f>
        <v>322.59999999999997</v>
      </c>
      <c r="F17" s="114">
        <f t="shared" ca="1" si="13"/>
        <v>0.78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-11221082.251499301</v>
      </c>
      <c r="N17" s="1">
        <f t="shared" ca="1" si="2"/>
        <v>2935037.1543475864</v>
      </c>
      <c r="O17" s="1">
        <f t="shared" ca="1" si="3"/>
        <v>11934.625459314871</v>
      </c>
      <c r="P17" s="1">
        <f t="shared" si="4"/>
        <v>8731265.9612564705</v>
      </c>
      <c r="Q17" s="1">
        <f t="shared" si="6"/>
        <v>-615865.74721267004</v>
      </c>
      <c r="R17" s="1">
        <f t="shared" si="7"/>
        <v>0</v>
      </c>
      <c r="S17" s="1">
        <f t="shared" si="8"/>
        <v>0</v>
      </c>
      <c r="T17" s="1">
        <f t="shared" si="9"/>
        <v>9527180.0710290149</v>
      </c>
      <c r="U17" s="1">
        <f t="shared" ca="1" si="5"/>
        <v>9368469.8133804165</v>
      </c>
      <c r="Y17" t="s">
        <v>128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114">
        <f t="shared" ref="E18:F18" ca="1" si="14">E6</f>
        <v>139.78</v>
      </c>
      <c r="F18" s="114">
        <f t="shared" ca="1" si="14"/>
        <v>28.54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-11221082.251499301</v>
      </c>
      <c r="N18" s="1">
        <f t="shared" ca="1" si="2"/>
        <v>1271728.1259600299</v>
      </c>
      <c r="O18" s="1">
        <f t="shared" ca="1" si="3"/>
        <v>436684.88539595692</v>
      </c>
      <c r="P18" s="1">
        <f t="shared" si="4"/>
        <v>9022308.1599650197</v>
      </c>
      <c r="Q18" s="1">
        <f t="shared" si="6"/>
        <v>-615865.74721267004</v>
      </c>
      <c r="R18" s="1">
        <f t="shared" si="7"/>
        <v>0</v>
      </c>
      <c r="S18" s="1">
        <f t="shared" si="8"/>
        <v>0</v>
      </c>
      <c r="T18" s="1">
        <f t="shared" si="9"/>
        <v>9525175.614881102</v>
      </c>
      <c r="U18" s="1">
        <f t="shared" ca="1" si="5"/>
        <v>8418948.7874901369</v>
      </c>
      <c r="Y18" t="s">
        <v>129</v>
      </c>
      <c r="Z18">
        <v>10654587.771068599</v>
      </c>
      <c r="AA18" t="s">
        <v>130</v>
      </c>
      <c r="AB18">
        <v>1945115.48560673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114">
        <f t="shared" ref="E19:F19" ca="1" si="15">E7</f>
        <v>29.85</v>
      </c>
      <c r="F19" s="114">
        <f t="shared" ca="1" si="15"/>
        <v>71.179999999999993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-11221082.251499301</v>
      </c>
      <c r="N19" s="1">
        <f t="shared" ca="1" si="2"/>
        <v>271577.3684354478</v>
      </c>
      <c r="O19" s="1">
        <f t="shared" ca="1" si="3"/>
        <v>1089111.0771718365</v>
      </c>
      <c r="P19" s="1">
        <f t="shared" si="4"/>
        <v>8731265.9612564705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9501790.2931554541</v>
      </c>
      <c r="U19" s="1">
        <f t="shared" ca="1" si="5"/>
        <v>8372662.4485199079</v>
      </c>
      <c r="Y19" t="s">
        <v>131</v>
      </c>
      <c r="Z19">
        <v>12138015612140</v>
      </c>
      <c r="AA19" t="s">
        <v>132</v>
      </c>
      <c r="AB19">
        <v>329203.79614170198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114">
        <f t="shared" ref="E20:F20" ca="1" si="16">E8</f>
        <v>1.36</v>
      </c>
      <c r="F20" s="114">
        <f t="shared" ca="1" si="16"/>
        <v>150.63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-11221082.251499301</v>
      </c>
      <c r="N20" s="1">
        <f t="shared" ca="1" si="2"/>
        <v>12373.374240275009</v>
      </c>
      <c r="O20" s="1">
        <f t="shared" ca="1" si="3"/>
        <v>2304759.7858161526</v>
      </c>
      <c r="P20" s="1">
        <f t="shared" si="4"/>
        <v>9022308.1599650197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9573950.7144803107</v>
      </c>
      <c r="U20" s="1">
        <f t="shared" ca="1" si="5"/>
        <v>9692309.7830024585</v>
      </c>
      <c r="Y20" t="s">
        <v>133</v>
      </c>
      <c r="Z20">
        <v>0.97309643913134602</v>
      </c>
      <c r="AA20" t="s">
        <v>134</v>
      </c>
      <c r="AB20">
        <v>0.97141496657705495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114">
        <f t="shared" ref="E21:F21" ca="1" si="17">E9</f>
        <v>1.77</v>
      </c>
      <c r="F21" s="114">
        <f t="shared" ca="1" si="17"/>
        <v>138.02000000000001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-11221082.251499301</v>
      </c>
      <c r="N21" s="1">
        <f t="shared" ca="1" si="2"/>
        <v>16103.582650946151</v>
      </c>
      <c r="O21" s="1">
        <f t="shared" ca="1" si="3"/>
        <v>2111816.6742238957</v>
      </c>
      <c r="P21" s="1">
        <f t="shared" si="4"/>
        <v>9022308.1599650197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9573950.7144803107</v>
      </c>
      <c r="U21" s="1">
        <f t="shared" ca="1" si="5"/>
        <v>9503096.8798208721</v>
      </c>
      <c r="Y21" t="s">
        <v>345</v>
      </c>
      <c r="Z21">
        <v>454.53357703064398</v>
      </c>
      <c r="AA21" t="s">
        <v>135</v>
      </c>
      <c r="AB21" s="99">
        <v>4.0830606738271001E-79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114">
        <f t="shared" ref="E22:F22" ca="1" si="18">E10</f>
        <v>37.33</v>
      </c>
      <c r="F22" s="114">
        <f t="shared" ca="1" si="18"/>
        <v>62.11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-11221082.251499301</v>
      </c>
      <c r="N22" s="1">
        <f t="shared" ca="1" si="2"/>
        <v>339630.92675696034</v>
      </c>
      <c r="O22" s="1">
        <f t="shared" ca="1" si="3"/>
        <v>950332.8042026239</v>
      </c>
      <c r="P22" s="1">
        <f t="shared" si="4"/>
        <v>8731265.9612564705</v>
      </c>
      <c r="Q22" s="1">
        <f t="shared" si="6"/>
        <v>-615865.74721267004</v>
      </c>
      <c r="R22" s="1">
        <f t="shared" si="7"/>
        <v>0</v>
      </c>
      <c r="S22" s="1">
        <f t="shared" si="8"/>
        <v>0</v>
      </c>
      <c r="T22" s="1">
        <f t="shared" si="9"/>
        <v>9549897.2407053597</v>
      </c>
      <c r="U22" s="1">
        <f t="shared" ca="1" si="5"/>
        <v>7734178.9342094446</v>
      </c>
      <c r="Y22" t="s">
        <v>136</v>
      </c>
      <c r="Z22">
        <v>-8.9289924652494398E-3</v>
      </c>
      <c r="AA22" t="s">
        <v>137</v>
      </c>
      <c r="AB22" s="99">
        <v>1.99202527418246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114">
        <f t="shared" ref="E23:F23" ca="1" si="19">E11</f>
        <v>173.75</v>
      </c>
      <c r="F23" s="114">
        <f t="shared" ca="1" si="19"/>
        <v>11.59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-11221082.251499301</v>
      </c>
      <c r="N23" s="1">
        <f t="shared" ca="1" si="2"/>
        <v>1580789.5398880756</v>
      </c>
      <c r="O23" s="1">
        <f t="shared" ca="1" si="3"/>
        <v>177336.29368392224</v>
      </c>
      <c r="P23" s="1">
        <f t="shared" si="4"/>
        <v>9022308.1599650197</v>
      </c>
      <c r="Q23" s="1">
        <f t="shared" si="6"/>
        <v>-615865.74721267004</v>
      </c>
      <c r="R23" s="1">
        <f t="shared" si="7"/>
        <v>0</v>
      </c>
      <c r="S23" s="1">
        <f t="shared" si="8"/>
        <v>0</v>
      </c>
      <c r="T23" s="1">
        <f t="shared" si="9"/>
        <v>9573950.7144803107</v>
      </c>
      <c r="U23" s="1">
        <f t="shared" ca="1" si="5"/>
        <v>8517436.7093053553</v>
      </c>
      <c r="Z23" s="99"/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114">
        <f t="shared" ref="E24:F24" ca="1" si="20">E12</f>
        <v>366.25</v>
      </c>
      <c r="F24" s="114">
        <f t="shared" ca="1" si="20"/>
        <v>1.6800000000000002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-11221082.251499301</v>
      </c>
      <c r="N24" s="1">
        <f t="shared" ca="1" si="2"/>
        <v>3332167.8790446483</v>
      </c>
      <c r="O24" s="1">
        <f t="shared" ca="1" si="3"/>
        <v>25705.347143139723</v>
      </c>
      <c r="P24" s="1">
        <f t="shared" si="4"/>
        <v>8731265.9612564705</v>
      </c>
      <c r="Q24" s="1">
        <f t="shared" si="6"/>
        <v>-615865.74721267004</v>
      </c>
      <c r="R24" s="1">
        <f t="shared" si="7"/>
        <v>0</v>
      </c>
      <c r="S24" s="1">
        <f t="shared" si="8"/>
        <v>0</v>
      </c>
      <c r="T24" s="1">
        <f t="shared" si="9"/>
        <v>9598004.1882552635</v>
      </c>
      <c r="U24" s="1">
        <f t="shared" ca="1" si="5"/>
        <v>9850195.3769875504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114">
        <f t="shared" ref="E25:F25" ca="1" si="21">E13</f>
        <v>523.60000000000014</v>
      </c>
      <c r="F25" s="114">
        <f t="shared" ca="1" si="21"/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-11221082.251499301</v>
      </c>
      <c r="N25" s="1">
        <f t="shared" ca="1" si="2"/>
        <v>4763749.0825058799</v>
      </c>
      <c r="O25" s="1">
        <f t="shared" ca="1" si="3"/>
        <v>0</v>
      </c>
      <c r="P25" s="1">
        <f t="shared" si="4"/>
        <v>9022308.1599650197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9598672.3403045684</v>
      </c>
      <c r="U25" s="1">
        <f t="shared" ca="1" si="5"/>
        <v>12163647.331276167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114">
        <f t="shared" ref="E26:F26" ca="1" si="22">E14</f>
        <v>634.42999999999995</v>
      </c>
      <c r="F26" s="114">
        <f t="shared" ca="1" si="22"/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-11221082.251499301</v>
      </c>
      <c r="N26" s="1">
        <f t="shared" ca="1" si="2"/>
        <v>5772088.1023953483</v>
      </c>
      <c r="O26" s="1">
        <f t="shared" ca="1" si="3"/>
        <v>0</v>
      </c>
      <c r="P26" s="1">
        <f t="shared" si="4"/>
        <v>9022308.1599650197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9598672.3403045684</v>
      </c>
      <c r="U26" s="1">
        <f t="shared" ca="1" si="5"/>
        <v>13171986.351165636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114">
        <f t="shared" ref="E27:F27" ca="1" si="23">E15</f>
        <v>582</v>
      </c>
      <c r="F27" s="114">
        <f t="shared" ca="1" si="23"/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-11221082.251499301</v>
      </c>
      <c r="N27" s="1">
        <f t="shared" ca="1" si="2"/>
        <v>5295076.3292941581</v>
      </c>
      <c r="O27" s="1">
        <f t="shared" ca="1" si="3"/>
        <v>0</v>
      </c>
      <c r="P27" s="1">
        <f t="shared" si="4"/>
        <v>8149181.5638393722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9626734.7263753451</v>
      </c>
      <c r="U27" s="1">
        <f t="shared" ca="1" si="5"/>
        <v>11849910.368009575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114">
        <f t="shared" ref="E28:F28" ca="1" si="24">E16</f>
        <v>498.31000000000006</v>
      </c>
      <c r="F28" s="114">
        <f t="shared" ca="1" si="24"/>
        <v>0.67999999999999994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-11221082.251499301</v>
      </c>
      <c r="N28" s="1">
        <f t="shared" ca="1" si="2"/>
        <v>4533658.9100525295</v>
      </c>
      <c r="O28" s="1">
        <f t="shared" ca="1" si="3"/>
        <v>10404.54527222322</v>
      </c>
      <c r="P28" s="1">
        <f t="shared" si="4"/>
        <v>9022308.1599650197</v>
      </c>
      <c r="Q28" s="1">
        <f t="shared" si="6"/>
        <v>-615865.74721267004</v>
      </c>
      <c r="R28" s="1">
        <f t="shared" si="7"/>
        <v>0</v>
      </c>
      <c r="S28" s="1">
        <f t="shared" si="8"/>
        <v>0</v>
      </c>
      <c r="T28" s="1">
        <f t="shared" si="9"/>
        <v>9605353.8607976101</v>
      </c>
      <c r="U28" s="1">
        <f t="shared" ca="1" si="5"/>
        <v>11334777.477375412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114">
        <f t="shared" ref="E29:F29" ca="1" si="25">E17</f>
        <v>322.59999999999997</v>
      </c>
      <c r="F29" s="114">
        <f t="shared" ca="1" si="25"/>
        <v>0.78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-11221082.251499301</v>
      </c>
      <c r="N29" s="1">
        <f t="shared" ca="1" si="2"/>
        <v>2935037.1543475864</v>
      </c>
      <c r="O29" s="1">
        <f t="shared" ca="1" si="3"/>
        <v>11934.625459314871</v>
      </c>
      <c r="P29" s="1">
        <f t="shared" si="4"/>
        <v>8731265.9612564705</v>
      </c>
      <c r="Q29" s="1">
        <f t="shared" si="6"/>
        <v>-615865.74721267004</v>
      </c>
      <c r="R29" s="1">
        <f t="shared" si="7"/>
        <v>0</v>
      </c>
      <c r="S29" s="1">
        <f t="shared" si="8"/>
        <v>0</v>
      </c>
      <c r="T29" s="1">
        <f t="shared" si="9"/>
        <v>9631411.7907204758</v>
      </c>
      <c r="U29" s="1">
        <f t="shared" ca="1" si="5"/>
        <v>9472701.5330718774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114">
        <f t="shared" ref="E30:F30" ca="1" si="26">E18</f>
        <v>139.78</v>
      </c>
      <c r="F30" s="114">
        <f t="shared" ca="1" si="26"/>
        <v>28.54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-11221082.251499301</v>
      </c>
      <c r="N30" s="1">
        <f t="shared" ca="1" si="2"/>
        <v>1271728.1259600299</v>
      </c>
      <c r="O30" s="1">
        <f t="shared" ca="1" si="3"/>
        <v>436684.88539595692</v>
      </c>
      <c r="P30" s="1">
        <f t="shared" si="4"/>
        <v>9022308.1599650197</v>
      </c>
      <c r="Q30" s="1">
        <f t="shared" si="6"/>
        <v>-615865.74721267004</v>
      </c>
      <c r="R30" s="1">
        <f t="shared" si="7"/>
        <v>0</v>
      </c>
      <c r="S30" s="1">
        <f t="shared" si="8"/>
        <v>0</v>
      </c>
      <c r="T30" s="1">
        <f t="shared" si="9"/>
        <v>9631411.7907204758</v>
      </c>
      <c r="U30" s="1">
        <f t="shared" ca="1" si="5"/>
        <v>8525184.9633295108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114">
        <f t="shared" ref="E31:F31" ca="1" si="27">E19</f>
        <v>29.85</v>
      </c>
      <c r="F31" s="114">
        <f t="shared" ca="1" si="27"/>
        <v>71.179999999999993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-11221082.251499301</v>
      </c>
      <c r="N31" s="1">
        <f t="shared" ca="1" si="2"/>
        <v>271577.3684354478</v>
      </c>
      <c r="O31" s="1">
        <f t="shared" ca="1" si="3"/>
        <v>1089111.0771718365</v>
      </c>
      <c r="P31" s="1">
        <f t="shared" si="4"/>
        <v>8731265.9612564705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9630743.6386711709</v>
      </c>
      <c r="U31" s="1">
        <f t="shared" ca="1" si="5"/>
        <v>8501615.7940356247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114">
        <f t="shared" ref="E32:F32" ca="1" si="28">E20</f>
        <v>1.36</v>
      </c>
      <c r="F32" s="114">
        <f t="shared" ca="1" si="28"/>
        <v>150.63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-11221082.251499301</v>
      </c>
      <c r="N32" s="1">
        <f t="shared" ca="1" si="2"/>
        <v>12373.374240275009</v>
      </c>
      <c r="O32" s="1">
        <f t="shared" ca="1" si="3"/>
        <v>2304759.7858161526</v>
      </c>
      <c r="P32" s="1">
        <f t="shared" si="4"/>
        <v>9022308.1599650197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9612035.3812906519</v>
      </c>
      <c r="U32" s="1">
        <f t="shared" ca="1" si="5"/>
        <v>9730394.4498127997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114">
        <f t="shared" ref="E33:F33" ca="1" si="29">E21</f>
        <v>1.77</v>
      </c>
      <c r="F33" s="114">
        <f t="shared" ca="1" si="29"/>
        <v>138.02000000000001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-11221082.251499301</v>
      </c>
      <c r="N33" s="1">
        <f t="shared" ca="1" si="2"/>
        <v>16103.582650946151</v>
      </c>
      <c r="O33" s="1">
        <f t="shared" ca="1" si="3"/>
        <v>2111816.6742238957</v>
      </c>
      <c r="P33" s="1">
        <f t="shared" si="4"/>
        <v>9022308.1599650197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9654797.1124461237</v>
      </c>
      <c r="U33" s="1">
        <f t="shared" ca="1" si="5"/>
        <v>9583943.2777866852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114">
        <f t="shared" ref="E34:F34" ca="1" si="30">E22</f>
        <v>37.33</v>
      </c>
      <c r="F34" s="114">
        <f t="shared" ca="1" si="30"/>
        <v>62.11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31">$Z$8</f>
        <v>-11221082.251499301</v>
      </c>
      <c r="N34" s="1">
        <f t="shared" ref="N34:N65" ca="1" si="32">E34*$Z$9</f>
        <v>339630.92675696034</v>
      </c>
      <c r="O34" s="1">
        <f t="shared" ref="O34:O65" ca="1" si="33">F34*$Z$10</f>
        <v>950332.8042026239</v>
      </c>
      <c r="P34" s="1">
        <f t="shared" ref="P34:P65" si="34">G34*$Z$11</f>
        <v>8731265.9612564705</v>
      </c>
      <c r="Q34" s="1">
        <f t="shared" si="6"/>
        <v>-615865.74721267004</v>
      </c>
      <c r="R34" s="1">
        <f t="shared" si="7"/>
        <v>0</v>
      </c>
      <c r="S34" s="1">
        <f t="shared" si="8"/>
        <v>0</v>
      </c>
      <c r="T34" s="1">
        <f t="shared" si="9"/>
        <v>9645442.9837558642</v>
      </c>
      <c r="U34" s="1">
        <f t="shared" ref="U34:U65" ca="1" si="35">SUM(M34:T34)</f>
        <v>7829724.677259949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114">
        <f t="shared" ref="E35:F35" ca="1" si="36">E23</f>
        <v>173.75</v>
      </c>
      <c r="F35" s="114">
        <f t="shared" ca="1" si="36"/>
        <v>11.59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31"/>
        <v>-11221082.251499301</v>
      </c>
      <c r="N35" s="1">
        <f t="shared" ca="1" si="32"/>
        <v>1580789.5398880756</v>
      </c>
      <c r="O35" s="1">
        <f t="shared" ca="1" si="33"/>
        <v>177336.29368392224</v>
      </c>
      <c r="P35" s="1">
        <f t="shared" si="34"/>
        <v>9022308.1599650197</v>
      </c>
      <c r="Q35" s="1">
        <f t="shared" si="6"/>
        <v>-615865.74721267004</v>
      </c>
      <c r="R35" s="1">
        <f t="shared" si="7"/>
        <v>0</v>
      </c>
      <c r="S35" s="1">
        <f t="shared" si="8"/>
        <v>0</v>
      </c>
      <c r="T35" s="1">
        <f t="shared" si="9"/>
        <v>9662814.9370377734</v>
      </c>
      <c r="U35" s="1">
        <f t="shared" ca="1" si="35"/>
        <v>8606300.9318628181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114">
        <f t="shared" ref="E36:F36" ca="1" si="37">E24</f>
        <v>366.25</v>
      </c>
      <c r="F36" s="114">
        <f t="shared" ca="1" si="37"/>
        <v>1.6800000000000002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31"/>
        <v>-11221082.251499301</v>
      </c>
      <c r="N36" s="1">
        <f t="shared" ca="1" si="32"/>
        <v>3332167.8790446483</v>
      </c>
      <c r="O36" s="1">
        <f t="shared" ca="1" si="33"/>
        <v>25705.347143139723</v>
      </c>
      <c r="P36" s="1">
        <f t="shared" si="34"/>
        <v>8731265.9612564705</v>
      </c>
      <c r="Q36" s="1">
        <f t="shared" si="6"/>
        <v>-615865.74721267004</v>
      </c>
      <c r="R36" s="1">
        <f t="shared" si="7"/>
        <v>0</v>
      </c>
      <c r="S36" s="1">
        <f t="shared" si="8"/>
        <v>0</v>
      </c>
      <c r="T36" s="1">
        <f t="shared" si="9"/>
        <v>9738984.2706584558</v>
      </c>
      <c r="U36" s="1">
        <f t="shared" ca="1" si="35"/>
        <v>9991175.4593907427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114">
        <f t="shared" ref="E37:F37" ca="1" si="38">E25</f>
        <v>523.60000000000014</v>
      </c>
      <c r="F37" s="114">
        <f t="shared" ca="1" si="38"/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31"/>
        <v>-11221082.251499301</v>
      </c>
      <c r="N37" s="1">
        <f t="shared" ca="1" si="32"/>
        <v>4763749.0825058799</v>
      </c>
      <c r="O37" s="1">
        <f t="shared" ca="1" si="33"/>
        <v>0</v>
      </c>
      <c r="P37" s="1">
        <f t="shared" si="34"/>
        <v>9022308.1599650197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9678182.4341717716</v>
      </c>
      <c r="U37" s="1">
        <f t="shared" ca="1" si="35"/>
        <v>12243157.42514337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114">
        <f t="shared" ref="E38:F38" ca="1" si="39">E26</f>
        <v>634.42999999999995</v>
      </c>
      <c r="F38" s="114">
        <f t="shared" ca="1" si="39"/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31"/>
        <v>-11221082.251499301</v>
      </c>
      <c r="N38" s="1">
        <f t="shared" ca="1" si="32"/>
        <v>5772088.1023953483</v>
      </c>
      <c r="O38" s="1">
        <f t="shared" ca="1" si="33"/>
        <v>0</v>
      </c>
      <c r="P38" s="1">
        <f t="shared" si="34"/>
        <v>9022308.1599650197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9761033.2882854957</v>
      </c>
      <c r="U38" s="1">
        <f t="shared" ca="1" si="35"/>
        <v>13334347.299146563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114">
        <f t="shared" ref="E39:F39" ca="1" si="40">E27</f>
        <v>582</v>
      </c>
      <c r="F39" s="114">
        <f t="shared" ca="1" si="40"/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31"/>
        <v>-11221082.251499301</v>
      </c>
      <c r="N39" s="1">
        <f t="shared" ca="1" si="32"/>
        <v>5295076.3292941581</v>
      </c>
      <c r="O39" s="1">
        <f t="shared" ca="1" si="33"/>
        <v>0</v>
      </c>
      <c r="P39" s="1">
        <f t="shared" si="34"/>
        <v>8149181.5638393722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9735643.5104119349</v>
      </c>
      <c r="U39" s="1">
        <f t="shared" ca="1" si="35"/>
        <v>11958819.152046164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114">
        <f t="shared" ref="E40:F40" ca="1" si="41">E28</f>
        <v>498.31000000000006</v>
      </c>
      <c r="F40" s="114">
        <f t="shared" ca="1" si="41"/>
        <v>0.67999999999999994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31"/>
        <v>-11221082.251499301</v>
      </c>
      <c r="N40" s="1">
        <f t="shared" ca="1" si="32"/>
        <v>4533658.9100525295</v>
      </c>
      <c r="O40" s="1">
        <f t="shared" ca="1" si="33"/>
        <v>10404.54527222322</v>
      </c>
      <c r="P40" s="1">
        <f t="shared" si="34"/>
        <v>9022308.1599650197</v>
      </c>
      <c r="Q40" s="1">
        <f t="shared" si="6"/>
        <v>-615865.74721267004</v>
      </c>
      <c r="R40" s="1">
        <f t="shared" si="7"/>
        <v>0</v>
      </c>
      <c r="S40" s="1">
        <f t="shared" si="8"/>
        <v>0</v>
      </c>
      <c r="T40" s="1">
        <f t="shared" si="9"/>
        <v>9711590.0366369821</v>
      </c>
      <c r="U40" s="1">
        <f t="shared" ca="1" si="35"/>
        <v>11441013.653214784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114">
        <f t="shared" ref="E41:F41" ca="1" si="42">E29</f>
        <v>322.59999999999997</v>
      </c>
      <c r="F41" s="114">
        <f t="shared" ca="1" si="42"/>
        <v>0.78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31"/>
        <v>-11221082.251499301</v>
      </c>
      <c r="N41" s="1">
        <f t="shared" ca="1" si="32"/>
        <v>2935037.1543475864</v>
      </c>
      <c r="O41" s="1">
        <f t="shared" ca="1" si="33"/>
        <v>11934.625459314871</v>
      </c>
      <c r="P41" s="1">
        <f t="shared" si="34"/>
        <v>8731265.9612564705</v>
      </c>
      <c r="Q41" s="1">
        <f t="shared" si="6"/>
        <v>-615865.74721267004</v>
      </c>
      <c r="R41" s="1">
        <f t="shared" si="7"/>
        <v>0</v>
      </c>
      <c r="S41" s="1">
        <f t="shared" si="8"/>
        <v>0</v>
      </c>
      <c r="T41" s="1">
        <f t="shared" si="9"/>
        <v>9671500.9136787299</v>
      </c>
      <c r="U41" s="1">
        <f t="shared" ca="1" si="35"/>
        <v>9512790.6560301315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114">
        <f t="shared" ref="E42:F42" ca="1" si="43">E30</f>
        <v>139.78</v>
      </c>
      <c r="F42" s="114">
        <f t="shared" ca="1" si="43"/>
        <v>28.54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31"/>
        <v>-11221082.251499301</v>
      </c>
      <c r="N42" s="1">
        <f t="shared" ca="1" si="32"/>
        <v>1271728.1259600299</v>
      </c>
      <c r="O42" s="1">
        <f t="shared" ca="1" si="33"/>
        <v>436684.88539595692</v>
      </c>
      <c r="P42" s="1">
        <f t="shared" si="34"/>
        <v>9022308.1599650197</v>
      </c>
      <c r="Q42" s="1">
        <f t="shared" si="6"/>
        <v>-615865.74721267004</v>
      </c>
      <c r="R42" s="1">
        <f t="shared" si="7"/>
        <v>0</v>
      </c>
      <c r="S42" s="1">
        <f t="shared" si="8"/>
        <v>0</v>
      </c>
      <c r="T42" s="1">
        <f t="shared" si="9"/>
        <v>9773060.0251729712</v>
      </c>
      <c r="U42" s="1">
        <f t="shared" ca="1" si="35"/>
        <v>8666833.1977820061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114">
        <f t="shared" ref="E43:F43" ca="1" si="44">E31</f>
        <v>29.85</v>
      </c>
      <c r="F43" s="114">
        <f t="shared" ca="1" si="44"/>
        <v>71.179999999999993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31"/>
        <v>-11221082.251499301</v>
      </c>
      <c r="N43" s="1">
        <f t="shared" ca="1" si="32"/>
        <v>271577.3684354478</v>
      </c>
      <c r="O43" s="1">
        <f t="shared" ca="1" si="33"/>
        <v>1089111.0771718365</v>
      </c>
      <c r="P43" s="1">
        <f t="shared" si="34"/>
        <v>8731265.9612564705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9741656.8788556736</v>
      </c>
      <c r="U43" s="1">
        <f t="shared" ca="1" si="35"/>
        <v>8612529.0342201274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114">
        <f t="shared" ref="E44:F44" ca="1" si="45">E32</f>
        <v>1.36</v>
      </c>
      <c r="F44" s="114">
        <f t="shared" ca="1" si="45"/>
        <v>150.63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31"/>
        <v>-11221082.251499301</v>
      </c>
      <c r="N44" s="1">
        <f t="shared" ca="1" si="32"/>
        <v>12373.374240275009</v>
      </c>
      <c r="O44" s="1">
        <f t="shared" ca="1" si="33"/>
        <v>2304759.7858161526</v>
      </c>
      <c r="P44" s="1">
        <f t="shared" si="34"/>
        <v>9022308.1599650197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9723616.7735244595</v>
      </c>
      <c r="U44" s="1">
        <f t="shared" ca="1" si="35"/>
        <v>9841975.8420466073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114">
        <f t="shared" ref="E45:F45" ca="1" si="46">E33</f>
        <v>1.77</v>
      </c>
      <c r="F45" s="114">
        <f t="shared" ca="1" si="46"/>
        <v>138.02000000000001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31"/>
        <v>-11221082.251499301</v>
      </c>
      <c r="N45" s="1">
        <f t="shared" ca="1" si="32"/>
        <v>16103.582650946151</v>
      </c>
      <c r="O45" s="1">
        <f t="shared" ca="1" si="33"/>
        <v>2111816.6742238957</v>
      </c>
      <c r="P45" s="1">
        <f t="shared" si="34"/>
        <v>9022308.1599650197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9740988.7268063687</v>
      </c>
      <c r="U45" s="1">
        <f t="shared" ca="1" si="35"/>
        <v>9670134.8921469301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114">
        <f t="shared" ref="E46:F46" ca="1" si="47">E34</f>
        <v>37.33</v>
      </c>
      <c r="F46" s="114">
        <f t="shared" ca="1" si="47"/>
        <v>62.11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31"/>
        <v>-11221082.251499301</v>
      </c>
      <c r="N46" s="1">
        <f t="shared" ca="1" si="32"/>
        <v>339630.92675696034</v>
      </c>
      <c r="O46" s="1">
        <f t="shared" ca="1" si="33"/>
        <v>950332.8042026239</v>
      </c>
      <c r="P46" s="1">
        <f t="shared" si="34"/>
        <v>8731265.9612564705</v>
      </c>
      <c r="Q46" s="1">
        <f t="shared" si="6"/>
        <v>-615865.74721267004</v>
      </c>
      <c r="R46" s="1">
        <f t="shared" si="7"/>
        <v>0</v>
      </c>
      <c r="S46" s="1">
        <f t="shared" si="8"/>
        <v>0</v>
      </c>
      <c r="T46" s="1">
        <f t="shared" si="9"/>
        <v>9773728.1772222761</v>
      </c>
      <c r="U46" s="1">
        <f t="shared" ca="1" si="35"/>
        <v>7958009.8707263609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114">
        <f t="shared" ref="E47:F47" ca="1" si="48">E35</f>
        <v>173.75</v>
      </c>
      <c r="F47" s="114">
        <f t="shared" ca="1" si="48"/>
        <v>11.59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31"/>
        <v>-11221082.251499301</v>
      </c>
      <c r="N47" s="1">
        <f t="shared" ca="1" si="32"/>
        <v>1580789.5398880756</v>
      </c>
      <c r="O47" s="1">
        <f t="shared" ca="1" si="33"/>
        <v>177336.29368392224</v>
      </c>
      <c r="P47" s="1">
        <f t="shared" si="34"/>
        <v>9022308.1599650197</v>
      </c>
      <c r="Q47" s="1">
        <f t="shared" si="6"/>
        <v>-615865.74721267004</v>
      </c>
      <c r="R47" s="1">
        <f t="shared" si="7"/>
        <v>0</v>
      </c>
      <c r="S47" s="1">
        <f t="shared" si="8"/>
        <v>0</v>
      </c>
      <c r="T47" s="1">
        <f t="shared" si="9"/>
        <v>9761033.2882854957</v>
      </c>
      <c r="U47" s="1">
        <f t="shared" ca="1" si="35"/>
        <v>8704519.2831105404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114">
        <f t="shared" ref="E48:F48" ca="1" si="49">E36</f>
        <v>366.25</v>
      </c>
      <c r="F48" s="114">
        <f t="shared" ca="1" si="49"/>
        <v>1.6800000000000002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31"/>
        <v>-11221082.251499301</v>
      </c>
      <c r="N48" s="1">
        <f t="shared" ca="1" si="32"/>
        <v>3332167.8790446483</v>
      </c>
      <c r="O48" s="1">
        <f t="shared" ca="1" si="33"/>
        <v>25705.347143139723</v>
      </c>
      <c r="P48" s="1">
        <f t="shared" si="34"/>
        <v>8731265.9612564705</v>
      </c>
      <c r="Q48" s="1">
        <f t="shared" si="6"/>
        <v>-615865.74721267004</v>
      </c>
      <c r="R48" s="1">
        <f t="shared" si="7"/>
        <v>0</v>
      </c>
      <c r="S48" s="1">
        <f t="shared" si="8"/>
        <v>0</v>
      </c>
      <c r="T48" s="1">
        <f t="shared" si="9"/>
        <v>9745665.7911514994</v>
      </c>
      <c r="U48" s="1">
        <f t="shared" ca="1" si="35"/>
        <v>9997856.9798837863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114">
        <f t="shared" ref="E49:F49" ca="1" si="50">E37</f>
        <v>523.60000000000014</v>
      </c>
      <c r="F49" s="114">
        <f t="shared" ca="1" si="50"/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31"/>
        <v>-11221082.251499301</v>
      </c>
      <c r="N49" s="1">
        <f t="shared" ca="1" si="32"/>
        <v>4763749.0825058799</v>
      </c>
      <c r="O49" s="1">
        <f t="shared" ca="1" si="33"/>
        <v>0</v>
      </c>
      <c r="P49" s="1">
        <f t="shared" si="34"/>
        <v>9022308.1599650197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9803795.0194409657</v>
      </c>
      <c r="U49" s="1">
        <f t="shared" ca="1" si="35"/>
        <v>12368770.010412565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114">
        <f t="shared" ref="E50:F50" ca="1" si="51">E38</f>
        <v>634.42999999999995</v>
      </c>
      <c r="F50" s="114">
        <f t="shared" ca="1" si="51"/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31"/>
        <v>-11221082.251499301</v>
      </c>
      <c r="N50" s="1">
        <f t="shared" ca="1" si="32"/>
        <v>5772088.1023953483</v>
      </c>
      <c r="O50" s="1">
        <f t="shared" ca="1" si="33"/>
        <v>0</v>
      </c>
      <c r="P50" s="1">
        <f t="shared" si="34"/>
        <v>9022308.1599650197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9837870.773955483</v>
      </c>
      <c r="U50" s="1">
        <f t="shared" ca="1" si="35"/>
        <v>13411184.78481655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114">
        <f t="shared" ref="E51:F51" ca="1" si="52">E39</f>
        <v>582</v>
      </c>
      <c r="F51" s="114">
        <f t="shared" ca="1" si="52"/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31"/>
        <v>-11221082.251499301</v>
      </c>
      <c r="N51" s="1">
        <f t="shared" ca="1" si="32"/>
        <v>5295076.3292941581</v>
      </c>
      <c r="O51" s="1">
        <f t="shared" ca="1" si="33"/>
        <v>0</v>
      </c>
      <c r="P51" s="1">
        <f t="shared" si="34"/>
        <v>8440223.7625479214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9799117.9550958369</v>
      </c>
      <c r="U51" s="1">
        <f t="shared" ca="1" si="35"/>
        <v>12313335.795438616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114">
        <f t="shared" ref="E52:F52" ca="1" si="53">E40</f>
        <v>498.31000000000006</v>
      </c>
      <c r="F52" s="114">
        <f t="shared" ca="1" si="53"/>
        <v>0.67999999999999994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31"/>
        <v>-11221082.251499301</v>
      </c>
      <c r="N52" s="1">
        <f t="shared" ca="1" si="32"/>
        <v>4533658.9100525295</v>
      </c>
      <c r="O52" s="1">
        <f t="shared" ca="1" si="33"/>
        <v>10404.54527222322</v>
      </c>
      <c r="P52" s="1">
        <f t="shared" si="34"/>
        <v>9022308.1599650197</v>
      </c>
      <c r="Q52" s="1">
        <f t="shared" si="6"/>
        <v>-615865.74721267004</v>
      </c>
      <c r="R52" s="1">
        <f t="shared" si="7"/>
        <v>0</v>
      </c>
      <c r="S52" s="1">
        <f t="shared" si="8"/>
        <v>0</v>
      </c>
      <c r="T52" s="1">
        <f t="shared" si="9"/>
        <v>9820164.7446489204</v>
      </c>
      <c r="U52" s="1">
        <f t="shared" ca="1" si="35"/>
        <v>11549588.361226723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114">
        <f t="shared" ref="E53:F53" ca="1" si="54">E41</f>
        <v>322.59999999999997</v>
      </c>
      <c r="F53" s="114">
        <f t="shared" ca="1" si="54"/>
        <v>0.78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31"/>
        <v>-11221082.251499301</v>
      </c>
      <c r="N53" s="1">
        <f t="shared" ca="1" si="32"/>
        <v>2935037.1543475864</v>
      </c>
      <c r="O53" s="1">
        <f t="shared" ca="1" si="33"/>
        <v>11934.625459314871</v>
      </c>
      <c r="P53" s="1">
        <f t="shared" si="34"/>
        <v>8731265.9612564705</v>
      </c>
      <c r="Q53" s="1">
        <f t="shared" si="6"/>
        <v>-615865.74721267004</v>
      </c>
      <c r="R53" s="1">
        <f t="shared" si="7"/>
        <v>0</v>
      </c>
      <c r="S53" s="1">
        <f t="shared" si="8"/>
        <v>0</v>
      </c>
      <c r="T53" s="1">
        <f t="shared" si="9"/>
        <v>9820164.7446489204</v>
      </c>
      <c r="U53" s="1">
        <f t="shared" ca="1" si="35"/>
        <v>9661454.487000322</v>
      </c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114">
        <f t="shared" ref="E54:F54" ca="1" si="55">E42</f>
        <v>139.78</v>
      </c>
      <c r="F54" s="114">
        <f t="shared" ca="1" si="55"/>
        <v>28.54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31"/>
        <v>-11221082.251499301</v>
      </c>
      <c r="N54" s="1">
        <f t="shared" ca="1" si="32"/>
        <v>1271728.1259600299</v>
      </c>
      <c r="O54" s="1">
        <f t="shared" ca="1" si="33"/>
        <v>436684.88539595692</v>
      </c>
      <c r="P54" s="1">
        <f t="shared" si="34"/>
        <v>9022308.1599650197</v>
      </c>
      <c r="Q54" s="1">
        <f t="shared" si="6"/>
        <v>-615865.74721267004</v>
      </c>
      <c r="R54" s="1">
        <f t="shared" si="7"/>
        <v>0</v>
      </c>
      <c r="S54" s="1">
        <f t="shared" si="8"/>
        <v>0</v>
      </c>
      <c r="T54" s="1">
        <f t="shared" si="9"/>
        <v>9910699.3473296426</v>
      </c>
      <c r="U54" s="1">
        <f t="shared" ca="1" si="35"/>
        <v>8804472.5199386775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114">
        <f t="shared" ref="E55:F55" ca="1" si="56">E43</f>
        <v>29.85</v>
      </c>
      <c r="F55" s="114">
        <f t="shared" ca="1" si="56"/>
        <v>71.179999999999993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31"/>
        <v>-11221082.251499301</v>
      </c>
      <c r="N55" s="1">
        <f t="shared" ca="1" si="32"/>
        <v>271577.3684354478</v>
      </c>
      <c r="O55" s="1">
        <f t="shared" ca="1" si="33"/>
        <v>1089111.0771718365</v>
      </c>
      <c r="P55" s="1">
        <f t="shared" si="34"/>
        <v>8731265.9612564705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9872614.6805193014</v>
      </c>
      <c r="U55" s="1">
        <f t="shared" ca="1" si="35"/>
        <v>8743486.8358837552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114">
        <f t="shared" ref="E56:F56" ca="1" si="57">E44</f>
        <v>1.36</v>
      </c>
      <c r="F56" s="114">
        <f t="shared" ca="1" si="57"/>
        <v>150.63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31"/>
        <v>-11221082.251499301</v>
      </c>
      <c r="N56" s="1">
        <f t="shared" ca="1" si="32"/>
        <v>12373.374240275009</v>
      </c>
      <c r="O56" s="1">
        <f t="shared" ca="1" si="33"/>
        <v>2304759.7858161526</v>
      </c>
      <c r="P56" s="1">
        <f t="shared" si="34"/>
        <v>9022308.1599650197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9877959.8969137371</v>
      </c>
      <c r="U56" s="1">
        <f t="shared" ca="1" si="35"/>
        <v>9996318.9654358849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114">
        <f t="shared" ref="E57:F57" ca="1" si="58">E45</f>
        <v>1.77</v>
      </c>
      <c r="F57" s="114">
        <f t="shared" ca="1" si="58"/>
        <v>138.02000000000001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31"/>
        <v>-11221082.251499301</v>
      </c>
      <c r="N57" s="1">
        <f t="shared" ca="1" si="32"/>
        <v>16103.582650946151</v>
      </c>
      <c r="O57" s="1">
        <f t="shared" ca="1" si="33"/>
        <v>2111816.6742238957</v>
      </c>
      <c r="P57" s="1">
        <f t="shared" si="34"/>
        <v>9022308.1599650197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9908026.7391324267</v>
      </c>
      <c r="U57" s="1">
        <f t="shared" ca="1" si="35"/>
        <v>9837172.9044729881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114">
        <f t="shared" ref="E58:F58" ca="1" si="59">E46</f>
        <v>37.33</v>
      </c>
      <c r="F58" s="114">
        <f t="shared" ca="1" si="59"/>
        <v>62.11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31"/>
        <v>-11221082.251499301</v>
      </c>
      <c r="N58" s="1">
        <f t="shared" ca="1" si="32"/>
        <v>339630.92675696034</v>
      </c>
      <c r="O58" s="1">
        <f t="shared" ca="1" si="33"/>
        <v>950332.8042026239</v>
      </c>
      <c r="P58" s="1">
        <f t="shared" si="34"/>
        <v>8731265.9612564705</v>
      </c>
      <c r="Q58" s="1">
        <f t="shared" si="6"/>
        <v>-615865.74721267004</v>
      </c>
      <c r="R58" s="1">
        <f t="shared" si="7"/>
        <v>0</v>
      </c>
      <c r="S58" s="1">
        <f t="shared" si="8"/>
        <v>0</v>
      </c>
      <c r="T58" s="1">
        <f t="shared" si="9"/>
        <v>9886645.8735546917</v>
      </c>
      <c r="U58" s="1">
        <f t="shared" ca="1" si="35"/>
        <v>8070927.5670587765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114">
        <f t="shared" ref="E59:F59" ca="1" si="60">E47</f>
        <v>173.75</v>
      </c>
      <c r="F59" s="114">
        <f t="shared" ca="1" si="60"/>
        <v>11.59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31"/>
        <v>-11221082.251499301</v>
      </c>
      <c r="N59" s="1">
        <f t="shared" ca="1" si="32"/>
        <v>1580789.5398880756</v>
      </c>
      <c r="O59" s="1">
        <f t="shared" ca="1" si="33"/>
        <v>177336.29368392224</v>
      </c>
      <c r="P59" s="1">
        <f t="shared" si="34"/>
        <v>9022308.1599650197</v>
      </c>
      <c r="Q59" s="1">
        <f t="shared" si="6"/>
        <v>-615865.74721267004</v>
      </c>
      <c r="R59" s="1">
        <f t="shared" si="7"/>
        <v>0</v>
      </c>
      <c r="S59" s="1">
        <f t="shared" si="8"/>
        <v>0</v>
      </c>
      <c r="T59" s="1">
        <f t="shared" si="9"/>
        <v>9966155.9674218949</v>
      </c>
      <c r="U59" s="1">
        <f t="shared" ca="1" si="35"/>
        <v>8909641.9622469395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114">
        <f t="shared" ref="E60:F60" ca="1" si="61">E48</f>
        <v>366.25</v>
      </c>
      <c r="F60" s="114">
        <f t="shared" ca="1" si="61"/>
        <v>1.6800000000000002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31"/>
        <v>-11221082.251499301</v>
      </c>
      <c r="N60" s="1">
        <f t="shared" ca="1" si="32"/>
        <v>3332167.8790446483</v>
      </c>
      <c r="O60" s="1">
        <f t="shared" ca="1" si="33"/>
        <v>25705.347143139723</v>
      </c>
      <c r="P60" s="1">
        <f t="shared" si="34"/>
        <v>8731265.9612564705</v>
      </c>
      <c r="Q60" s="1">
        <f t="shared" si="6"/>
        <v>-615865.74721267004</v>
      </c>
      <c r="R60" s="1">
        <f t="shared" si="7"/>
        <v>0</v>
      </c>
      <c r="S60" s="1">
        <f t="shared" si="8"/>
        <v>0</v>
      </c>
      <c r="T60" s="1">
        <f t="shared" si="9"/>
        <v>9974173.7920135446</v>
      </c>
      <c r="U60" s="1">
        <f t="shared" ca="1" si="35"/>
        <v>10226364.980745832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114">
        <f t="shared" ref="E61:F61" ca="1" si="62">E49</f>
        <v>523.60000000000014</v>
      </c>
      <c r="F61" s="114">
        <f t="shared" ca="1" si="62"/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31"/>
        <v>-11221082.251499301</v>
      </c>
      <c r="N61" s="1">
        <f t="shared" ca="1" si="32"/>
        <v>4763749.0825058799</v>
      </c>
      <c r="O61" s="1">
        <f t="shared" ca="1" si="33"/>
        <v>0</v>
      </c>
      <c r="P61" s="1">
        <f t="shared" si="34"/>
        <v>9022308.1599650197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9974173.7920135446</v>
      </c>
      <c r="U61" s="1">
        <f t="shared" ca="1" si="35"/>
        <v>12539148.782985143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114">
        <f t="shared" ref="E62:F62" ca="1" si="63">E50</f>
        <v>634.42999999999995</v>
      </c>
      <c r="F62" s="114">
        <f t="shared" ca="1" si="63"/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31"/>
        <v>-11221082.251499301</v>
      </c>
      <c r="N62" s="1">
        <f t="shared" ca="1" si="32"/>
        <v>5772088.1023953483</v>
      </c>
      <c r="O62" s="1">
        <f t="shared" ca="1" si="33"/>
        <v>0</v>
      </c>
      <c r="P62" s="1">
        <f t="shared" si="34"/>
        <v>9022308.1599650197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10035643.780549534</v>
      </c>
      <c r="U62" s="1">
        <f t="shared" ca="1" si="35"/>
        <v>13608957.791410601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114">
        <f t="shared" ref="E63:F63" ca="1" si="64">E51</f>
        <v>582</v>
      </c>
      <c r="F63" s="114">
        <f t="shared" ca="1" si="64"/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31"/>
        <v>-11221082.251499301</v>
      </c>
      <c r="N63" s="1">
        <f t="shared" ca="1" si="32"/>
        <v>5295076.3292941581</v>
      </c>
      <c r="O63" s="1">
        <f t="shared" ca="1" si="33"/>
        <v>0</v>
      </c>
      <c r="P63" s="1">
        <f t="shared" si="34"/>
        <v>8149181.5638393722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10009585.85062667</v>
      </c>
      <c r="U63" s="1">
        <f t="shared" ca="1" si="35"/>
        <v>12232761.492260899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114">
        <f t="shared" ref="E64:F64" ca="1" si="65">E52</f>
        <v>498.31000000000006</v>
      </c>
      <c r="F64" s="114">
        <f t="shared" ca="1" si="65"/>
        <v>0.67999999999999994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31"/>
        <v>-11221082.251499301</v>
      </c>
      <c r="N64" s="1">
        <f t="shared" ca="1" si="32"/>
        <v>4533658.9100525295</v>
      </c>
      <c r="O64" s="1">
        <f t="shared" ca="1" si="33"/>
        <v>10404.54527222322</v>
      </c>
      <c r="P64" s="1">
        <f t="shared" si="34"/>
        <v>9022308.1599650197</v>
      </c>
      <c r="Q64" s="1">
        <f t="shared" si="6"/>
        <v>-615865.74721267004</v>
      </c>
      <c r="R64" s="1">
        <f t="shared" si="7"/>
        <v>0</v>
      </c>
      <c r="S64" s="1">
        <f t="shared" si="8"/>
        <v>0</v>
      </c>
      <c r="T64" s="1">
        <f t="shared" si="9"/>
        <v>10012258.458823886</v>
      </c>
      <c r="U64" s="1">
        <f t="shared" ca="1" si="35"/>
        <v>11741682.075401688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114">
        <f t="shared" ref="E65:F65" ca="1" si="66">E53</f>
        <v>322.59999999999997</v>
      </c>
      <c r="F65" s="114">
        <f t="shared" ca="1" si="66"/>
        <v>0.78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31"/>
        <v>-11221082.251499301</v>
      </c>
      <c r="N65" s="1">
        <f t="shared" ca="1" si="32"/>
        <v>2935037.1543475864</v>
      </c>
      <c r="O65" s="1">
        <f t="shared" ca="1" si="33"/>
        <v>11934.625459314871</v>
      </c>
      <c r="P65" s="1">
        <f t="shared" si="34"/>
        <v>8731265.9612564705</v>
      </c>
      <c r="Q65" s="1">
        <f t="shared" si="6"/>
        <v>-615865.74721267004</v>
      </c>
      <c r="R65" s="1">
        <f t="shared" si="7"/>
        <v>0</v>
      </c>
      <c r="S65" s="1">
        <f t="shared" si="8"/>
        <v>0</v>
      </c>
      <c r="T65" s="1">
        <f t="shared" si="9"/>
        <v>9970833.0317670237</v>
      </c>
      <c r="U65" s="1">
        <f t="shared" ca="1" si="35"/>
        <v>9812122.7741184253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114">
        <f t="shared" ref="E66:F66" ca="1" si="67">E54</f>
        <v>139.78</v>
      </c>
      <c r="F66" s="114">
        <f t="shared" ca="1" si="67"/>
        <v>28.54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68">$Z$8</f>
        <v>-11221082.251499301</v>
      </c>
      <c r="N66" s="1">
        <f t="shared" ref="N66:N97" ca="1" si="69">E66*$Z$9</f>
        <v>1271728.1259600299</v>
      </c>
      <c r="O66" s="1">
        <f t="shared" ref="O66:O97" ca="1" si="70">F66*$Z$10</f>
        <v>436684.88539595692</v>
      </c>
      <c r="P66" s="1">
        <f t="shared" ref="P66:P97" si="71">G66*$Z$11</f>
        <v>9022308.1599650197</v>
      </c>
      <c r="Q66" s="1">
        <f t="shared" si="6"/>
        <v>-615865.74721267004</v>
      </c>
      <c r="R66" s="1">
        <f t="shared" si="7"/>
        <v>0</v>
      </c>
      <c r="S66" s="1">
        <f t="shared" si="8"/>
        <v>0</v>
      </c>
      <c r="T66" s="1">
        <f t="shared" si="9"/>
        <v>10057692.798176574</v>
      </c>
      <c r="U66" s="1">
        <f t="shared" ref="U66:U97" ca="1" si="72">SUM(M66:T66)</f>
        <v>8951465.9707856085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114">
        <f t="shared" ref="E67:F67" ca="1" si="73">E55</f>
        <v>29.85</v>
      </c>
      <c r="F67" s="114">
        <f t="shared" ca="1" si="73"/>
        <v>71.179999999999993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68"/>
        <v>-11221082.251499301</v>
      </c>
      <c r="N67" s="1">
        <f t="shared" ca="1" si="69"/>
        <v>271577.3684354478</v>
      </c>
      <c r="O67" s="1">
        <f t="shared" ca="1" si="70"/>
        <v>1089111.0771718365</v>
      </c>
      <c r="P67" s="1">
        <f t="shared" si="71"/>
        <v>8731265.9612564705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9971501.1838163286</v>
      </c>
      <c r="U67" s="1">
        <f t="shared" ca="1" si="72"/>
        <v>8842373.3391807824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114">
        <f t="shared" ref="E68:F68" ca="1" si="78">E56</f>
        <v>1.36</v>
      </c>
      <c r="F68" s="114">
        <f t="shared" ca="1" si="78"/>
        <v>150.63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68"/>
        <v>-11221082.251499301</v>
      </c>
      <c r="N68" s="1">
        <f t="shared" ca="1" si="69"/>
        <v>12373.374240275009</v>
      </c>
      <c r="O68" s="1">
        <f t="shared" ca="1" si="70"/>
        <v>2304759.7858161526</v>
      </c>
      <c r="P68" s="1">
        <f t="shared" si="71"/>
        <v>9022308.1599650197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10198672.880579766</v>
      </c>
      <c r="U68" s="1">
        <f t="shared" ca="1" si="72"/>
        <v>10317031.949101914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114">
        <f t="shared" ref="E69:F69" ca="1" si="79">E57</f>
        <v>1.77</v>
      </c>
      <c r="F69" s="114">
        <f t="shared" ca="1" si="79"/>
        <v>138.02000000000001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68"/>
        <v>-11221082.251499301</v>
      </c>
      <c r="N69" s="1">
        <f t="shared" ca="1" si="69"/>
        <v>16103.582650946151</v>
      </c>
      <c r="O69" s="1">
        <f t="shared" ca="1" si="70"/>
        <v>2111816.6742238957</v>
      </c>
      <c r="P69" s="1">
        <f t="shared" si="71"/>
        <v>9022308.1599650197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10103795.289578566</v>
      </c>
      <c r="U69" s="1">
        <f t="shared" ca="1" si="72"/>
        <v>10032941.454919128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114">
        <f t="shared" ref="E70:F70" ca="1" si="80">E58</f>
        <v>37.33</v>
      </c>
      <c r="F70" s="114">
        <f t="shared" ca="1" si="80"/>
        <v>62.11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68"/>
        <v>-11221082.251499301</v>
      </c>
      <c r="N70" s="1">
        <f t="shared" ca="1" si="69"/>
        <v>339630.92675696034</v>
      </c>
      <c r="O70" s="1">
        <f t="shared" ca="1" si="70"/>
        <v>950332.8042026239</v>
      </c>
      <c r="P70" s="1">
        <f t="shared" si="71"/>
        <v>8731265.9612564705</v>
      </c>
      <c r="Q70" s="1">
        <f t="shared" si="74"/>
        <v>-615865.74721267004</v>
      </c>
      <c r="R70" s="1">
        <f t="shared" si="75"/>
        <v>0</v>
      </c>
      <c r="S70" s="1">
        <f t="shared" si="76"/>
        <v>0</v>
      </c>
      <c r="T70" s="1">
        <f t="shared" si="77"/>
        <v>10147893.324832644</v>
      </c>
      <c r="U70" s="1">
        <f t="shared" ca="1" si="72"/>
        <v>8332175.0183367291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114">
        <f t="shared" ref="E71:F71" ca="1" si="81">E59</f>
        <v>173.75</v>
      </c>
      <c r="F71" s="114">
        <f t="shared" ca="1" si="81"/>
        <v>11.59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68"/>
        <v>-11221082.251499301</v>
      </c>
      <c r="N71" s="1">
        <f t="shared" ca="1" si="69"/>
        <v>1580789.5398880756</v>
      </c>
      <c r="O71" s="1">
        <f t="shared" ca="1" si="70"/>
        <v>177336.29368392224</v>
      </c>
      <c r="P71" s="1">
        <f t="shared" si="71"/>
        <v>9022308.1599650197</v>
      </c>
      <c r="Q71" s="1">
        <f t="shared" si="74"/>
        <v>-615865.74721267004</v>
      </c>
      <c r="R71" s="1">
        <f t="shared" si="75"/>
        <v>0</v>
      </c>
      <c r="S71" s="1">
        <f t="shared" si="76"/>
        <v>0</v>
      </c>
      <c r="T71" s="1">
        <f t="shared" si="77"/>
        <v>10161256.36581873</v>
      </c>
      <c r="U71" s="1">
        <f t="shared" ca="1" si="72"/>
        <v>9104742.3606437743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114">
        <f t="shared" ref="E72:F72" ca="1" si="82">E60</f>
        <v>366.25</v>
      </c>
      <c r="F72" s="114">
        <f t="shared" ca="1" si="82"/>
        <v>1.6800000000000002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68"/>
        <v>-11221082.251499301</v>
      </c>
      <c r="N72" s="1">
        <f t="shared" ca="1" si="69"/>
        <v>3332167.8790446483</v>
      </c>
      <c r="O72" s="1">
        <f t="shared" ca="1" si="70"/>
        <v>25705.347143139723</v>
      </c>
      <c r="P72" s="1">
        <f t="shared" si="71"/>
        <v>8731265.9612564705</v>
      </c>
      <c r="Q72" s="1">
        <f t="shared" si="74"/>
        <v>-615865.74721267004</v>
      </c>
      <c r="R72" s="1">
        <f t="shared" si="75"/>
        <v>0</v>
      </c>
      <c r="S72" s="1">
        <f t="shared" si="76"/>
        <v>0</v>
      </c>
      <c r="T72" s="1">
        <f t="shared" si="77"/>
        <v>10167937.886311771</v>
      </c>
      <c r="U72" s="1">
        <f t="shared" ca="1" si="72"/>
        <v>10420129.075044058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114">
        <f t="shared" ref="E73:F73" ca="1" si="83">E61</f>
        <v>523.60000000000014</v>
      </c>
      <c r="F73" s="114">
        <f t="shared" ca="1" si="83"/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68"/>
        <v>-11221082.251499301</v>
      </c>
      <c r="N73" s="1">
        <f t="shared" ca="1" si="69"/>
        <v>4763749.0825058799</v>
      </c>
      <c r="O73" s="1">
        <f t="shared" ca="1" si="70"/>
        <v>0</v>
      </c>
      <c r="P73" s="1">
        <f t="shared" si="71"/>
        <v>9022308.1599650197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10174619.406804815</v>
      </c>
      <c r="U73" s="1">
        <f t="shared" ca="1" si="72"/>
        <v>12739594.397776414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114">
        <f t="shared" ref="E74:F74" ca="1" si="84">E62</f>
        <v>634.42999999999995</v>
      </c>
      <c r="F74" s="114">
        <f t="shared" ca="1" si="84"/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68"/>
        <v>-11221082.251499301</v>
      </c>
      <c r="N74" s="1">
        <f t="shared" ca="1" si="69"/>
        <v>5772088.1023953483</v>
      </c>
      <c r="O74" s="1">
        <f t="shared" ca="1" si="70"/>
        <v>0</v>
      </c>
      <c r="P74" s="1">
        <f t="shared" si="71"/>
        <v>9022308.1599650197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10261479.173214365</v>
      </c>
      <c r="U74" s="1">
        <f t="shared" ca="1" si="72"/>
        <v>13834793.184075432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114">
        <f t="shared" ref="E75:F75" ca="1" si="85">E63</f>
        <v>582</v>
      </c>
      <c r="F75" s="114">
        <f t="shared" ca="1" si="85"/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68"/>
        <v>-11221082.251499301</v>
      </c>
      <c r="N75" s="1">
        <f t="shared" ca="1" si="69"/>
        <v>5295076.3292941581</v>
      </c>
      <c r="O75" s="1">
        <f t="shared" ca="1" si="70"/>
        <v>0</v>
      </c>
      <c r="P75" s="1">
        <f t="shared" si="71"/>
        <v>8149181.5638393722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10185977.991642985</v>
      </c>
      <c r="U75" s="1">
        <f t="shared" ca="1" si="72"/>
        <v>12409153.633277215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114">
        <f t="shared" ref="E76:F76" ca="1" si="86">E64</f>
        <v>498.31000000000006</v>
      </c>
      <c r="F76" s="114">
        <f t="shared" ca="1" si="86"/>
        <v>0.67999999999999994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68"/>
        <v>-11221082.251499301</v>
      </c>
      <c r="N76" s="1">
        <f t="shared" ca="1" si="69"/>
        <v>4533658.9100525295</v>
      </c>
      <c r="O76" s="1">
        <f t="shared" ca="1" si="70"/>
        <v>10404.54527222322</v>
      </c>
      <c r="P76" s="1">
        <f t="shared" si="71"/>
        <v>9022308.1599650197</v>
      </c>
      <c r="Q76" s="1">
        <f t="shared" si="74"/>
        <v>-615865.74721267004</v>
      </c>
      <c r="R76" s="1">
        <f t="shared" si="75"/>
        <v>0</v>
      </c>
      <c r="S76" s="1">
        <f t="shared" si="76"/>
        <v>0</v>
      </c>
      <c r="T76" s="1">
        <f t="shared" si="77"/>
        <v>10272169.606003232</v>
      </c>
      <c r="U76" s="1">
        <f t="shared" ca="1" si="72"/>
        <v>12001593.222581035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114">
        <f t="shared" ref="E77:F77" ca="1" si="87">E65</f>
        <v>322.59999999999997</v>
      </c>
      <c r="F77" s="114">
        <f t="shared" ca="1" si="87"/>
        <v>0.78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68"/>
        <v>-11221082.251499301</v>
      </c>
      <c r="N77" s="1">
        <f t="shared" ca="1" si="69"/>
        <v>2935037.1543475864</v>
      </c>
      <c r="O77" s="1">
        <f t="shared" ca="1" si="70"/>
        <v>11934.625459314871</v>
      </c>
      <c r="P77" s="1">
        <f t="shared" si="71"/>
        <v>8731265.9612564705</v>
      </c>
      <c r="Q77" s="1">
        <f t="shared" si="74"/>
        <v>-615865.74721267004</v>
      </c>
      <c r="R77" s="1">
        <f t="shared" si="75"/>
        <v>0</v>
      </c>
      <c r="S77" s="1">
        <f t="shared" si="76"/>
        <v>0</v>
      </c>
      <c r="T77" s="1">
        <f t="shared" si="77"/>
        <v>10228739.722798457</v>
      </c>
      <c r="U77" s="1">
        <f t="shared" ca="1" si="72"/>
        <v>10070029.465149859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114">
        <f t="shared" ref="E78:F78" ca="1" si="88">E66</f>
        <v>139.78</v>
      </c>
      <c r="F78" s="114">
        <f t="shared" ca="1" si="88"/>
        <v>28.54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68"/>
        <v>-11221082.251499301</v>
      </c>
      <c r="N78" s="1">
        <f t="shared" ca="1" si="69"/>
        <v>1271728.1259600299</v>
      </c>
      <c r="O78" s="1">
        <f t="shared" ca="1" si="70"/>
        <v>436684.88539595692</v>
      </c>
      <c r="P78" s="1">
        <f t="shared" si="71"/>
        <v>9022308.1599650197</v>
      </c>
      <c r="Q78" s="1">
        <f t="shared" si="74"/>
        <v>-615865.74721267004</v>
      </c>
      <c r="R78" s="1">
        <f t="shared" si="75"/>
        <v>0</v>
      </c>
      <c r="S78" s="1">
        <f t="shared" si="76"/>
        <v>0</v>
      </c>
      <c r="T78" s="1">
        <f t="shared" si="77"/>
        <v>10272169.606003232</v>
      </c>
      <c r="U78" s="1">
        <f t="shared" ca="1" si="72"/>
        <v>9165942.7786122672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114">
        <f t="shared" ref="E79:F79" ca="1" si="89">E67</f>
        <v>29.85</v>
      </c>
      <c r="F79" s="114">
        <f t="shared" ca="1" si="89"/>
        <v>71.179999999999993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68"/>
        <v>-11221082.251499301</v>
      </c>
      <c r="N79" s="1">
        <f t="shared" ca="1" si="69"/>
        <v>271577.3684354478</v>
      </c>
      <c r="O79" s="1">
        <f t="shared" ca="1" si="70"/>
        <v>1089111.0771718365</v>
      </c>
      <c r="P79" s="1">
        <f t="shared" si="71"/>
        <v>8731265.9612564705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10261479.173214365</v>
      </c>
      <c r="U79" s="1">
        <f t="shared" ca="1" si="72"/>
        <v>9132351.3285788186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114">
        <f t="shared" ref="E80:F80" ca="1" si="90">E68</f>
        <v>1.36</v>
      </c>
      <c r="F80" s="114">
        <f t="shared" ca="1" si="90"/>
        <v>150.63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68"/>
        <v>-11221082.251499301</v>
      </c>
      <c r="N80" s="1">
        <f t="shared" ca="1" si="69"/>
        <v>12373.374240275009</v>
      </c>
      <c r="O80" s="1">
        <f t="shared" ca="1" si="70"/>
        <v>2304759.7858161526</v>
      </c>
      <c r="P80" s="1">
        <f t="shared" si="71"/>
        <v>9022308.1599650197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10302904.600271227</v>
      </c>
      <c r="U80" s="1">
        <f t="shared" ca="1" si="72"/>
        <v>10421263.668793375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114">
        <f t="shared" ref="E81:F81" ca="1" si="91">E69</f>
        <v>1.77</v>
      </c>
      <c r="F81" s="114">
        <f t="shared" ca="1" si="91"/>
        <v>138.02000000000001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68"/>
        <v>-11221082.251499301</v>
      </c>
      <c r="N81" s="1">
        <f t="shared" ca="1" si="69"/>
        <v>16103.582650946151</v>
      </c>
      <c r="O81" s="1">
        <f t="shared" ca="1" si="70"/>
        <v>2111816.6742238957</v>
      </c>
      <c r="P81" s="1">
        <f t="shared" si="71"/>
        <v>9022308.1599650197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10275510.366249753</v>
      </c>
      <c r="U81" s="1">
        <f t="shared" ca="1" si="72"/>
        <v>10204656.531590315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114">
        <f t="shared" ref="E82:F82" ca="1" si="92">E70</f>
        <v>37.33</v>
      </c>
      <c r="F82" s="114">
        <f t="shared" ca="1" si="92"/>
        <v>62.11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68"/>
        <v>-11221082.251499301</v>
      </c>
      <c r="N82" s="1">
        <f t="shared" ca="1" si="69"/>
        <v>339630.92675696034</v>
      </c>
      <c r="O82" s="1">
        <f t="shared" ca="1" si="70"/>
        <v>950332.8042026239</v>
      </c>
      <c r="P82" s="1">
        <f t="shared" si="71"/>
        <v>8731265.9612564705</v>
      </c>
      <c r="Q82" s="1">
        <f t="shared" si="74"/>
        <v>-615865.74721267004</v>
      </c>
      <c r="R82" s="1">
        <f t="shared" si="75"/>
        <v>0</v>
      </c>
      <c r="S82" s="1">
        <f t="shared" si="76"/>
        <v>0</v>
      </c>
      <c r="T82" s="1">
        <f t="shared" si="77"/>
        <v>10316935.793306615</v>
      </c>
      <c r="U82" s="1">
        <f t="shared" ca="1" si="72"/>
        <v>8501217.4868106991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114">
        <f t="shared" ref="E83:F83" ca="1" si="93">E71</f>
        <v>173.75</v>
      </c>
      <c r="F83" s="114">
        <f t="shared" ca="1" si="93"/>
        <v>11.59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68"/>
        <v>-11221082.251499301</v>
      </c>
      <c r="N83" s="1">
        <f t="shared" ca="1" si="69"/>
        <v>1580789.5398880756</v>
      </c>
      <c r="O83" s="1">
        <f t="shared" ca="1" si="70"/>
        <v>177336.29368392224</v>
      </c>
      <c r="P83" s="1">
        <f t="shared" si="71"/>
        <v>9022308.1599650197</v>
      </c>
      <c r="Q83" s="1">
        <f t="shared" si="74"/>
        <v>-615865.74721267004</v>
      </c>
      <c r="R83" s="1">
        <f t="shared" si="75"/>
        <v>0</v>
      </c>
      <c r="S83" s="1">
        <f t="shared" si="76"/>
        <v>0</v>
      </c>
      <c r="T83" s="1">
        <f t="shared" si="77"/>
        <v>10312258.728961486</v>
      </c>
      <c r="U83" s="1">
        <f t="shared" ca="1" si="72"/>
        <v>9255744.723786531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114">
        <f t="shared" ref="E84:F84" ca="1" si="94">E72</f>
        <v>366.25</v>
      </c>
      <c r="F84" s="114">
        <f t="shared" ca="1" si="94"/>
        <v>1.6800000000000002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68"/>
        <v>-11221082.251499301</v>
      </c>
      <c r="N84" s="1">
        <f t="shared" ca="1" si="69"/>
        <v>3332167.8790446483</v>
      </c>
      <c r="O84" s="1">
        <f t="shared" ca="1" si="70"/>
        <v>25705.347143139723</v>
      </c>
      <c r="P84" s="1">
        <f t="shared" si="71"/>
        <v>8731265.9612564705</v>
      </c>
      <c r="Q84" s="1">
        <f t="shared" si="74"/>
        <v>-615865.74721267004</v>
      </c>
      <c r="R84" s="1">
        <f t="shared" si="75"/>
        <v>0</v>
      </c>
      <c r="S84" s="1">
        <f t="shared" si="76"/>
        <v>0</v>
      </c>
      <c r="T84" s="1">
        <f t="shared" si="77"/>
        <v>10347670.78757461</v>
      </c>
      <c r="U84" s="1">
        <f t="shared" ca="1" si="72"/>
        <v>10599861.976306897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114">
        <f t="shared" ref="E85:F85" ca="1" si="95">E73</f>
        <v>523.60000000000014</v>
      </c>
      <c r="F85" s="114">
        <f t="shared" ca="1" si="95"/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68"/>
        <v>-11221082.251499301</v>
      </c>
      <c r="N85" s="1">
        <f t="shared" ca="1" si="69"/>
        <v>4763749.0825058799</v>
      </c>
      <c r="O85" s="1">
        <f t="shared" ca="1" si="70"/>
        <v>0</v>
      </c>
      <c r="P85" s="1">
        <f t="shared" si="71"/>
        <v>9022308.1599650197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10330298.834292701</v>
      </c>
      <c r="U85" s="1">
        <f t="shared" ca="1" si="72"/>
        <v>12895273.825264299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114">
        <f t="shared" ref="E86:F86" ca="1" si="96">E74</f>
        <v>634.42999999999995</v>
      </c>
      <c r="F86" s="114">
        <f t="shared" ca="1" si="96"/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68"/>
        <v>-11221082.251499301</v>
      </c>
      <c r="N86" s="1">
        <f t="shared" ca="1" si="69"/>
        <v>5772088.1023953483</v>
      </c>
      <c r="O86" s="1">
        <f t="shared" ca="1" si="70"/>
        <v>0</v>
      </c>
      <c r="P86" s="1">
        <f t="shared" si="71"/>
        <v>9022308.1599650197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10412815.612381773</v>
      </c>
      <c r="U86" s="1">
        <f t="shared" ca="1" si="72"/>
        <v>13986129.62324284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114">
        <f t="shared" ref="E87:F87" ca="1" si="97">E75</f>
        <v>582</v>
      </c>
      <c r="F87" s="114">
        <f t="shared" ca="1" si="97"/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68"/>
        <v>-11221082.251499301</v>
      </c>
      <c r="N87" s="1">
        <f t="shared" ca="1" si="69"/>
        <v>5295076.3292941581</v>
      </c>
      <c r="O87" s="1">
        <f t="shared" ca="1" si="70"/>
        <v>0</v>
      </c>
      <c r="P87" s="1">
        <f t="shared" si="71"/>
        <v>8149181.5638393722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10412815.612381773</v>
      </c>
      <c r="U87" s="1">
        <f t="shared" ca="1" si="72"/>
        <v>12635991.254016003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114">
        <f t="shared" ref="E88:F88" ca="1" si="98">E76</f>
        <v>498.31000000000006</v>
      </c>
      <c r="F88" s="114">
        <f t="shared" ca="1" si="98"/>
        <v>0.67999999999999994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68"/>
        <v>-11221082.251499301</v>
      </c>
      <c r="N88" s="1">
        <f t="shared" ca="1" si="69"/>
        <v>4533658.9100525295</v>
      </c>
      <c r="O88" s="1">
        <f t="shared" ca="1" si="70"/>
        <v>10404.54527222322</v>
      </c>
      <c r="P88" s="1">
        <f t="shared" si="71"/>
        <v>9022308.1599650197</v>
      </c>
      <c r="Q88" s="1">
        <f t="shared" si="74"/>
        <v>-615865.74721267004</v>
      </c>
      <c r="R88" s="1">
        <f t="shared" si="75"/>
        <v>0</v>
      </c>
      <c r="S88" s="1">
        <f t="shared" si="76"/>
        <v>0</v>
      </c>
      <c r="T88" s="1">
        <f t="shared" si="77"/>
        <v>10404463.71176547</v>
      </c>
      <c r="U88" s="1">
        <f t="shared" ca="1" si="72"/>
        <v>12133887.328343272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114">
        <f t="shared" ref="E89:F89" ca="1" si="99">E77</f>
        <v>322.59999999999997</v>
      </c>
      <c r="F89" s="114">
        <f t="shared" ca="1" si="99"/>
        <v>0.78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68"/>
        <v>-11221082.251499301</v>
      </c>
      <c r="N89" s="1">
        <f t="shared" ca="1" si="69"/>
        <v>2935037.1543475864</v>
      </c>
      <c r="O89" s="1">
        <f t="shared" ca="1" si="70"/>
        <v>11934.625459314871</v>
      </c>
      <c r="P89" s="1">
        <f t="shared" si="71"/>
        <v>8731265.9612564705</v>
      </c>
      <c r="Q89" s="1">
        <f t="shared" si="74"/>
        <v>-615865.74721267004</v>
      </c>
      <c r="R89" s="1">
        <f t="shared" si="75"/>
        <v>0</v>
      </c>
      <c r="S89" s="1">
        <f t="shared" si="76"/>
        <v>0</v>
      </c>
      <c r="T89" s="1">
        <f t="shared" si="77"/>
        <v>10437871.31423068</v>
      </c>
      <c r="U89" s="1">
        <f t="shared" ca="1" si="72"/>
        <v>10279161.056582082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114">
        <f t="shared" ref="E90:F90" ca="1" si="100">E78</f>
        <v>139.78</v>
      </c>
      <c r="F90" s="114">
        <f t="shared" ca="1" si="100"/>
        <v>28.54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68"/>
        <v>-11221082.251499301</v>
      </c>
      <c r="N90" s="1">
        <f t="shared" ca="1" si="69"/>
        <v>1271728.1259600299</v>
      </c>
      <c r="O90" s="1">
        <f t="shared" ca="1" si="70"/>
        <v>436684.88539595692</v>
      </c>
      <c r="P90" s="1">
        <f t="shared" si="71"/>
        <v>9022308.1599650197</v>
      </c>
      <c r="Q90" s="1">
        <f t="shared" si="74"/>
        <v>-615865.74721267004</v>
      </c>
      <c r="R90" s="1">
        <f t="shared" si="75"/>
        <v>0</v>
      </c>
      <c r="S90" s="1">
        <f t="shared" si="76"/>
        <v>0</v>
      </c>
      <c r="T90" s="1">
        <f t="shared" si="77"/>
        <v>10481301.197435455</v>
      </c>
      <c r="U90" s="1">
        <f t="shared" ca="1" si="72"/>
        <v>9375074.3700444903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114">
        <f t="shared" ref="E91:F91" ca="1" si="101">E79</f>
        <v>29.85</v>
      </c>
      <c r="F91" s="114">
        <f t="shared" ca="1" si="101"/>
        <v>71.179999999999993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68"/>
        <v>-11221082.251499301</v>
      </c>
      <c r="N91" s="1">
        <f t="shared" ca="1" si="69"/>
        <v>271577.3684354478</v>
      </c>
      <c r="O91" s="1">
        <f t="shared" ca="1" si="70"/>
        <v>1089111.0771718365</v>
      </c>
      <c r="P91" s="1">
        <f t="shared" si="71"/>
        <v>8731265.9612564705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10508695.431456929</v>
      </c>
      <c r="U91" s="1">
        <f t="shared" ca="1" si="72"/>
        <v>9379567.5868213829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114">
        <f t="shared" ref="E92:F92" ca="1" si="102">E80</f>
        <v>1.36</v>
      </c>
      <c r="F92" s="114">
        <f t="shared" ca="1" si="102"/>
        <v>150.63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68"/>
        <v>-11221082.251499301</v>
      </c>
      <c r="N92" s="1">
        <f t="shared" ca="1" si="69"/>
        <v>12373.374240275009</v>
      </c>
      <c r="O92" s="1">
        <f t="shared" ca="1" si="70"/>
        <v>2304759.7858161526</v>
      </c>
      <c r="P92" s="1">
        <f t="shared" si="71"/>
        <v>9022308.1599650197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10522726.624492317</v>
      </c>
      <c r="U92" s="1">
        <f t="shared" ca="1" si="72"/>
        <v>10641085.693014465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114">
        <f t="shared" ref="E93:F93" ca="1" si="103">E81</f>
        <v>1.77</v>
      </c>
      <c r="F93" s="114">
        <f t="shared" ca="1" si="103"/>
        <v>138.02000000000001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68"/>
        <v>-11221082.251499301</v>
      </c>
      <c r="N93" s="1">
        <f t="shared" ca="1" si="69"/>
        <v>16103.582650946151</v>
      </c>
      <c r="O93" s="1">
        <f t="shared" ca="1" si="70"/>
        <v>2111816.6742238957</v>
      </c>
      <c r="P93" s="1">
        <f t="shared" si="71"/>
        <v>9022308.1599650197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10511368.039654147</v>
      </c>
      <c r="U93" s="1">
        <f t="shared" ca="1" si="72"/>
        <v>10440514.204994708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114">
        <f t="shared" ref="E94:F94" ca="1" si="104">E82</f>
        <v>37.33</v>
      </c>
      <c r="F94" s="114">
        <f t="shared" ca="1" si="104"/>
        <v>62.11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68"/>
        <v>-11221082.251499301</v>
      </c>
      <c r="N94" s="1">
        <f t="shared" ca="1" si="69"/>
        <v>339630.92675696034</v>
      </c>
      <c r="O94" s="1">
        <f t="shared" ca="1" si="70"/>
        <v>950332.8042026239</v>
      </c>
      <c r="P94" s="1">
        <f t="shared" si="71"/>
        <v>8731265.9612564705</v>
      </c>
      <c r="Q94" s="1">
        <f t="shared" si="74"/>
        <v>-615865.74721267004</v>
      </c>
      <c r="R94" s="1">
        <f t="shared" si="75"/>
        <v>0</v>
      </c>
      <c r="S94" s="1">
        <f t="shared" si="76"/>
        <v>0</v>
      </c>
      <c r="T94" s="1">
        <f t="shared" si="77"/>
        <v>10561479.443351964</v>
      </c>
      <c r="U94" s="1">
        <f t="shared" ca="1" si="72"/>
        <v>8745761.1368560474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114">
        <f t="shared" ref="E95:F95" ca="1" si="105">E83</f>
        <v>173.75</v>
      </c>
      <c r="F95" s="114">
        <f t="shared" ca="1" si="105"/>
        <v>11.59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68"/>
        <v>-11221082.251499301</v>
      </c>
      <c r="N95" s="1">
        <f t="shared" ca="1" si="69"/>
        <v>1580789.5398880756</v>
      </c>
      <c r="O95" s="1">
        <f t="shared" ca="1" si="70"/>
        <v>177336.29368392224</v>
      </c>
      <c r="P95" s="1">
        <f t="shared" si="71"/>
        <v>9022308.1599650197</v>
      </c>
      <c r="Q95" s="1">
        <f t="shared" si="74"/>
        <v>-615865.74721267004</v>
      </c>
      <c r="R95" s="1">
        <f t="shared" si="75"/>
        <v>0</v>
      </c>
      <c r="S95" s="1">
        <f t="shared" si="76"/>
        <v>0</v>
      </c>
      <c r="T95" s="1">
        <f t="shared" si="77"/>
        <v>10564152.051549179</v>
      </c>
      <c r="U95" s="1">
        <f t="shared" ca="1" si="72"/>
        <v>9507638.0463742241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114">
        <f t="shared" ref="E96:F96" ca="1" si="106">E84</f>
        <v>366.25</v>
      </c>
      <c r="F96" s="114">
        <f t="shared" ca="1" si="106"/>
        <v>1.6800000000000002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68"/>
        <v>-11221082.251499301</v>
      </c>
      <c r="N96" s="1">
        <f t="shared" ca="1" si="69"/>
        <v>3332167.8790446483</v>
      </c>
      <c r="O96" s="1">
        <f t="shared" ca="1" si="70"/>
        <v>25705.347143139723</v>
      </c>
      <c r="P96" s="1">
        <f t="shared" si="71"/>
        <v>8731265.9612564705</v>
      </c>
      <c r="Q96" s="1">
        <f t="shared" si="74"/>
        <v>-615865.74721267004</v>
      </c>
      <c r="R96" s="1">
        <f t="shared" si="75"/>
        <v>0</v>
      </c>
      <c r="S96" s="1">
        <f t="shared" si="76"/>
        <v>0</v>
      </c>
      <c r="T96" s="1">
        <f t="shared" si="77"/>
        <v>10596223.349915784</v>
      </c>
      <c r="U96" s="1">
        <f t="shared" ca="1" si="72"/>
        <v>10848414.538648071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114">
        <f t="shared" ref="E97:F97" ca="1" si="107">E85</f>
        <v>523.60000000000014</v>
      </c>
      <c r="F97" s="114">
        <f t="shared" ca="1" si="107"/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68"/>
        <v>-11221082.251499301</v>
      </c>
      <c r="N97" s="1">
        <f t="shared" ca="1" si="69"/>
        <v>4763749.0825058799</v>
      </c>
      <c r="O97" s="1">
        <f t="shared" ca="1" si="70"/>
        <v>0</v>
      </c>
      <c r="P97" s="1">
        <f t="shared" si="71"/>
        <v>9022308.1599650197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10638316.929021951</v>
      </c>
      <c r="U97" s="1">
        <f t="shared" ca="1" si="72"/>
        <v>13203291.91999355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114">
        <f t="shared" ref="E98:F98" ca="1" si="108">E86</f>
        <v>634.42999999999995</v>
      </c>
      <c r="F98" s="114">
        <f t="shared" ca="1" si="108"/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29" si="109">$Z$8</f>
        <v>-11221082.251499301</v>
      </c>
      <c r="N98" s="1">
        <f t="shared" ref="N98:N129" ca="1" si="110">E98*$Z$9</f>
        <v>5772088.1023953483</v>
      </c>
      <c r="O98" s="1">
        <f t="shared" ref="O98:O129" ca="1" si="111">F98*$Z$10</f>
        <v>0</v>
      </c>
      <c r="P98" s="1">
        <f t="shared" ref="P98:P129" si="112">G98*$Z$11</f>
        <v>9022308.1599650197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10696446.157311417</v>
      </c>
      <c r="U98" s="1">
        <f t="shared" ref="U98:U129" ca="1" si="113">SUM(M98:T98)</f>
        <v>14269760.168172484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114">
        <f t="shared" ref="E99:F99" ca="1" si="114">E87</f>
        <v>582</v>
      </c>
      <c r="F99" s="114">
        <f t="shared" ca="1" si="114"/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109"/>
        <v>-11221082.251499301</v>
      </c>
      <c r="N99" s="1">
        <f t="shared" ca="1" si="110"/>
        <v>5295076.3292941581</v>
      </c>
      <c r="O99" s="1">
        <f t="shared" ca="1" si="111"/>
        <v>0</v>
      </c>
      <c r="P99" s="1">
        <f t="shared" si="112"/>
        <v>8440223.7625479214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10705800.286001677</v>
      </c>
      <c r="U99" s="1">
        <f t="shared" ca="1" si="113"/>
        <v>13220018.126344455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114">
        <f t="shared" ref="E100:F100" ca="1" si="115">E88</f>
        <v>498.31000000000006</v>
      </c>
      <c r="F100" s="114">
        <f t="shared" ca="1" si="115"/>
        <v>0.67999999999999994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109"/>
        <v>-11221082.251499301</v>
      </c>
      <c r="N100" s="1">
        <f t="shared" ca="1" si="110"/>
        <v>4533658.9100525295</v>
      </c>
      <c r="O100" s="1">
        <f t="shared" ca="1" si="111"/>
        <v>10404.54527222322</v>
      </c>
      <c r="P100" s="1">
        <f t="shared" si="112"/>
        <v>9022308.1599650197</v>
      </c>
      <c r="Q100" s="1">
        <f t="shared" si="74"/>
        <v>-615865.74721267004</v>
      </c>
      <c r="R100" s="1">
        <f t="shared" si="75"/>
        <v>603472.08796948637</v>
      </c>
      <c r="S100" s="1">
        <f t="shared" si="76"/>
        <v>0</v>
      </c>
      <c r="T100" s="1">
        <f t="shared" si="77"/>
        <v>10710477.350346807</v>
      </c>
      <c r="U100" s="1">
        <f t="shared" ca="1" si="113"/>
        <v>13043373.054894095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114">
        <f t="shared" ref="E101:F101" ca="1" si="116">E89</f>
        <v>322.59999999999997</v>
      </c>
      <c r="F101" s="114">
        <f t="shared" ca="1" si="116"/>
        <v>0.78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109"/>
        <v>-11221082.251499301</v>
      </c>
      <c r="N101" s="1">
        <f t="shared" ca="1" si="110"/>
        <v>2935037.1543475864</v>
      </c>
      <c r="O101" s="1">
        <f t="shared" ca="1" si="111"/>
        <v>11934.625459314871</v>
      </c>
      <c r="P101" s="1">
        <f t="shared" si="112"/>
        <v>8731265.9612564705</v>
      </c>
      <c r="Q101" s="1">
        <f t="shared" si="74"/>
        <v>-615865.74721267004</v>
      </c>
      <c r="R101" s="1">
        <f t="shared" si="75"/>
        <v>481810.06599025719</v>
      </c>
      <c r="S101" s="1">
        <f t="shared" si="76"/>
        <v>0</v>
      </c>
      <c r="T101" s="1">
        <f t="shared" si="77"/>
        <v>10781969.619622359</v>
      </c>
      <c r="U101" s="1">
        <f t="shared" ca="1" si="113"/>
        <v>11105069.427964017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114">
        <f t="shared" ref="E102:F102" ca="1" si="117">E90</f>
        <v>139.78</v>
      </c>
      <c r="F102" s="114">
        <f t="shared" ca="1" si="117"/>
        <v>28.54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109"/>
        <v>-11221082.251499301</v>
      </c>
      <c r="N102" s="1">
        <f t="shared" ca="1" si="110"/>
        <v>1271728.1259600299</v>
      </c>
      <c r="O102" s="1">
        <f t="shared" ca="1" si="111"/>
        <v>436684.88539595692</v>
      </c>
      <c r="P102" s="1">
        <f t="shared" si="112"/>
        <v>9022308.1599650197</v>
      </c>
      <c r="Q102" s="1">
        <f t="shared" si="74"/>
        <v>-615865.74721267004</v>
      </c>
      <c r="R102" s="1">
        <f t="shared" si="75"/>
        <v>282170.51413428236</v>
      </c>
      <c r="S102" s="1">
        <f t="shared" si="76"/>
        <v>263022.33095212188</v>
      </c>
      <c r="T102" s="1">
        <f t="shared" si="77"/>
        <v>10757247.993798103</v>
      </c>
      <c r="U102" s="1">
        <f t="shared" ca="1" si="113"/>
        <v>10196214.011493543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114">
        <f t="shared" ref="E103:F103" ca="1" si="118">E91</f>
        <v>29.85</v>
      </c>
      <c r="F103" s="114">
        <f t="shared" ca="1" si="118"/>
        <v>71.179999999999993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109"/>
        <v>-11221082.251499301</v>
      </c>
      <c r="N103" s="1">
        <f t="shared" ca="1" si="110"/>
        <v>271577.3684354478</v>
      </c>
      <c r="O103" s="1">
        <f t="shared" ca="1" si="111"/>
        <v>1089111.0771718365</v>
      </c>
      <c r="P103" s="1">
        <f t="shared" si="112"/>
        <v>8731265.9612564705</v>
      </c>
      <c r="Q103" s="1">
        <f t="shared" si="74"/>
        <v>0</v>
      </c>
      <c r="R103" s="1">
        <f t="shared" si="75"/>
        <v>42261.544476995383</v>
      </c>
      <c r="S103" s="1">
        <f t="shared" si="76"/>
        <v>727233.67294832284</v>
      </c>
      <c r="T103" s="1">
        <f t="shared" si="77"/>
        <v>10797337.116756357</v>
      </c>
      <c r="U103" s="1">
        <f t="shared" ca="1" si="113"/>
        <v>10437704.489546129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114">
        <f t="shared" ref="E104:F104" ca="1" si="119">E92</f>
        <v>1.36</v>
      </c>
      <c r="F104" s="114">
        <f t="shared" ca="1" si="119"/>
        <v>150.63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109"/>
        <v>-11221082.251499301</v>
      </c>
      <c r="N104" s="1">
        <f t="shared" ca="1" si="110"/>
        <v>12373.374240275009</v>
      </c>
      <c r="O104" s="1">
        <f t="shared" ca="1" si="111"/>
        <v>2304759.7858161526</v>
      </c>
      <c r="P104" s="1">
        <f t="shared" si="112"/>
        <v>9022308.1599650197</v>
      </c>
      <c r="Q104" s="1">
        <f t="shared" si="74"/>
        <v>0</v>
      </c>
      <c r="R104" s="1">
        <f t="shared" si="75"/>
        <v>0</v>
      </c>
      <c r="S104" s="1">
        <f t="shared" si="76"/>
        <v>1858691.1387283278</v>
      </c>
      <c r="T104" s="1">
        <f t="shared" si="77"/>
        <v>10833417.327418786</v>
      </c>
      <c r="U104" s="1">
        <f t="shared" ca="1" si="113"/>
        <v>12810467.534669261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114">
        <f t="shared" ref="E105:F105" ca="1" si="120">E93</f>
        <v>1.77</v>
      </c>
      <c r="F105" s="114">
        <f t="shared" ca="1" si="120"/>
        <v>138.02000000000001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109"/>
        <v>-11221082.251499301</v>
      </c>
      <c r="N105" s="1">
        <f t="shared" ca="1" si="110"/>
        <v>16103.582650946151</v>
      </c>
      <c r="O105" s="1">
        <f t="shared" ca="1" si="111"/>
        <v>2111816.6742238957</v>
      </c>
      <c r="P105" s="1">
        <f t="shared" si="112"/>
        <v>9022308.1599650197</v>
      </c>
      <c r="Q105" s="1">
        <f t="shared" si="74"/>
        <v>0</v>
      </c>
      <c r="R105" s="1">
        <f t="shared" si="75"/>
        <v>996.06333784164201</v>
      </c>
      <c r="S105" s="1">
        <f t="shared" si="76"/>
        <v>1273581.813031327</v>
      </c>
      <c r="T105" s="1">
        <f t="shared" si="77"/>
        <v>10836089.935616001</v>
      </c>
      <c r="U105" s="1">
        <f t="shared" ca="1" si="113"/>
        <v>12039813.977325732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114">
        <f t="shared" ref="E106:F106" ca="1" si="121">E94</f>
        <v>37.33</v>
      </c>
      <c r="F106" s="114">
        <f t="shared" ca="1" si="121"/>
        <v>62.11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109"/>
        <v>-11221082.251499301</v>
      </c>
      <c r="N106" s="1">
        <f t="shared" ca="1" si="110"/>
        <v>339630.92675696034</v>
      </c>
      <c r="O106" s="1">
        <f t="shared" ca="1" si="111"/>
        <v>950332.8042026239</v>
      </c>
      <c r="P106" s="1">
        <f t="shared" si="112"/>
        <v>8731265.9612564705</v>
      </c>
      <c r="Q106" s="1">
        <f t="shared" si="74"/>
        <v>-615865.74721267004</v>
      </c>
      <c r="R106" s="1">
        <f t="shared" si="75"/>
        <v>67163.127923036445</v>
      </c>
      <c r="S106" s="1">
        <f t="shared" si="76"/>
        <v>420835.72952339501</v>
      </c>
      <c r="T106" s="1">
        <f t="shared" si="77"/>
        <v>10837426.239714611</v>
      </c>
      <c r="U106" s="1">
        <f t="shared" ca="1" si="113"/>
        <v>9509706.7906651273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114">
        <f t="shared" ref="E107:F107" ca="1" si="122">E95</f>
        <v>173.75</v>
      </c>
      <c r="F107" s="114">
        <f t="shared" ca="1" si="122"/>
        <v>11.59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109"/>
        <v>-11221082.251499301</v>
      </c>
      <c r="N107" s="1">
        <f t="shared" ca="1" si="110"/>
        <v>1580789.5398880756</v>
      </c>
      <c r="O107" s="1">
        <f t="shared" ca="1" si="111"/>
        <v>177336.29368392224</v>
      </c>
      <c r="P107" s="1">
        <f t="shared" si="112"/>
        <v>9022308.1599650197</v>
      </c>
      <c r="Q107" s="1">
        <f t="shared" si="74"/>
        <v>-615865.74721267004</v>
      </c>
      <c r="R107" s="1">
        <f t="shared" si="75"/>
        <v>310344.87711894588</v>
      </c>
      <c r="S107" s="1">
        <f t="shared" si="76"/>
        <v>1845.7707435236623</v>
      </c>
      <c r="T107" s="1">
        <f t="shared" si="77"/>
        <v>10882860.579067297</v>
      </c>
      <c r="U107" s="1">
        <f t="shared" ca="1" si="113"/>
        <v>10138537.221754812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114">
        <f t="shared" ref="E108:F108" ca="1" si="123">E96</f>
        <v>366.25</v>
      </c>
      <c r="F108" s="114">
        <f t="shared" ca="1" si="123"/>
        <v>1.6800000000000002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109"/>
        <v>-11221082.251499301</v>
      </c>
      <c r="N108" s="1">
        <f t="shared" ca="1" si="110"/>
        <v>3332167.8790446483</v>
      </c>
      <c r="O108" s="1">
        <f t="shared" ca="1" si="111"/>
        <v>25705.347143139723</v>
      </c>
      <c r="P108" s="1">
        <f t="shared" si="112"/>
        <v>8731265.9612564705</v>
      </c>
      <c r="Q108" s="1">
        <f t="shared" si="74"/>
        <v>-615865.74721267004</v>
      </c>
      <c r="R108" s="1">
        <f t="shared" si="75"/>
        <v>369824.0878643468</v>
      </c>
      <c r="S108" s="1">
        <f t="shared" si="76"/>
        <v>121820.86907256169</v>
      </c>
      <c r="T108" s="1">
        <f t="shared" si="77"/>
        <v>10818049.830284787</v>
      </c>
      <c r="U108" s="1">
        <f t="shared" ca="1" si="113"/>
        <v>11561885.975953983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114">
        <f t="shared" ref="E109:F109" ca="1" si="124">E97</f>
        <v>523.60000000000014</v>
      </c>
      <c r="F109" s="114">
        <f t="shared" ca="1" si="124"/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109"/>
        <v>-11221082.251499301</v>
      </c>
      <c r="N109" s="1">
        <f t="shared" ca="1" si="110"/>
        <v>4763749.0825058799</v>
      </c>
      <c r="O109" s="1">
        <f t="shared" ca="1" si="111"/>
        <v>0</v>
      </c>
      <c r="P109" s="1">
        <f t="shared" si="112"/>
        <v>9022308.1599650197</v>
      </c>
      <c r="Q109" s="1">
        <f t="shared" si="74"/>
        <v>0</v>
      </c>
      <c r="R109" s="1">
        <f t="shared" si="75"/>
        <v>720865.2670722513</v>
      </c>
      <c r="S109" s="1">
        <f t="shared" si="76"/>
        <v>0</v>
      </c>
      <c r="T109" s="1">
        <f t="shared" si="77"/>
        <v>10944330.567603286</v>
      </c>
      <c r="U109" s="1">
        <f t="shared" ca="1" si="113"/>
        <v>14230170.825647136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14524095.635801345</v>
      </c>
      <c r="E110" s="114">
        <f t="shared" ref="E110:F110" ca="1" si="125">E98</f>
        <v>634.42999999999995</v>
      </c>
      <c r="F110" s="114">
        <f t="shared" ca="1" si="125"/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109"/>
        <v>-11221082.251499301</v>
      </c>
      <c r="N110" s="1">
        <f t="shared" ca="1" si="110"/>
        <v>5772088.1023953483</v>
      </c>
      <c r="O110" s="1">
        <f t="shared" ca="1" si="111"/>
        <v>0</v>
      </c>
      <c r="P110" s="1">
        <f t="shared" si="112"/>
        <v>9022308.1599650197</v>
      </c>
      <c r="Q110" s="1">
        <f t="shared" si="74"/>
        <v>0</v>
      </c>
      <c r="R110" s="1">
        <f t="shared" si="75"/>
        <v>817768.00036798825</v>
      </c>
      <c r="S110" s="1">
        <f t="shared" si="76"/>
        <v>0</v>
      </c>
      <c r="T110" s="1">
        <f t="shared" si="77"/>
        <v>10916268.18153251</v>
      </c>
      <c r="U110" s="1">
        <f t="shared" ca="1" si="113"/>
        <v>15307350.192761565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13849745.484556837</v>
      </c>
      <c r="E111" s="114">
        <f t="shared" ref="E111:F111" ca="1" si="126">E99</f>
        <v>582</v>
      </c>
      <c r="F111" s="114">
        <f t="shared" ca="1" si="126"/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109"/>
        <v>-11221082.251499301</v>
      </c>
      <c r="N111" s="1">
        <f t="shared" ca="1" si="110"/>
        <v>5295076.3292941581</v>
      </c>
      <c r="O111" s="1">
        <f t="shared" ca="1" si="111"/>
        <v>0</v>
      </c>
      <c r="P111" s="1">
        <f t="shared" si="112"/>
        <v>8149181.5638393722</v>
      </c>
      <c r="Q111" s="1">
        <f t="shared" si="74"/>
        <v>0</v>
      </c>
      <c r="R111" s="1">
        <f t="shared" si="75"/>
        <v>830432.23423483188</v>
      </c>
      <c r="S111" s="1">
        <f t="shared" si="76"/>
        <v>0</v>
      </c>
      <c r="T111" s="1">
        <f t="shared" si="77"/>
        <v>10916936.333581815</v>
      </c>
      <c r="U111" s="1">
        <f t="shared" ca="1" si="113"/>
        <v>13970544.209450876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12805369.024491576</v>
      </c>
      <c r="E112" s="114">
        <f t="shared" ref="E112:F112" ca="1" si="127">E100</f>
        <v>498.31000000000006</v>
      </c>
      <c r="F112" s="114">
        <f t="shared" ca="1" si="127"/>
        <v>0.67999999999999994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109"/>
        <v>-11221082.251499301</v>
      </c>
      <c r="N112" s="1">
        <f t="shared" ca="1" si="110"/>
        <v>4533658.9100525295</v>
      </c>
      <c r="O112" s="1">
        <f t="shared" ca="1" si="111"/>
        <v>10404.54527222322</v>
      </c>
      <c r="P112" s="1">
        <f t="shared" si="112"/>
        <v>9022308.1599650197</v>
      </c>
      <c r="Q112" s="1">
        <f t="shared" si="74"/>
        <v>-615865.74721267004</v>
      </c>
      <c r="R112" s="1">
        <f t="shared" si="75"/>
        <v>567613.8078071872</v>
      </c>
      <c r="S112" s="1">
        <f t="shared" si="76"/>
        <v>0</v>
      </c>
      <c r="T112" s="1">
        <f t="shared" si="77"/>
        <v>10944330.567603286</v>
      </c>
      <c r="U112" s="1">
        <f t="shared" ca="1" si="113"/>
        <v>13241367.991988275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10679161.531817298</v>
      </c>
      <c r="E113" s="114">
        <f t="shared" ref="E113:F113" ca="1" si="128">E101</f>
        <v>322.59999999999997</v>
      </c>
      <c r="F113" s="114">
        <f t="shared" ca="1" si="128"/>
        <v>0.78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109"/>
        <v>-11221082.251499301</v>
      </c>
      <c r="N113" s="1">
        <f t="shared" ca="1" si="110"/>
        <v>2935037.1543475864</v>
      </c>
      <c r="O113" s="1">
        <f t="shared" ca="1" si="111"/>
        <v>11934.625459314871</v>
      </c>
      <c r="P113" s="1">
        <f t="shared" si="112"/>
        <v>8731265.9612564705</v>
      </c>
      <c r="Q113" s="1">
        <f t="shared" si="74"/>
        <v>-615865.74721267004</v>
      </c>
      <c r="R113" s="1">
        <f t="shared" si="75"/>
        <v>367974.25595121237</v>
      </c>
      <c r="S113" s="1">
        <f t="shared" si="76"/>
        <v>35069.644126949577</v>
      </c>
      <c r="T113" s="1">
        <f t="shared" si="77"/>
        <v>10939653.503258158</v>
      </c>
      <c r="U113" s="1">
        <f t="shared" ca="1" si="113"/>
        <v>11183987.145687722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10212278.807612965</v>
      </c>
      <c r="E114" s="114">
        <f t="shared" ref="E114:F114" ca="1" si="129">E102</f>
        <v>139.78</v>
      </c>
      <c r="F114" s="114">
        <f t="shared" ca="1" si="129"/>
        <v>28.54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109"/>
        <v>-11221082.251499301</v>
      </c>
      <c r="N114" s="1">
        <f t="shared" ca="1" si="110"/>
        <v>1271728.1259600299</v>
      </c>
      <c r="O114" s="1">
        <f t="shared" ca="1" si="111"/>
        <v>436684.88539595692</v>
      </c>
      <c r="P114" s="1">
        <f t="shared" si="112"/>
        <v>9022308.1599650197</v>
      </c>
      <c r="Q114" s="1">
        <f t="shared" si="74"/>
        <v>-615865.74721267004</v>
      </c>
      <c r="R114" s="1">
        <f t="shared" si="75"/>
        <v>219418.52385025885</v>
      </c>
      <c r="S114" s="1">
        <f t="shared" si="76"/>
        <v>241795.96740159974</v>
      </c>
      <c r="T114" s="1">
        <f t="shared" si="77"/>
        <v>10884865.03521521</v>
      </c>
      <c r="U114" s="1">
        <f t="shared" ca="1" si="113"/>
        <v>10239852.699076105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Dataset!F115</f>
        <v>11266749.346399665</v>
      </c>
      <c r="E115" s="114">
        <f t="shared" ref="E115:F115" ca="1" si="130">E103</f>
        <v>29.85</v>
      </c>
      <c r="F115" s="114">
        <f t="shared" ca="1" si="130"/>
        <v>71.179999999999993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109"/>
        <v>-11221082.251499301</v>
      </c>
      <c r="N115" s="1">
        <f t="shared" ca="1" si="110"/>
        <v>271577.3684354478</v>
      </c>
      <c r="O115" s="1">
        <f t="shared" ca="1" si="111"/>
        <v>1089111.0771718365</v>
      </c>
      <c r="P115" s="1">
        <f t="shared" si="112"/>
        <v>8731265.9612564705</v>
      </c>
      <c r="Q115" s="1">
        <f t="shared" si="74"/>
        <v>0</v>
      </c>
      <c r="R115" s="1">
        <f t="shared" si="75"/>
        <v>10387.517666062839</v>
      </c>
      <c r="S115" s="1">
        <f t="shared" si="76"/>
        <v>1177601.7343680963</v>
      </c>
      <c r="T115" s="1">
        <f t="shared" si="77"/>
        <v>11027849.573766315</v>
      </c>
      <c r="U115" s="1">
        <f t="shared" ca="1" si="113"/>
        <v>11086710.981164929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Dataset!F116</f>
        <v>11642967.889542187</v>
      </c>
      <c r="E116" s="114">
        <f t="shared" ref="E116:F116" ca="1" si="131">E104</f>
        <v>1.36</v>
      </c>
      <c r="F116" s="114">
        <f t="shared" ca="1" si="131"/>
        <v>150.63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109"/>
        <v>-11221082.251499301</v>
      </c>
      <c r="N116" s="1">
        <f t="shared" ca="1" si="110"/>
        <v>12373.374240275009</v>
      </c>
      <c r="O116" s="1">
        <f t="shared" ca="1" si="111"/>
        <v>2304759.7858161526</v>
      </c>
      <c r="P116" s="1">
        <f t="shared" si="112"/>
        <v>9022308.1599650197</v>
      </c>
      <c r="Q116" s="1">
        <f t="shared" si="74"/>
        <v>0</v>
      </c>
      <c r="R116" s="1">
        <f t="shared" si="75"/>
        <v>3272.779538622538</v>
      </c>
      <c r="S116" s="1">
        <f t="shared" si="76"/>
        <v>1045629.1262061546</v>
      </c>
      <c r="T116" s="1">
        <f t="shared" si="77"/>
        <v>10989764.906955974</v>
      </c>
      <c r="U116" s="1">
        <f t="shared" ca="1" si="113"/>
        <v>12157025.8812229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Dataset!F117</f>
        <v>13389517.587223908</v>
      </c>
      <c r="E117" s="114">
        <f t="shared" ref="E117:F118" ca="1" si="132">E105</f>
        <v>1.77</v>
      </c>
      <c r="F117" s="114">
        <f t="shared" ca="1" si="132"/>
        <v>138.02000000000001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L117" s="38"/>
      <c r="M117" s="8">
        <f t="shared" si="109"/>
        <v>-11221082.251499301</v>
      </c>
      <c r="N117" s="1">
        <f t="shared" ca="1" si="110"/>
        <v>16103.582650946151</v>
      </c>
      <c r="O117" s="1">
        <f t="shared" ca="1" si="111"/>
        <v>2111816.6742238957</v>
      </c>
      <c r="P117" s="1">
        <f t="shared" si="112"/>
        <v>9022308.1599650197</v>
      </c>
      <c r="Q117" s="1">
        <f t="shared" si="74"/>
        <v>0</v>
      </c>
      <c r="R117" s="1">
        <f t="shared" si="75"/>
        <v>284.58952509761201</v>
      </c>
      <c r="S117" s="1">
        <f t="shared" si="76"/>
        <v>1752559.3209757174</v>
      </c>
      <c r="T117" s="1">
        <f t="shared" si="77"/>
        <v>10985755.99466015</v>
      </c>
      <c r="U117" s="1">
        <f t="shared" ca="1" si="113"/>
        <v>12667746.070501527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Dataset!F118</f>
        <v>9628321.4779526275</v>
      </c>
      <c r="E118" s="114">
        <f t="shared" ca="1" si="132"/>
        <v>37.33</v>
      </c>
      <c r="F118" s="114">
        <f t="shared" ca="1" si="132"/>
        <v>62.11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L118" s="38"/>
      <c r="M118" s="8">
        <f t="shared" si="109"/>
        <v>-11221082.251499301</v>
      </c>
      <c r="N118" s="1">
        <f t="shared" ca="1" si="110"/>
        <v>339630.92675696034</v>
      </c>
      <c r="O118" s="1">
        <f t="shared" ca="1" si="111"/>
        <v>950332.8042026239</v>
      </c>
      <c r="P118" s="1">
        <f t="shared" si="112"/>
        <v>8731265.9612564705</v>
      </c>
      <c r="Q118" s="1">
        <f t="shared" si="74"/>
        <v>-615865.74721267004</v>
      </c>
      <c r="R118" s="1">
        <f t="shared" si="75"/>
        <v>31162.552998188516</v>
      </c>
      <c r="S118" s="1">
        <f t="shared" si="76"/>
        <v>442062.09307391709</v>
      </c>
      <c r="T118" s="1">
        <f t="shared" si="77"/>
        <v>11023840.661470491</v>
      </c>
      <c r="U118" s="1">
        <f t="shared" ca="1" si="113"/>
        <v>9681347.0010466818</v>
      </c>
    </row>
    <row r="119" spans="1:21">
      <c r="A119" s="7">
        <v>44470</v>
      </c>
      <c r="B119">
        <f t="shared" ref="B119:B121" si="133">YEAR(A119)</f>
        <v>2021</v>
      </c>
      <c r="C119">
        <f t="shared" ref="C119:C121" si="134">MONTH(A119)</f>
        <v>10</v>
      </c>
      <c r="D119" s="8">
        <f>Dataset!F119</f>
        <v>9915708.4743651673</v>
      </c>
      <c r="E119" s="114">
        <f t="shared" ref="E119:F119" ca="1" si="135">E107</f>
        <v>173.75</v>
      </c>
      <c r="F119" s="114">
        <f t="shared" ca="1" si="135"/>
        <v>11.59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L119" s="38"/>
      <c r="M119" s="8">
        <f t="shared" si="109"/>
        <v>-11221082.251499301</v>
      </c>
      <c r="N119" s="1">
        <f t="shared" ca="1" si="110"/>
        <v>1580789.5398880756</v>
      </c>
      <c r="O119" s="1">
        <f t="shared" ca="1" si="111"/>
        <v>177336.29368392224</v>
      </c>
      <c r="P119" s="1">
        <f t="shared" si="112"/>
        <v>9022308.1599650197</v>
      </c>
      <c r="Q119" s="1">
        <f t="shared" si="74"/>
        <v>-615865.74721267004</v>
      </c>
      <c r="R119" s="1">
        <f t="shared" si="75"/>
        <v>137172.15109704901</v>
      </c>
      <c r="S119" s="1">
        <f t="shared" si="76"/>
        <v>325778.53623192635</v>
      </c>
      <c r="T119" s="1">
        <f t="shared" si="77"/>
        <v>10944330.567603286</v>
      </c>
      <c r="U119" s="1">
        <f t="shared" ca="1" si="113"/>
        <v>10350767.249757307</v>
      </c>
    </row>
    <row r="120" spans="1:21">
      <c r="A120" s="7">
        <v>44501</v>
      </c>
      <c r="B120">
        <f t="shared" si="133"/>
        <v>2021</v>
      </c>
      <c r="C120">
        <f t="shared" si="134"/>
        <v>11</v>
      </c>
      <c r="D120" s="8">
        <f>Dataset!F120</f>
        <v>11426084.56467288</v>
      </c>
      <c r="E120" s="114">
        <f t="shared" ref="E120:F120" ca="1" si="136">E108</f>
        <v>366.25</v>
      </c>
      <c r="F120" s="114">
        <f t="shared" ca="1" si="136"/>
        <v>1.6800000000000002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L120" s="38"/>
      <c r="M120" s="8">
        <f t="shared" si="109"/>
        <v>-11221082.251499301</v>
      </c>
      <c r="N120" s="1">
        <f t="shared" ca="1" si="110"/>
        <v>3332167.8790446483</v>
      </c>
      <c r="O120" s="1">
        <f t="shared" ca="1" si="111"/>
        <v>25705.347143139723</v>
      </c>
      <c r="P120" s="1">
        <f t="shared" si="112"/>
        <v>8731265.9612564705</v>
      </c>
      <c r="Q120" s="1">
        <f t="shared" si="74"/>
        <v>-615865.74721267004</v>
      </c>
      <c r="R120" s="1">
        <f t="shared" si="75"/>
        <v>501589.03798454121</v>
      </c>
      <c r="S120" s="1">
        <f t="shared" si="76"/>
        <v>0</v>
      </c>
      <c r="T120" s="1">
        <f t="shared" si="77"/>
        <v>11114041.188126562</v>
      </c>
      <c r="U120" s="1">
        <f t="shared" ca="1" si="113"/>
        <v>11867821.414843392</v>
      </c>
    </row>
    <row r="121" spans="1:21">
      <c r="A121" s="7">
        <v>44531</v>
      </c>
      <c r="B121">
        <f t="shared" si="133"/>
        <v>2021</v>
      </c>
      <c r="C121">
        <f t="shared" si="134"/>
        <v>12</v>
      </c>
      <c r="D121" s="8">
        <f>Dataset!F121</f>
        <v>13758832.04968879</v>
      </c>
      <c r="E121" s="114">
        <f t="shared" ref="E121:F121" ca="1" si="137">E109</f>
        <v>523.60000000000014</v>
      </c>
      <c r="F121" s="114">
        <f t="shared" ca="1" si="137"/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L121" s="38" t="s">
        <v>84</v>
      </c>
      <c r="M121" s="8">
        <f t="shared" si="109"/>
        <v>-11221082.251499301</v>
      </c>
      <c r="N121" s="1">
        <f t="shared" ca="1" si="110"/>
        <v>4763749.0825058799</v>
      </c>
      <c r="O121" s="1">
        <f t="shared" ca="1" si="111"/>
        <v>0</v>
      </c>
      <c r="P121" s="1">
        <f t="shared" si="112"/>
        <v>9022308.1599650197</v>
      </c>
      <c r="Q121" s="1">
        <f t="shared" si="74"/>
        <v>0</v>
      </c>
      <c r="R121" s="1">
        <f t="shared" si="75"/>
        <v>660674.5825141063</v>
      </c>
      <c r="S121" s="1">
        <f t="shared" si="76"/>
        <v>0</v>
      </c>
      <c r="T121" s="1">
        <f t="shared" si="77"/>
        <v>10976401.865969891</v>
      </c>
      <c r="U121" s="1">
        <f t="shared" ca="1" si="113"/>
        <v>14202051.439455595</v>
      </c>
    </row>
    <row r="122" spans="1:21">
      <c r="A122" s="7">
        <v>44562</v>
      </c>
      <c r="B122">
        <f t="shared" ref="B122:B145" si="138">YEAR(A122)</f>
        <v>2022</v>
      </c>
      <c r="C122">
        <f t="shared" ref="C122:C145" si="139">MONTH(A122)</f>
        <v>1</v>
      </c>
      <c r="E122" s="115">
        <f t="shared" ref="E122:F122" ca="1" si="140">E110</f>
        <v>634.42999999999995</v>
      </c>
      <c r="F122" s="115">
        <f t="shared" ca="1" si="140"/>
        <v>0</v>
      </c>
      <c r="G122" s="116">
        <f t="shared" ref="G122:G182" si="141">G74</f>
        <v>31</v>
      </c>
      <c r="H122" s="116">
        <f t="shared" ref="H122:H182" si="142">H110</f>
        <v>0</v>
      </c>
      <c r="I122" s="116">
        <f t="shared" ref="I122:I153" ca="1" si="143">E122*L122</f>
        <v>317.21499999999997</v>
      </c>
      <c r="J122" s="116">
        <f t="shared" ref="J122:J153" ca="1" si="144">F122*L122</f>
        <v>0</v>
      </c>
      <c r="K122" s="117">
        <f>'Customer Count'!C35</f>
        <v>16578.989880560246</v>
      </c>
      <c r="L122">
        <v>0.5</v>
      </c>
      <c r="M122" s="8">
        <f t="shared" si="109"/>
        <v>-11221082.251499301</v>
      </c>
      <c r="N122" s="1">
        <f t="shared" ca="1" si="110"/>
        <v>5772088.1023953483</v>
      </c>
      <c r="O122" s="1">
        <f t="shared" ca="1" si="111"/>
        <v>0</v>
      </c>
      <c r="P122" s="1">
        <f t="shared" si="112"/>
        <v>9022308.1599650197</v>
      </c>
      <c r="Q122" s="1">
        <f t="shared" si="74"/>
        <v>0</v>
      </c>
      <c r="R122" s="1">
        <f t="shared" ca="1" si="75"/>
        <v>451380.33101919497</v>
      </c>
      <c r="S122" s="1">
        <f t="shared" ca="1" si="76"/>
        <v>0</v>
      </c>
      <c r="T122" s="1">
        <f t="shared" si="77"/>
        <v>11077286.06409042</v>
      </c>
      <c r="U122" s="1">
        <f t="shared" ca="1" si="113"/>
        <v>15101980.405970681</v>
      </c>
    </row>
    <row r="123" spans="1:21">
      <c r="A123" s="7">
        <v>44593</v>
      </c>
      <c r="B123">
        <f t="shared" si="138"/>
        <v>2022</v>
      </c>
      <c r="C123">
        <f t="shared" si="139"/>
        <v>2</v>
      </c>
      <c r="E123" s="115">
        <f t="shared" ref="E123:F123" ca="1" si="145">E111</f>
        <v>582</v>
      </c>
      <c r="F123" s="115">
        <f t="shared" ca="1" si="145"/>
        <v>0</v>
      </c>
      <c r="G123" s="116">
        <f t="shared" si="141"/>
        <v>28</v>
      </c>
      <c r="H123" s="116">
        <f t="shared" si="142"/>
        <v>0</v>
      </c>
      <c r="I123" s="116">
        <f t="shared" ca="1" si="143"/>
        <v>291</v>
      </c>
      <c r="J123" s="116">
        <f t="shared" ca="1" si="144"/>
        <v>0</v>
      </c>
      <c r="K123" s="117">
        <f>'Customer Count'!C36</f>
        <v>16603.39880613752</v>
      </c>
      <c r="L123">
        <f t="shared" ref="L123:L133" si="146">L122</f>
        <v>0.5</v>
      </c>
      <c r="M123" s="8">
        <f t="shared" si="109"/>
        <v>-11221082.251499301</v>
      </c>
      <c r="N123" s="1">
        <f t="shared" ca="1" si="110"/>
        <v>5295076.3292941581</v>
      </c>
      <c r="O123" s="1">
        <f t="shared" ca="1" si="111"/>
        <v>0</v>
      </c>
      <c r="P123" s="1">
        <f t="shared" si="112"/>
        <v>8149181.5638393722</v>
      </c>
      <c r="Q123" s="1">
        <f t="shared" si="74"/>
        <v>0</v>
      </c>
      <c r="R123" s="1">
        <f t="shared" ca="1" si="75"/>
        <v>414077.75901702547</v>
      </c>
      <c r="S123" s="1">
        <f t="shared" ca="1" si="76"/>
        <v>0</v>
      </c>
      <c r="T123" s="1">
        <f t="shared" si="77"/>
        <v>11093594.937736189</v>
      </c>
      <c r="U123" s="1">
        <f t="shared" ca="1" si="113"/>
        <v>13730848.338387445</v>
      </c>
    </row>
    <row r="124" spans="1:21">
      <c r="A124" s="7">
        <v>44621</v>
      </c>
      <c r="B124">
        <f t="shared" si="138"/>
        <v>2022</v>
      </c>
      <c r="C124">
        <f t="shared" si="139"/>
        <v>3</v>
      </c>
      <c r="E124" s="115">
        <f t="shared" ref="E124:F124" ca="1" si="147">E112</f>
        <v>498.31000000000006</v>
      </c>
      <c r="F124" s="115">
        <f t="shared" ca="1" si="147"/>
        <v>0.67999999999999994</v>
      </c>
      <c r="G124" s="116">
        <f t="shared" si="141"/>
        <v>31</v>
      </c>
      <c r="H124" s="116">
        <f t="shared" si="142"/>
        <v>1</v>
      </c>
      <c r="I124" s="116">
        <f t="shared" ca="1" si="143"/>
        <v>249.15500000000003</v>
      </c>
      <c r="J124" s="116">
        <f t="shared" ca="1" si="144"/>
        <v>0.33999999999999997</v>
      </c>
      <c r="K124" s="117">
        <f>'Customer Count'!C37</f>
        <v>16627.843668502992</v>
      </c>
      <c r="L124">
        <f t="shared" si="146"/>
        <v>0.5</v>
      </c>
      <c r="M124" s="8">
        <f t="shared" si="109"/>
        <v>-11221082.251499301</v>
      </c>
      <c r="N124" s="1">
        <f t="shared" ca="1" si="110"/>
        <v>4533658.9100525295</v>
      </c>
      <c r="O124" s="1">
        <f t="shared" ca="1" si="111"/>
        <v>10404.54527222322</v>
      </c>
      <c r="P124" s="1">
        <f t="shared" si="112"/>
        <v>9022308.1599650197</v>
      </c>
      <c r="Q124" s="1">
        <f t="shared" si="74"/>
        <v>-615865.74721267004</v>
      </c>
      <c r="R124" s="1">
        <f t="shared" ca="1" si="75"/>
        <v>354534.51562847767</v>
      </c>
      <c r="S124" s="1">
        <f t="shared" ca="1" si="76"/>
        <v>3137.8102639902254</v>
      </c>
      <c r="T124" s="1">
        <f t="shared" si="77"/>
        <v>11109927.82262064</v>
      </c>
      <c r="U124" s="1">
        <f t="shared" ca="1" si="113"/>
        <v>13197023.765090909</v>
      </c>
    </row>
    <row r="125" spans="1:21">
      <c r="A125" s="7">
        <v>44652</v>
      </c>
      <c r="B125">
        <f t="shared" si="138"/>
        <v>2022</v>
      </c>
      <c r="C125">
        <f t="shared" si="139"/>
        <v>4</v>
      </c>
      <c r="E125" s="115">
        <f t="shared" ref="E125:F125" ca="1" si="148">E113</f>
        <v>322.59999999999997</v>
      </c>
      <c r="F125" s="115">
        <f t="shared" ca="1" si="148"/>
        <v>0.78</v>
      </c>
      <c r="G125" s="116">
        <f t="shared" si="141"/>
        <v>30</v>
      </c>
      <c r="H125" s="116">
        <f t="shared" si="142"/>
        <v>1</v>
      </c>
      <c r="I125" s="116">
        <f t="shared" ca="1" si="143"/>
        <v>161.29999999999998</v>
      </c>
      <c r="J125" s="116">
        <f t="shared" ca="1" si="144"/>
        <v>0.39</v>
      </c>
      <c r="K125" s="117">
        <f>'Customer Count'!C38</f>
        <v>16652.324520565697</v>
      </c>
      <c r="L125">
        <f t="shared" si="146"/>
        <v>0.5</v>
      </c>
      <c r="M125" s="8">
        <f t="shared" si="109"/>
        <v>-11221082.251499301</v>
      </c>
      <c r="N125" s="1">
        <f t="shared" ca="1" si="110"/>
        <v>2935037.1543475864</v>
      </c>
      <c r="O125" s="1">
        <f t="shared" ca="1" si="111"/>
        <v>11934.625459314871</v>
      </c>
      <c r="P125" s="1">
        <f t="shared" si="112"/>
        <v>8731265.9612564705</v>
      </c>
      <c r="Q125" s="1">
        <f t="shared" si="74"/>
        <v>-615865.74721267004</v>
      </c>
      <c r="R125" s="1">
        <f t="shared" ca="1" si="75"/>
        <v>229521.45199122408</v>
      </c>
      <c r="S125" s="1">
        <f t="shared" ca="1" si="76"/>
        <v>3599.2529498711415</v>
      </c>
      <c r="T125" s="1">
        <f t="shared" si="77"/>
        <v>11126284.75409505</v>
      </c>
      <c r="U125" s="1">
        <f t="shared" ca="1" si="113"/>
        <v>11200695.201387547</v>
      </c>
    </row>
    <row r="126" spans="1:21">
      <c r="A126" s="7">
        <v>44682</v>
      </c>
      <c r="B126">
        <f t="shared" si="138"/>
        <v>2022</v>
      </c>
      <c r="C126">
        <f t="shared" si="139"/>
        <v>5</v>
      </c>
      <c r="E126" s="115">
        <f t="shared" ref="E126:F126" ca="1" si="149">E114</f>
        <v>139.78</v>
      </c>
      <c r="F126" s="115">
        <f t="shared" ca="1" si="149"/>
        <v>28.54</v>
      </c>
      <c r="G126" s="116">
        <f t="shared" si="141"/>
        <v>31</v>
      </c>
      <c r="H126" s="116">
        <f t="shared" si="142"/>
        <v>1</v>
      </c>
      <c r="I126" s="116">
        <f t="shared" ca="1" si="143"/>
        <v>69.89</v>
      </c>
      <c r="J126" s="116">
        <f t="shared" ca="1" si="144"/>
        <v>14.27</v>
      </c>
      <c r="K126" s="117">
        <f>'Customer Count'!C39</f>
        <v>16676.841415312567</v>
      </c>
      <c r="L126">
        <f t="shared" si="146"/>
        <v>0.5</v>
      </c>
      <c r="M126" s="8">
        <f t="shared" si="109"/>
        <v>-11221082.251499301</v>
      </c>
      <c r="N126" s="1">
        <f t="shared" ca="1" si="110"/>
        <v>1271728.1259600299</v>
      </c>
      <c r="O126" s="1">
        <f t="shared" ca="1" si="111"/>
        <v>436684.88539595692</v>
      </c>
      <c r="P126" s="1">
        <f t="shared" si="112"/>
        <v>9022308.1599650197</v>
      </c>
      <c r="Q126" s="1">
        <f t="shared" si="74"/>
        <v>-615865.74721267004</v>
      </c>
      <c r="R126" s="1">
        <f t="shared" ca="1" si="75"/>
        <v>99449.80954536052</v>
      </c>
      <c r="S126" s="1">
        <f t="shared" ca="1" si="76"/>
        <v>131695.7425504133</v>
      </c>
      <c r="T126" s="1">
        <f t="shared" si="77"/>
        <v>11142665.767562747</v>
      </c>
      <c r="U126" s="1">
        <f t="shared" ca="1" si="113"/>
        <v>10267584.492267556</v>
      </c>
    </row>
    <row r="127" spans="1:21">
      <c r="A127" s="7">
        <v>44713</v>
      </c>
      <c r="B127">
        <f t="shared" si="138"/>
        <v>2022</v>
      </c>
      <c r="C127">
        <f t="shared" si="139"/>
        <v>6</v>
      </c>
      <c r="E127" s="115">
        <f t="shared" ref="E127:F127" ca="1" si="150">E115</f>
        <v>29.85</v>
      </c>
      <c r="F127" s="115">
        <f t="shared" ca="1" si="150"/>
        <v>71.179999999999993</v>
      </c>
      <c r="G127" s="116">
        <f t="shared" si="141"/>
        <v>30</v>
      </c>
      <c r="H127" s="116">
        <f t="shared" si="142"/>
        <v>0</v>
      </c>
      <c r="I127" s="116">
        <f t="shared" ca="1" si="143"/>
        <v>14.925000000000001</v>
      </c>
      <c r="J127" s="116">
        <f t="shared" ca="1" si="144"/>
        <v>35.589999999999996</v>
      </c>
      <c r="K127" s="117">
        <f>'Customer Count'!C40</f>
        <v>16701.394405808551</v>
      </c>
      <c r="L127">
        <f t="shared" si="146"/>
        <v>0.5</v>
      </c>
      <c r="M127" s="8">
        <f t="shared" si="109"/>
        <v>-11221082.251499301</v>
      </c>
      <c r="N127" s="1">
        <f t="shared" ca="1" si="110"/>
        <v>271577.3684354478</v>
      </c>
      <c r="O127" s="1">
        <f t="shared" ca="1" si="111"/>
        <v>1089111.0771718365</v>
      </c>
      <c r="P127" s="1">
        <f t="shared" si="112"/>
        <v>8731265.9612564705</v>
      </c>
      <c r="Q127" s="1">
        <f t="shared" si="74"/>
        <v>0</v>
      </c>
      <c r="R127" s="1">
        <f t="shared" ca="1" si="75"/>
        <v>21237.4933104093</v>
      </c>
      <c r="S127" s="1">
        <f t="shared" ca="1" si="76"/>
        <v>328454.90381003567</v>
      </c>
      <c r="T127" s="1">
        <f t="shared" si="77"/>
        <v>11159070.898479186</v>
      </c>
      <c r="U127" s="1">
        <f t="shared" ca="1" si="113"/>
        <v>10379635.450964086</v>
      </c>
    </row>
    <row r="128" spans="1:21">
      <c r="A128" s="7">
        <v>44743</v>
      </c>
      <c r="B128">
        <f t="shared" si="138"/>
        <v>2022</v>
      </c>
      <c r="C128">
        <f t="shared" si="139"/>
        <v>7</v>
      </c>
      <c r="E128" s="115">
        <f t="shared" ref="E128:F128" ca="1" si="151">E116</f>
        <v>1.36</v>
      </c>
      <c r="F128" s="115">
        <f t="shared" ca="1" si="151"/>
        <v>150.63</v>
      </c>
      <c r="G128" s="116">
        <f t="shared" si="141"/>
        <v>31</v>
      </c>
      <c r="H128" s="116">
        <f t="shared" si="142"/>
        <v>0</v>
      </c>
      <c r="I128" s="116">
        <f t="shared" ca="1" si="143"/>
        <v>0.68</v>
      </c>
      <c r="J128" s="116">
        <f t="shared" ca="1" si="144"/>
        <v>75.314999999999998</v>
      </c>
      <c r="K128" s="117">
        <f>'Customer Count'!C41</f>
        <v>16725.983545196719</v>
      </c>
      <c r="L128">
        <f t="shared" si="146"/>
        <v>0.5</v>
      </c>
      <c r="M128" s="8">
        <f t="shared" si="109"/>
        <v>-11221082.251499301</v>
      </c>
      <c r="N128" s="1">
        <f t="shared" ca="1" si="110"/>
        <v>12373.374240275009</v>
      </c>
      <c r="O128" s="1">
        <f t="shared" ca="1" si="111"/>
        <v>2304759.7858161526</v>
      </c>
      <c r="P128" s="1">
        <f t="shared" si="112"/>
        <v>9022308.1599650197</v>
      </c>
      <c r="Q128" s="1">
        <f t="shared" si="74"/>
        <v>0</v>
      </c>
      <c r="R128" s="1">
        <f t="shared" ca="1" si="75"/>
        <v>967.60438533188096</v>
      </c>
      <c r="S128" s="1">
        <f t="shared" ca="1" si="76"/>
        <v>695071.11774242308</v>
      </c>
      <c r="T128" s="1">
        <f t="shared" si="77"/>
        <v>11175500.182352018</v>
      </c>
      <c r="U128" s="1">
        <f t="shared" ca="1" si="113"/>
        <v>11989897.97300192</v>
      </c>
    </row>
    <row r="129" spans="1:21">
      <c r="A129" s="7">
        <v>44774</v>
      </c>
      <c r="B129">
        <f t="shared" si="138"/>
        <v>2022</v>
      </c>
      <c r="C129">
        <f t="shared" si="139"/>
        <v>8</v>
      </c>
      <c r="E129" s="115">
        <f t="shared" ref="E129:F129" ca="1" si="152">E117</f>
        <v>1.77</v>
      </c>
      <c r="F129" s="115">
        <f t="shared" ca="1" si="152"/>
        <v>138.02000000000001</v>
      </c>
      <c r="G129" s="116">
        <f t="shared" si="141"/>
        <v>31</v>
      </c>
      <c r="H129" s="116">
        <f t="shared" si="142"/>
        <v>0</v>
      </c>
      <c r="I129" s="116">
        <f t="shared" ca="1" si="143"/>
        <v>0.88500000000000001</v>
      </c>
      <c r="J129" s="116">
        <f t="shared" ca="1" si="144"/>
        <v>69.010000000000005</v>
      </c>
      <c r="K129" s="117">
        <f>'Customer Count'!C42</f>
        <v>16750.608886698385</v>
      </c>
      <c r="L129">
        <f t="shared" si="146"/>
        <v>0.5</v>
      </c>
      <c r="M129" s="8">
        <f t="shared" si="109"/>
        <v>-11221082.251499301</v>
      </c>
      <c r="N129" s="1">
        <f t="shared" ca="1" si="110"/>
        <v>16103.582650946151</v>
      </c>
      <c r="O129" s="1">
        <f t="shared" ca="1" si="111"/>
        <v>2111816.6742238957</v>
      </c>
      <c r="P129" s="1">
        <f t="shared" si="112"/>
        <v>9022308.1599650197</v>
      </c>
      <c r="Q129" s="1">
        <f t="shared" si="74"/>
        <v>0</v>
      </c>
      <c r="R129" s="1">
        <f t="shared" ca="1" si="75"/>
        <v>1259.3086485569331</v>
      </c>
      <c r="S129" s="1">
        <f t="shared" ca="1" si="76"/>
        <v>636883.1950528397</v>
      </c>
      <c r="T129" s="1">
        <f t="shared" si="77"/>
        <v>11191953.654741172</v>
      </c>
      <c r="U129" s="1">
        <f t="shared" ca="1" si="113"/>
        <v>11759242.323783129</v>
      </c>
    </row>
    <row r="130" spans="1:21">
      <c r="A130" s="7">
        <v>44805</v>
      </c>
      <c r="B130">
        <f t="shared" si="138"/>
        <v>2022</v>
      </c>
      <c r="C130">
        <f t="shared" si="139"/>
        <v>9</v>
      </c>
      <c r="E130" s="115">
        <f t="shared" ref="E130:F130" ca="1" si="153">E118</f>
        <v>37.33</v>
      </c>
      <c r="F130" s="115">
        <f t="shared" ca="1" si="153"/>
        <v>62.11</v>
      </c>
      <c r="G130" s="116">
        <f t="shared" si="141"/>
        <v>30</v>
      </c>
      <c r="H130" s="116">
        <f t="shared" si="142"/>
        <v>1</v>
      </c>
      <c r="I130" s="116">
        <f t="shared" ca="1" si="143"/>
        <v>18.664999999999999</v>
      </c>
      <c r="J130" s="116">
        <f t="shared" ca="1" si="144"/>
        <v>31.055</v>
      </c>
      <c r="K130" s="117">
        <f>'Customer Count'!C43</f>
        <v>16775.270483613218</v>
      </c>
      <c r="L130">
        <f t="shared" si="146"/>
        <v>0.5</v>
      </c>
      <c r="M130" s="8">
        <f t="shared" ref="M130:M145" si="154">$Z$8</f>
        <v>-11221082.251499301</v>
      </c>
      <c r="N130" s="1">
        <f t="shared" ref="N130:N161" ca="1" si="155">E130*$Z$9</f>
        <v>339630.92675696034</v>
      </c>
      <c r="O130" s="1">
        <f t="shared" ref="O130:O161" ca="1" si="156">F130*$Z$10</f>
        <v>950332.8042026239</v>
      </c>
      <c r="P130" s="1">
        <f t="shared" ref="P130:P161" si="157">G130*$Z$11</f>
        <v>8731265.9612564705</v>
      </c>
      <c r="Q130" s="1">
        <f t="shared" si="74"/>
        <v>-615865.74721267004</v>
      </c>
      <c r="R130" s="1">
        <f t="shared" ca="1" si="75"/>
        <v>26559.317429734641</v>
      </c>
      <c r="S130" s="1">
        <f t="shared" ca="1" si="76"/>
        <v>286602.05220063665</v>
      </c>
      <c r="T130" s="1">
        <f t="shared" si="77"/>
        <v>11208431.351258934</v>
      </c>
      <c r="U130" s="1">
        <f t="shared" ref="U130:U161" ca="1" si="158">SUM(M130:T130)</f>
        <v>9705874.4143933896</v>
      </c>
    </row>
    <row r="131" spans="1:21">
      <c r="A131" s="7">
        <v>44835</v>
      </c>
      <c r="B131">
        <f t="shared" si="138"/>
        <v>2022</v>
      </c>
      <c r="C131">
        <f t="shared" si="139"/>
        <v>10</v>
      </c>
      <c r="E131" s="115">
        <f t="shared" ref="E131:F131" ca="1" si="159">E119</f>
        <v>173.75</v>
      </c>
      <c r="F131" s="115">
        <f t="shared" ca="1" si="159"/>
        <v>11.59</v>
      </c>
      <c r="G131" s="116">
        <f t="shared" si="141"/>
        <v>31</v>
      </c>
      <c r="H131" s="116">
        <f t="shared" si="142"/>
        <v>1</v>
      </c>
      <c r="I131" s="116">
        <f t="shared" ca="1" si="143"/>
        <v>86.875</v>
      </c>
      <c r="J131" s="116">
        <f t="shared" ca="1" si="144"/>
        <v>5.7949999999999999</v>
      </c>
      <c r="K131" s="117">
        <f>'Customer Count'!C44</f>
        <v>16799.968389319361</v>
      </c>
      <c r="L131">
        <f t="shared" si="146"/>
        <v>0.5</v>
      </c>
      <c r="M131" s="8">
        <f t="shared" si="154"/>
        <v>-11221082.251499301</v>
      </c>
      <c r="N131" s="1">
        <f t="shared" ca="1" si="155"/>
        <v>1580789.5398880756</v>
      </c>
      <c r="O131" s="1">
        <f t="shared" ca="1" si="156"/>
        <v>177336.29368392224</v>
      </c>
      <c r="P131" s="1">
        <f t="shared" si="157"/>
        <v>9022308.1599650197</v>
      </c>
      <c r="Q131" s="1">
        <f t="shared" ref="Q131:Q193" si="160">H131*$Z$12</f>
        <v>-615865.74721267004</v>
      </c>
      <c r="R131" s="1">
        <f t="shared" ref="R131:R193" ca="1" si="161">I131*$Z$13</f>
        <v>123618.57496427522</v>
      </c>
      <c r="S131" s="1">
        <f t="shared" ref="S131:S193" ca="1" si="162">J131*$Z$14</f>
        <v>53481.207293598112</v>
      </c>
      <c r="T131" s="1">
        <f t="shared" ref="T131:T193" si="163">K131*$Z$15</f>
        <v>11224933.307570016</v>
      </c>
      <c r="U131" s="1">
        <f t="shared" ca="1" si="158"/>
        <v>10345519.084652934</v>
      </c>
    </row>
    <row r="132" spans="1:21">
      <c r="A132" s="7">
        <v>44866</v>
      </c>
      <c r="B132">
        <f t="shared" si="138"/>
        <v>2022</v>
      </c>
      <c r="C132">
        <f t="shared" si="139"/>
        <v>11</v>
      </c>
      <c r="E132" s="115">
        <f t="shared" ref="E132:F132" ca="1" si="164">E120</f>
        <v>366.25</v>
      </c>
      <c r="F132" s="115">
        <f t="shared" ca="1" si="164"/>
        <v>1.6800000000000002</v>
      </c>
      <c r="G132" s="116">
        <f t="shared" si="141"/>
        <v>30</v>
      </c>
      <c r="H132" s="116">
        <f t="shared" si="142"/>
        <v>1</v>
      </c>
      <c r="I132" s="116">
        <f t="shared" ca="1" si="143"/>
        <v>183.125</v>
      </c>
      <c r="J132" s="116">
        <f t="shared" ca="1" si="144"/>
        <v>0.84000000000000008</v>
      </c>
      <c r="K132" s="117">
        <f>'Customer Count'!C45</f>
        <v>16824.702657273545</v>
      </c>
      <c r="L132">
        <f t="shared" si="146"/>
        <v>0.5</v>
      </c>
      <c r="M132" s="8">
        <f t="shared" si="154"/>
        <v>-11221082.251499301</v>
      </c>
      <c r="N132" s="1">
        <f t="shared" ca="1" si="155"/>
        <v>3332167.8790446483</v>
      </c>
      <c r="O132" s="1">
        <f t="shared" ca="1" si="156"/>
        <v>25705.347143139723</v>
      </c>
      <c r="P132" s="1">
        <f t="shared" si="157"/>
        <v>8731265.9612564705</v>
      </c>
      <c r="Q132" s="1">
        <f t="shared" si="160"/>
        <v>-615865.74721267004</v>
      </c>
      <c r="R132" s="1">
        <f t="shared" ca="1" si="161"/>
        <v>260577.28391750102</v>
      </c>
      <c r="S132" s="1">
        <f t="shared" ca="1" si="162"/>
        <v>7752.2371227993817</v>
      </c>
      <c r="T132" s="1">
        <f t="shared" si="163"/>
        <v>11241459.559391642</v>
      </c>
      <c r="U132" s="1">
        <f t="shared" ca="1" si="158"/>
        <v>11761980.269164231</v>
      </c>
    </row>
    <row r="133" spans="1:21">
      <c r="A133" s="7">
        <v>44896</v>
      </c>
      <c r="B133">
        <f t="shared" si="138"/>
        <v>2022</v>
      </c>
      <c r="C133">
        <f t="shared" si="139"/>
        <v>12</v>
      </c>
      <c r="E133" s="115">
        <f t="shared" ref="E133:F133" ca="1" si="165">E121</f>
        <v>523.60000000000014</v>
      </c>
      <c r="F133" s="115">
        <f t="shared" ca="1" si="165"/>
        <v>0</v>
      </c>
      <c r="G133" s="116">
        <f t="shared" si="141"/>
        <v>31</v>
      </c>
      <c r="H133" s="116">
        <f t="shared" si="142"/>
        <v>0</v>
      </c>
      <c r="I133" s="116">
        <f t="shared" ca="1" si="143"/>
        <v>261.80000000000007</v>
      </c>
      <c r="J133" s="116">
        <f t="shared" ca="1" si="144"/>
        <v>0</v>
      </c>
      <c r="K133" s="117">
        <f>'Customer Count'!C46</f>
        <v>16849.473341011202</v>
      </c>
      <c r="L133">
        <f t="shared" si="146"/>
        <v>0.5</v>
      </c>
      <c r="M133" s="8">
        <f t="shared" si="154"/>
        <v>-11221082.251499301</v>
      </c>
      <c r="N133" s="1">
        <f t="shared" ca="1" si="155"/>
        <v>4763749.0825058799</v>
      </c>
      <c r="O133" s="1">
        <f t="shared" ca="1" si="156"/>
        <v>0</v>
      </c>
      <c r="P133" s="1">
        <f t="shared" si="157"/>
        <v>9022308.1599650197</v>
      </c>
      <c r="Q133" s="1">
        <f t="shared" si="160"/>
        <v>0</v>
      </c>
      <c r="R133" s="1">
        <f t="shared" ca="1" si="161"/>
        <v>372527.68835277425</v>
      </c>
      <c r="S133" s="1">
        <f t="shared" ca="1" si="162"/>
        <v>0</v>
      </c>
      <c r="T133" s="1">
        <f t="shared" si="163"/>
        <v>11258010.142493626</v>
      </c>
      <c r="U133" s="1">
        <f t="shared" ca="1" si="158"/>
        <v>14195512.821818</v>
      </c>
    </row>
    <row r="134" spans="1:21">
      <c r="A134" s="7">
        <v>44927</v>
      </c>
      <c r="B134">
        <f t="shared" si="138"/>
        <v>2023</v>
      </c>
      <c r="C134">
        <f t="shared" si="139"/>
        <v>1</v>
      </c>
      <c r="E134" s="115">
        <f t="shared" ref="E134:F134" ca="1" si="166">E122</f>
        <v>634.42999999999995</v>
      </c>
      <c r="F134" s="115">
        <f t="shared" ca="1" si="166"/>
        <v>0</v>
      </c>
      <c r="G134" s="116">
        <f t="shared" si="141"/>
        <v>31</v>
      </c>
      <c r="H134" s="116">
        <f t="shared" si="142"/>
        <v>0</v>
      </c>
      <c r="I134" s="116">
        <f t="shared" ca="1" si="143"/>
        <v>158.60749999999999</v>
      </c>
      <c r="J134" s="116">
        <f t="shared" ca="1" si="144"/>
        <v>0</v>
      </c>
      <c r="K134" s="117">
        <f>'Customer Count'!C47</f>
        <v>16874.28692598009</v>
      </c>
      <c r="L134">
        <v>0.25</v>
      </c>
      <c r="M134" s="8">
        <f t="shared" si="154"/>
        <v>-11221082.251499301</v>
      </c>
      <c r="N134" s="1">
        <f t="shared" ca="1" si="155"/>
        <v>5772088.1023953483</v>
      </c>
      <c r="O134" s="1">
        <f t="shared" ca="1" si="156"/>
        <v>0</v>
      </c>
      <c r="P134" s="1">
        <f t="shared" si="157"/>
        <v>9022308.1599650197</v>
      </c>
      <c r="Q134" s="1">
        <f t="shared" si="160"/>
        <v>0</v>
      </c>
      <c r="R134" s="1">
        <f t="shared" ca="1" si="161"/>
        <v>225690.16550959749</v>
      </c>
      <c r="S134" s="1">
        <f t="shared" ca="1" si="162"/>
        <v>0</v>
      </c>
      <c r="T134" s="1">
        <f t="shared" si="163"/>
        <v>11274589.390141172</v>
      </c>
      <c r="U134" s="1">
        <f t="shared" ca="1" si="158"/>
        <v>15073593.566511836</v>
      </c>
    </row>
    <row r="135" spans="1:21">
      <c r="A135" s="7">
        <v>44958</v>
      </c>
      <c r="B135">
        <f t="shared" si="138"/>
        <v>2023</v>
      </c>
      <c r="C135">
        <f t="shared" si="139"/>
        <v>2</v>
      </c>
      <c r="E135" s="115">
        <f t="shared" ref="E135:F135" ca="1" si="167">E123</f>
        <v>582</v>
      </c>
      <c r="F135" s="115">
        <f t="shared" ca="1" si="167"/>
        <v>0</v>
      </c>
      <c r="G135" s="116">
        <f t="shared" si="141"/>
        <v>28</v>
      </c>
      <c r="H135" s="116">
        <f t="shared" si="142"/>
        <v>0</v>
      </c>
      <c r="I135" s="116">
        <f t="shared" ca="1" si="143"/>
        <v>145.5</v>
      </c>
      <c r="J135" s="116">
        <f t="shared" ca="1" si="144"/>
        <v>0</v>
      </c>
      <c r="K135" s="117">
        <f>'Customer Count'!C48</f>
        <v>16899.13061167585</v>
      </c>
      <c r="L135">
        <f>L134</f>
        <v>0.25</v>
      </c>
      <c r="M135" s="8">
        <f t="shared" si="154"/>
        <v>-11221082.251499301</v>
      </c>
      <c r="N135" s="1">
        <f t="shared" ca="1" si="155"/>
        <v>5295076.3292941581</v>
      </c>
      <c r="O135" s="1">
        <f t="shared" ca="1" si="156"/>
        <v>0</v>
      </c>
      <c r="P135" s="1">
        <f t="shared" si="157"/>
        <v>8149181.5638393722</v>
      </c>
      <c r="Q135" s="1">
        <f t="shared" si="160"/>
        <v>0</v>
      </c>
      <c r="R135" s="1">
        <f t="shared" ca="1" si="161"/>
        <v>207038.87950851273</v>
      </c>
      <c r="S135" s="1">
        <f t="shared" ca="1" si="162"/>
        <v>0</v>
      </c>
      <c r="T135" s="1">
        <f t="shared" si="163"/>
        <v>11291188.749651065</v>
      </c>
      <c r="U135" s="1">
        <f t="shared" ca="1" si="158"/>
        <v>13721403.270793807</v>
      </c>
    </row>
    <row r="136" spans="1:21">
      <c r="A136" s="7">
        <v>44986</v>
      </c>
      <c r="B136">
        <f t="shared" si="138"/>
        <v>2023</v>
      </c>
      <c r="C136">
        <f t="shared" si="139"/>
        <v>3</v>
      </c>
      <c r="E136" s="115">
        <f t="shared" ref="E136:F136" ca="1" si="168">E124</f>
        <v>498.31000000000006</v>
      </c>
      <c r="F136" s="115">
        <f t="shared" ca="1" si="168"/>
        <v>0.67999999999999994</v>
      </c>
      <c r="G136" s="116">
        <f t="shared" si="141"/>
        <v>31</v>
      </c>
      <c r="H136" s="116">
        <f t="shared" si="142"/>
        <v>1</v>
      </c>
      <c r="I136" s="116">
        <f t="shared" ca="1" si="143"/>
        <v>124.57750000000001</v>
      </c>
      <c r="J136" s="116">
        <f t="shared" ca="1" si="144"/>
        <v>0.16999999999999998</v>
      </c>
      <c r="K136" s="117">
        <f>'Customer Count'!C49</f>
        <v>16924.010874248706</v>
      </c>
      <c r="L136">
        <f t="shared" ref="L136:L193" si="169">L135</f>
        <v>0.25</v>
      </c>
      <c r="M136" s="8">
        <f t="shared" si="154"/>
        <v>-11221082.251499301</v>
      </c>
      <c r="N136" s="1">
        <f t="shared" ca="1" si="155"/>
        <v>4533658.9100525295</v>
      </c>
      <c r="O136" s="1">
        <f t="shared" ca="1" si="156"/>
        <v>10404.54527222322</v>
      </c>
      <c r="P136" s="1">
        <f t="shared" si="157"/>
        <v>9022308.1599650197</v>
      </c>
      <c r="Q136" s="1">
        <f t="shared" si="160"/>
        <v>-615865.74721267004</v>
      </c>
      <c r="R136" s="1">
        <f t="shared" ca="1" si="161"/>
        <v>177267.25781423884</v>
      </c>
      <c r="S136" s="1">
        <f t="shared" ca="1" si="162"/>
        <v>1568.9051319951127</v>
      </c>
      <c r="T136" s="1">
        <f t="shared" si="163"/>
        <v>11307812.548076347</v>
      </c>
      <c r="U136" s="1">
        <f t="shared" ca="1" si="158"/>
        <v>13216072.327600382</v>
      </c>
    </row>
    <row r="137" spans="1:21">
      <c r="A137" s="7">
        <v>45017</v>
      </c>
      <c r="B137">
        <f t="shared" si="138"/>
        <v>2023</v>
      </c>
      <c r="C137">
        <f t="shared" si="139"/>
        <v>4</v>
      </c>
      <c r="E137" s="115">
        <f t="shared" ref="E137:F137" ca="1" si="170">E125</f>
        <v>322.59999999999997</v>
      </c>
      <c r="F137" s="115">
        <f t="shared" ca="1" si="170"/>
        <v>0.78</v>
      </c>
      <c r="G137" s="116">
        <f t="shared" si="141"/>
        <v>30</v>
      </c>
      <c r="H137" s="116">
        <f t="shared" si="142"/>
        <v>1</v>
      </c>
      <c r="I137" s="116">
        <f t="shared" ca="1" si="143"/>
        <v>80.649999999999991</v>
      </c>
      <c r="J137" s="116">
        <f t="shared" ca="1" si="144"/>
        <v>0.19500000000000001</v>
      </c>
      <c r="K137" s="117">
        <f>'Customer Count'!C50</f>
        <v>16948.927767550085</v>
      </c>
      <c r="L137">
        <f t="shared" si="169"/>
        <v>0.25</v>
      </c>
      <c r="M137" s="8">
        <f t="shared" si="154"/>
        <v>-11221082.251499301</v>
      </c>
      <c r="N137" s="1">
        <f t="shared" ca="1" si="155"/>
        <v>2935037.1543475864</v>
      </c>
      <c r="O137" s="1">
        <f t="shared" ca="1" si="156"/>
        <v>11934.625459314871</v>
      </c>
      <c r="P137" s="1">
        <f t="shared" si="157"/>
        <v>8731265.9612564705</v>
      </c>
      <c r="Q137" s="1">
        <f t="shared" si="160"/>
        <v>-615865.74721267004</v>
      </c>
      <c r="R137" s="1">
        <f t="shared" ca="1" si="161"/>
        <v>114760.72599561204</v>
      </c>
      <c r="S137" s="1">
        <f t="shared" ca="1" si="162"/>
        <v>1799.6264749355707</v>
      </c>
      <c r="T137" s="1">
        <f t="shared" si="163"/>
        <v>11324460.821397956</v>
      </c>
      <c r="U137" s="1">
        <f t="shared" ca="1" si="158"/>
        <v>11282310.916219905</v>
      </c>
    </row>
    <row r="138" spans="1:21">
      <c r="A138" s="7">
        <v>45047</v>
      </c>
      <c r="B138">
        <f t="shared" si="138"/>
        <v>2023</v>
      </c>
      <c r="C138">
        <f t="shared" si="139"/>
        <v>5</v>
      </c>
      <c r="E138" s="115">
        <f t="shared" ref="E138:F138" ca="1" si="171">E126</f>
        <v>139.78</v>
      </c>
      <c r="F138" s="115">
        <f t="shared" ca="1" si="171"/>
        <v>28.54</v>
      </c>
      <c r="G138" s="116">
        <f t="shared" si="141"/>
        <v>31</v>
      </c>
      <c r="H138" s="116">
        <f t="shared" si="142"/>
        <v>1</v>
      </c>
      <c r="I138" s="116">
        <f t="shared" ca="1" si="143"/>
        <v>34.945</v>
      </c>
      <c r="J138" s="116">
        <f t="shared" ca="1" si="144"/>
        <v>7.1349999999999998</v>
      </c>
      <c r="K138" s="117">
        <f>'Customer Count'!C51</f>
        <v>16973.881345510697</v>
      </c>
      <c r="L138">
        <f t="shared" si="169"/>
        <v>0.25</v>
      </c>
      <c r="M138" s="8">
        <f t="shared" si="154"/>
        <v>-11221082.251499301</v>
      </c>
      <c r="N138" s="1">
        <f t="shared" ca="1" si="155"/>
        <v>1271728.1259600299</v>
      </c>
      <c r="O138" s="1">
        <f t="shared" ca="1" si="156"/>
        <v>436684.88539595692</v>
      </c>
      <c r="P138" s="1">
        <f t="shared" si="157"/>
        <v>9022308.1599650197</v>
      </c>
      <c r="Q138" s="1">
        <f t="shared" si="160"/>
        <v>-615865.74721267004</v>
      </c>
      <c r="R138" s="1">
        <f t="shared" ca="1" si="161"/>
        <v>49724.90477268026</v>
      </c>
      <c r="S138" s="1">
        <f t="shared" ca="1" si="162"/>
        <v>65847.871275206649</v>
      </c>
      <c r="T138" s="1">
        <f t="shared" si="163"/>
        <v>11341133.605649814</v>
      </c>
      <c r="U138" s="1">
        <f t="shared" ca="1" si="158"/>
        <v>10350479.554306736</v>
      </c>
    </row>
    <row r="139" spans="1:21">
      <c r="A139" s="7">
        <v>45078</v>
      </c>
      <c r="B139">
        <f t="shared" si="138"/>
        <v>2023</v>
      </c>
      <c r="C139">
        <f t="shared" si="139"/>
        <v>6</v>
      </c>
      <c r="E139" s="115">
        <f t="shared" ref="E139:F139" ca="1" si="172">E127</f>
        <v>29.85</v>
      </c>
      <c r="F139" s="115">
        <f t="shared" ca="1" si="172"/>
        <v>71.179999999999993</v>
      </c>
      <c r="G139" s="116">
        <f t="shared" si="141"/>
        <v>30</v>
      </c>
      <c r="H139" s="116">
        <f t="shared" si="142"/>
        <v>0</v>
      </c>
      <c r="I139" s="116">
        <f t="shared" ca="1" si="143"/>
        <v>7.4625000000000004</v>
      </c>
      <c r="J139" s="116">
        <f t="shared" ca="1" si="144"/>
        <v>17.794999999999998</v>
      </c>
      <c r="K139" s="117">
        <f>'Customer Count'!C52</f>
        <v>16998.871662140657</v>
      </c>
      <c r="L139">
        <f t="shared" si="169"/>
        <v>0.25</v>
      </c>
      <c r="M139" s="8">
        <f t="shared" si="154"/>
        <v>-11221082.251499301</v>
      </c>
      <c r="N139" s="1">
        <f t="shared" ca="1" si="155"/>
        <v>271577.3684354478</v>
      </c>
      <c r="O139" s="1">
        <f t="shared" ca="1" si="156"/>
        <v>1089111.0771718365</v>
      </c>
      <c r="P139" s="1">
        <f t="shared" si="157"/>
        <v>8731265.9612564705</v>
      </c>
      <c r="Q139" s="1">
        <f t="shared" si="160"/>
        <v>0</v>
      </c>
      <c r="R139" s="1">
        <f t="shared" ca="1" si="161"/>
        <v>10618.74665520465</v>
      </c>
      <c r="S139" s="1">
        <f t="shared" ca="1" si="162"/>
        <v>164227.45190501784</v>
      </c>
      <c r="T139" s="1">
        <f t="shared" si="163"/>
        <v>11357830.936918883</v>
      </c>
      <c r="U139" s="1">
        <f t="shared" ca="1" si="158"/>
        <v>10403549.290843559</v>
      </c>
    </row>
    <row r="140" spans="1:21">
      <c r="A140" s="7">
        <v>45108</v>
      </c>
      <c r="B140">
        <f t="shared" si="138"/>
        <v>2023</v>
      </c>
      <c r="C140">
        <f t="shared" si="139"/>
        <v>7</v>
      </c>
      <c r="E140" s="115">
        <f t="shared" ref="E140:F140" ca="1" si="173">E128</f>
        <v>1.36</v>
      </c>
      <c r="F140" s="115">
        <f t="shared" ca="1" si="173"/>
        <v>150.63</v>
      </c>
      <c r="G140" s="116">
        <f t="shared" si="141"/>
        <v>31</v>
      </c>
      <c r="H140" s="116">
        <f t="shared" si="142"/>
        <v>0</v>
      </c>
      <c r="I140" s="116">
        <f t="shared" ca="1" si="143"/>
        <v>0.34</v>
      </c>
      <c r="J140" s="116">
        <f t="shared" ca="1" si="144"/>
        <v>37.657499999999999</v>
      </c>
      <c r="K140" s="117">
        <f>'Customer Count'!C53</f>
        <v>17023.898771529592</v>
      </c>
      <c r="L140">
        <f t="shared" si="169"/>
        <v>0.25</v>
      </c>
      <c r="M140" s="8">
        <f t="shared" si="154"/>
        <v>-11221082.251499301</v>
      </c>
      <c r="N140" s="1">
        <f t="shared" ca="1" si="155"/>
        <v>12373.374240275009</v>
      </c>
      <c r="O140" s="1">
        <f t="shared" ca="1" si="156"/>
        <v>2304759.7858161526</v>
      </c>
      <c r="P140" s="1">
        <f t="shared" si="157"/>
        <v>9022308.1599650197</v>
      </c>
      <c r="Q140" s="1">
        <f t="shared" si="160"/>
        <v>0</v>
      </c>
      <c r="R140" s="1">
        <f t="shared" ca="1" si="161"/>
        <v>483.80219266594048</v>
      </c>
      <c r="S140" s="1">
        <f t="shared" ca="1" si="162"/>
        <v>347535.55887121154</v>
      </c>
      <c r="T140" s="1">
        <f t="shared" si="163"/>
        <v>11374552.85134526</v>
      </c>
      <c r="U140" s="1">
        <f t="shared" ca="1" si="158"/>
        <v>11840931.280931285</v>
      </c>
    </row>
    <row r="141" spans="1:21">
      <c r="A141" s="7">
        <v>45139</v>
      </c>
      <c r="B141">
        <f t="shared" si="138"/>
        <v>2023</v>
      </c>
      <c r="C141">
        <f t="shared" si="139"/>
        <v>8</v>
      </c>
      <c r="E141" s="115">
        <f t="shared" ref="E141:F141" ca="1" si="174">E129</f>
        <v>1.77</v>
      </c>
      <c r="F141" s="115">
        <f t="shared" ca="1" si="174"/>
        <v>138.02000000000001</v>
      </c>
      <c r="G141" s="116">
        <f t="shared" si="141"/>
        <v>31</v>
      </c>
      <c r="H141" s="116">
        <f t="shared" si="142"/>
        <v>0</v>
      </c>
      <c r="I141" s="116">
        <f t="shared" ca="1" si="143"/>
        <v>0.4425</v>
      </c>
      <c r="J141" s="116">
        <f t="shared" ca="1" si="144"/>
        <v>34.505000000000003</v>
      </c>
      <c r="K141" s="117">
        <f>'Customer Count'!C54</f>
        <v>17048.962727846771</v>
      </c>
      <c r="L141">
        <f t="shared" si="169"/>
        <v>0.25</v>
      </c>
      <c r="M141" s="8">
        <f t="shared" si="154"/>
        <v>-11221082.251499301</v>
      </c>
      <c r="N141" s="1">
        <f t="shared" ca="1" si="155"/>
        <v>16103.582650946151</v>
      </c>
      <c r="O141" s="1">
        <f t="shared" ca="1" si="156"/>
        <v>2111816.6742238957</v>
      </c>
      <c r="P141" s="1">
        <f t="shared" si="157"/>
        <v>9022308.1599650197</v>
      </c>
      <c r="Q141" s="1">
        <f t="shared" si="160"/>
        <v>0</v>
      </c>
      <c r="R141" s="1">
        <f t="shared" ca="1" si="161"/>
        <v>629.65432427846656</v>
      </c>
      <c r="S141" s="1">
        <f t="shared" ca="1" si="162"/>
        <v>318441.59752641985</v>
      </c>
      <c r="T141" s="1">
        <f t="shared" si="163"/>
        <v>11391299.385122254</v>
      </c>
      <c r="U141" s="1">
        <f t="shared" ca="1" si="158"/>
        <v>11639516.802313514</v>
      </c>
    </row>
    <row r="142" spans="1:21">
      <c r="A142" s="7">
        <v>45170</v>
      </c>
      <c r="B142">
        <f t="shared" si="138"/>
        <v>2023</v>
      </c>
      <c r="C142">
        <f t="shared" si="139"/>
        <v>9</v>
      </c>
      <c r="E142" s="115">
        <f t="shared" ref="E142:F142" ca="1" si="175">E130</f>
        <v>37.33</v>
      </c>
      <c r="F142" s="115">
        <f t="shared" ca="1" si="175"/>
        <v>62.11</v>
      </c>
      <c r="G142" s="116">
        <f t="shared" si="141"/>
        <v>30</v>
      </c>
      <c r="H142" s="116">
        <f t="shared" si="142"/>
        <v>1</v>
      </c>
      <c r="I142" s="116">
        <f t="shared" ca="1" si="143"/>
        <v>9.3324999999999996</v>
      </c>
      <c r="J142" s="116">
        <f t="shared" ca="1" si="144"/>
        <v>15.5275</v>
      </c>
      <c r="K142" s="117">
        <f>'Customer Count'!C55</f>
        <v>17074.063585341213</v>
      </c>
      <c r="L142">
        <f t="shared" si="169"/>
        <v>0.25</v>
      </c>
      <c r="M142" s="8">
        <f t="shared" si="154"/>
        <v>-11221082.251499301</v>
      </c>
      <c r="N142" s="1">
        <f t="shared" ca="1" si="155"/>
        <v>339630.92675696034</v>
      </c>
      <c r="O142" s="1">
        <f t="shared" ca="1" si="156"/>
        <v>950332.8042026239</v>
      </c>
      <c r="P142" s="1">
        <f t="shared" si="157"/>
        <v>8731265.9612564705</v>
      </c>
      <c r="Q142" s="1">
        <f t="shared" si="160"/>
        <v>-615865.74721267004</v>
      </c>
      <c r="R142" s="1">
        <f t="shared" ca="1" si="161"/>
        <v>13279.658714867321</v>
      </c>
      <c r="S142" s="1">
        <f t="shared" ca="1" si="162"/>
        <v>143301.02610031833</v>
      </c>
      <c r="T142" s="1">
        <f t="shared" si="163"/>
        <v>11408070.574496461</v>
      </c>
      <c r="U142" s="1">
        <f t="shared" ca="1" si="158"/>
        <v>9748932.952815732</v>
      </c>
    </row>
    <row r="143" spans="1:21">
      <c r="A143" s="7">
        <v>45200</v>
      </c>
      <c r="B143">
        <f t="shared" si="138"/>
        <v>2023</v>
      </c>
      <c r="C143">
        <f t="shared" si="139"/>
        <v>10</v>
      </c>
      <c r="E143" s="115">
        <f t="shared" ref="E143:F143" ca="1" si="176">E131</f>
        <v>173.75</v>
      </c>
      <c r="F143" s="115">
        <f t="shared" ca="1" si="176"/>
        <v>11.59</v>
      </c>
      <c r="G143" s="116">
        <f t="shared" si="141"/>
        <v>31</v>
      </c>
      <c r="H143" s="116">
        <f t="shared" si="142"/>
        <v>1</v>
      </c>
      <c r="I143" s="116">
        <f t="shared" ca="1" si="143"/>
        <v>43.4375</v>
      </c>
      <c r="J143" s="116">
        <f t="shared" ca="1" si="144"/>
        <v>2.8975</v>
      </c>
      <c r="K143" s="117">
        <f>'Customer Count'!C56</f>
        <v>17099.201398341807</v>
      </c>
      <c r="L143">
        <f t="shared" si="169"/>
        <v>0.25</v>
      </c>
      <c r="M143" s="8">
        <f t="shared" si="154"/>
        <v>-11221082.251499301</v>
      </c>
      <c r="N143" s="1">
        <f t="shared" ca="1" si="155"/>
        <v>1580789.5398880756</v>
      </c>
      <c r="O143" s="1">
        <f t="shared" ca="1" si="156"/>
        <v>177336.29368392224</v>
      </c>
      <c r="P143" s="1">
        <f t="shared" si="157"/>
        <v>9022308.1599650197</v>
      </c>
      <c r="Q143" s="1">
        <f t="shared" si="160"/>
        <v>-615865.74721267004</v>
      </c>
      <c r="R143" s="1">
        <f t="shared" ca="1" si="161"/>
        <v>61809.28748213761</v>
      </c>
      <c r="S143" s="1">
        <f t="shared" ca="1" si="162"/>
        <v>26740.603646799056</v>
      </c>
      <c r="T143" s="1">
        <f t="shared" si="163"/>
        <v>11424866.455767835</v>
      </c>
      <c r="U143" s="1">
        <f t="shared" ca="1" si="158"/>
        <v>10456902.341721816</v>
      </c>
    </row>
    <row r="144" spans="1:21">
      <c r="A144" s="7">
        <v>45231</v>
      </c>
      <c r="B144">
        <f t="shared" si="138"/>
        <v>2023</v>
      </c>
      <c r="C144">
        <f t="shared" si="139"/>
        <v>11</v>
      </c>
      <c r="E144" s="115">
        <f t="shared" ref="E144:F144" ca="1" si="177">E132</f>
        <v>366.25</v>
      </c>
      <c r="F144" s="115">
        <f t="shared" ca="1" si="177"/>
        <v>1.6800000000000002</v>
      </c>
      <c r="G144" s="116">
        <f t="shared" si="141"/>
        <v>30</v>
      </c>
      <c r="H144" s="116">
        <f t="shared" si="142"/>
        <v>1</v>
      </c>
      <c r="I144" s="116">
        <f t="shared" ca="1" si="143"/>
        <v>91.5625</v>
      </c>
      <c r="J144" s="116">
        <f t="shared" ca="1" si="144"/>
        <v>0.42000000000000004</v>
      </c>
      <c r="K144" s="117">
        <f>'Customer Count'!C57</f>
        <v>17124.376221257429</v>
      </c>
      <c r="L144">
        <f t="shared" si="169"/>
        <v>0.25</v>
      </c>
      <c r="M144" s="8">
        <f t="shared" si="154"/>
        <v>-11221082.251499301</v>
      </c>
      <c r="N144" s="1">
        <f t="shared" ca="1" si="155"/>
        <v>3332167.8790446483</v>
      </c>
      <c r="O144" s="1">
        <f t="shared" ca="1" si="156"/>
        <v>25705.347143139723</v>
      </c>
      <c r="P144" s="1">
        <f t="shared" si="157"/>
        <v>8731265.9612564705</v>
      </c>
      <c r="Q144" s="1">
        <f t="shared" si="160"/>
        <v>-615865.74721267004</v>
      </c>
      <c r="R144" s="1">
        <f t="shared" ca="1" si="161"/>
        <v>130288.64195875051</v>
      </c>
      <c r="S144" s="1">
        <f t="shared" ca="1" si="162"/>
        <v>3876.1185613996909</v>
      </c>
      <c r="T144" s="1">
        <f t="shared" si="163"/>
        <v>11441687.065289777</v>
      </c>
      <c r="U144" s="1">
        <f t="shared" ca="1" si="158"/>
        <v>11828043.014542215</v>
      </c>
    </row>
    <row r="145" spans="1:21">
      <c r="A145" s="7">
        <v>45261</v>
      </c>
      <c r="B145">
        <f t="shared" si="138"/>
        <v>2023</v>
      </c>
      <c r="C145">
        <f t="shared" si="139"/>
        <v>12</v>
      </c>
      <c r="E145" s="115">
        <f t="shared" ref="E145:F145" ca="1" si="178">E133</f>
        <v>523.60000000000014</v>
      </c>
      <c r="F145" s="115">
        <f t="shared" ca="1" si="178"/>
        <v>0</v>
      </c>
      <c r="G145" s="116">
        <f t="shared" si="141"/>
        <v>31</v>
      </c>
      <c r="H145" s="116">
        <f t="shared" si="142"/>
        <v>0</v>
      </c>
      <c r="I145" s="116">
        <f t="shared" ca="1" si="143"/>
        <v>130.90000000000003</v>
      </c>
      <c r="J145" s="116">
        <f t="shared" ca="1" si="144"/>
        <v>0</v>
      </c>
      <c r="K145" s="117">
        <f>'Customer Count'!C58</f>
        <v>17149.588108577056</v>
      </c>
      <c r="L145">
        <f t="shared" si="169"/>
        <v>0.25</v>
      </c>
      <c r="M145" s="8">
        <f t="shared" si="154"/>
        <v>-11221082.251499301</v>
      </c>
      <c r="N145" s="1">
        <f t="shared" ca="1" si="155"/>
        <v>4763749.0825058799</v>
      </c>
      <c r="O145" s="1">
        <f t="shared" ca="1" si="156"/>
        <v>0</v>
      </c>
      <c r="P145" s="1">
        <f t="shared" si="157"/>
        <v>9022308.1599650197</v>
      </c>
      <c r="Q145" s="1">
        <f t="shared" si="160"/>
        <v>0</v>
      </c>
      <c r="R145" s="1">
        <f t="shared" ca="1" si="161"/>
        <v>186263.84417638712</v>
      </c>
      <c r="S145" s="1">
        <f t="shared" ca="1" si="162"/>
        <v>0</v>
      </c>
      <c r="T145" s="1">
        <f t="shared" si="163"/>
        <v>11458532.439469213</v>
      </c>
      <c r="U145" s="1">
        <f t="shared" ca="1" si="158"/>
        <v>14209771.274617199</v>
      </c>
    </row>
    <row r="146" spans="1:21">
      <c r="A146" s="7">
        <v>45292</v>
      </c>
      <c r="B146">
        <f t="shared" ref="B146:B174" si="179">YEAR(A146)</f>
        <v>2024</v>
      </c>
      <c r="C146">
        <f t="shared" ref="C146:C174" si="180">MONTH(A146)</f>
        <v>1</v>
      </c>
      <c r="E146" s="115">
        <f t="shared" ref="E146:F146" ca="1" si="181">E134</f>
        <v>634.42999999999995</v>
      </c>
      <c r="F146" s="115">
        <f t="shared" ca="1" si="181"/>
        <v>0</v>
      </c>
      <c r="G146" s="116">
        <f t="shared" si="141"/>
        <v>31</v>
      </c>
      <c r="H146" s="116">
        <f t="shared" si="142"/>
        <v>0</v>
      </c>
      <c r="I146" s="116">
        <f t="shared" ca="1" si="143"/>
        <v>0</v>
      </c>
      <c r="J146" s="116">
        <f t="shared" ca="1" si="144"/>
        <v>0</v>
      </c>
      <c r="K146" s="117">
        <f>K145*'Customer Count'!$D$48</f>
        <v>17174.837114869897</v>
      </c>
      <c r="L146">
        <v>0</v>
      </c>
      <c r="M146" s="8">
        <f t="shared" ref="M146:M165" si="182">$Z$8</f>
        <v>-11221082.251499301</v>
      </c>
      <c r="N146" s="1">
        <f t="shared" ca="1" si="155"/>
        <v>5772088.1023953483</v>
      </c>
      <c r="O146" s="1">
        <f t="shared" ca="1" si="156"/>
        <v>0</v>
      </c>
      <c r="P146" s="1">
        <f t="shared" si="157"/>
        <v>9022308.1599650197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11475402.61476667</v>
      </c>
      <c r="U146" s="1">
        <f t="shared" ca="1" si="158"/>
        <v>15048716.625627737</v>
      </c>
    </row>
    <row r="147" spans="1:21">
      <c r="A147" s="7">
        <v>45323</v>
      </c>
      <c r="B147">
        <f t="shared" si="179"/>
        <v>2024</v>
      </c>
      <c r="C147">
        <f t="shared" si="180"/>
        <v>2</v>
      </c>
      <c r="E147" s="115">
        <f t="shared" ref="E147:F147" ca="1" si="183">E135</f>
        <v>582</v>
      </c>
      <c r="F147" s="115">
        <f t="shared" ca="1" si="183"/>
        <v>0</v>
      </c>
      <c r="G147" s="116">
        <f t="shared" si="141"/>
        <v>29</v>
      </c>
      <c r="H147" s="116">
        <f t="shared" si="142"/>
        <v>0</v>
      </c>
      <c r="I147" s="116">
        <f t="shared" ca="1" si="143"/>
        <v>0</v>
      </c>
      <c r="J147" s="116">
        <f t="shared" ca="1" si="144"/>
        <v>0</v>
      </c>
      <c r="K147" s="117">
        <f>K146*'Customer Count'!$D$48</f>
        <v>17200.123294785491</v>
      </c>
      <c r="L147">
        <f t="shared" si="169"/>
        <v>0</v>
      </c>
      <c r="M147" s="8">
        <f t="shared" si="182"/>
        <v>-11221082.251499301</v>
      </c>
      <c r="N147" s="1">
        <f t="shared" ca="1" si="155"/>
        <v>5295076.3292941581</v>
      </c>
      <c r="O147" s="1">
        <f t="shared" ca="1" si="156"/>
        <v>0</v>
      </c>
      <c r="P147" s="1">
        <f t="shared" si="157"/>
        <v>8440223.7625479214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11492297.62769635</v>
      </c>
      <c r="U147" s="1">
        <f t="shared" ca="1" si="158"/>
        <v>14006515.468039129</v>
      </c>
    </row>
    <row r="148" spans="1:21">
      <c r="A148" s="7">
        <v>45352</v>
      </c>
      <c r="B148">
        <f t="shared" si="179"/>
        <v>2024</v>
      </c>
      <c r="C148">
        <f t="shared" si="180"/>
        <v>3</v>
      </c>
      <c r="E148" s="115">
        <f t="shared" ref="E148:F148" ca="1" si="184">E136</f>
        <v>498.31000000000006</v>
      </c>
      <c r="F148" s="115">
        <f t="shared" ca="1" si="184"/>
        <v>0.67999999999999994</v>
      </c>
      <c r="G148" s="116">
        <f t="shared" si="141"/>
        <v>31</v>
      </c>
      <c r="H148" s="116">
        <f t="shared" si="142"/>
        <v>1</v>
      </c>
      <c r="I148" s="116">
        <f t="shared" ca="1" si="143"/>
        <v>0</v>
      </c>
      <c r="J148" s="116">
        <f t="shared" ca="1" si="144"/>
        <v>0</v>
      </c>
      <c r="K148" s="117">
        <f>K147*'Customer Count'!$D$48</f>
        <v>17225.446703053847</v>
      </c>
      <c r="L148">
        <f t="shared" si="169"/>
        <v>0</v>
      </c>
      <c r="M148" s="8">
        <f t="shared" si="182"/>
        <v>-11221082.251499301</v>
      </c>
      <c r="N148" s="1">
        <f t="shared" ca="1" si="155"/>
        <v>4533658.9100525295</v>
      </c>
      <c r="O148" s="1">
        <f t="shared" ca="1" si="156"/>
        <v>10404.54527222322</v>
      </c>
      <c r="P148" s="1">
        <f t="shared" si="157"/>
        <v>9022308.1599650197</v>
      </c>
      <c r="Q148" s="1">
        <f t="shared" si="160"/>
        <v>-615865.74721267004</v>
      </c>
      <c r="R148" s="1">
        <f t="shared" ca="1" si="161"/>
        <v>0</v>
      </c>
      <c r="S148" s="1">
        <f t="shared" ca="1" si="162"/>
        <v>0</v>
      </c>
      <c r="T148" s="1">
        <f t="shared" si="163"/>
        <v>11509217.51482622</v>
      </c>
      <c r="U148" s="1">
        <f t="shared" ca="1" si="158"/>
        <v>13238641.131404022</v>
      </c>
    </row>
    <row r="149" spans="1:21">
      <c r="A149" s="7">
        <v>45383</v>
      </c>
      <c r="B149">
        <f t="shared" si="179"/>
        <v>2024</v>
      </c>
      <c r="C149">
        <f t="shared" si="180"/>
        <v>4</v>
      </c>
      <c r="E149" s="115">
        <f t="shared" ref="E149:F149" ca="1" si="185">E137</f>
        <v>322.59999999999997</v>
      </c>
      <c r="F149" s="115">
        <f t="shared" ca="1" si="185"/>
        <v>0.78</v>
      </c>
      <c r="G149" s="116">
        <f t="shared" si="141"/>
        <v>30</v>
      </c>
      <c r="H149" s="116">
        <f t="shared" si="142"/>
        <v>1</v>
      </c>
      <c r="I149" s="116">
        <f t="shared" ca="1" si="143"/>
        <v>0</v>
      </c>
      <c r="J149" s="116">
        <f t="shared" ca="1" si="144"/>
        <v>0</v>
      </c>
      <c r="K149" s="117">
        <f>K148*'Customer Count'!$D$48</f>
        <v>17250.807394485546</v>
      </c>
      <c r="L149">
        <f t="shared" si="169"/>
        <v>0</v>
      </c>
      <c r="M149" s="8">
        <f t="shared" si="182"/>
        <v>-11221082.251499301</v>
      </c>
      <c r="N149" s="1">
        <f t="shared" ca="1" si="155"/>
        <v>2935037.1543475864</v>
      </c>
      <c r="O149" s="1">
        <f t="shared" ca="1" si="156"/>
        <v>11934.625459314871</v>
      </c>
      <c r="P149" s="1">
        <f t="shared" si="157"/>
        <v>8731265.9612564705</v>
      </c>
      <c r="Q149" s="1">
        <f t="shared" si="160"/>
        <v>-615865.74721267004</v>
      </c>
      <c r="R149" s="1">
        <f t="shared" ca="1" si="161"/>
        <v>0</v>
      </c>
      <c r="S149" s="1">
        <f t="shared" ca="1" si="162"/>
        <v>0</v>
      </c>
      <c r="T149" s="1">
        <f t="shared" si="163"/>
        <v>11526162.312778082</v>
      </c>
      <c r="U149" s="1">
        <f t="shared" ca="1" si="158"/>
        <v>11367452.055129483</v>
      </c>
    </row>
    <row r="150" spans="1:21">
      <c r="A150" s="7">
        <v>45413</v>
      </c>
      <c r="B150">
        <f t="shared" si="179"/>
        <v>2024</v>
      </c>
      <c r="C150">
        <f t="shared" si="180"/>
        <v>5</v>
      </c>
      <c r="E150" s="115">
        <f t="shared" ref="E150:F150" ca="1" si="186">E138</f>
        <v>139.78</v>
      </c>
      <c r="F150" s="115">
        <f t="shared" ca="1" si="186"/>
        <v>28.54</v>
      </c>
      <c r="G150" s="116">
        <f t="shared" si="141"/>
        <v>31</v>
      </c>
      <c r="H150" s="116">
        <f t="shared" si="142"/>
        <v>1</v>
      </c>
      <c r="I150" s="116">
        <f t="shared" ca="1" si="143"/>
        <v>0</v>
      </c>
      <c r="J150" s="116">
        <f t="shared" ca="1" si="144"/>
        <v>0</v>
      </c>
      <c r="K150" s="117">
        <f>K149*'Customer Count'!$D$48</f>
        <v>17276.205423971867</v>
      </c>
      <c r="L150">
        <f t="shared" si="169"/>
        <v>0</v>
      </c>
      <c r="M150" s="8">
        <f t="shared" si="182"/>
        <v>-11221082.251499301</v>
      </c>
      <c r="N150" s="1">
        <f t="shared" ca="1" si="155"/>
        <v>1271728.1259600299</v>
      </c>
      <c r="O150" s="1">
        <f t="shared" ca="1" si="156"/>
        <v>436684.88539595692</v>
      </c>
      <c r="P150" s="1">
        <f t="shared" si="157"/>
        <v>9022308.1599650197</v>
      </c>
      <c r="Q150" s="1">
        <f t="shared" si="160"/>
        <v>-615865.74721267004</v>
      </c>
      <c r="R150" s="1">
        <f t="shared" ca="1" si="161"/>
        <v>0</v>
      </c>
      <c r="S150" s="1">
        <f t="shared" ca="1" si="162"/>
        <v>0</v>
      </c>
      <c r="T150" s="1">
        <f t="shared" si="163"/>
        <v>11543132.058227656</v>
      </c>
      <c r="U150" s="1">
        <f t="shared" ca="1" si="158"/>
        <v>10436905.230836691</v>
      </c>
    </row>
    <row r="151" spans="1:21">
      <c r="A151" s="7">
        <v>45444</v>
      </c>
      <c r="B151">
        <f t="shared" si="179"/>
        <v>2024</v>
      </c>
      <c r="C151">
        <f t="shared" si="180"/>
        <v>6</v>
      </c>
      <c r="E151" s="115">
        <f t="shared" ref="E151:F151" ca="1" si="187">E139</f>
        <v>29.85</v>
      </c>
      <c r="F151" s="115">
        <f t="shared" ca="1" si="187"/>
        <v>71.179999999999993</v>
      </c>
      <c r="G151" s="116">
        <f t="shared" si="141"/>
        <v>30</v>
      </c>
      <c r="H151" s="116">
        <f t="shared" si="142"/>
        <v>0</v>
      </c>
      <c r="I151" s="116">
        <f t="shared" ca="1" si="143"/>
        <v>0</v>
      </c>
      <c r="J151" s="116">
        <f t="shared" ca="1" si="144"/>
        <v>0</v>
      </c>
      <c r="K151" s="117">
        <f>K150*'Customer Count'!$D$48</f>
        <v>17301.640846484908</v>
      </c>
      <c r="L151">
        <f t="shared" si="169"/>
        <v>0</v>
      </c>
      <c r="M151" s="8">
        <f t="shared" si="182"/>
        <v>-11221082.251499301</v>
      </c>
      <c r="N151" s="1">
        <f t="shared" ca="1" si="155"/>
        <v>271577.3684354478</v>
      </c>
      <c r="O151" s="1">
        <f t="shared" ca="1" si="156"/>
        <v>1089111.0771718365</v>
      </c>
      <c r="P151" s="1">
        <f t="shared" si="157"/>
        <v>8731265.9612564705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11560126.787904663</v>
      </c>
      <c r="U151" s="1">
        <f t="shared" ca="1" si="158"/>
        <v>10430998.943269117</v>
      </c>
    </row>
    <row r="152" spans="1:21">
      <c r="A152" s="7">
        <v>45474</v>
      </c>
      <c r="B152">
        <f t="shared" si="179"/>
        <v>2024</v>
      </c>
      <c r="C152">
        <f t="shared" si="180"/>
        <v>7</v>
      </c>
      <c r="E152" s="115">
        <f t="shared" ref="E152:F152" ca="1" si="188">E140</f>
        <v>1.36</v>
      </c>
      <c r="F152" s="115">
        <f t="shared" ca="1" si="188"/>
        <v>150.63</v>
      </c>
      <c r="G152" s="116">
        <f t="shared" si="141"/>
        <v>31</v>
      </c>
      <c r="H152" s="116">
        <f t="shared" si="142"/>
        <v>0</v>
      </c>
      <c r="I152" s="116">
        <f t="shared" ca="1" si="143"/>
        <v>0</v>
      </c>
      <c r="J152" s="116">
        <f t="shared" ca="1" si="144"/>
        <v>0</v>
      </c>
      <c r="K152" s="117">
        <f>K151*'Customer Count'!$D$48</f>
        <v>17327.113717077693</v>
      </c>
      <c r="L152">
        <f t="shared" si="169"/>
        <v>0</v>
      </c>
      <c r="M152" s="8">
        <f t="shared" si="182"/>
        <v>-11221082.251499301</v>
      </c>
      <c r="N152" s="1">
        <f t="shared" ca="1" si="155"/>
        <v>12373.374240275009</v>
      </c>
      <c r="O152" s="1">
        <f t="shared" ca="1" si="156"/>
        <v>2304759.7858161526</v>
      </c>
      <c r="P152" s="1">
        <f t="shared" si="157"/>
        <v>9022308.1599650197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11577146.538592894</v>
      </c>
      <c r="U152" s="1">
        <f t="shared" ca="1" si="158"/>
        <v>11695505.607115041</v>
      </c>
    </row>
    <row r="153" spans="1:21">
      <c r="A153" s="7">
        <v>45505</v>
      </c>
      <c r="B153">
        <f t="shared" si="179"/>
        <v>2024</v>
      </c>
      <c r="C153">
        <f t="shared" si="180"/>
        <v>8</v>
      </c>
      <c r="E153" s="115">
        <f t="shared" ref="E153:F153" ca="1" si="189">E141</f>
        <v>1.77</v>
      </c>
      <c r="F153" s="115">
        <f t="shared" ca="1" si="189"/>
        <v>138.02000000000001</v>
      </c>
      <c r="G153" s="116">
        <f t="shared" si="141"/>
        <v>31</v>
      </c>
      <c r="H153" s="116">
        <f t="shared" si="142"/>
        <v>0</v>
      </c>
      <c r="I153" s="116">
        <f t="shared" ca="1" si="143"/>
        <v>0</v>
      </c>
      <c r="J153" s="116">
        <f t="shared" ca="1" si="144"/>
        <v>0</v>
      </c>
      <c r="K153" s="117">
        <f>K152*'Customer Count'!$D$48</f>
        <v>17352.624090884306</v>
      </c>
      <c r="L153">
        <f t="shared" si="169"/>
        <v>0</v>
      </c>
      <c r="M153" s="8">
        <f t="shared" si="182"/>
        <v>-11221082.251499301</v>
      </c>
      <c r="N153" s="1">
        <f t="shared" ca="1" si="155"/>
        <v>16103.582650946151</v>
      </c>
      <c r="O153" s="1">
        <f t="shared" ca="1" si="156"/>
        <v>2111816.6742238957</v>
      </c>
      <c r="P153" s="1">
        <f t="shared" si="157"/>
        <v>9022308.1599650197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11594191.3471303</v>
      </c>
      <c r="U153" s="1">
        <f t="shared" ca="1" si="158"/>
        <v>11523337.512470862</v>
      </c>
    </row>
    <row r="154" spans="1:21">
      <c r="A154" s="7">
        <v>45536</v>
      </c>
      <c r="B154">
        <f t="shared" si="179"/>
        <v>2024</v>
      </c>
      <c r="C154">
        <f t="shared" si="180"/>
        <v>9</v>
      </c>
      <c r="E154" s="115">
        <f t="shared" ref="E154:F154" ca="1" si="190">E142</f>
        <v>37.33</v>
      </c>
      <c r="F154" s="115">
        <f t="shared" ca="1" si="190"/>
        <v>62.11</v>
      </c>
      <c r="G154" s="116">
        <f t="shared" si="141"/>
        <v>30</v>
      </c>
      <c r="H154" s="116">
        <f t="shared" si="142"/>
        <v>1</v>
      </c>
      <c r="I154" s="116">
        <f t="shared" ref="I154:I185" ca="1" si="191">E154*L154</f>
        <v>0</v>
      </c>
      <c r="J154" s="116">
        <f t="shared" ref="J154:J185" ca="1" si="192">F154*L154</f>
        <v>0</v>
      </c>
      <c r="K154" s="117">
        <f>K153*'Customer Count'!$D$48</f>
        <v>17378.172023120002</v>
      </c>
      <c r="L154">
        <f t="shared" si="169"/>
        <v>0</v>
      </c>
      <c r="M154" s="8">
        <f t="shared" si="182"/>
        <v>-11221082.251499301</v>
      </c>
      <c r="N154" s="1">
        <f t="shared" ca="1" si="155"/>
        <v>339630.92675696034</v>
      </c>
      <c r="O154" s="1">
        <f t="shared" ca="1" si="156"/>
        <v>950332.8042026239</v>
      </c>
      <c r="P154" s="1">
        <f t="shared" si="157"/>
        <v>8731265.9612564705</v>
      </c>
      <c r="Q154" s="1">
        <f t="shared" si="160"/>
        <v>-615865.74721267004</v>
      </c>
      <c r="R154" s="1">
        <f t="shared" ca="1" si="161"/>
        <v>0</v>
      </c>
      <c r="S154" s="1">
        <f t="shared" ca="1" si="162"/>
        <v>0</v>
      </c>
      <c r="T154" s="1">
        <f t="shared" si="163"/>
        <v>11611261.250409065</v>
      </c>
      <c r="U154" s="1">
        <f t="shared" ca="1" si="158"/>
        <v>9795542.9439131487</v>
      </c>
    </row>
    <row r="155" spans="1:21">
      <c r="A155" s="7">
        <v>45566</v>
      </c>
      <c r="B155">
        <f t="shared" si="179"/>
        <v>2024</v>
      </c>
      <c r="C155">
        <f t="shared" si="180"/>
        <v>10</v>
      </c>
      <c r="E155" s="115">
        <f t="shared" ref="E155:F155" ca="1" si="193">E143</f>
        <v>173.75</v>
      </c>
      <c r="F155" s="115">
        <f t="shared" ca="1" si="193"/>
        <v>11.59</v>
      </c>
      <c r="G155" s="116">
        <f t="shared" si="141"/>
        <v>31</v>
      </c>
      <c r="H155" s="116">
        <f t="shared" si="142"/>
        <v>1</v>
      </c>
      <c r="I155" s="116">
        <f t="shared" ca="1" si="191"/>
        <v>0</v>
      </c>
      <c r="J155" s="116">
        <f t="shared" ca="1" si="192"/>
        <v>0</v>
      </c>
      <c r="K155" s="117">
        <f>K154*'Customer Count'!$D$48</f>
        <v>17403.757569081328</v>
      </c>
      <c r="L155">
        <f t="shared" si="169"/>
        <v>0</v>
      </c>
      <c r="M155" s="8">
        <f t="shared" si="182"/>
        <v>-11221082.251499301</v>
      </c>
      <c r="N155" s="1">
        <f t="shared" ca="1" si="155"/>
        <v>1580789.5398880756</v>
      </c>
      <c r="O155" s="1">
        <f t="shared" ca="1" si="156"/>
        <v>177336.29368392224</v>
      </c>
      <c r="P155" s="1">
        <f t="shared" si="157"/>
        <v>9022308.1599650197</v>
      </c>
      <c r="Q155" s="1">
        <f t="shared" si="160"/>
        <v>-615865.74721267004</v>
      </c>
      <c r="R155" s="1">
        <f t="shared" ca="1" si="161"/>
        <v>0</v>
      </c>
      <c r="S155" s="1">
        <f t="shared" ca="1" si="162"/>
        <v>0</v>
      </c>
      <c r="T155" s="1">
        <f t="shared" si="163"/>
        <v>11628356.285375694</v>
      </c>
      <c r="U155" s="1">
        <f t="shared" ca="1" si="158"/>
        <v>10571842.280200738</v>
      </c>
    </row>
    <row r="156" spans="1:21">
      <c r="A156" s="7">
        <v>45597</v>
      </c>
      <c r="B156">
        <f t="shared" si="179"/>
        <v>2024</v>
      </c>
      <c r="C156">
        <f t="shared" si="180"/>
        <v>11</v>
      </c>
      <c r="E156" s="115">
        <f t="shared" ref="E156:F156" ca="1" si="194">E144</f>
        <v>366.25</v>
      </c>
      <c r="F156" s="115">
        <f t="shared" ca="1" si="194"/>
        <v>1.6800000000000002</v>
      </c>
      <c r="G156" s="116">
        <f t="shared" si="141"/>
        <v>30</v>
      </c>
      <c r="H156" s="116">
        <f t="shared" si="142"/>
        <v>1</v>
      </c>
      <c r="I156" s="116">
        <f t="shared" ca="1" si="191"/>
        <v>0</v>
      </c>
      <c r="J156" s="116">
        <f t="shared" ca="1" si="192"/>
        <v>0</v>
      </c>
      <c r="K156" s="117">
        <f>K155*'Customer Count'!$D$48</f>
        <v>17429.380784146244</v>
      </c>
      <c r="L156">
        <f t="shared" si="169"/>
        <v>0</v>
      </c>
      <c r="M156" s="8">
        <f t="shared" si="182"/>
        <v>-11221082.251499301</v>
      </c>
      <c r="N156" s="1">
        <f t="shared" ca="1" si="155"/>
        <v>3332167.8790446483</v>
      </c>
      <c r="O156" s="1">
        <f t="shared" ca="1" si="156"/>
        <v>25705.347143139723</v>
      </c>
      <c r="P156" s="1">
        <f t="shared" si="157"/>
        <v>8731265.9612564705</v>
      </c>
      <c r="Q156" s="1">
        <f t="shared" si="160"/>
        <v>-615865.74721267004</v>
      </c>
      <c r="R156" s="1">
        <f t="shared" ca="1" si="161"/>
        <v>0</v>
      </c>
      <c r="S156" s="1">
        <f t="shared" ca="1" si="162"/>
        <v>0</v>
      </c>
      <c r="T156" s="1">
        <f t="shared" si="163"/>
        <v>11645476.48903108</v>
      </c>
      <c r="U156" s="1">
        <f t="shared" ca="1" si="158"/>
        <v>11897667.677763367</v>
      </c>
    </row>
    <row r="157" spans="1:21">
      <c r="A157" s="7">
        <v>45627</v>
      </c>
      <c r="B157">
        <f t="shared" si="179"/>
        <v>2024</v>
      </c>
      <c r="C157">
        <f t="shared" si="180"/>
        <v>12</v>
      </c>
      <c r="E157" s="115">
        <f t="shared" ref="E157:F157" ca="1" si="195">E145</f>
        <v>523.60000000000014</v>
      </c>
      <c r="F157" s="115">
        <f t="shared" ca="1" si="195"/>
        <v>0</v>
      </c>
      <c r="G157" s="116">
        <f t="shared" si="141"/>
        <v>31</v>
      </c>
      <c r="H157" s="116">
        <f t="shared" si="142"/>
        <v>0</v>
      </c>
      <c r="I157" s="116">
        <f t="shared" ca="1" si="191"/>
        <v>0</v>
      </c>
      <c r="J157" s="116">
        <f t="shared" ca="1" si="192"/>
        <v>0</v>
      </c>
      <c r="K157" s="117">
        <f>K156*'Customer Count'!$D$48</f>
        <v>17455.04172377424</v>
      </c>
      <c r="L157">
        <f t="shared" si="169"/>
        <v>0</v>
      </c>
      <c r="M157" s="8">
        <f t="shared" si="182"/>
        <v>-11221082.251499301</v>
      </c>
      <c r="N157" s="1">
        <f t="shared" ca="1" si="155"/>
        <v>4763749.0825058799</v>
      </c>
      <c r="O157" s="1">
        <f t="shared" ca="1" si="156"/>
        <v>0</v>
      </c>
      <c r="P157" s="1">
        <f t="shared" si="157"/>
        <v>9022308.1599650197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11662621.898430597</v>
      </c>
      <c r="U157" s="1">
        <f t="shared" ca="1" si="158"/>
        <v>14227596.889402196</v>
      </c>
    </row>
    <row r="158" spans="1:21">
      <c r="A158" s="7">
        <v>45658</v>
      </c>
      <c r="B158">
        <f t="shared" si="179"/>
        <v>2025</v>
      </c>
      <c r="C158">
        <f t="shared" si="180"/>
        <v>1</v>
      </c>
      <c r="E158" s="115">
        <f t="shared" ref="E158:F158" ca="1" si="196">E146</f>
        <v>634.42999999999995</v>
      </c>
      <c r="F158" s="115">
        <f t="shared" ca="1" si="196"/>
        <v>0</v>
      </c>
      <c r="G158" s="116">
        <f t="shared" si="141"/>
        <v>31</v>
      </c>
      <c r="H158" s="116">
        <f t="shared" si="142"/>
        <v>0</v>
      </c>
      <c r="I158" s="116">
        <f t="shared" ca="1" si="191"/>
        <v>0</v>
      </c>
      <c r="J158" s="116">
        <f t="shared" ca="1" si="192"/>
        <v>0</v>
      </c>
      <c r="K158" s="117">
        <f>K157*'Customer Count'!$D$48</f>
        <v>17480.74044350646</v>
      </c>
      <c r="L158">
        <f t="shared" si="169"/>
        <v>0</v>
      </c>
      <c r="M158" s="8">
        <f t="shared" si="182"/>
        <v>-11221082.251499301</v>
      </c>
      <c r="N158" s="1">
        <f t="shared" ca="1" si="155"/>
        <v>5772088.1023953483</v>
      </c>
      <c r="O158" s="1">
        <f t="shared" ca="1" si="156"/>
        <v>0</v>
      </c>
      <c r="P158" s="1">
        <f t="shared" si="157"/>
        <v>9022308.1599650197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11679792.550684176</v>
      </c>
      <c r="U158" s="1">
        <f t="shared" ca="1" si="158"/>
        <v>15253106.561545243</v>
      </c>
    </row>
    <row r="159" spans="1:21">
      <c r="A159" s="7">
        <v>45689</v>
      </c>
      <c r="B159">
        <f t="shared" si="179"/>
        <v>2025</v>
      </c>
      <c r="C159">
        <f t="shared" si="180"/>
        <v>2</v>
      </c>
      <c r="E159" s="115">
        <f t="shared" ref="E159:F159" ca="1" si="197">E147</f>
        <v>582</v>
      </c>
      <c r="F159" s="115">
        <f t="shared" ca="1" si="197"/>
        <v>0</v>
      </c>
      <c r="G159" s="116">
        <f t="shared" si="141"/>
        <v>28</v>
      </c>
      <c r="H159" s="116">
        <f t="shared" si="142"/>
        <v>0</v>
      </c>
      <c r="I159" s="116">
        <f t="shared" ca="1" si="191"/>
        <v>0</v>
      </c>
      <c r="J159" s="116">
        <f t="shared" ca="1" si="192"/>
        <v>0</v>
      </c>
      <c r="K159" s="117">
        <f>K158*'Customer Count'!$D$48</f>
        <v>17506.47699896582</v>
      </c>
      <c r="L159">
        <f t="shared" si="169"/>
        <v>0</v>
      </c>
      <c r="M159" s="8">
        <f t="shared" si="182"/>
        <v>-11221082.251499301</v>
      </c>
      <c r="N159" s="1">
        <f t="shared" ca="1" si="155"/>
        <v>5295076.3292941581</v>
      </c>
      <c r="O159" s="1">
        <f t="shared" ca="1" si="156"/>
        <v>0</v>
      </c>
      <c r="P159" s="1">
        <f t="shared" si="157"/>
        <v>8149181.5638393722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11696988.482956378</v>
      </c>
      <c r="U159" s="1">
        <f t="shared" ca="1" si="158"/>
        <v>13920164.124590607</v>
      </c>
    </row>
    <row r="160" spans="1:21">
      <c r="A160" s="7">
        <v>45717</v>
      </c>
      <c r="B160">
        <f t="shared" si="179"/>
        <v>2025</v>
      </c>
      <c r="C160">
        <f t="shared" si="180"/>
        <v>3</v>
      </c>
      <c r="E160" s="115">
        <f t="shared" ref="E160:F160" ca="1" si="198">E148</f>
        <v>498.31000000000006</v>
      </c>
      <c r="F160" s="115">
        <f t="shared" ca="1" si="198"/>
        <v>0.67999999999999994</v>
      </c>
      <c r="G160" s="116">
        <f t="shared" si="141"/>
        <v>31</v>
      </c>
      <c r="H160" s="116">
        <f t="shared" si="142"/>
        <v>1</v>
      </c>
      <c r="I160" s="116">
        <f t="shared" ca="1" si="191"/>
        <v>0</v>
      </c>
      <c r="J160" s="116">
        <f t="shared" ca="1" si="192"/>
        <v>0</v>
      </c>
      <c r="K160" s="117">
        <f>K159*'Customer Count'!$D$48</f>
        <v>17532.251445857128</v>
      </c>
      <c r="L160">
        <f t="shared" si="169"/>
        <v>0</v>
      </c>
      <c r="M160" s="8">
        <f t="shared" si="182"/>
        <v>-11221082.251499301</v>
      </c>
      <c r="N160" s="1">
        <f t="shared" ca="1" si="155"/>
        <v>4533658.9100525295</v>
      </c>
      <c r="O160" s="1">
        <f t="shared" ca="1" si="156"/>
        <v>10404.54527222322</v>
      </c>
      <c r="P160" s="1">
        <f t="shared" si="157"/>
        <v>9022308.1599650197</v>
      </c>
      <c r="Q160" s="1">
        <f t="shared" si="160"/>
        <v>-615865.74721267004</v>
      </c>
      <c r="R160" s="1">
        <f t="shared" ca="1" si="161"/>
        <v>0</v>
      </c>
      <c r="S160" s="1">
        <f t="shared" ca="1" si="162"/>
        <v>0</v>
      </c>
      <c r="T160" s="1">
        <f t="shared" si="163"/>
        <v>11714209.732466489</v>
      </c>
      <c r="U160" s="1">
        <f t="shared" ca="1" si="158"/>
        <v>13443633.349044291</v>
      </c>
    </row>
    <row r="161" spans="1:21">
      <c r="A161" s="7">
        <v>45748</v>
      </c>
      <c r="B161">
        <f t="shared" si="179"/>
        <v>2025</v>
      </c>
      <c r="C161">
        <f t="shared" si="180"/>
        <v>4</v>
      </c>
      <c r="E161" s="115">
        <f t="shared" ref="E161:F161" ca="1" si="199">E149</f>
        <v>322.59999999999997</v>
      </c>
      <c r="F161" s="115">
        <f t="shared" ca="1" si="199"/>
        <v>0.78</v>
      </c>
      <c r="G161" s="116">
        <f t="shared" si="141"/>
        <v>30</v>
      </c>
      <c r="H161" s="116">
        <f t="shared" si="142"/>
        <v>1</v>
      </c>
      <c r="I161" s="116">
        <f t="shared" ca="1" si="191"/>
        <v>0</v>
      </c>
      <c r="J161" s="116">
        <f t="shared" ca="1" si="192"/>
        <v>0</v>
      </c>
      <c r="K161" s="117">
        <f>K160*'Customer Count'!$D$48</f>
        <v>17558.063839967206</v>
      </c>
      <c r="L161">
        <f t="shared" si="169"/>
        <v>0</v>
      </c>
      <c r="M161" s="8">
        <f t="shared" si="182"/>
        <v>-11221082.251499301</v>
      </c>
      <c r="N161" s="1">
        <f t="shared" ca="1" si="155"/>
        <v>2935037.1543475864</v>
      </c>
      <c r="O161" s="1">
        <f t="shared" ca="1" si="156"/>
        <v>11934.625459314871</v>
      </c>
      <c r="P161" s="1">
        <f t="shared" si="157"/>
        <v>8731265.9612564705</v>
      </c>
      <c r="Q161" s="1">
        <f t="shared" si="160"/>
        <v>-615865.74721267004</v>
      </c>
      <c r="R161" s="1">
        <f t="shared" ca="1" si="161"/>
        <v>0</v>
      </c>
      <c r="S161" s="1">
        <f t="shared" ca="1" si="162"/>
        <v>0</v>
      </c>
      <c r="T161" s="1">
        <f t="shared" si="163"/>
        <v>11731456.336488586</v>
      </c>
      <c r="U161" s="1">
        <f t="shared" ca="1" si="158"/>
        <v>11572746.078839988</v>
      </c>
    </row>
    <row r="162" spans="1:21">
      <c r="A162" s="7">
        <v>45778</v>
      </c>
      <c r="B162">
        <f t="shared" si="179"/>
        <v>2025</v>
      </c>
      <c r="C162">
        <f t="shared" si="180"/>
        <v>5</v>
      </c>
      <c r="E162" s="115">
        <f t="shared" ref="E162:F162" ca="1" si="200">E150</f>
        <v>139.78</v>
      </c>
      <c r="F162" s="115">
        <f t="shared" ca="1" si="200"/>
        <v>28.54</v>
      </c>
      <c r="G162" s="116">
        <f t="shared" si="141"/>
        <v>31</v>
      </c>
      <c r="H162" s="116">
        <f t="shared" si="142"/>
        <v>1</v>
      </c>
      <c r="I162" s="116">
        <f t="shared" ca="1" si="191"/>
        <v>0</v>
      </c>
      <c r="J162" s="116">
        <f t="shared" ca="1" si="192"/>
        <v>0</v>
      </c>
      <c r="K162" s="117">
        <f>K161*'Customer Count'!$D$48</f>
        <v>17583.914237165009</v>
      </c>
      <c r="L162">
        <f t="shared" si="169"/>
        <v>0</v>
      </c>
      <c r="M162" s="8">
        <f t="shared" si="182"/>
        <v>-11221082.251499301</v>
      </c>
      <c r="N162" s="1">
        <f t="shared" ref="N162:N193" ca="1" si="201">E162*$Z$9</f>
        <v>1271728.1259600299</v>
      </c>
      <c r="O162" s="1">
        <f t="shared" ref="O162:O193" ca="1" si="202">F162*$Z$10</f>
        <v>436684.88539595692</v>
      </c>
      <c r="P162" s="1">
        <f t="shared" ref="P162:P193" si="203">G162*$Z$11</f>
        <v>9022308.1599650197</v>
      </c>
      <c r="Q162" s="1">
        <f t="shared" si="160"/>
        <v>-615865.74721267004</v>
      </c>
      <c r="R162" s="1">
        <f t="shared" ca="1" si="161"/>
        <v>0</v>
      </c>
      <c r="S162" s="1">
        <f t="shared" ca="1" si="162"/>
        <v>0</v>
      </c>
      <c r="T162" s="1">
        <f t="shared" si="163"/>
        <v>11748728.332351627</v>
      </c>
      <c r="U162" s="1">
        <f t="shared" ref="U162:U193" ca="1" si="204">SUM(M162:T162)</f>
        <v>10642501.504960662</v>
      </c>
    </row>
    <row r="163" spans="1:21">
      <c r="A163" s="7">
        <v>45809</v>
      </c>
      <c r="B163">
        <f t="shared" si="179"/>
        <v>2025</v>
      </c>
      <c r="C163">
        <f t="shared" si="180"/>
        <v>6</v>
      </c>
      <c r="E163" s="115">
        <f t="shared" ref="E163:F163" ca="1" si="205">E151</f>
        <v>29.85</v>
      </c>
      <c r="F163" s="115">
        <f t="shared" ca="1" si="205"/>
        <v>71.179999999999993</v>
      </c>
      <c r="G163" s="116">
        <f t="shared" si="141"/>
        <v>30</v>
      </c>
      <c r="H163" s="116">
        <f t="shared" si="142"/>
        <v>0</v>
      </c>
      <c r="I163" s="116">
        <f t="shared" ca="1" si="191"/>
        <v>0</v>
      </c>
      <c r="J163" s="116">
        <f t="shared" ca="1" si="192"/>
        <v>0</v>
      </c>
      <c r="K163" s="117">
        <f>K162*'Customer Count'!$D$48</f>
        <v>17609.802693401743</v>
      </c>
      <c r="L163">
        <f t="shared" si="169"/>
        <v>0</v>
      </c>
      <c r="M163" s="8">
        <f t="shared" si="182"/>
        <v>-11221082.251499301</v>
      </c>
      <c r="N163" s="1">
        <f t="shared" ca="1" si="201"/>
        <v>271577.3684354478</v>
      </c>
      <c r="O163" s="1">
        <f t="shared" ca="1" si="202"/>
        <v>1089111.0771718365</v>
      </c>
      <c r="P163" s="1">
        <f t="shared" si="203"/>
        <v>8731265.9612564705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11766025.757439524</v>
      </c>
      <c r="U163" s="1">
        <f t="shared" ca="1" si="204"/>
        <v>10636897.912803978</v>
      </c>
    </row>
    <row r="164" spans="1:21">
      <c r="A164" s="7">
        <v>45839</v>
      </c>
      <c r="B164">
        <f t="shared" si="179"/>
        <v>2025</v>
      </c>
      <c r="C164">
        <f t="shared" si="180"/>
        <v>7</v>
      </c>
      <c r="E164" s="115">
        <f t="shared" ref="E164:F164" ca="1" si="206">E152</f>
        <v>1.36</v>
      </c>
      <c r="F164" s="115">
        <f t="shared" ca="1" si="206"/>
        <v>150.63</v>
      </c>
      <c r="G164" s="116">
        <f t="shared" si="141"/>
        <v>31</v>
      </c>
      <c r="H164" s="116">
        <f t="shared" si="142"/>
        <v>0</v>
      </c>
      <c r="I164" s="116">
        <f t="shared" ca="1" si="191"/>
        <v>0</v>
      </c>
      <c r="J164" s="116">
        <f t="shared" ca="1" si="192"/>
        <v>0</v>
      </c>
      <c r="K164" s="117">
        <f>K163*'Customer Count'!$D$48</f>
        <v>17635.729264710997</v>
      </c>
      <c r="L164">
        <f t="shared" si="169"/>
        <v>0</v>
      </c>
      <c r="M164" s="8">
        <f t="shared" si="182"/>
        <v>-11221082.251499301</v>
      </c>
      <c r="N164" s="1">
        <f t="shared" ca="1" si="201"/>
        <v>12373.374240275009</v>
      </c>
      <c r="O164" s="1">
        <f t="shared" ca="1" si="202"/>
        <v>2304759.7858161526</v>
      </c>
      <c r="P164" s="1">
        <f t="shared" si="203"/>
        <v>9022308.1599650197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11783348.649191234</v>
      </c>
      <c r="U164" s="1">
        <f t="shared" ca="1" si="204"/>
        <v>11901707.717713382</v>
      </c>
    </row>
    <row r="165" spans="1:21">
      <c r="A165" s="7">
        <v>45870</v>
      </c>
      <c r="B165">
        <f t="shared" si="179"/>
        <v>2025</v>
      </c>
      <c r="C165">
        <f t="shared" si="180"/>
        <v>8</v>
      </c>
      <c r="E165" s="115">
        <f t="shared" ref="E165:F165" ca="1" si="207">E153</f>
        <v>1.77</v>
      </c>
      <c r="F165" s="115">
        <f t="shared" ca="1" si="207"/>
        <v>138.02000000000001</v>
      </c>
      <c r="G165" s="116">
        <f t="shared" si="141"/>
        <v>31</v>
      </c>
      <c r="H165" s="116">
        <f t="shared" si="142"/>
        <v>0</v>
      </c>
      <c r="I165" s="116">
        <f t="shared" ca="1" si="191"/>
        <v>0</v>
      </c>
      <c r="J165" s="116">
        <f t="shared" ca="1" si="192"/>
        <v>0</v>
      </c>
      <c r="K165" s="117">
        <f>K164*'Customer Count'!$D$48</f>
        <v>17661.694007208855</v>
      </c>
      <c r="L165">
        <f t="shared" si="169"/>
        <v>0</v>
      </c>
      <c r="M165" s="8">
        <f t="shared" si="182"/>
        <v>-11221082.251499301</v>
      </c>
      <c r="N165" s="1">
        <f t="shared" ca="1" si="201"/>
        <v>16103.582650946151</v>
      </c>
      <c r="O165" s="1">
        <f t="shared" ca="1" si="202"/>
        <v>2111816.6742238957</v>
      </c>
      <c r="P165" s="1">
        <f t="shared" si="203"/>
        <v>9022308.1599650197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11800697.045100834</v>
      </c>
      <c r="U165" s="1">
        <f t="shared" ca="1" si="204"/>
        <v>11729843.210441396</v>
      </c>
    </row>
    <row r="166" spans="1:21">
      <c r="A166" s="7">
        <v>45901</v>
      </c>
      <c r="B166">
        <f t="shared" si="179"/>
        <v>2025</v>
      </c>
      <c r="C166">
        <f t="shared" si="180"/>
        <v>9</v>
      </c>
      <c r="E166" s="115">
        <f t="shared" ref="E166:F166" ca="1" si="208">E154</f>
        <v>37.33</v>
      </c>
      <c r="F166" s="115">
        <f t="shared" ca="1" si="208"/>
        <v>62.11</v>
      </c>
      <c r="G166" s="116">
        <f t="shared" si="141"/>
        <v>30</v>
      </c>
      <c r="H166" s="116">
        <f t="shared" si="142"/>
        <v>1</v>
      </c>
      <c r="I166" s="116">
        <f t="shared" ca="1" si="191"/>
        <v>0</v>
      </c>
      <c r="J166" s="116">
        <f t="shared" ca="1" si="192"/>
        <v>0</v>
      </c>
      <c r="K166" s="117">
        <f>K165*'Customer Count'!$D$48</f>
        <v>17687.696977094012</v>
      </c>
      <c r="L166">
        <f t="shared" si="169"/>
        <v>0</v>
      </c>
      <c r="M166" s="8">
        <f t="shared" ref="M166:M174" si="209">$Z$8</f>
        <v>-11221082.251499301</v>
      </c>
      <c r="N166" s="1">
        <f t="shared" ca="1" si="201"/>
        <v>339630.92675696034</v>
      </c>
      <c r="O166" s="1">
        <f t="shared" ca="1" si="202"/>
        <v>950332.8042026239</v>
      </c>
      <c r="P166" s="1">
        <f t="shared" si="203"/>
        <v>8731265.9612564705</v>
      </c>
      <c r="Q166" s="1">
        <f t="shared" si="160"/>
        <v>-615865.74721267004</v>
      </c>
      <c r="R166" s="1">
        <f t="shared" ca="1" si="161"/>
        <v>0</v>
      </c>
      <c r="S166" s="1">
        <f t="shared" ca="1" si="162"/>
        <v>0</v>
      </c>
      <c r="T166" s="1">
        <f t="shared" si="163"/>
        <v>11818070.982717598</v>
      </c>
      <c r="U166" s="1">
        <f t="shared" ca="1" si="204"/>
        <v>10002352.676221682</v>
      </c>
    </row>
    <row r="167" spans="1:21">
      <c r="A167" s="7">
        <v>45931</v>
      </c>
      <c r="B167">
        <f t="shared" si="179"/>
        <v>2025</v>
      </c>
      <c r="C167">
        <f t="shared" si="180"/>
        <v>10</v>
      </c>
      <c r="E167" s="115">
        <f t="shared" ref="E167:F167" ca="1" si="210">E155</f>
        <v>173.75</v>
      </c>
      <c r="F167" s="115">
        <f t="shared" ca="1" si="210"/>
        <v>11.59</v>
      </c>
      <c r="G167" s="116">
        <f t="shared" si="141"/>
        <v>31</v>
      </c>
      <c r="H167" s="116">
        <f t="shared" si="142"/>
        <v>1</v>
      </c>
      <c r="I167" s="116">
        <f t="shared" ca="1" si="191"/>
        <v>0</v>
      </c>
      <c r="J167" s="116">
        <f t="shared" ca="1" si="192"/>
        <v>0</v>
      </c>
      <c r="K167" s="117">
        <f>K166*'Customer Count'!$D$48</f>
        <v>17713.738230647916</v>
      </c>
      <c r="L167">
        <f t="shared" si="169"/>
        <v>0</v>
      </c>
      <c r="M167" s="8">
        <f t="shared" si="209"/>
        <v>-11221082.251499301</v>
      </c>
      <c r="N167" s="1">
        <f t="shared" ca="1" si="201"/>
        <v>1580789.5398880756</v>
      </c>
      <c r="O167" s="1">
        <f t="shared" ca="1" si="202"/>
        <v>177336.29368392224</v>
      </c>
      <c r="P167" s="1">
        <f t="shared" si="203"/>
        <v>9022308.1599650197</v>
      </c>
      <c r="Q167" s="1">
        <f t="shared" si="160"/>
        <v>-615865.74721267004</v>
      </c>
      <c r="R167" s="1">
        <f t="shared" ca="1" si="161"/>
        <v>0</v>
      </c>
      <c r="S167" s="1">
        <f t="shared" ca="1" si="162"/>
        <v>0</v>
      </c>
      <c r="T167" s="1">
        <f t="shared" si="163"/>
        <v>11835470.49964609</v>
      </c>
      <c r="U167" s="1">
        <f t="shared" ca="1" si="204"/>
        <v>10778956.494471135</v>
      </c>
    </row>
    <row r="168" spans="1:21">
      <c r="A168" s="7">
        <v>45962</v>
      </c>
      <c r="B168">
        <f t="shared" si="179"/>
        <v>2025</v>
      </c>
      <c r="C168">
        <f t="shared" si="180"/>
        <v>11</v>
      </c>
      <c r="E168" s="115">
        <f t="shared" ref="E168:F168" ca="1" si="211">E156</f>
        <v>366.25</v>
      </c>
      <c r="F168" s="115">
        <f t="shared" ca="1" si="211"/>
        <v>1.6800000000000002</v>
      </c>
      <c r="G168" s="116">
        <f t="shared" si="141"/>
        <v>30</v>
      </c>
      <c r="H168" s="116">
        <f t="shared" si="142"/>
        <v>1</v>
      </c>
      <c r="I168" s="116">
        <f t="shared" ca="1" si="191"/>
        <v>0</v>
      </c>
      <c r="J168" s="116">
        <f t="shared" ca="1" si="192"/>
        <v>0</v>
      </c>
      <c r="K168" s="117">
        <f>K167*'Customer Count'!$D$48</f>
        <v>17739.817824234869</v>
      </c>
      <c r="L168">
        <f t="shared" si="169"/>
        <v>0</v>
      </c>
      <c r="M168" s="8">
        <f t="shared" si="209"/>
        <v>-11221082.251499301</v>
      </c>
      <c r="N168" s="1">
        <f t="shared" ca="1" si="201"/>
        <v>3332167.8790446483</v>
      </c>
      <c r="O168" s="1">
        <f t="shared" ca="1" si="202"/>
        <v>25705.347143139723</v>
      </c>
      <c r="P168" s="1">
        <f t="shared" si="203"/>
        <v>8731265.9612564705</v>
      </c>
      <c r="Q168" s="1">
        <f t="shared" si="160"/>
        <v>-615865.74721267004</v>
      </c>
      <c r="R168" s="1">
        <f t="shared" ca="1" si="161"/>
        <v>0</v>
      </c>
      <c r="S168" s="1">
        <f t="shared" ca="1" si="162"/>
        <v>0</v>
      </c>
      <c r="T168" s="1">
        <f t="shared" si="163"/>
        <v>11852895.633546235</v>
      </c>
      <c r="U168" s="1">
        <f t="shared" ca="1" si="204"/>
        <v>12105086.822278522</v>
      </c>
    </row>
    <row r="169" spans="1:21">
      <c r="A169" s="7">
        <v>45992</v>
      </c>
      <c r="B169">
        <f t="shared" si="179"/>
        <v>2025</v>
      </c>
      <c r="C169">
        <f t="shared" si="180"/>
        <v>12</v>
      </c>
      <c r="E169" s="115">
        <f t="shared" ref="E169:F169" ca="1" si="212">E157</f>
        <v>523.60000000000014</v>
      </c>
      <c r="F169" s="115">
        <f t="shared" ca="1" si="212"/>
        <v>0</v>
      </c>
      <c r="G169" s="116">
        <f t="shared" si="141"/>
        <v>31</v>
      </c>
      <c r="H169" s="116">
        <f t="shared" si="142"/>
        <v>0</v>
      </c>
      <c r="I169" s="116">
        <f t="shared" ca="1" si="191"/>
        <v>0</v>
      </c>
      <c r="J169" s="116">
        <f t="shared" ca="1" si="192"/>
        <v>0</v>
      </c>
      <c r="K169" s="117">
        <f>K168*'Customer Count'!$D$48</f>
        <v>17765.93581430216</v>
      </c>
      <c r="L169">
        <f t="shared" si="169"/>
        <v>0</v>
      </c>
      <c r="M169" s="8">
        <f t="shared" si="209"/>
        <v>-11221082.251499301</v>
      </c>
      <c r="N169" s="1">
        <f t="shared" ca="1" si="201"/>
        <v>4763749.0825058799</v>
      </c>
      <c r="O169" s="1">
        <f t="shared" ca="1" si="202"/>
        <v>0</v>
      </c>
      <c r="P169" s="1">
        <f t="shared" si="203"/>
        <v>9022308.1599650197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11870346.422133403</v>
      </c>
      <c r="U169" s="1">
        <f t="shared" ca="1" si="204"/>
        <v>14435321.413105002</v>
      </c>
    </row>
    <row r="170" spans="1:21">
      <c r="A170" s="7">
        <v>46023</v>
      </c>
      <c r="B170">
        <f t="shared" si="179"/>
        <v>2026</v>
      </c>
      <c r="C170">
        <f t="shared" si="180"/>
        <v>1</v>
      </c>
      <c r="E170" s="115">
        <f t="shared" ref="E170:F170" ca="1" si="213">E158</f>
        <v>634.42999999999995</v>
      </c>
      <c r="F170" s="115">
        <f t="shared" ca="1" si="213"/>
        <v>0</v>
      </c>
      <c r="G170" s="116">
        <f t="shared" si="141"/>
        <v>31</v>
      </c>
      <c r="H170" s="116">
        <f t="shared" si="142"/>
        <v>0</v>
      </c>
      <c r="I170" s="116">
        <f t="shared" ca="1" si="191"/>
        <v>0</v>
      </c>
      <c r="J170" s="116">
        <f t="shared" ca="1" si="192"/>
        <v>0</v>
      </c>
      <c r="K170" s="117">
        <f>K169*'Customer Count'!$D$48</f>
        <v>17792.09225738018</v>
      </c>
      <c r="L170">
        <f t="shared" si="169"/>
        <v>0</v>
      </c>
      <c r="M170" s="8">
        <f t="shared" si="209"/>
        <v>-11221082.251499301</v>
      </c>
      <c r="N170" s="1">
        <f t="shared" ca="1" si="201"/>
        <v>5772088.1023953483</v>
      </c>
      <c r="O170" s="1">
        <f t="shared" ca="1" si="202"/>
        <v>0</v>
      </c>
      <c r="P170" s="1">
        <f t="shared" si="203"/>
        <v>9022308.1599650197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11887822.903178491</v>
      </c>
      <c r="U170" s="1">
        <f t="shared" ca="1" si="204"/>
        <v>15461136.914039558</v>
      </c>
    </row>
    <row r="171" spans="1:21">
      <c r="A171" s="7">
        <v>46054</v>
      </c>
      <c r="B171">
        <f t="shared" si="179"/>
        <v>2026</v>
      </c>
      <c r="C171">
        <f t="shared" si="180"/>
        <v>2</v>
      </c>
      <c r="E171" s="115">
        <f t="shared" ref="E171:F171" ca="1" si="214">E159</f>
        <v>582</v>
      </c>
      <c r="F171" s="115">
        <f t="shared" ca="1" si="214"/>
        <v>0</v>
      </c>
      <c r="G171" s="116">
        <f t="shared" si="141"/>
        <v>28</v>
      </c>
      <c r="H171" s="116">
        <f t="shared" si="142"/>
        <v>0</v>
      </c>
      <c r="I171" s="116">
        <f t="shared" ca="1" si="191"/>
        <v>0</v>
      </c>
      <c r="J171" s="116">
        <f t="shared" ca="1" si="192"/>
        <v>0</v>
      </c>
      <c r="K171" s="117">
        <f>K170*'Customer Count'!$D$48</f>
        <v>17818.287210082555</v>
      </c>
      <c r="L171">
        <f t="shared" si="169"/>
        <v>0</v>
      </c>
      <c r="M171" s="8">
        <f t="shared" si="209"/>
        <v>-11221082.251499301</v>
      </c>
      <c r="N171" s="1">
        <f t="shared" ca="1" si="201"/>
        <v>5295076.3292941581</v>
      </c>
      <c r="O171" s="1">
        <f t="shared" ca="1" si="202"/>
        <v>0</v>
      </c>
      <c r="P171" s="1">
        <f t="shared" si="203"/>
        <v>8149181.5638393722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11905325.11450801</v>
      </c>
      <c r="U171" s="1">
        <f t="shared" ca="1" si="204"/>
        <v>14128500.75614224</v>
      </c>
    </row>
    <row r="172" spans="1:21">
      <c r="A172" s="7">
        <v>46082</v>
      </c>
      <c r="B172">
        <f t="shared" si="179"/>
        <v>2026</v>
      </c>
      <c r="C172">
        <f t="shared" si="180"/>
        <v>3</v>
      </c>
      <c r="E172" s="115">
        <f t="shared" ref="E172:F172" ca="1" si="215">E160</f>
        <v>498.31000000000006</v>
      </c>
      <c r="F172" s="115">
        <f t="shared" ca="1" si="215"/>
        <v>0.67999999999999994</v>
      </c>
      <c r="G172" s="116">
        <f t="shared" si="141"/>
        <v>31</v>
      </c>
      <c r="H172" s="116">
        <f t="shared" si="142"/>
        <v>1</v>
      </c>
      <c r="I172" s="116">
        <f t="shared" ca="1" si="191"/>
        <v>0</v>
      </c>
      <c r="J172" s="116">
        <f t="shared" ca="1" si="192"/>
        <v>0</v>
      </c>
      <c r="K172" s="117">
        <f>K171*'Customer Count'!$D$48</f>
        <v>17844.520729106258</v>
      </c>
      <c r="L172">
        <f t="shared" si="169"/>
        <v>0</v>
      </c>
      <c r="M172" s="8">
        <f t="shared" si="209"/>
        <v>-11221082.251499301</v>
      </c>
      <c r="N172" s="1">
        <f t="shared" ca="1" si="201"/>
        <v>4533658.9100525295</v>
      </c>
      <c r="O172" s="1">
        <f t="shared" ca="1" si="202"/>
        <v>10404.54527222322</v>
      </c>
      <c r="P172" s="1">
        <f t="shared" si="203"/>
        <v>9022308.1599650197</v>
      </c>
      <c r="Q172" s="1">
        <f t="shared" si="160"/>
        <v>-615865.74721267004</v>
      </c>
      <c r="R172" s="1">
        <f t="shared" ca="1" si="161"/>
        <v>0</v>
      </c>
      <c r="S172" s="1">
        <f t="shared" ca="1" si="162"/>
        <v>0</v>
      </c>
      <c r="T172" s="1">
        <f t="shared" si="163"/>
        <v>11922853.094004158</v>
      </c>
      <c r="U172" s="1">
        <f t="shared" ca="1" si="204"/>
        <v>13652276.71058196</v>
      </c>
    </row>
    <row r="173" spans="1:21">
      <c r="A173" s="7">
        <v>46113</v>
      </c>
      <c r="B173">
        <f t="shared" si="179"/>
        <v>2026</v>
      </c>
      <c r="C173">
        <f t="shared" si="180"/>
        <v>4</v>
      </c>
      <c r="E173" s="115">
        <f t="shared" ref="E173:F173" ca="1" si="216">E161</f>
        <v>322.59999999999997</v>
      </c>
      <c r="F173" s="115">
        <f t="shared" ca="1" si="216"/>
        <v>0.78</v>
      </c>
      <c r="G173" s="116">
        <f t="shared" si="141"/>
        <v>30</v>
      </c>
      <c r="H173" s="116">
        <f t="shared" si="142"/>
        <v>1</v>
      </c>
      <c r="I173" s="116">
        <f t="shared" ca="1" si="191"/>
        <v>0</v>
      </c>
      <c r="J173" s="116">
        <f t="shared" ca="1" si="192"/>
        <v>0</v>
      </c>
      <c r="K173" s="117">
        <f>K172*'Customer Count'!$D$48</f>
        <v>17870.792871231733</v>
      </c>
      <c r="L173">
        <f t="shared" si="169"/>
        <v>0</v>
      </c>
      <c r="M173" s="8">
        <f t="shared" si="209"/>
        <v>-11221082.251499301</v>
      </c>
      <c r="N173" s="1">
        <f t="shared" ca="1" si="201"/>
        <v>2935037.1543475864</v>
      </c>
      <c r="O173" s="1">
        <f t="shared" ca="1" si="202"/>
        <v>11934.625459314871</v>
      </c>
      <c r="P173" s="1">
        <f t="shared" si="203"/>
        <v>8731265.9612564705</v>
      </c>
      <c r="Q173" s="1">
        <f t="shared" si="160"/>
        <v>-615865.74721267004</v>
      </c>
      <c r="R173" s="1">
        <f t="shared" ca="1" si="161"/>
        <v>0</v>
      </c>
      <c r="S173" s="1">
        <f t="shared" ca="1" si="162"/>
        <v>0</v>
      </c>
      <c r="T173" s="1">
        <f t="shared" si="163"/>
        <v>11940406.879604908</v>
      </c>
      <c r="U173" s="1">
        <f t="shared" ca="1" si="204"/>
        <v>11781696.621956309</v>
      </c>
    </row>
    <row r="174" spans="1:21">
      <c r="A174" s="7">
        <v>46143</v>
      </c>
      <c r="B174">
        <f t="shared" si="179"/>
        <v>2026</v>
      </c>
      <c r="C174">
        <f t="shared" si="180"/>
        <v>5</v>
      </c>
      <c r="E174" s="115">
        <f t="shared" ref="E174:F174" ca="1" si="217">E162</f>
        <v>139.78</v>
      </c>
      <c r="F174" s="115">
        <f t="shared" ca="1" si="217"/>
        <v>28.54</v>
      </c>
      <c r="G174" s="116">
        <f t="shared" si="141"/>
        <v>31</v>
      </c>
      <c r="H174" s="116">
        <f t="shared" si="142"/>
        <v>1</v>
      </c>
      <c r="I174" s="116">
        <f t="shared" ca="1" si="191"/>
        <v>0</v>
      </c>
      <c r="J174" s="116">
        <f t="shared" ca="1" si="192"/>
        <v>0</v>
      </c>
      <c r="K174" s="117">
        <f>K173*'Customer Count'!$D$48</f>
        <v>17897.103693323028</v>
      </c>
      <c r="L174">
        <f t="shared" si="169"/>
        <v>0</v>
      </c>
      <c r="M174" s="8">
        <f t="shared" si="209"/>
        <v>-11221082.251499301</v>
      </c>
      <c r="N174" s="1">
        <f t="shared" ca="1" si="201"/>
        <v>1271728.1259600299</v>
      </c>
      <c r="O174" s="1">
        <f t="shared" ca="1" si="202"/>
        <v>436684.88539595692</v>
      </c>
      <c r="P174" s="1">
        <f t="shared" si="203"/>
        <v>9022308.1599650197</v>
      </c>
      <c r="Q174" s="1">
        <f t="shared" si="160"/>
        <v>-615865.74721267004</v>
      </c>
      <c r="R174" s="1">
        <f t="shared" ca="1" si="161"/>
        <v>0</v>
      </c>
      <c r="S174" s="1">
        <f t="shared" ca="1" si="162"/>
        <v>0</v>
      </c>
      <c r="T174" s="1">
        <f t="shared" si="163"/>
        <v>11957986.509304084</v>
      </c>
      <c r="U174" s="1">
        <f t="shared" ca="1" si="204"/>
        <v>10851759.681913119</v>
      </c>
    </row>
    <row r="175" spans="1:21">
      <c r="A175" s="7">
        <v>46174</v>
      </c>
      <c r="B175">
        <f t="shared" ref="B175:B193" si="218">YEAR(A175)</f>
        <v>2026</v>
      </c>
      <c r="C175">
        <f t="shared" ref="C175:C193" si="219">MONTH(A175)</f>
        <v>6</v>
      </c>
      <c r="E175" s="115">
        <f t="shared" ref="E175:F175" ca="1" si="220">E163</f>
        <v>29.85</v>
      </c>
      <c r="F175" s="115">
        <f t="shared" ca="1" si="220"/>
        <v>71.179999999999993</v>
      </c>
      <c r="G175" s="116">
        <f t="shared" si="141"/>
        <v>30</v>
      </c>
      <c r="H175" s="116">
        <f t="shared" si="142"/>
        <v>0</v>
      </c>
      <c r="I175" s="116">
        <f t="shared" ca="1" si="191"/>
        <v>0</v>
      </c>
      <c r="J175" s="116">
        <f t="shared" ca="1" si="192"/>
        <v>0</v>
      </c>
      <c r="K175" s="117">
        <f>K174*'Customer Count'!$D$48</f>
        <v>17923.453252327905</v>
      </c>
      <c r="L175">
        <f t="shared" si="169"/>
        <v>0</v>
      </c>
      <c r="M175" s="8">
        <f t="shared" ref="M175:M180" si="221">$Z$8</f>
        <v>-11221082.251499301</v>
      </c>
      <c r="N175" s="1">
        <f t="shared" ca="1" si="201"/>
        <v>271577.3684354478</v>
      </c>
      <c r="O175" s="1">
        <f t="shared" ca="1" si="202"/>
        <v>1089111.0771718365</v>
      </c>
      <c r="P175" s="1">
        <f t="shared" si="203"/>
        <v>8731265.9612564705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11975592.021151455</v>
      </c>
      <c r="U175" s="1">
        <f t="shared" ca="1" si="204"/>
        <v>10846464.176515909</v>
      </c>
    </row>
    <row r="176" spans="1:21">
      <c r="A176" s="7">
        <v>46204</v>
      </c>
      <c r="B176">
        <f t="shared" si="218"/>
        <v>2026</v>
      </c>
      <c r="C176">
        <f t="shared" si="219"/>
        <v>7</v>
      </c>
      <c r="E176" s="115">
        <f t="shared" ref="E176:F176" ca="1" si="222">E164</f>
        <v>1.36</v>
      </c>
      <c r="F176" s="115">
        <f t="shared" ca="1" si="222"/>
        <v>150.63</v>
      </c>
      <c r="G176" s="116">
        <f t="shared" si="141"/>
        <v>31</v>
      </c>
      <c r="H176" s="116">
        <f t="shared" si="142"/>
        <v>0</v>
      </c>
      <c r="I176" s="116">
        <f t="shared" ca="1" si="191"/>
        <v>0</v>
      </c>
      <c r="J176" s="116">
        <f t="shared" ca="1" si="192"/>
        <v>0</v>
      </c>
      <c r="K176" s="117">
        <f>K175*'Customer Count'!$D$48</f>
        <v>17949.841605277972</v>
      </c>
      <c r="L176">
        <f t="shared" si="169"/>
        <v>0</v>
      </c>
      <c r="M176" s="8">
        <f t="shared" si="221"/>
        <v>-11221082.251499301</v>
      </c>
      <c r="N176" s="1">
        <f t="shared" ca="1" si="201"/>
        <v>12373.374240275009</v>
      </c>
      <c r="O176" s="1">
        <f t="shared" ca="1" si="202"/>
        <v>2304759.7858161526</v>
      </c>
      <c r="P176" s="1">
        <f t="shared" si="203"/>
        <v>9022308.1599650197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11993223.453252807</v>
      </c>
      <c r="U176" s="1">
        <f t="shared" ca="1" si="204"/>
        <v>12111582.521774955</v>
      </c>
    </row>
    <row r="177" spans="1:21">
      <c r="A177" s="7">
        <v>46235</v>
      </c>
      <c r="B177">
        <f t="shared" si="218"/>
        <v>2026</v>
      </c>
      <c r="C177">
        <f t="shared" si="219"/>
        <v>8</v>
      </c>
      <c r="E177" s="115">
        <f t="shared" ref="E177:F177" ca="1" si="223">E165</f>
        <v>1.77</v>
      </c>
      <c r="F177" s="115">
        <f t="shared" ca="1" si="223"/>
        <v>138.02000000000001</v>
      </c>
      <c r="G177" s="116">
        <f t="shared" si="141"/>
        <v>31</v>
      </c>
      <c r="H177" s="116">
        <f t="shared" si="142"/>
        <v>0</v>
      </c>
      <c r="I177" s="116">
        <f t="shared" ca="1" si="191"/>
        <v>0</v>
      </c>
      <c r="J177" s="116">
        <f t="shared" ca="1" si="192"/>
        <v>0</v>
      </c>
      <c r="K177" s="117">
        <f>K176*'Customer Count'!$D$48</f>
        <v>17976.268809288806</v>
      </c>
      <c r="L177">
        <f t="shared" si="169"/>
        <v>0</v>
      </c>
      <c r="M177" s="8">
        <f t="shared" si="221"/>
        <v>-11221082.251499301</v>
      </c>
      <c r="N177" s="1">
        <f t="shared" ca="1" si="201"/>
        <v>16103.582650946151</v>
      </c>
      <c r="O177" s="1">
        <f t="shared" ca="1" si="202"/>
        <v>2111816.6742238957</v>
      </c>
      <c r="P177" s="1">
        <f t="shared" si="203"/>
        <v>9022308.1599650197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12010880.843770025</v>
      </c>
      <c r="U177" s="1">
        <f t="shared" ca="1" si="204"/>
        <v>11940027.009110587</v>
      </c>
    </row>
    <row r="178" spans="1:21">
      <c r="A178" s="7">
        <v>46266</v>
      </c>
      <c r="B178">
        <f t="shared" si="218"/>
        <v>2026</v>
      </c>
      <c r="C178">
        <f t="shared" si="219"/>
        <v>9</v>
      </c>
      <c r="E178" s="115">
        <f t="shared" ref="E178:F178" ca="1" si="224">E166</f>
        <v>37.33</v>
      </c>
      <c r="F178" s="115">
        <f t="shared" ca="1" si="224"/>
        <v>62.11</v>
      </c>
      <c r="G178" s="116">
        <f t="shared" si="141"/>
        <v>30</v>
      </c>
      <c r="H178" s="116">
        <f t="shared" si="142"/>
        <v>1</v>
      </c>
      <c r="I178" s="116">
        <f t="shared" ca="1" si="191"/>
        <v>0</v>
      </c>
      <c r="J178" s="116">
        <f t="shared" ca="1" si="192"/>
        <v>0</v>
      </c>
      <c r="K178" s="117">
        <f>K177*'Customer Count'!$D$48</f>
        <v>18002.734921560066</v>
      </c>
      <c r="L178">
        <f t="shared" si="169"/>
        <v>0</v>
      </c>
      <c r="M178" s="8">
        <f t="shared" si="221"/>
        <v>-11221082.251499301</v>
      </c>
      <c r="N178" s="1">
        <f t="shared" ca="1" si="201"/>
        <v>339630.92675696034</v>
      </c>
      <c r="O178" s="1">
        <f t="shared" ca="1" si="202"/>
        <v>950332.8042026239</v>
      </c>
      <c r="P178" s="1">
        <f t="shared" si="203"/>
        <v>8731265.9612564705</v>
      </c>
      <c r="Q178" s="1">
        <f t="shared" si="160"/>
        <v>-615865.74721267004</v>
      </c>
      <c r="R178" s="1">
        <f t="shared" ca="1" si="161"/>
        <v>0</v>
      </c>
      <c r="S178" s="1">
        <f t="shared" ca="1" si="162"/>
        <v>0</v>
      </c>
      <c r="T178" s="1">
        <f t="shared" si="163"/>
        <v>12028564.230921185</v>
      </c>
      <c r="U178" s="1">
        <f t="shared" ca="1" si="204"/>
        <v>10212845.924425269</v>
      </c>
    </row>
    <row r="179" spans="1:21">
      <c r="A179" s="7">
        <v>46296</v>
      </c>
      <c r="B179">
        <f t="shared" si="218"/>
        <v>2026</v>
      </c>
      <c r="C179">
        <f t="shared" si="219"/>
        <v>10</v>
      </c>
      <c r="E179" s="115">
        <f t="shared" ref="E179:F179" ca="1" si="225">E167</f>
        <v>173.75</v>
      </c>
      <c r="F179" s="115">
        <f t="shared" ca="1" si="225"/>
        <v>11.59</v>
      </c>
      <c r="G179" s="116">
        <f t="shared" si="141"/>
        <v>31</v>
      </c>
      <c r="H179" s="116">
        <f t="shared" si="142"/>
        <v>1</v>
      </c>
      <c r="I179" s="116">
        <f t="shared" ca="1" si="191"/>
        <v>0</v>
      </c>
      <c r="J179" s="116">
        <f t="shared" ca="1" si="192"/>
        <v>0</v>
      </c>
      <c r="K179" s="117">
        <f>K178*'Customer Count'!$D$48</f>
        <v>18029.239999375633</v>
      </c>
      <c r="L179">
        <f t="shared" si="169"/>
        <v>0</v>
      </c>
      <c r="M179" s="8">
        <f t="shared" si="221"/>
        <v>-11221082.251499301</v>
      </c>
      <c r="N179" s="1">
        <f t="shared" ca="1" si="201"/>
        <v>1580789.5398880756</v>
      </c>
      <c r="O179" s="1">
        <f t="shared" ca="1" si="202"/>
        <v>177336.29368392224</v>
      </c>
      <c r="P179" s="1">
        <f t="shared" si="203"/>
        <v>9022308.1599650197</v>
      </c>
      <c r="Q179" s="1">
        <f t="shared" si="160"/>
        <v>-615865.74721267004</v>
      </c>
      <c r="R179" s="1">
        <f t="shared" ca="1" si="161"/>
        <v>0</v>
      </c>
      <c r="S179" s="1">
        <f t="shared" ca="1" si="162"/>
        <v>0</v>
      </c>
      <c r="T179" s="1">
        <f t="shared" si="163"/>
        <v>12046273.652980624</v>
      </c>
      <c r="U179" s="1">
        <f t="shared" ca="1" si="204"/>
        <v>10989759.647805668</v>
      </c>
    </row>
    <row r="180" spans="1:21">
      <c r="A180" s="7">
        <v>46327</v>
      </c>
      <c r="B180">
        <f t="shared" si="218"/>
        <v>2026</v>
      </c>
      <c r="C180">
        <f t="shared" si="219"/>
        <v>11</v>
      </c>
      <c r="E180" s="115">
        <f t="shared" ref="E180:F180" ca="1" si="226">E168</f>
        <v>366.25</v>
      </c>
      <c r="F180" s="115">
        <f t="shared" ca="1" si="226"/>
        <v>1.6800000000000002</v>
      </c>
      <c r="G180" s="116">
        <f t="shared" si="141"/>
        <v>30</v>
      </c>
      <c r="H180" s="116">
        <f t="shared" si="142"/>
        <v>1</v>
      </c>
      <c r="I180" s="116">
        <f t="shared" ca="1" si="191"/>
        <v>0</v>
      </c>
      <c r="J180" s="116">
        <f t="shared" ca="1" si="192"/>
        <v>0</v>
      </c>
      <c r="K180" s="117">
        <f>K179*'Customer Count'!$D$48</f>
        <v>18055.784100103723</v>
      </c>
      <c r="L180">
        <f t="shared" si="169"/>
        <v>0</v>
      </c>
      <c r="M180" s="8">
        <f t="shared" si="221"/>
        <v>-11221082.251499301</v>
      </c>
      <c r="N180" s="1">
        <f t="shared" ca="1" si="201"/>
        <v>3332167.8790446483</v>
      </c>
      <c r="O180" s="1">
        <f t="shared" ca="1" si="202"/>
        <v>25705.347143139723</v>
      </c>
      <c r="P180" s="1">
        <f t="shared" si="203"/>
        <v>8731265.9612564705</v>
      </c>
      <c r="Q180" s="1">
        <f t="shared" si="160"/>
        <v>-615865.74721267004</v>
      </c>
      <c r="R180" s="1">
        <f t="shared" ca="1" si="161"/>
        <v>0</v>
      </c>
      <c r="S180" s="1">
        <f t="shared" ca="1" si="162"/>
        <v>0</v>
      </c>
      <c r="T180" s="1">
        <f t="shared" si="163"/>
        <v>12064009.148279035</v>
      </c>
      <c r="U180" s="1">
        <f t="shared" ca="1" si="204"/>
        <v>12316200.337011322</v>
      </c>
    </row>
    <row r="181" spans="1:21">
      <c r="A181" s="7">
        <v>46357</v>
      </c>
      <c r="B181">
        <f t="shared" si="218"/>
        <v>2026</v>
      </c>
      <c r="C181">
        <f t="shared" si="219"/>
        <v>12</v>
      </c>
      <c r="E181" s="115">
        <f t="shared" ref="E181:F181" ca="1" si="227">E169</f>
        <v>523.60000000000014</v>
      </c>
      <c r="F181" s="115">
        <f t="shared" ca="1" si="227"/>
        <v>0</v>
      </c>
      <c r="G181" s="116">
        <f t="shared" si="141"/>
        <v>31</v>
      </c>
      <c r="H181" s="116">
        <f t="shared" si="142"/>
        <v>0</v>
      </c>
      <c r="I181" s="116">
        <f t="shared" ca="1" si="191"/>
        <v>0</v>
      </c>
      <c r="J181" s="116">
        <f t="shared" ca="1" si="192"/>
        <v>0</v>
      </c>
      <c r="K181" s="117">
        <f>K180*'Customer Count'!$D$48</f>
        <v>18082.367281197014</v>
      </c>
      <c r="L181">
        <f t="shared" si="169"/>
        <v>0</v>
      </c>
      <c r="M181" s="8">
        <f t="shared" ref="M181:M193" si="228">$Z$8</f>
        <v>-11221082.251499301</v>
      </c>
      <c r="N181" s="1">
        <f t="shared" ca="1" si="201"/>
        <v>4763749.0825058799</v>
      </c>
      <c r="O181" s="1">
        <f t="shared" ca="1" si="202"/>
        <v>0</v>
      </c>
      <c r="P181" s="1">
        <f t="shared" si="203"/>
        <v>9022308.1599650197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12081770.755203541</v>
      </c>
      <c r="U181" s="1">
        <f t="shared" ca="1" si="204"/>
        <v>14646745.74617514</v>
      </c>
    </row>
    <row r="182" spans="1:21">
      <c r="A182" s="7">
        <v>46388</v>
      </c>
      <c r="B182">
        <f t="shared" si="218"/>
        <v>2027</v>
      </c>
      <c r="C182">
        <f t="shared" si="219"/>
        <v>1</v>
      </c>
      <c r="E182" s="115">
        <f t="shared" ref="E182:F182" ca="1" si="229">E170</f>
        <v>634.42999999999995</v>
      </c>
      <c r="F182" s="115">
        <f t="shared" ca="1" si="229"/>
        <v>0</v>
      </c>
      <c r="G182" s="116">
        <f t="shared" si="141"/>
        <v>31</v>
      </c>
      <c r="H182" s="116">
        <f t="shared" si="142"/>
        <v>0</v>
      </c>
      <c r="I182" s="116">
        <f t="shared" ca="1" si="191"/>
        <v>0</v>
      </c>
      <c r="J182" s="116">
        <f t="shared" ca="1" si="192"/>
        <v>0</v>
      </c>
      <c r="K182" s="117">
        <f>K181*'Customer Count'!$D$48</f>
        <v>18108.98960019277</v>
      </c>
      <c r="L182">
        <f t="shared" si="169"/>
        <v>0</v>
      </c>
      <c r="M182" s="8">
        <f t="shared" si="228"/>
        <v>-11221082.251499301</v>
      </c>
      <c r="N182" s="1">
        <f t="shared" ca="1" si="201"/>
        <v>5772088.1023953483</v>
      </c>
      <c r="O182" s="1">
        <f t="shared" ca="1" si="202"/>
        <v>0</v>
      </c>
      <c r="P182" s="1">
        <f t="shared" si="203"/>
        <v>9022308.1599650197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12099558.512197787</v>
      </c>
      <c r="U182" s="1">
        <f t="shared" ca="1" si="204"/>
        <v>15672872.523058854</v>
      </c>
    </row>
    <row r="183" spans="1:21">
      <c r="A183" s="7">
        <v>46419</v>
      </c>
      <c r="B183">
        <f t="shared" si="218"/>
        <v>2027</v>
      </c>
      <c r="C183">
        <f t="shared" si="219"/>
        <v>2</v>
      </c>
      <c r="E183" s="115">
        <f t="shared" ref="E183:F183" ca="1" si="230">E171</f>
        <v>582</v>
      </c>
      <c r="F183" s="115">
        <f t="shared" ca="1" si="230"/>
        <v>0</v>
      </c>
      <c r="G183" s="116">
        <f t="shared" ref="G183:G193" si="231">G135</f>
        <v>28</v>
      </c>
      <c r="H183" s="116">
        <f t="shared" ref="H183:H193" si="232">H171</f>
        <v>0</v>
      </c>
      <c r="I183" s="116">
        <f t="shared" ca="1" si="191"/>
        <v>0</v>
      </c>
      <c r="J183" s="116">
        <f t="shared" ca="1" si="192"/>
        <v>0</v>
      </c>
      <c r="K183" s="117">
        <f>K182*'Customer Count'!$D$48</f>
        <v>18135.651114712968</v>
      </c>
      <c r="L183">
        <f t="shared" si="169"/>
        <v>0</v>
      </c>
      <c r="M183" s="8">
        <f t="shared" si="228"/>
        <v>-11221082.251499301</v>
      </c>
      <c r="N183" s="1">
        <f t="shared" ca="1" si="201"/>
        <v>5295076.3292941581</v>
      </c>
      <c r="O183" s="1">
        <f t="shared" ca="1" si="202"/>
        <v>0</v>
      </c>
      <c r="P183" s="1">
        <f t="shared" si="203"/>
        <v>8149181.5638393722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12117372.457762012</v>
      </c>
      <c r="U183" s="1">
        <f t="shared" ca="1" si="204"/>
        <v>14340548.099396242</v>
      </c>
    </row>
    <row r="184" spans="1:21">
      <c r="A184" s="7">
        <v>46447</v>
      </c>
      <c r="B184">
        <f t="shared" si="218"/>
        <v>2027</v>
      </c>
      <c r="C184">
        <f t="shared" si="219"/>
        <v>3</v>
      </c>
      <c r="E184" s="115">
        <f t="shared" ref="E184:F184" ca="1" si="233">E172</f>
        <v>498.31000000000006</v>
      </c>
      <c r="F184" s="115">
        <f t="shared" ca="1" si="233"/>
        <v>0.67999999999999994</v>
      </c>
      <c r="G184" s="116">
        <f t="shared" si="231"/>
        <v>31</v>
      </c>
      <c r="H184" s="116">
        <f t="shared" si="232"/>
        <v>1</v>
      </c>
      <c r="I184" s="116">
        <f t="shared" ca="1" si="191"/>
        <v>0</v>
      </c>
      <c r="J184" s="116">
        <f t="shared" ca="1" si="192"/>
        <v>0</v>
      </c>
      <c r="K184" s="117">
        <f>K183*'Customer Count'!$D$48</f>
        <v>18162.351882464416</v>
      </c>
      <c r="L184">
        <f t="shared" si="169"/>
        <v>0</v>
      </c>
      <c r="M184" s="8">
        <f t="shared" si="228"/>
        <v>-11221082.251499301</v>
      </c>
      <c r="N184" s="1">
        <f t="shared" ca="1" si="201"/>
        <v>4533658.9100525295</v>
      </c>
      <c r="O184" s="1">
        <f t="shared" ca="1" si="202"/>
        <v>10404.54527222322</v>
      </c>
      <c r="P184" s="1">
        <f t="shared" si="203"/>
        <v>9022308.1599650197</v>
      </c>
      <c r="Q184" s="1">
        <f t="shared" si="160"/>
        <v>-615865.74721267004</v>
      </c>
      <c r="R184" s="1">
        <f t="shared" ca="1" si="161"/>
        <v>0</v>
      </c>
      <c r="S184" s="1">
        <f t="shared" ca="1" si="162"/>
        <v>0</v>
      </c>
      <c r="T184" s="1">
        <f t="shared" si="163"/>
        <v>12135212.63045314</v>
      </c>
      <c r="U184" s="1">
        <f t="shared" ca="1" si="204"/>
        <v>13864636.247030942</v>
      </c>
    </row>
    <row r="185" spans="1:21">
      <c r="A185" s="7">
        <v>46478</v>
      </c>
      <c r="B185">
        <f t="shared" si="218"/>
        <v>2027</v>
      </c>
      <c r="C185">
        <f t="shared" si="219"/>
        <v>4</v>
      </c>
      <c r="E185" s="115">
        <f t="shared" ref="E185:F185" ca="1" si="234">E173</f>
        <v>322.59999999999997</v>
      </c>
      <c r="F185" s="115">
        <f t="shared" ca="1" si="234"/>
        <v>0.78</v>
      </c>
      <c r="G185" s="116">
        <f t="shared" si="231"/>
        <v>30</v>
      </c>
      <c r="H185" s="116">
        <f t="shared" si="232"/>
        <v>1</v>
      </c>
      <c r="I185" s="116">
        <f t="shared" ca="1" si="191"/>
        <v>0</v>
      </c>
      <c r="J185" s="116">
        <f t="shared" ca="1" si="192"/>
        <v>0</v>
      </c>
      <c r="K185" s="117">
        <f>K184*'Customer Count'!$D$48</f>
        <v>18189.09196123889</v>
      </c>
      <c r="L185">
        <f t="shared" si="169"/>
        <v>0</v>
      </c>
      <c r="M185" s="8">
        <f t="shared" si="228"/>
        <v>-11221082.251499301</v>
      </c>
      <c r="N185" s="1">
        <f t="shared" ca="1" si="201"/>
        <v>2935037.1543475864</v>
      </c>
      <c r="O185" s="1">
        <f t="shared" ca="1" si="202"/>
        <v>11934.625459314871</v>
      </c>
      <c r="P185" s="1">
        <f t="shared" si="203"/>
        <v>8731265.9612564705</v>
      </c>
      <c r="Q185" s="1">
        <f t="shared" si="160"/>
        <v>-615865.74721267004</v>
      </c>
      <c r="R185" s="1">
        <f t="shared" ca="1" si="161"/>
        <v>0</v>
      </c>
      <c r="S185" s="1">
        <f t="shared" ca="1" si="162"/>
        <v>0</v>
      </c>
      <c r="T185" s="1">
        <f t="shared" si="163"/>
        <v>12153079.068884861</v>
      </c>
      <c r="U185" s="1">
        <f t="shared" ca="1" si="204"/>
        <v>11994368.811236262</v>
      </c>
    </row>
    <row r="186" spans="1:21">
      <c r="A186" s="7">
        <v>46508</v>
      </c>
      <c r="B186">
        <f t="shared" si="218"/>
        <v>2027</v>
      </c>
      <c r="C186">
        <f t="shared" si="219"/>
        <v>5</v>
      </c>
      <c r="E186" s="115">
        <f t="shared" ref="E186:F186" ca="1" si="235">E174</f>
        <v>139.78</v>
      </c>
      <c r="F186" s="115">
        <f t="shared" ca="1" si="235"/>
        <v>28.54</v>
      </c>
      <c r="G186" s="116">
        <f t="shared" si="231"/>
        <v>31</v>
      </c>
      <c r="H186" s="116">
        <f t="shared" si="232"/>
        <v>1</v>
      </c>
      <c r="I186" s="116">
        <f t="shared" ref="I186:I193" ca="1" si="236">E186*L186</f>
        <v>0</v>
      </c>
      <c r="J186" s="116">
        <f t="shared" ref="J186:J193" ca="1" si="237">F186*L186</f>
        <v>0</v>
      </c>
      <c r="K186" s="117">
        <f>K185*'Customer Count'!$D$48</f>
        <v>18215.871408913245</v>
      </c>
      <c r="L186">
        <f t="shared" si="169"/>
        <v>0</v>
      </c>
      <c r="M186" s="8">
        <f t="shared" si="228"/>
        <v>-11221082.251499301</v>
      </c>
      <c r="N186" s="1">
        <f t="shared" ca="1" si="201"/>
        <v>1271728.1259600299</v>
      </c>
      <c r="O186" s="1">
        <f t="shared" ca="1" si="202"/>
        <v>436684.88539595692</v>
      </c>
      <c r="P186" s="1">
        <f t="shared" si="203"/>
        <v>9022308.1599650197</v>
      </c>
      <c r="Q186" s="1">
        <f t="shared" si="160"/>
        <v>-615865.74721267004</v>
      </c>
      <c r="R186" s="1">
        <f t="shared" ca="1" si="161"/>
        <v>0</v>
      </c>
      <c r="S186" s="1">
        <f t="shared" ca="1" si="162"/>
        <v>0</v>
      </c>
      <c r="T186" s="1">
        <f t="shared" si="163"/>
        <v>12170971.811727716</v>
      </c>
      <c r="U186" s="1">
        <f t="shared" ca="1" si="204"/>
        <v>11064744.984336751</v>
      </c>
    </row>
    <row r="187" spans="1:21">
      <c r="A187" s="7">
        <v>46539</v>
      </c>
      <c r="B187">
        <f t="shared" si="218"/>
        <v>2027</v>
      </c>
      <c r="C187">
        <f t="shared" si="219"/>
        <v>6</v>
      </c>
      <c r="E187" s="115">
        <f t="shared" ref="E187:F187" ca="1" si="238">E175</f>
        <v>29.85</v>
      </c>
      <c r="F187" s="115">
        <f t="shared" ca="1" si="238"/>
        <v>71.179999999999993</v>
      </c>
      <c r="G187" s="116">
        <f t="shared" si="231"/>
        <v>30</v>
      </c>
      <c r="H187" s="116">
        <f t="shared" si="232"/>
        <v>0</v>
      </c>
      <c r="I187" s="116">
        <f t="shared" ca="1" si="236"/>
        <v>0</v>
      </c>
      <c r="J187" s="116">
        <f t="shared" ca="1" si="237"/>
        <v>0</v>
      </c>
      <c r="K187" s="117">
        <f>K186*'Customer Count'!$D$48</f>
        <v>18242.690283449549</v>
      </c>
      <c r="L187">
        <f t="shared" si="169"/>
        <v>0</v>
      </c>
      <c r="M187" s="8">
        <f t="shared" si="228"/>
        <v>-11221082.251499301</v>
      </c>
      <c r="N187" s="1">
        <f t="shared" ca="1" si="201"/>
        <v>271577.3684354478</v>
      </c>
      <c r="O187" s="1">
        <f t="shared" ca="1" si="202"/>
        <v>1089111.0771718365</v>
      </c>
      <c r="P187" s="1">
        <f t="shared" si="203"/>
        <v>8731265.9612564705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12188890.89770918</v>
      </c>
      <c r="U187" s="1">
        <f t="shared" ca="1" si="204"/>
        <v>11059763.053073633</v>
      </c>
    </row>
    <row r="188" spans="1:21">
      <c r="A188" s="7">
        <v>46569</v>
      </c>
      <c r="B188">
        <f t="shared" si="218"/>
        <v>2027</v>
      </c>
      <c r="C188">
        <f t="shared" si="219"/>
        <v>7</v>
      </c>
      <c r="E188" s="115">
        <f t="shared" ref="E188:F188" ca="1" si="239">E176</f>
        <v>1.36</v>
      </c>
      <c r="F188" s="115">
        <f t="shared" ca="1" si="239"/>
        <v>150.63</v>
      </c>
      <c r="G188" s="116">
        <f t="shared" si="231"/>
        <v>31</v>
      </c>
      <c r="H188" s="116">
        <f t="shared" si="232"/>
        <v>0</v>
      </c>
      <c r="I188" s="116">
        <f t="shared" ca="1" si="236"/>
        <v>0</v>
      </c>
      <c r="J188" s="116">
        <f t="shared" ca="1" si="237"/>
        <v>0</v>
      </c>
      <c r="K188" s="117">
        <f>K187*'Customer Count'!$D$48</f>
        <v>18269.548642895206</v>
      </c>
      <c r="L188">
        <f t="shared" si="169"/>
        <v>0</v>
      </c>
      <c r="M188" s="8">
        <f t="shared" si="228"/>
        <v>-11221082.251499301</v>
      </c>
      <c r="N188" s="1">
        <f t="shared" ca="1" si="201"/>
        <v>12373.374240275009</v>
      </c>
      <c r="O188" s="1">
        <f t="shared" ca="1" si="202"/>
        <v>2304759.7858161526</v>
      </c>
      <c r="P188" s="1">
        <f t="shared" si="203"/>
        <v>9022308.1599650197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12206836.365613746</v>
      </c>
      <c r="U188" s="1">
        <f t="shared" ca="1" si="204"/>
        <v>12325195.434135893</v>
      </c>
    </row>
    <row r="189" spans="1:21">
      <c r="A189" s="7">
        <v>46600</v>
      </c>
      <c r="B189">
        <f t="shared" si="218"/>
        <v>2027</v>
      </c>
      <c r="C189">
        <f t="shared" si="219"/>
        <v>8</v>
      </c>
      <c r="E189" s="115">
        <f t="shared" ref="E189:F189" ca="1" si="240">E177</f>
        <v>1.77</v>
      </c>
      <c r="F189" s="115">
        <f t="shared" ca="1" si="240"/>
        <v>138.02000000000001</v>
      </c>
      <c r="G189" s="116">
        <f t="shared" si="231"/>
        <v>31</v>
      </c>
      <c r="H189" s="116">
        <f t="shared" si="232"/>
        <v>0</v>
      </c>
      <c r="I189" s="116">
        <f t="shared" ca="1" si="236"/>
        <v>0</v>
      </c>
      <c r="J189" s="116">
        <f t="shared" ca="1" si="237"/>
        <v>0</v>
      </c>
      <c r="K189" s="117">
        <f>K188*'Customer Count'!$D$48</f>
        <v>18296.446545383085</v>
      </c>
      <c r="L189">
        <f t="shared" si="169"/>
        <v>0</v>
      </c>
      <c r="M189" s="8">
        <f t="shared" si="228"/>
        <v>-11221082.251499301</v>
      </c>
      <c r="N189" s="1">
        <f t="shared" ca="1" si="201"/>
        <v>16103.582650946151</v>
      </c>
      <c r="O189" s="1">
        <f t="shared" ca="1" si="202"/>
        <v>2111816.6742238957</v>
      </c>
      <c r="P189" s="1">
        <f t="shared" si="203"/>
        <v>9022308.1599650197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12224808.254283007</v>
      </c>
      <c r="U189" s="1">
        <f t="shared" ca="1" si="204"/>
        <v>12153954.419623569</v>
      </c>
    </row>
    <row r="190" spans="1:21">
      <c r="A190" s="7">
        <v>46631</v>
      </c>
      <c r="B190">
        <f t="shared" si="218"/>
        <v>2027</v>
      </c>
      <c r="C190">
        <f t="shared" si="219"/>
        <v>9</v>
      </c>
      <c r="E190" s="115">
        <f t="shared" ref="E190:F190" ca="1" si="241">E178</f>
        <v>37.33</v>
      </c>
      <c r="F190" s="115">
        <f t="shared" ca="1" si="241"/>
        <v>62.11</v>
      </c>
      <c r="G190" s="116">
        <f t="shared" si="231"/>
        <v>30</v>
      </c>
      <c r="H190" s="116">
        <f t="shared" si="232"/>
        <v>1</v>
      </c>
      <c r="I190" s="116">
        <f t="shared" ca="1" si="236"/>
        <v>0</v>
      </c>
      <c r="J190" s="116">
        <f t="shared" ca="1" si="237"/>
        <v>0</v>
      </c>
      <c r="K190" s="117">
        <f>K189*'Customer Count'!$D$48</f>
        <v>18323.38404913164</v>
      </c>
      <c r="L190">
        <f t="shared" si="169"/>
        <v>0</v>
      </c>
      <c r="M190" s="8">
        <f t="shared" si="228"/>
        <v>-11221082.251499301</v>
      </c>
      <c r="N190" s="1">
        <f t="shared" ca="1" si="201"/>
        <v>339630.92675696034</v>
      </c>
      <c r="O190" s="1">
        <f t="shared" ca="1" si="202"/>
        <v>950332.8042026239</v>
      </c>
      <c r="P190" s="1">
        <f t="shared" si="203"/>
        <v>8731265.9612564705</v>
      </c>
      <c r="Q190" s="1">
        <f t="shared" si="160"/>
        <v>-615865.74721267004</v>
      </c>
      <c r="R190" s="1">
        <f t="shared" ca="1" si="161"/>
        <v>0</v>
      </c>
      <c r="S190" s="1">
        <f t="shared" ca="1" si="162"/>
        <v>0</v>
      </c>
      <c r="T190" s="1">
        <f t="shared" si="163"/>
        <v>12242806.602615746</v>
      </c>
      <c r="U190" s="1">
        <f t="shared" ca="1" si="204"/>
        <v>10427088.29611983</v>
      </c>
    </row>
    <row r="191" spans="1:21">
      <c r="A191" s="7">
        <v>46661</v>
      </c>
      <c r="B191">
        <f t="shared" si="218"/>
        <v>2027</v>
      </c>
      <c r="C191">
        <f t="shared" si="219"/>
        <v>10</v>
      </c>
      <c r="E191" s="115">
        <f t="shared" ref="E191:F191" ca="1" si="242">E179</f>
        <v>173.75</v>
      </c>
      <c r="F191" s="115">
        <f t="shared" ca="1" si="242"/>
        <v>11.59</v>
      </c>
      <c r="G191" s="116">
        <f t="shared" si="231"/>
        <v>31</v>
      </c>
      <c r="H191" s="116">
        <f t="shared" si="232"/>
        <v>1</v>
      </c>
      <c r="I191" s="116">
        <f t="shared" ca="1" si="236"/>
        <v>0</v>
      </c>
      <c r="J191" s="116">
        <f t="shared" ca="1" si="237"/>
        <v>0</v>
      </c>
      <c r="K191" s="117">
        <f>K190*'Customer Count'!$D$48</f>
        <v>18350.361212445041</v>
      </c>
      <c r="L191">
        <f t="shared" si="169"/>
        <v>0</v>
      </c>
      <c r="M191" s="8">
        <f t="shared" si="228"/>
        <v>-11221082.251499301</v>
      </c>
      <c r="N191" s="1">
        <f t="shared" ca="1" si="201"/>
        <v>1580789.5398880756</v>
      </c>
      <c r="O191" s="1">
        <f t="shared" ca="1" si="202"/>
        <v>177336.29368392224</v>
      </c>
      <c r="P191" s="1">
        <f t="shared" si="203"/>
        <v>9022308.1599650197</v>
      </c>
      <c r="Q191" s="1">
        <f t="shared" si="160"/>
        <v>-615865.74721267004</v>
      </c>
      <c r="R191" s="1">
        <f t="shared" ca="1" si="161"/>
        <v>0</v>
      </c>
      <c r="S191" s="1">
        <f t="shared" ca="1" si="162"/>
        <v>0</v>
      </c>
      <c r="T191" s="1">
        <f t="shared" si="163"/>
        <v>12260831.449568009</v>
      </c>
      <c r="U191" s="1">
        <f t="shared" ca="1" si="204"/>
        <v>11204317.444393054</v>
      </c>
    </row>
    <row r="192" spans="1:21">
      <c r="A192" s="7">
        <v>46692</v>
      </c>
      <c r="B192">
        <f t="shared" si="218"/>
        <v>2027</v>
      </c>
      <c r="C192">
        <f t="shared" si="219"/>
        <v>11</v>
      </c>
      <c r="E192" s="115">
        <f t="shared" ref="E192:F192" ca="1" si="243">E180</f>
        <v>366.25</v>
      </c>
      <c r="F192" s="115">
        <f t="shared" ca="1" si="243"/>
        <v>1.6800000000000002</v>
      </c>
      <c r="G192" s="116">
        <f t="shared" si="231"/>
        <v>30</v>
      </c>
      <c r="H192" s="116">
        <f t="shared" si="232"/>
        <v>1</v>
      </c>
      <c r="I192" s="116">
        <f t="shared" ca="1" si="236"/>
        <v>0</v>
      </c>
      <c r="J192" s="116">
        <f t="shared" ca="1" si="237"/>
        <v>0</v>
      </c>
      <c r="K192" s="117">
        <f>K191*'Customer Count'!$D$48</f>
        <v>18377.378093713294</v>
      </c>
      <c r="L192">
        <f t="shared" si="169"/>
        <v>0</v>
      </c>
      <c r="M192" s="8">
        <f t="shared" si="228"/>
        <v>-11221082.251499301</v>
      </c>
      <c r="N192" s="1">
        <f t="shared" ca="1" si="201"/>
        <v>3332167.8790446483</v>
      </c>
      <c r="O192" s="1">
        <f t="shared" ca="1" si="202"/>
        <v>25705.347143139723</v>
      </c>
      <c r="P192" s="1">
        <f t="shared" si="203"/>
        <v>8731265.9612564705</v>
      </c>
      <c r="Q192" s="1">
        <f t="shared" si="160"/>
        <v>-615865.74721267004</v>
      </c>
      <c r="R192" s="1">
        <f t="shared" ca="1" si="161"/>
        <v>0</v>
      </c>
      <c r="S192" s="1">
        <f t="shared" ca="1" si="162"/>
        <v>0</v>
      </c>
      <c r="T192" s="1">
        <f t="shared" si="163"/>
        <v>12278882.834153201</v>
      </c>
      <c r="U192" s="1">
        <f t="shared" ca="1" si="204"/>
        <v>12531074.022885488</v>
      </c>
    </row>
    <row r="193" spans="1:21">
      <c r="A193" s="7">
        <v>46722</v>
      </c>
      <c r="B193">
        <f t="shared" si="218"/>
        <v>2027</v>
      </c>
      <c r="C193">
        <f t="shared" si="219"/>
        <v>12</v>
      </c>
      <c r="E193" s="115">
        <f t="shared" ref="E193:F193" ca="1" si="244">E181</f>
        <v>523.60000000000014</v>
      </c>
      <c r="F193" s="115">
        <f t="shared" ca="1" si="244"/>
        <v>0</v>
      </c>
      <c r="G193" s="116">
        <f t="shared" si="231"/>
        <v>31</v>
      </c>
      <c r="H193" s="116">
        <f t="shared" si="232"/>
        <v>0</v>
      </c>
      <c r="I193" s="116">
        <f t="shared" ca="1" si="236"/>
        <v>0</v>
      </c>
      <c r="J193" s="116">
        <f t="shared" ca="1" si="237"/>
        <v>0</v>
      </c>
      <c r="K193" s="117">
        <f>K192*'Customer Count'!$D$48</f>
        <v>18404.43475141238</v>
      </c>
      <c r="L193">
        <f t="shared" si="169"/>
        <v>0</v>
      </c>
      <c r="M193" s="8">
        <f t="shared" si="228"/>
        <v>-11221082.251499301</v>
      </c>
      <c r="N193" s="1">
        <f t="shared" ca="1" si="201"/>
        <v>4763749.0825058799</v>
      </c>
      <c r="O193" s="1">
        <f t="shared" ca="1" si="202"/>
        <v>0</v>
      </c>
      <c r="P193" s="1">
        <f t="shared" si="203"/>
        <v>9022308.1599650197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12296960.795442168</v>
      </c>
      <c r="U193" s="1">
        <f t="shared" ca="1" si="204"/>
        <v>14861935.786413766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N1" workbookViewId="0">
      <selection activeCell="K2" sqref="K2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9" t="str">
        <f>Dataset!BK1</f>
        <v>COVID_AM</v>
      </c>
      <c r="I1" t="str">
        <f>Dataset!BI1</f>
        <v>Shoulder</v>
      </c>
      <c r="K1" t="str">
        <f>U10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9" t="str">
        <f>H1</f>
        <v>COVID_AM</v>
      </c>
      <c r="P1" t="str">
        <f>I1</f>
        <v>Shoulder</v>
      </c>
      <c r="Q1" s="38" t="s">
        <v>138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 s="118">
        <f ca="1">Weather!CD61</f>
        <v>572.42999999999995</v>
      </c>
      <c r="F2" s="118">
        <f ca="1">Weather!CE61</f>
        <v>0</v>
      </c>
      <c r="G2" s="8">
        <f>Dataset!AR2</f>
        <v>31</v>
      </c>
      <c r="H2" s="109">
        <f>Dataset!BK2</f>
        <v>0</v>
      </c>
      <c r="I2">
        <f>Dataset!BI2</f>
        <v>0</v>
      </c>
      <c r="K2" s="8">
        <f t="shared" ref="K2:K33" si="0">$V$10</f>
        <v>492239.451756227</v>
      </c>
      <c r="L2" s="1">
        <f t="shared" ref="L2:L33" ca="1" si="1">E2*$V$11</f>
        <v>1214682.7594050546</v>
      </c>
      <c r="M2" s="1">
        <f t="shared" ref="M2:M33" ca="1" si="2">F2*$V$12</f>
        <v>0</v>
      </c>
      <c r="N2" s="1">
        <f t="shared" ref="N2:N33" si="3">G2*$V$13</f>
        <v>3005086.6267200243</v>
      </c>
      <c r="O2" s="1">
        <f>H2*$V$14</f>
        <v>0</v>
      </c>
      <c r="P2" s="1">
        <f>I2*$V$15</f>
        <v>0</v>
      </c>
      <c r="Q2" s="1">
        <f ca="1">SUM(K2:P2)</f>
        <v>4712008.8378813062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 s="118">
        <f ca="1">Weather!CD62</f>
        <v>525.4</v>
      </c>
      <c r="F3" s="118">
        <f ca="1">Weather!CE62</f>
        <v>0</v>
      </c>
      <c r="G3" s="8">
        <f>Dataset!AR3</f>
        <v>29</v>
      </c>
      <c r="H3" s="109">
        <f>Dataset!BK3</f>
        <v>0</v>
      </c>
      <c r="I3">
        <f>Dataset!BI3</f>
        <v>0</v>
      </c>
      <c r="K3" s="8">
        <f t="shared" si="0"/>
        <v>492239.451756227</v>
      </c>
      <c r="L3" s="1">
        <f t="shared" ca="1" si="1"/>
        <v>1114886.2250256201</v>
      </c>
      <c r="M3" s="1">
        <f t="shared" ca="1" si="2"/>
        <v>0</v>
      </c>
      <c r="N3" s="1">
        <f t="shared" si="3"/>
        <v>2811210.0701574418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4418335.7469392885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 s="118">
        <f ca="1">Weather!CD63</f>
        <v>437.1</v>
      </c>
      <c r="F4" s="118">
        <f ca="1">Weather!CE63</f>
        <v>1.4700000000000002</v>
      </c>
      <c r="G4" s="8">
        <f>Dataset!AR4</f>
        <v>31</v>
      </c>
      <c r="H4" s="109">
        <f>Dataset!BK4</f>
        <v>0</v>
      </c>
      <c r="I4">
        <f>Dataset!BI4</f>
        <v>1</v>
      </c>
      <c r="K4" s="8">
        <f t="shared" si="0"/>
        <v>492239.451756227</v>
      </c>
      <c r="L4" s="1">
        <f t="shared" ca="1" si="1"/>
        <v>927515.73840635433</v>
      </c>
      <c r="M4" s="1">
        <f t="shared" ca="1" si="2"/>
        <v>4976.8436059438245</v>
      </c>
      <c r="N4" s="1">
        <f t="shared" si="3"/>
        <v>3005086.6267200243</v>
      </c>
      <c r="O4" s="1">
        <f t="shared" si="4"/>
        <v>0</v>
      </c>
      <c r="P4" s="1">
        <f t="shared" si="5"/>
        <v>-77441.670344359605</v>
      </c>
      <c r="Q4" s="1">
        <f t="shared" ca="1" si="6"/>
        <v>4352376.9901441904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 s="118">
        <f ca="1">Weather!CD64</f>
        <v>264.39999999999998</v>
      </c>
      <c r="F5" s="118">
        <f ca="1">Weather!CE64</f>
        <v>2.58</v>
      </c>
      <c r="G5" s="8">
        <f>Dataset!AR5</f>
        <v>30</v>
      </c>
      <c r="H5" s="109">
        <f>Dataset!BK5</f>
        <v>0</v>
      </c>
      <c r="I5">
        <f>Dataset!BI5</f>
        <v>1</v>
      </c>
      <c r="K5" s="8">
        <f t="shared" si="0"/>
        <v>492239.451756227</v>
      </c>
      <c r="L5" s="1">
        <f t="shared" ca="1" si="1"/>
        <v>561050.47182484565</v>
      </c>
      <c r="M5" s="1">
        <f t="shared" ca="1" si="2"/>
        <v>8734.8683696156913</v>
      </c>
      <c r="N5" s="1">
        <f t="shared" si="3"/>
        <v>2908148.3484387333</v>
      </c>
      <c r="O5" s="1">
        <f t="shared" si="4"/>
        <v>0</v>
      </c>
      <c r="P5" s="1">
        <f t="shared" si="5"/>
        <v>-77441.670344359605</v>
      </c>
      <c r="Q5" s="1">
        <f t="shared" ca="1" si="6"/>
        <v>3892731.4700450618</v>
      </c>
      <c r="U5" t="s">
        <v>346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 s="118">
        <f ca="1">Weather!CD65</f>
        <v>95.570000000000007</v>
      </c>
      <c r="F6" s="118">
        <f ca="1">Weather!CE65</f>
        <v>46.33</v>
      </c>
      <c r="G6" s="8">
        <f>Dataset!AR6</f>
        <v>31</v>
      </c>
      <c r="H6" s="109">
        <f>Dataset!BK6</f>
        <v>0</v>
      </c>
      <c r="I6">
        <f>Dataset!BI6</f>
        <v>1</v>
      </c>
      <c r="K6" s="8">
        <f t="shared" si="0"/>
        <v>492239.451756227</v>
      </c>
      <c r="L6" s="1">
        <f t="shared" ca="1" si="1"/>
        <v>202797.25261838318</v>
      </c>
      <c r="M6" s="1">
        <f t="shared" ca="1" si="2"/>
        <v>156855.21378461045</v>
      </c>
      <c r="N6" s="1">
        <f t="shared" si="3"/>
        <v>3005086.6267200243</v>
      </c>
      <c r="O6" s="1">
        <f t="shared" si="4"/>
        <v>0</v>
      </c>
      <c r="P6" s="1">
        <f t="shared" si="5"/>
        <v>-77441.670344359605</v>
      </c>
      <c r="Q6" s="1">
        <f t="shared" ca="1" si="6"/>
        <v>3779536.8745348849</v>
      </c>
      <c r="U6" t="s">
        <v>245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 s="118">
        <f ca="1">Weather!CD66</f>
        <v>11.73</v>
      </c>
      <c r="F7" s="118">
        <f ca="1">Weather!CE66</f>
        <v>113.05999999999999</v>
      </c>
      <c r="G7" s="8">
        <f>Dataset!AR7</f>
        <v>30</v>
      </c>
      <c r="H7" s="109">
        <f>Dataset!BK7</f>
        <v>0</v>
      </c>
      <c r="I7">
        <f>Dataset!BI7</f>
        <v>0</v>
      </c>
      <c r="K7" s="8">
        <f t="shared" si="0"/>
        <v>492239.451756227</v>
      </c>
      <c r="L7" s="1">
        <f t="shared" ca="1" si="1"/>
        <v>24890.779253046298</v>
      </c>
      <c r="M7" s="1">
        <f t="shared" ca="1" si="2"/>
        <v>382776.82863129844</v>
      </c>
      <c r="N7" s="1">
        <f t="shared" si="3"/>
        <v>2908148.3484387333</v>
      </c>
      <c r="O7" s="1">
        <f t="shared" si="4"/>
        <v>0</v>
      </c>
      <c r="P7" s="1">
        <f t="shared" si="5"/>
        <v>0</v>
      </c>
      <c r="Q7" s="1">
        <f t="shared" ca="1" si="6"/>
        <v>3808055.4080793047</v>
      </c>
      <c r="U7" t="s">
        <v>347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 s="118">
        <f ca="1">Weather!CD67</f>
        <v>0</v>
      </c>
      <c r="F8" s="118">
        <f ca="1">Weather!CE67</f>
        <v>211.26999999999998</v>
      </c>
      <c r="G8" s="8">
        <f>Dataset!AR8</f>
        <v>31</v>
      </c>
      <c r="H8" s="109">
        <f>Dataset!BK8</f>
        <v>0</v>
      </c>
      <c r="I8">
        <f>Dataset!BI8</f>
        <v>0</v>
      </c>
      <c r="K8" s="8">
        <f t="shared" si="0"/>
        <v>492239.451756227</v>
      </c>
      <c r="L8" s="1">
        <f t="shared" ca="1" si="1"/>
        <v>0</v>
      </c>
      <c r="M8" s="1">
        <f t="shared" ca="1" si="2"/>
        <v>715277.38001887861</v>
      </c>
      <c r="N8" s="1">
        <f t="shared" si="3"/>
        <v>3005086.6267200243</v>
      </c>
      <c r="O8" s="1">
        <f t="shared" si="4"/>
        <v>0</v>
      </c>
      <c r="P8" s="1">
        <f t="shared" si="5"/>
        <v>0</v>
      </c>
      <c r="Q8" s="1">
        <f t="shared" ca="1" si="6"/>
        <v>4212603.4584951298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 s="118">
        <f ca="1">Weather!CD68</f>
        <v>0.13</v>
      </c>
      <c r="F9" s="118">
        <f ca="1">Weather!CE68</f>
        <v>198.38000000000002</v>
      </c>
      <c r="G9" s="8">
        <f>Dataset!AR9</f>
        <v>31</v>
      </c>
      <c r="H9" s="109">
        <f>Dataset!BK9</f>
        <v>0</v>
      </c>
      <c r="I9">
        <f>Dataset!BI9</f>
        <v>0</v>
      </c>
      <c r="K9" s="8">
        <f t="shared" si="0"/>
        <v>492239.451756227</v>
      </c>
      <c r="L9" s="1">
        <f t="shared" ca="1" si="1"/>
        <v>275.85688856743553</v>
      </c>
      <c r="M9" s="1">
        <f t="shared" ca="1" si="2"/>
        <v>671636.89424975228</v>
      </c>
      <c r="N9" s="1">
        <f t="shared" si="3"/>
        <v>3005086.6267200243</v>
      </c>
      <c r="O9" s="1">
        <f t="shared" si="4"/>
        <v>0</v>
      </c>
      <c r="P9" s="1">
        <f t="shared" si="5"/>
        <v>0</v>
      </c>
      <c r="Q9" s="1">
        <f t="shared" ca="1" si="6"/>
        <v>4169238.8296145713</v>
      </c>
      <c r="V9" t="s">
        <v>120</v>
      </c>
      <c r="W9" t="s">
        <v>121</v>
      </c>
      <c r="X9" t="s">
        <v>122</v>
      </c>
      <c r="Y9" t="s">
        <v>123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 s="118">
        <f ca="1">Weather!CD69</f>
        <v>16.16</v>
      </c>
      <c r="F10" s="118">
        <f ca="1">Weather!CE69</f>
        <v>100.94000000000001</v>
      </c>
      <c r="G10" s="8">
        <f>Dataset!AR10</f>
        <v>30</v>
      </c>
      <c r="H10" s="109">
        <f>Dataset!BK10</f>
        <v>0</v>
      </c>
      <c r="I10">
        <f>Dataset!BI10</f>
        <v>1</v>
      </c>
      <c r="K10" s="8">
        <f t="shared" si="0"/>
        <v>492239.451756227</v>
      </c>
      <c r="L10" s="1">
        <f t="shared" ca="1" si="1"/>
        <v>34291.133224998135</v>
      </c>
      <c r="M10" s="1">
        <f t="shared" ca="1" si="2"/>
        <v>341743.26094147592</v>
      </c>
      <c r="N10" s="1">
        <f t="shared" si="3"/>
        <v>2908148.3484387333</v>
      </c>
      <c r="O10" s="1">
        <f t="shared" si="4"/>
        <v>0</v>
      </c>
      <c r="P10" s="1">
        <f t="shared" si="5"/>
        <v>-77441.670344359605</v>
      </c>
      <c r="Q10" s="1">
        <f t="shared" ca="1" si="6"/>
        <v>3698980.5240170746</v>
      </c>
      <c r="U10" t="s">
        <v>124</v>
      </c>
      <c r="V10" s="8">
        <v>492239.451756227</v>
      </c>
      <c r="W10">
        <v>300039.80670953699</v>
      </c>
      <c r="X10">
        <v>1.64058048548457</v>
      </c>
      <c r="Y10">
        <v>0.10364089542426699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 s="118">
        <f ca="1">Weather!CD70</f>
        <v>124.66000000000001</v>
      </c>
      <c r="F11" s="118">
        <f ca="1">Weather!CE70</f>
        <v>24.5</v>
      </c>
      <c r="G11" s="8">
        <f>Dataset!AR11</f>
        <v>31</v>
      </c>
      <c r="H11" s="109">
        <f>Dataset!BK11</f>
        <v>0</v>
      </c>
      <c r="I11">
        <f>Dataset!BI11</f>
        <v>1</v>
      </c>
      <c r="K11" s="8">
        <f t="shared" si="0"/>
        <v>492239.451756227</v>
      </c>
      <c r="L11" s="1">
        <f t="shared" ca="1" si="1"/>
        <v>264525.53637551161</v>
      </c>
      <c r="M11" s="1">
        <f t="shared" ca="1" si="2"/>
        <v>82947.393432397061</v>
      </c>
      <c r="N11" s="1">
        <f t="shared" si="3"/>
        <v>3005086.6267200243</v>
      </c>
      <c r="O11" s="1">
        <f t="shared" si="4"/>
        <v>0</v>
      </c>
      <c r="P11" s="1">
        <f t="shared" si="5"/>
        <v>-77441.670344359605</v>
      </c>
      <c r="Q11" s="1">
        <f t="shared" ca="1" si="6"/>
        <v>3767357.3379398002</v>
      </c>
      <c r="U11" t="s">
        <v>30</v>
      </c>
      <c r="V11" s="8">
        <v>2121.97606590335</v>
      </c>
      <c r="W11">
        <v>95.281148713613106</v>
      </c>
      <c r="X11">
        <v>22.270680974695001</v>
      </c>
      <c r="Y11" s="99">
        <v>2.4949437572235299E-43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 s="118">
        <f ca="1">Weather!CD71</f>
        <v>308.05</v>
      </c>
      <c r="F12" s="118">
        <f ca="1">Weather!CE71</f>
        <v>3.4800000000000004</v>
      </c>
      <c r="G12" s="8">
        <f>Dataset!AR12</f>
        <v>30</v>
      </c>
      <c r="H12" s="109">
        <f>Dataset!BK12</f>
        <v>0</v>
      </c>
      <c r="I12">
        <f>Dataset!BI12</f>
        <v>1</v>
      </c>
      <c r="K12" s="8">
        <f t="shared" si="0"/>
        <v>492239.451756227</v>
      </c>
      <c r="L12" s="1">
        <f t="shared" ca="1" si="1"/>
        <v>653674.72710152704</v>
      </c>
      <c r="M12" s="1">
        <f t="shared" ca="1" si="2"/>
        <v>11781.915475295584</v>
      </c>
      <c r="N12" s="1">
        <f t="shared" si="3"/>
        <v>2908148.3484387333</v>
      </c>
      <c r="O12" s="1">
        <f t="shared" si="4"/>
        <v>0</v>
      </c>
      <c r="P12" s="1">
        <f t="shared" si="5"/>
        <v>-77441.670344359605</v>
      </c>
      <c r="Q12" s="1">
        <f t="shared" ca="1" si="6"/>
        <v>3988402.7724274234</v>
      </c>
      <c r="U12" t="s">
        <v>31</v>
      </c>
      <c r="V12" s="8">
        <v>3385.6078951998802</v>
      </c>
      <c r="W12">
        <v>261.30046844997901</v>
      </c>
      <c r="X12">
        <v>12.956761674723101</v>
      </c>
      <c r="Y12" s="99">
        <v>3.7383513818834097E-24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 s="118">
        <f ca="1">Weather!CD72</f>
        <v>461.6</v>
      </c>
      <c r="F13" s="118">
        <f ca="1">Weather!CE72</f>
        <v>0</v>
      </c>
      <c r="G13" s="8">
        <f>Dataset!AR13</f>
        <v>31</v>
      </c>
      <c r="H13" s="109">
        <f>Dataset!BK13</f>
        <v>0</v>
      </c>
      <c r="I13">
        <f>Dataset!BI13</f>
        <v>0</v>
      </c>
      <c r="K13" s="8">
        <f t="shared" si="0"/>
        <v>492239.451756227</v>
      </c>
      <c r="L13" s="1">
        <f t="shared" ca="1" si="1"/>
        <v>979504.15202098642</v>
      </c>
      <c r="M13" s="1">
        <f t="shared" ca="1" si="2"/>
        <v>0</v>
      </c>
      <c r="N13" s="1">
        <f t="shared" si="3"/>
        <v>3005086.6267200243</v>
      </c>
      <c r="O13" s="1">
        <f t="shared" si="4"/>
        <v>0</v>
      </c>
      <c r="P13" s="1">
        <f t="shared" si="5"/>
        <v>0</v>
      </c>
      <c r="Q13" s="1">
        <f t="shared" ca="1" si="6"/>
        <v>4476830.2304972373</v>
      </c>
      <c r="U13" t="s">
        <v>74</v>
      </c>
      <c r="V13" s="8">
        <v>96938.278281291103</v>
      </c>
      <c r="W13">
        <v>10089.126550106401</v>
      </c>
      <c r="X13">
        <v>9.6081933158295794</v>
      </c>
      <c r="Y13" s="99">
        <v>2.2787059126555001E-16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 s="118">
        <f t="shared" ref="E14:F14" ca="1" si="7">E2</f>
        <v>572.42999999999995</v>
      </c>
      <c r="F14" s="118">
        <f t="shared" ca="1" si="7"/>
        <v>0</v>
      </c>
      <c r="G14" s="8">
        <f>Dataset!AR14</f>
        <v>31</v>
      </c>
      <c r="H14" s="109">
        <f>Dataset!BK14</f>
        <v>0</v>
      </c>
      <c r="I14">
        <f>Dataset!BI14</f>
        <v>0</v>
      </c>
      <c r="K14" s="8">
        <f t="shared" si="0"/>
        <v>492239.451756227</v>
      </c>
      <c r="L14" s="1">
        <f t="shared" ca="1" si="1"/>
        <v>1214682.7594050546</v>
      </c>
      <c r="M14" s="1">
        <f t="shared" ca="1" si="2"/>
        <v>0</v>
      </c>
      <c r="N14" s="1">
        <f t="shared" si="3"/>
        <v>3005086.6267200243</v>
      </c>
      <c r="O14" s="1">
        <f t="shared" si="4"/>
        <v>0</v>
      </c>
      <c r="P14" s="1">
        <f t="shared" si="5"/>
        <v>0</v>
      </c>
      <c r="Q14" s="1">
        <f t="shared" ca="1" si="6"/>
        <v>4712008.8378813062</v>
      </c>
      <c r="U14" t="s">
        <v>85</v>
      </c>
      <c r="V14" s="8">
        <v>-465220.44657167402</v>
      </c>
      <c r="W14">
        <v>79994.577654400404</v>
      </c>
      <c r="X14">
        <v>-5.8156497629321899</v>
      </c>
      <c r="Y14" s="99">
        <v>5.6165091915786697E-8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 s="118">
        <f t="shared" ref="E15:F15" ca="1" si="8">E3</f>
        <v>525.4</v>
      </c>
      <c r="F15" s="118">
        <f t="shared" ca="1" si="8"/>
        <v>0</v>
      </c>
      <c r="G15" s="8">
        <f>Dataset!AR15</f>
        <v>28</v>
      </c>
      <c r="H15" s="109">
        <f>Dataset!BK15</f>
        <v>0</v>
      </c>
      <c r="I15">
        <f>Dataset!BI15</f>
        <v>0</v>
      </c>
      <c r="K15" s="8">
        <f t="shared" si="0"/>
        <v>492239.451756227</v>
      </c>
      <c r="L15" s="1">
        <f t="shared" ca="1" si="1"/>
        <v>1114886.2250256201</v>
      </c>
      <c r="M15" s="1">
        <f t="shared" ca="1" si="2"/>
        <v>0</v>
      </c>
      <c r="N15" s="1">
        <f t="shared" si="3"/>
        <v>2714271.7918761508</v>
      </c>
      <c r="O15" s="1">
        <f t="shared" si="4"/>
        <v>0</v>
      </c>
      <c r="P15" s="1">
        <f t="shared" si="5"/>
        <v>0</v>
      </c>
      <c r="Q15" s="1">
        <f t="shared" ca="1" si="6"/>
        <v>4321397.4686579984</v>
      </c>
      <c r="U15" t="s">
        <v>83</v>
      </c>
      <c r="V15" s="8">
        <v>-77441.670344359605</v>
      </c>
      <c r="W15">
        <v>26415.683674430798</v>
      </c>
      <c r="X15">
        <v>-2.9316549705400901</v>
      </c>
      <c r="Y15" s="99">
        <v>4.0752114755121596E-3</v>
      </c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 s="118">
        <f t="shared" ref="E16:F16" ca="1" si="9">E4</f>
        <v>437.1</v>
      </c>
      <c r="F16" s="118">
        <f t="shared" ca="1" si="9"/>
        <v>1.4700000000000002</v>
      </c>
      <c r="G16" s="8">
        <f>Dataset!AR16</f>
        <v>31</v>
      </c>
      <c r="H16" s="109">
        <f>Dataset!BK16</f>
        <v>0</v>
      </c>
      <c r="I16">
        <f>Dataset!BI16</f>
        <v>1</v>
      </c>
      <c r="K16" s="8">
        <f t="shared" si="0"/>
        <v>492239.451756227</v>
      </c>
      <c r="L16" s="1">
        <f t="shared" ca="1" si="1"/>
        <v>927515.73840635433</v>
      </c>
      <c r="M16" s="1">
        <f t="shared" ca="1" si="2"/>
        <v>4976.8436059438245</v>
      </c>
      <c r="N16" s="1">
        <f t="shared" si="3"/>
        <v>3005086.6267200243</v>
      </c>
      <c r="O16" s="1">
        <f t="shared" si="4"/>
        <v>0</v>
      </c>
      <c r="P16" s="1">
        <f t="shared" si="5"/>
        <v>-77441.670344359605</v>
      </c>
      <c r="Q16" s="1">
        <f t="shared" ca="1" si="6"/>
        <v>4352376.9901441904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 s="118">
        <f t="shared" ref="E17:F17" ca="1" si="10">E5</f>
        <v>264.39999999999998</v>
      </c>
      <c r="F17" s="118">
        <f t="shared" ca="1" si="10"/>
        <v>2.58</v>
      </c>
      <c r="G17" s="8">
        <f>Dataset!AR17</f>
        <v>30</v>
      </c>
      <c r="H17" s="109">
        <f>Dataset!BK17</f>
        <v>0</v>
      </c>
      <c r="I17">
        <f>Dataset!BI17</f>
        <v>1</v>
      </c>
      <c r="K17" s="8">
        <f t="shared" si="0"/>
        <v>492239.451756227</v>
      </c>
      <c r="L17" s="1">
        <f t="shared" ca="1" si="1"/>
        <v>561050.47182484565</v>
      </c>
      <c r="M17" s="1">
        <f t="shared" ca="1" si="2"/>
        <v>8734.8683696156913</v>
      </c>
      <c r="N17" s="1">
        <f t="shared" si="3"/>
        <v>2908148.3484387333</v>
      </c>
      <c r="O17" s="1">
        <f t="shared" si="4"/>
        <v>0</v>
      </c>
      <c r="P17" s="1">
        <f t="shared" si="5"/>
        <v>-77441.670344359605</v>
      </c>
      <c r="Q17" s="1">
        <f t="shared" ca="1" si="6"/>
        <v>3892731.4700450618</v>
      </c>
      <c r="U17" t="s">
        <v>128</v>
      </c>
      <c r="V17" s="8"/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 s="118">
        <f t="shared" ref="E18:F18" ca="1" si="11">E6</f>
        <v>95.570000000000007</v>
      </c>
      <c r="F18" s="118">
        <f t="shared" ca="1" si="11"/>
        <v>46.33</v>
      </c>
      <c r="G18" s="8">
        <f>Dataset!AR18</f>
        <v>31</v>
      </c>
      <c r="H18" s="109">
        <f>Dataset!BK18</f>
        <v>0</v>
      </c>
      <c r="I18">
        <f>Dataset!BI18</f>
        <v>1</v>
      </c>
      <c r="K18" s="8">
        <f t="shared" si="0"/>
        <v>492239.451756227</v>
      </c>
      <c r="L18" s="1">
        <f t="shared" ca="1" si="1"/>
        <v>202797.25261838318</v>
      </c>
      <c r="M18" s="1">
        <f t="shared" ca="1" si="2"/>
        <v>156855.21378461045</v>
      </c>
      <c r="N18" s="1">
        <f t="shared" si="3"/>
        <v>3005086.6267200243</v>
      </c>
      <c r="O18" s="1">
        <f t="shared" si="4"/>
        <v>0</v>
      </c>
      <c r="P18" s="1">
        <f t="shared" si="5"/>
        <v>-77441.670344359605</v>
      </c>
      <c r="Q18" s="1">
        <f t="shared" ca="1" si="6"/>
        <v>3779536.8745348849</v>
      </c>
      <c r="U18" t="s">
        <v>129</v>
      </c>
      <c r="V18" s="8">
        <v>4052459.9025555002</v>
      </c>
      <c r="W18" t="s">
        <v>130</v>
      </c>
      <c r="X18">
        <v>398828.904117461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 s="118">
        <f t="shared" ref="E19:F19" ca="1" si="12">E7</f>
        <v>11.73</v>
      </c>
      <c r="F19" s="118">
        <f t="shared" ca="1" si="12"/>
        <v>113.05999999999999</v>
      </c>
      <c r="G19" s="8">
        <f>Dataset!AR19</f>
        <v>30</v>
      </c>
      <c r="H19" s="109">
        <f>Dataset!BK19</f>
        <v>0</v>
      </c>
      <c r="I19">
        <f>Dataset!BI19</f>
        <v>0</v>
      </c>
      <c r="K19" s="8">
        <f t="shared" si="0"/>
        <v>492239.451756227</v>
      </c>
      <c r="L19" s="1">
        <f t="shared" ca="1" si="1"/>
        <v>24890.779253046298</v>
      </c>
      <c r="M19" s="1">
        <f t="shared" ca="1" si="2"/>
        <v>382776.82863129844</v>
      </c>
      <c r="N19" s="1">
        <f t="shared" si="3"/>
        <v>2908148.3484387333</v>
      </c>
      <c r="O19" s="1">
        <f t="shared" si="4"/>
        <v>0</v>
      </c>
      <c r="P19" s="1">
        <f t="shared" si="5"/>
        <v>0</v>
      </c>
      <c r="Q19" s="1">
        <f t="shared" ca="1" si="6"/>
        <v>3808055.4080793047</v>
      </c>
      <c r="U19" t="s">
        <v>131</v>
      </c>
      <c r="V19">
        <v>1400401517234.1201</v>
      </c>
      <c r="W19" t="s">
        <v>132</v>
      </c>
      <c r="X19">
        <v>110834.217800222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 s="118">
        <f t="shared" ref="E20:F20" ca="1" si="13">E8</f>
        <v>0</v>
      </c>
      <c r="F20" s="118">
        <f t="shared" ca="1" si="13"/>
        <v>211.26999999999998</v>
      </c>
      <c r="G20" s="8">
        <f>Dataset!AR20</f>
        <v>31</v>
      </c>
      <c r="H20" s="109">
        <f>Dataset!BK20</f>
        <v>0</v>
      </c>
      <c r="I20">
        <f>Dataset!BI20</f>
        <v>0</v>
      </c>
      <c r="K20" s="8">
        <f t="shared" si="0"/>
        <v>492239.451756227</v>
      </c>
      <c r="L20" s="1">
        <f t="shared" ca="1" si="1"/>
        <v>0</v>
      </c>
      <c r="M20" s="1">
        <f t="shared" ca="1" si="2"/>
        <v>715277.38001887861</v>
      </c>
      <c r="N20" s="1">
        <f t="shared" si="3"/>
        <v>3005086.6267200243</v>
      </c>
      <c r="O20" s="1">
        <f t="shared" si="4"/>
        <v>0</v>
      </c>
      <c r="P20" s="1">
        <f t="shared" si="5"/>
        <v>0</v>
      </c>
      <c r="Q20" s="1">
        <f t="shared" ca="1" si="6"/>
        <v>4212603.4584951298</v>
      </c>
      <c r="U20" t="s">
        <v>133</v>
      </c>
      <c r="V20">
        <v>0.92678085896585005</v>
      </c>
      <c r="W20" t="s">
        <v>134</v>
      </c>
      <c r="X20">
        <v>0.92356949313101899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 s="118">
        <f t="shared" ref="E21:F21" ca="1" si="14">E9</f>
        <v>0.13</v>
      </c>
      <c r="F21" s="118">
        <f t="shared" ca="1" si="14"/>
        <v>198.38000000000002</v>
      </c>
      <c r="G21" s="8">
        <f>Dataset!AR21</f>
        <v>31</v>
      </c>
      <c r="H21" s="109">
        <f>Dataset!BK21</f>
        <v>0</v>
      </c>
      <c r="I21">
        <f>Dataset!BI21</f>
        <v>0</v>
      </c>
      <c r="K21" s="8">
        <f t="shared" si="0"/>
        <v>492239.451756227</v>
      </c>
      <c r="L21" s="1">
        <f t="shared" ca="1" si="1"/>
        <v>275.85688856743553</v>
      </c>
      <c r="M21" s="1">
        <f t="shared" ca="1" si="2"/>
        <v>671636.89424975228</v>
      </c>
      <c r="N21" s="1">
        <f t="shared" si="3"/>
        <v>3005086.6267200243</v>
      </c>
      <c r="O21" s="1">
        <f t="shared" si="4"/>
        <v>0</v>
      </c>
      <c r="P21" s="1">
        <f t="shared" si="5"/>
        <v>0</v>
      </c>
      <c r="Q21" s="1">
        <f t="shared" ca="1" si="6"/>
        <v>4169238.8296145713</v>
      </c>
      <c r="U21" t="s">
        <v>348</v>
      </c>
      <c r="V21">
        <v>235.12877420820601</v>
      </c>
      <c r="W21" t="s">
        <v>135</v>
      </c>
      <c r="X21" s="99">
        <v>2.5816260523108699E-58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 s="118">
        <f t="shared" ref="E22:F22" ca="1" si="15">E10</f>
        <v>16.16</v>
      </c>
      <c r="F22" s="118">
        <f t="shared" ca="1" si="15"/>
        <v>100.94000000000001</v>
      </c>
      <c r="G22" s="8">
        <f>Dataset!AR22</f>
        <v>30</v>
      </c>
      <c r="H22" s="109">
        <f>Dataset!BK22</f>
        <v>0</v>
      </c>
      <c r="I22">
        <f>Dataset!BI22</f>
        <v>1</v>
      </c>
      <c r="K22" s="8">
        <f t="shared" si="0"/>
        <v>492239.451756227</v>
      </c>
      <c r="L22" s="1">
        <f t="shared" ca="1" si="1"/>
        <v>34291.133224998135</v>
      </c>
      <c r="M22" s="1">
        <f t="shared" ca="1" si="2"/>
        <v>341743.26094147592</v>
      </c>
      <c r="N22" s="1">
        <f t="shared" si="3"/>
        <v>2908148.3484387333</v>
      </c>
      <c r="O22" s="1">
        <f t="shared" si="4"/>
        <v>0</v>
      </c>
      <c r="P22" s="1">
        <f t="shared" si="5"/>
        <v>-77441.670344359605</v>
      </c>
      <c r="Q22" s="1">
        <f t="shared" ca="1" si="6"/>
        <v>3698980.5240170746</v>
      </c>
      <c r="U22" t="s">
        <v>136</v>
      </c>
      <c r="V22">
        <v>-3.2397071535679001E-2</v>
      </c>
      <c r="W22" t="s">
        <v>137</v>
      </c>
      <c r="X22">
        <v>2.0409992642883501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 s="118">
        <f t="shared" ref="E23:F23" ca="1" si="16">E11</f>
        <v>124.66000000000001</v>
      </c>
      <c r="F23" s="118">
        <f t="shared" ca="1" si="16"/>
        <v>24.5</v>
      </c>
      <c r="G23" s="8">
        <f>Dataset!AR23</f>
        <v>31</v>
      </c>
      <c r="H23" s="109">
        <f>Dataset!BK23</f>
        <v>0</v>
      </c>
      <c r="I23">
        <f>Dataset!BI23</f>
        <v>1</v>
      </c>
      <c r="K23" s="8">
        <f t="shared" si="0"/>
        <v>492239.451756227</v>
      </c>
      <c r="L23" s="1">
        <f t="shared" ca="1" si="1"/>
        <v>264525.53637551161</v>
      </c>
      <c r="M23" s="1">
        <f t="shared" ca="1" si="2"/>
        <v>82947.393432397061</v>
      </c>
      <c r="N23" s="1">
        <f t="shared" si="3"/>
        <v>3005086.6267200243</v>
      </c>
      <c r="O23" s="1">
        <f t="shared" si="4"/>
        <v>0</v>
      </c>
      <c r="P23" s="1">
        <f t="shared" si="5"/>
        <v>-77441.670344359605</v>
      </c>
      <c r="Q23" s="1">
        <f t="shared" ca="1" si="6"/>
        <v>3767357.3379398002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 s="118">
        <f t="shared" ref="E24:F24" ca="1" si="17">E12</f>
        <v>308.05</v>
      </c>
      <c r="F24" s="118">
        <f t="shared" ca="1" si="17"/>
        <v>3.4800000000000004</v>
      </c>
      <c r="G24" s="8">
        <f>Dataset!AR24</f>
        <v>30</v>
      </c>
      <c r="H24" s="109">
        <f>Dataset!BK24</f>
        <v>0</v>
      </c>
      <c r="I24">
        <f>Dataset!BI24</f>
        <v>1</v>
      </c>
      <c r="K24" s="8">
        <f t="shared" si="0"/>
        <v>492239.451756227</v>
      </c>
      <c r="L24" s="1">
        <f t="shared" ca="1" si="1"/>
        <v>653674.72710152704</v>
      </c>
      <c r="M24" s="1">
        <f t="shared" ca="1" si="2"/>
        <v>11781.915475295584</v>
      </c>
      <c r="N24" s="1">
        <f t="shared" si="3"/>
        <v>2908148.3484387333</v>
      </c>
      <c r="O24" s="1">
        <f t="shared" si="4"/>
        <v>0</v>
      </c>
      <c r="P24" s="1">
        <f t="shared" si="5"/>
        <v>-77441.670344359605</v>
      </c>
      <c r="Q24" s="1">
        <f t="shared" ca="1" si="6"/>
        <v>3988402.7724274234</v>
      </c>
      <c r="X24" s="99"/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 s="118">
        <f t="shared" ref="E25:F25" ca="1" si="18">E13</f>
        <v>461.6</v>
      </c>
      <c r="F25" s="118">
        <f t="shared" ca="1" si="18"/>
        <v>0</v>
      </c>
      <c r="G25" s="8">
        <f>Dataset!AR25</f>
        <v>31</v>
      </c>
      <c r="H25" s="109">
        <f>Dataset!BK25</f>
        <v>0</v>
      </c>
      <c r="I25">
        <f>Dataset!BI25</f>
        <v>0</v>
      </c>
      <c r="K25" s="8">
        <f t="shared" si="0"/>
        <v>492239.451756227</v>
      </c>
      <c r="L25" s="1">
        <f t="shared" ca="1" si="1"/>
        <v>979504.15202098642</v>
      </c>
      <c r="M25" s="1">
        <f t="shared" ca="1" si="2"/>
        <v>0</v>
      </c>
      <c r="N25" s="1">
        <f t="shared" si="3"/>
        <v>3005086.6267200243</v>
      </c>
      <c r="O25" s="1">
        <f t="shared" si="4"/>
        <v>0</v>
      </c>
      <c r="P25" s="1">
        <f t="shared" si="5"/>
        <v>0</v>
      </c>
      <c r="Q25" s="1">
        <f t="shared" ca="1" si="6"/>
        <v>4476830.2304972373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 s="118">
        <f t="shared" ref="E26:F26" ca="1" si="19">E14</f>
        <v>572.42999999999995</v>
      </c>
      <c r="F26" s="118">
        <f t="shared" ca="1" si="19"/>
        <v>0</v>
      </c>
      <c r="G26" s="8">
        <f>Dataset!AR26</f>
        <v>31</v>
      </c>
      <c r="H26" s="109">
        <f>Dataset!BK26</f>
        <v>0</v>
      </c>
      <c r="I26">
        <f>Dataset!BI26</f>
        <v>0</v>
      </c>
      <c r="K26" s="8">
        <f t="shared" si="0"/>
        <v>492239.451756227</v>
      </c>
      <c r="L26" s="1">
        <f t="shared" ca="1" si="1"/>
        <v>1214682.7594050546</v>
      </c>
      <c r="M26" s="1">
        <f t="shared" ca="1" si="2"/>
        <v>0</v>
      </c>
      <c r="N26" s="1">
        <f t="shared" si="3"/>
        <v>3005086.6267200243</v>
      </c>
      <c r="O26" s="1">
        <f t="shared" si="4"/>
        <v>0</v>
      </c>
      <c r="P26" s="1">
        <f t="shared" si="5"/>
        <v>0</v>
      </c>
      <c r="Q26" s="1">
        <f t="shared" ca="1" si="6"/>
        <v>4712008.8378813062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 s="118">
        <f t="shared" ref="E27:F27" ca="1" si="20">E15</f>
        <v>525.4</v>
      </c>
      <c r="F27" s="118">
        <f t="shared" ca="1" si="20"/>
        <v>0</v>
      </c>
      <c r="G27" s="8">
        <f>Dataset!AR27</f>
        <v>28</v>
      </c>
      <c r="H27" s="109">
        <f>Dataset!BK27</f>
        <v>0</v>
      </c>
      <c r="I27">
        <f>Dataset!BI27</f>
        <v>0</v>
      </c>
      <c r="K27" s="8">
        <f t="shared" si="0"/>
        <v>492239.451756227</v>
      </c>
      <c r="L27" s="1">
        <f t="shared" ca="1" si="1"/>
        <v>1114886.2250256201</v>
      </c>
      <c r="M27" s="1">
        <f t="shared" ca="1" si="2"/>
        <v>0</v>
      </c>
      <c r="N27" s="1">
        <f t="shared" si="3"/>
        <v>2714271.7918761508</v>
      </c>
      <c r="O27" s="1">
        <f t="shared" si="4"/>
        <v>0</v>
      </c>
      <c r="P27" s="1">
        <f t="shared" si="5"/>
        <v>0</v>
      </c>
      <c r="Q27" s="1">
        <f t="shared" ca="1" si="6"/>
        <v>4321397.4686579984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 s="118">
        <f t="shared" ref="E28:F28" ca="1" si="21">E16</f>
        <v>437.1</v>
      </c>
      <c r="F28" s="118">
        <f t="shared" ca="1" si="21"/>
        <v>1.4700000000000002</v>
      </c>
      <c r="G28" s="8">
        <f>Dataset!AR28</f>
        <v>31</v>
      </c>
      <c r="H28" s="109">
        <f>Dataset!BK28</f>
        <v>0</v>
      </c>
      <c r="I28">
        <f>Dataset!BI28</f>
        <v>1</v>
      </c>
      <c r="K28" s="8">
        <f t="shared" si="0"/>
        <v>492239.451756227</v>
      </c>
      <c r="L28" s="1">
        <f t="shared" ca="1" si="1"/>
        <v>927515.73840635433</v>
      </c>
      <c r="M28" s="1">
        <f t="shared" ca="1" si="2"/>
        <v>4976.8436059438245</v>
      </c>
      <c r="N28" s="1">
        <f t="shared" si="3"/>
        <v>3005086.6267200243</v>
      </c>
      <c r="O28" s="1">
        <f t="shared" si="4"/>
        <v>0</v>
      </c>
      <c r="P28" s="1">
        <f t="shared" si="5"/>
        <v>-77441.670344359605</v>
      </c>
      <c r="Q28" s="1">
        <f t="shared" ca="1" si="6"/>
        <v>4352376.9901441904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 s="118">
        <f t="shared" ref="E29:F29" ca="1" si="22">E17</f>
        <v>264.39999999999998</v>
      </c>
      <c r="F29" s="118">
        <f t="shared" ca="1" si="22"/>
        <v>2.58</v>
      </c>
      <c r="G29" s="8">
        <f>Dataset!AR29</f>
        <v>30</v>
      </c>
      <c r="H29" s="109">
        <f>Dataset!BK29</f>
        <v>0</v>
      </c>
      <c r="I29">
        <f>Dataset!BI29</f>
        <v>1</v>
      </c>
      <c r="K29" s="8">
        <f t="shared" si="0"/>
        <v>492239.451756227</v>
      </c>
      <c r="L29" s="1">
        <f t="shared" ca="1" si="1"/>
        <v>561050.47182484565</v>
      </c>
      <c r="M29" s="1">
        <f t="shared" ca="1" si="2"/>
        <v>8734.8683696156913</v>
      </c>
      <c r="N29" s="1">
        <f t="shared" si="3"/>
        <v>2908148.3484387333</v>
      </c>
      <c r="O29" s="1">
        <f t="shared" si="4"/>
        <v>0</v>
      </c>
      <c r="P29" s="1">
        <f t="shared" si="5"/>
        <v>-77441.670344359605</v>
      </c>
      <c r="Q29" s="1">
        <f t="shared" ca="1" si="6"/>
        <v>3892731.4700450618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 s="118">
        <f t="shared" ref="E30:F30" ca="1" si="23">E18</f>
        <v>95.570000000000007</v>
      </c>
      <c r="F30" s="118">
        <f t="shared" ca="1" si="23"/>
        <v>46.33</v>
      </c>
      <c r="G30" s="8">
        <f>Dataset!AR30</f>
        <v>31</v>
      </c>
      <c r="H30" s="109">
        <f>Dataset!BK30</f>
        <v>0</v>
      </c>
      <c r="I30">
        <f>Dataset!BI30</f>
        <v>1</v>
      </c>
      <c r="K30" s="8">
        <f t="shared" si="0"/>
        <v>492239.451756227</v>
      </c>
      <c r="L30" s="1">
        <f t="shared" ca="1" si="1"/>
        <v>202797.25261838318</v>
      </c>
      <c r="M30" s="1">
        <f t="shared" ca="1" si="2"/>
        <v>156855.21378461045</v>
      </c>
      <c r="N30" s="1">
        <f t="shared" si="3"/>
        <v>3005086.6267200243</v>
      </c>
      <c r="O30" s="1">
        <f t="shared" si="4"/>
        <v>0</v>
      </c>
      <c r="P30" s="1">
        <f t="shared" si="5"/>
        <v>-77441.670344359605</v>
      </c>
      <c r="Q30" s="1">
        <f t="shared" ca="1" si="6"/>
        <v>3779536.8745348849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 s="118">
        <f t="shared" ref="E31:F31" ca="1" si="24">E19</f>
        <v>11.73</v>
      </c>
      <c r="F31" s="118">
        <f t="shared" ca="1" si="24"/>
        <v>113.05999999999999</v>
      </c>
      <c r="G31" s="8">
        <f>Dataset!AR31</f>
        <v>30</v>
      </c>
      <c r="H31" s="109">
        <f>Dataset!BK31</f>
        <v>0</v>
      </c>
      <c r="I31">
        <f>Dataset!BI31</f>
        <v>0</v>
      </c>
      <c r="K31" s="8">
        <f t="shared" si="0"/>
        <v>492239.451756227</v>
      </c>
      <c r="L31" s="1">
        <f t="shared" ca="1" si="1"/>
        <v>24890.779253046298</v>
      </c>
      <c r="M31" s="1">
        <f t="shared" ca="1" si="2"/>
        <v>382776.82863129844</v>
      </c>
      <c r="N31" s="1">
        <f t="shared" si="3"/>
        <v>2908148.3484387333</v>
      </c>
      <c r="O31" s="1">
        <f t="shared" si="4"/>
        <v>0</v>
      </c>
      <c r="P31" s="1">
        <f t="shared" si="5"/>
        <v>0</v>
      </c>
      <c r="Q31" s="1">
        <f t="shared" ca="1" si="6"/>
        <v>3808055.4080793047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 s="118">
        <f t="shared" ref="E32:F32" ca="1" si="25">E20</f>
        <v>0</v>
      </c>
      <c r="F32" s="118">
        <f t="shared" ca="1" si="25"/>
        <v>211.26999999999998</v>
      </c>
      <c r="G32" s="8">
        <f>Dataset!AR32</f>
        <v>31</v>
      </c>
      <c r="H32" s="109">
        <f>Dataset!BK32</f>
        <v>0</v>
      </c>
      <c r="I32">
        <f>Dataset!BI32</f>
        <v>0</v>
      </c>
      <c r="K32" s="8">
        <f t="shared" si="0"/>
        <v>492239.451756227</v>
      </c>
      <c r="L32" s="1">
        <f t="shared" ca="1" si="1"/>
        <v>0</v>
      </c>
      <c r="M32" s="1">
        <f t="shared" ca="1" si="2"/>
        <v>715277.38001887861</v>
      </c>
      <c r="N32" s="1">
        <f t="shared" si="3"/>
        <v>3005086.6267200243</v>
      </c>
      <c r="O32" s="1">
        <f t="shared" si="4"/>
        <v>0</v>
      </c>
      <c r="P32" s="1">
        <f t="shared" si="5"/>
        <v>0</v>
      </c>
      <c r="Q32" s="1">
        <f t="shared" ca="1" si="6"/>
        <v>4212603.4584951298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 s="118">
        <f t="shared" ref="E33:F33" ca="1" si="26">E21</f>
        <v>0.13</v>
      </c>
      <c r="F33" s="118">
        <f t="shared" ca="1" si="26"/>
        <v>198.38000000000002</v>
      </c>
      <c r="G33" s="8">
        <f>Dataset!AR33</f>
        <v>31</v>
      </c>
      <c r="H33" s="109">
        <f>Dataset!BK33</f>
        <v>0</v>
      </c>
      <c r="I33">
        <f>Dataset!BI33</f>
        <v>0</v>
      </c>
      <c r="K33" s="8">
        <f t="shared" si="0"/>
        <v>492239.451756227</v>
      </c>
      <c r="L33" s="1">
        <f t="shared" ca="1" si="1"/>
        <v>275.85688856743553</v>
      </c>
      <c r="M33" s="1">
        <f t="shared" ca="1" si="2"/>
        <v>671636.89424975228</v>
      </c>
      <c r="N33" s="1">
        <f t="shared" si="3"/>
        <v>3005086.6267200243</v>
      </c>
      <c r="O33" s="1">
        <f t="shared" si="4"/>
        <v>0</v>
      </c>
      <c r="P33" s="1">
        <f t="shared" si="5"/>
        <v>0</v>
      </c>
      <c r="Q33" s="1">
        <f t="shared" ca="1" si="6"/>
        <v>4169238.8296145713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 s="118">
        <f t="shared" ref="E34:F34" ca="1" si="27">E22</f>
        <v>16.16</v>
      </c>
      <c r="F34" s="118">
        <f t="shared" ca="1" si="27"/>
        <v>100.94000000000001</v>
      </c>
      <c r="G34" s="8">
        <f>Dataset!AR34</f>
        <v>30</v>
      </c>
      <c r="H34" s="109">
        <f>Dataset!BK34</f>
        <v>0</v>
      </c>
      <c r="I34">
        <f>Dataset!BI34</f>
        <v>1</v>
      </c>
      <c r="K34" s="8">
        <f t="shared" ref="K34:K65" si="28">$V$10</f>
        <v>492239.451756227</v>
      </c>
      <c r="L34" s="1">
        <f t="shared" ref="L34:L65" ca="1" si="29">E34*$V$11</f>
        <v>34291.133224998135</v>
      </c>
      <c r="M34" s="1">
        <f t="shared" ref="M34:M65" ca="1" si="30">F34*$V$12</f>
        <v>341743.26094147592</v>
      </c>
      <c r="N34" s="1">
        <f t="shared" ref="N34:N65" si="31">G34*$V$13</f>
        <v>2908148.3484387333</v>
      </c>
      <c r="O34" s="1">
        <f t="shared" si="4"/>
        <v>0</v>
      </c>
      <c r="P34" s="1">
        <f t="shared" si="5"/>
        <v>-77441.670344359605</v>
      </c>
      <c r="Q34" s="1">
        <f t="shared" ca="1" si="6"/>
        <v>3698980.5240170746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 s="118">
        <f t="shared" ref="E35:F35" ca="1" si="32">E23</f>
        <v>124.66000000000001</v>
      </c>
      <c r="F35" s="118">
        <f t="shared" ca="1" si="32"/>
        <v>24.5</v>
      </c>
      <c r="G35" s="8">
        <f>Dataset!AR35</f>
        <v>31</v>
      </c>
      <c r="H35" s="109">
        <f>Dataset!BK35</f>
        <v>0</v>
      </c>
      <c r="I35">
        <f>Dataset!BI35</f>
        <v>1</v>
      </c>
      <c r="K35" s="8">
        <f t="shared" si="28"/>
        <v>492239.451756227</v>
      </c>
      <c r="L35" s="1">
        <f t="shared" ca="1" si="29"/>
        <v>264525.53637551161</v>
      </c>
      <c r="M35" s="1">
        <f t="shared" ca="1" si="30"/>
        <v>82947.393432397061</v>
      </c>
      <c r="N35" s="1">
        <f t="shared" si="31"/>
        <v>3005086.6267200243</v>
      </c>
      <c r="O35" s="1">
        <f t="shared" si="4"/>
        <v>0</v>
      </c>
      <c r="P35" s="1">
        <f t="shared" si="5"/>
        <v>-77441.670344359605</v>
      </c>
      <c r="Q35" s="1">
        <f t="shared" ca="1" si="6"/>
        <v>3767357.3379398002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 s="118">
        <f t="shared" ref="E36:F36" ca="1" si="33">E24</f>
        <v>308.05</v>
      </c>
      <c r="F36" s="118">
        <f t="shared" ca="1" si="33"/>
        <v>3.4800000000000004</v>
      </c>
      <c r="G36" s="8">
        <f>Dataset!AR36</f>
        <v>30</v>
      </c>
      <c r="H36" s="109">
        <f>Dataset!BK36</f>
        <v>0</v>
      </c>
      <c r="I36">
        <f>Dataset!BI36</f>
        <v>1</v>
      </c>
      <c r="K36" s="8">
        <f t="shared" si="28"/>
        <v>492239.451756227</v>
      </c>
      <c r="L36" s="1">
        <f t="shared" ca="1" si="29"/>
        <v>653674.72710152704</v>
      </c>
      <c r="M36" s="1">
        <f t="shared" ca="1" si="30"/>
        <v>11781.915475295584</v>
      </c>
      <c r="N36" s="1">
        <f t="shared" si="31"/>
        <v>2908148.3484387333</v>
      </c>
      <c r="O36" s="1">
        <f t="shared" si="4"/>
        <v>0</v>
      </c>
      <c r="P36" s="1">
        <f t="shared" si="5"/>
        <v>-77441.670344359605</v>
      </c>
      <c r="Q36" s="1">
        <f t="shared" ca="1" si="6"/>
        <v>3988402.7724274234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 s="118">
        <f t="shared" ref="E37:F37" ca="1" si="34">E25</f>
        <v>461.6</v>
      </c>
      <c r="F37" s="118">
        <f t="shared" ca="1" si="34"/>
        <v>0</v>
      </c>
      <c r="G37" s="8">
        <f>Dataset!AR37</f>
        <v>31</v>
      </c>
      <c r="H37" s="109">
        <f>Dataset!BK37</f>
        <v>0</v>
      </c>
      <c r="I37">
        <f>Dataset!BI37</f>
        <v>0</v>
      </c>
      <c r="K37" s="8">
        <f t="shared" si="28"/>
        <v>492239.451756227</v>
      </c>
      <c r="L37" s="1">
        <f t="shared" ca="1" si="29"/>
        <v>979504.15202098642</v>
      </c>
      <c r="M37" s="1">
        <f t="shared" ca="1" si="30"/>
        <v>0</v>
      </c>
      <c r="N37" s="1">
        <f t="shared" si="31"/>
        <v>3005086.6267200243</v>
      </c>
      <c r="O37" s="1">
        <f t="shared" si="4"/>
        <v>0</v>
      </c>
      <c r="P37" s="1">
        <f t="shared" si="5"/>
        <v>0</v>
      </c>
      <c r="Q37" s="1">
        <f t="shared" ca="1" si="6"/>
        <v>4476830.2304972373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 s="118">
        <f t="shared" ref="E38:F38" ca="1" si="35">E26</f>
        <v>572.42999999999995</v>
      </c>
      <c r="F38" s="118">
        <f t="shared" ca="1" si="35"/>
        <v>0</v>
      </c>
      <c r="G38" s="8">
        <f>Dataset!AR38</f>
        <v>31</v>
      </c>
      <c r="H38" s="109">
        <f>Dataset!BK38</f>
        <v>0</v>
      </c>
      <c r="I38">
        <f>Dataset!BI38</f>
        <v>0</v>
      </c>
      <c r="K38" s="8">
        <f t="shared" si="28"/>
        <v>492239.451756227</v>
      </c>
      <c r="L38" s="1">
        <f t="shared" ca="1" si="29"/>
        <v>1214682.7594050546</v>
      </c>
      <c r="M38" s="1">
        <f t="shared" ca="1" si="30"/>
        <v>0</v>
      </c>
      <c r="N38" s="1">
        <f t="shared" si="31"/>
        <v>3005086.6267200243</v>
      </c>
      <c r="O38" s="1">
        <f t="shared" si="4"/>
        <v>0</v>
      </c>
      <c r="P38" s="1">
        <f t="shared" si="5"/>
        <v>0</v>
      </c>
      <c r="Q38" s="1">
        <f t="shared" ca="1" si="6"/>
        <v>4712008.8378813062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 s="118">
        <f t="shared" ref="E39:F39" ca="1" si="36">E27</f>
        <v>525.4</v>
      </c>
      <c r="F39" s="118">
        <f t="shared" ca="1" si="36"/>
        <v>0</v>
      </c>
      <c r="G39" s="8">
        <f>Dataset!AR39</f>
        <v>28</v>
      </c>
      <c r="H39" s="109">
        <f>Dataset!BK39</f>
        <v>0</v>
      </c>
      <c r="I39">
        <f>Dataset!BI39</f>
        <v>0</v>
      </c>
      <c r="K39" s="8">
        <f t="shared" si="28"/>
        <v>492239.451756227</v>
      </c>
      <c r="L39" s="1">
        <f t="shared" ca="1" si="29"/>
        <v>1114886.2250256201</v>
      </c>
      <c r="M39" s="1">
        <f t="shared" ca="1" si="30"/>
        <v>0</v>
      </c>
      <c r="N39" s="1">
        <f t="shared" si="31"/>
        <v>2714271.7918761508</v>
      </c>
      <c r="O39" s="1">
        <f t="shared" si="4"/>
        <v>0</v>
      </c>
      <c r="P39" s="1">
        <f t="shared" si="5"/>
        <v>0</v>
      </c>
      <c r="Q39" s="1">
        <f t="shared" ca="1" si="6"/>
        <v>4321397.4686579984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 s="118">
        <f t="shared" ref="E40:F40" ca="1" si="37">E28</f>
        <v>437.1</v>
      </c>
      <c r="F40" s="118">
        <f t="shared" ca="1" si="37"/>
        <v>1.4700000000000002</v>
      </c>
      <c r="G40" s="8">
        <f>Dataset!AR40</f>
        <v>31</v>
      </c>
      <c r="H40" s="109">
        <f>Dataset!BK40</f>
        <v>0</v>
      </c>
      <c r="I40">
        <f>Dataset!BI40</f>
        <v>1</v>
      </c>
      <c r="K40" s="8">
        <f t="shared" si="28"/>
        <v>492239.451756227</v>
      </c>
      <c r="L40" s="1">
        <f t="shared" ca="1" si="29"/>
        <v>927515.73840635433</v>
      </c>
      <c r="M40" s="1">
        <f t="shared" ca="1" si="30"/>
        <v>4976.8436059438245</v>
      </c>
      <c r="N40" s="1">
        <f t="shared" si="31"/>
        <v>3005086.6267200243</v>
      </c>
      <c r="O40" s="1">
        <f t="shared" si="4"/>
        <v>0</v>
      </c>
      <c r="P40" s="1">
        <f t="shared" si="5"/>
        <v>-77441.670344359605</v>
      </c>
      <c r="Q40" s="1">
        <f t="shared" ca="1" si="6"/>
        <v>4352376.9901441904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 s="118">
        <f t="shared" ref="E41:F41" ca="1" si="38">E29</f>
        <v>264.39999999999998</v>
      </c>
      <c r="F41" s="118">
        <f t="shared" ca="1" si="38"/>
        <v>2.58</v>
      </c>
      <c r="G41" s="8">
        <f>Dataset!AR41</f>
        <v>30</v>
      </c>
      <c r="H41" s="109">
        <f>Dataset!BK41</f>
        <v>0</v>
      </c>
      <c r="I41">
        <f>Dataset!BI41</f>
        <v>1</v>
      </c>
      <c r="K41" s="8">
        <f t="shared" si="28"/>
        <v>492239.451756227</v>
      </c>
      <c r="L41" s="1">
        <f t="shared" ca="1" si="29"/>
        <v>561050.47182484565</v>
      </c>
      <c r="M41" s="1">
        <f t="shared" ca="1" si="30"/>
        <v>8734.8683696156913</v>
      </c>
      <c r="N41" s="1">
        <f t="shared" si="31"/>
        <v>2908148.3484387333</v>
      </c>
      <c r="O41" s="1">
        <f t="shared" si="4"/>
        <v>0</v>
      </c>
      <c r="P41" s="1">
        <f t="shared" si="5"/>
        <v>-77441.670344359605</v>
      </c>
      <c r="Q41" s="1">
        <f t="shared" ca="1" si="6"/>
        <v>3892731.4700450618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 s="118">
        <f t="shared" ref="E42:F42" ca="1" si="39">E30</f>
        <v>95.570000000000007</v>
      </c>
      <c r="F42" s="118">
        <f t="shared" ca="1" si="39"/>
        <v>46.33</v>
      </c>
      <c r="G42" s="8">
        <f>Dataset!AR42</f>
        <v>31</v>
      </c>
      <c r="H42" s="109">
        <f>Dataset!BK42</f>
        <v>0</v>
      </c>
      <c r="I42">
        <f>Dataset!BI42</f>
        <v>1</v>
      </c>
      <c r="K42" s="8">
        <f t="shared" si="28"/>
        <v>492239.451756227</v>
      </c>
      <c r="L42" s="1">
        <f t="shared" ca="1" si="29"/>
        <v>202797.25261838318</v>
      </c>
      <c r="M42" s="1">
        <f t="shared" ca="1" si="30"/>
        <v>156855.21378461045</v>
      </c>
      <c r="N42" s="1">
        <f t="shared" si="31"/>
        <v>3005086.6267200243</v>
      </c>
      <c r="O42" s="1">
        <f t="shared" si="4"/>
        <v>0</v>
      </c>
      <c r="P42" s="1">
        <f t="shared" si="5"/>
        <v>-77441.670344359605</v>
      </c>
      <c r="Q42" s="1">
        <f t="shared" ca="1" si="6"/>
        <v>3779536.8745348849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 s="118">
        <f t="shared" ref="E43:F43" ca="1" si="40">E31</f>
        <v>11.73</v>
      </c>
      <c r="F43" s="118">
        <f t="shared" ca="1" si="40"/>
        <v>113.05999999999999</v>
      </c>
      <c r="G43" s="8">
        <f>Dataset!AR43</f>
        <v>30</v>
      </c>
      <c r="H43" s="109">
        <f>Dataset!BK43</f>
        <v>0</v>
      </c>
      <c r="I43">
        <f>Dataset!BI43</f>
        <v>0</v>
      </c>
      <c r="K43" s="8">
        <f t="shared" si="28"/>
        <v>492239.451756227</v>
      </c>
      <c r="L43" s="1">
        <f t="shared" ca="1" si="29"/>
        <v>24890.779253046298</v>
      </c>
      <c r="M43" s="1">
        <f t="shared" ca="1" si="30"/>
        <v>382776.82863129844</v>
      </c>
      <c r="N43" s="1">
        <f t="shared" si="31"/>
        <v>2908148.3484387333</v>
      </c>
      <c r="O43" s="1">
        <f t="shared" si="4"/>
        <v>0</v>
      </c>
      <c r="P43" s="1">
        <f t="shared" si="5"/>
        <v>0</v>
      </c>
      <c r="Q43" s="1">
        <f t="shared" ca="1" si="6"/>
        <v>3808055.4080793047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 s="118">
        <f t="shared" ref="E44:F44" ca="1" si="41">E32</f>
        <v>0</v>
      </c>
      <c r="F44" s="118">
        <f t="shared" ca="1" si="41"/>
        <v>211.26999999999998</v>
      </c>
      <c r="G44" s="8">
        <f>Dataset!AR44</f>
        <v>31</v>
      </c>
      <c r="H44" s="109">
        <f>Dataset!BK44</f>
        <v>0</v>
      </c>
      <c r="I44">
        <f>Dataset!BI44</f>
        <v>0</v>
      </c>
      <c r="K44" s="8">
        <f t="shared" si="28"/>
        <v>492239.451756227</v>
      </c>
      <c r="L44" s="1">
        <f t="shared" ca="1" si="29"/>
        <v>0</v>
      </c>
      <c r="M44" s="1">
        <f t="shared" ca="1" si="30"/>
        <v>715277.38001887861</v>
      </c>
      <c r="N44" s="1">
        <f t="shared" si="31"/>
        <v>3005086.6267200243</v>
      </c>
      <c r="O44" s="1">
        <f t="shared" si="4"/>
        <v>0</v>
      </c>
      <c r="P44" s="1">
        <f t="shared" si="5"/>
        <v>0</v>
      </c>
      <c r="Q44" s="1">
        <f t="shared" ca="1" si="6"/>
        <v>4212603.4584951298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 s="118">
        <f t="shared" ref="E45:F45" ca="1" si="42">E33</f>
        <v>0.13</v>
      </c>
      <c r="F45" s="118">
        <f t="shared" ca="1" si="42"/>
        <v>198.38000000000002</v>
      </c>
      <c r="G45" s="8">
        <f>Dataset!AR45</f>
        <v>31</v>
      </c>
      <c r="H45" s="109">
        <f>Dataset!BK45</f>
        <v>0</v>
      </c>
      <c r="I45">
        <f>Dataset!BI45</f>
        <v>0</v>
      </c>
      <c r="K45" s="8">
        <f t="shared" si="28"/>
        <v>492239.451756227</v>
      </c>
      <c r="L45" s="1">
        <f t="shared" ca="1" si="29"/>
        <v>275.85688856743553</v>
      </c>
      <c r="M45" s="1">
        <f t="shared" ca="1" si="30"/>
        <v>671636.89424975228</v>
      </c>
      <c r="N45" s="1">
        <f t="shared" si="31"/>
        <v>3005086.6267200243</v>
      </c>
      <c r="O45" s="1">
        <f t="shared" si="4"/>
        <v>0</v>
      </c>
      <c r="P45" s="1">
        <f t="shared" si="5"/>
        <v>0</v>
      </c>
      <c r="Q45" s="1">
        <f t="shared" ca="1" si="6"/>
        <v>4169238.8296145713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 s="118">
        <f t="shared" ref="E46:F46" ca="1" si="43">E34</f>
        <v>16.16</v>
      </c>
      <c r="F46" s="118">
        <f t="shared" ca="1" si="43"/>
        <v>100.94000000000001</v>
      </c>
      <c r="G46" s="8">
        <f>Dataset!AR46</f>
        <v>30</v>
      </c>
      <c r="H46" s="109">
        <f>Dataset!BK46</f>
        <v>0</v>
      </c>
      <c r="I46">
        <f>Dataset!BI46</f>
        <v>1</v>
      </c>
      <c r="K46" s="8">
        <f t="shared" si="28"/>
        <v>492239.451756227</v>
      </c>
      <c r="L46" s="1">
        <f t="shared" ca="1" si="29"/>
        <v>34291.133224998135</v>
      </c>
      <c r="M46" s="1">
        <f t="shared" ca="1" si="30"/>
        <v>341743.26094147592</v>
      </c>
      <c r="N46" s="1">
        <f t="shared" si="31"/>
        <v>2908148.3484387333</v>
      </c>
      <c r="O46" s="1">
        <f t="shared" si="4"/>
        <v>0</v>
      </c>
      <c r="P46" s="1">
        <f t="shared" si="5"/>
        <v>-77441.670344359605</v>
      </c>
      <c r="Q46" s="1">
        <f t="shared" ca="1" si="6"/>
        <v>3698980.5240170746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 s="118">
        <f t="shared" ref="E47:F47" ca="1" si="44">E35</f>
        <v>124.66000000000001</v>
      </c>
      <c r="F47" s="118">
        <f t="shared" ca="1" si="44"/>
        <v>24.5</v>
      </c>
      <c r="G47" s="8">
        <f>Dataset!AR47</f>
        <v>31</v>
      </c>
      <c r="H47" s="109">
        <f>Dataset!BK47</f>
        <v>0</v>
      </c>
      <c r="I47">
        <f>Dataset!BI47</f>
        <v>1</v>
      </c>
      <c r="K47" s="8">
        <f t="shared" si="28"/>
        <v>492239.451756227</v>
      </c>
      <c r="L47" s="1">
        <f t="shared" ca="1" si="29"/>
        <v>264525.53637551161</v>
      </c>
      <c r="M47" s="1">
        <f t="shared" ca="1" si="30"/>
        <v>82947.393432397061</v>
      </c>
      <c r="N47" s="1">
        <f t="shared" si="31"/>
        <v>3005086.6267200243</v>
      </c>
      <c r="O47" s="1">
        <f t="shared" si="4"/>
        <v>0</v>
      </c>
      <c r="P47" s="1">
        <f t="shared" si="5"/>
        <v>-77441.670344359605</v>
      </c>
      <c r="Q47" s="1">
        <f t="shared" ca="1" si="6"/>
        <v>3767357.3379398002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 s="118">
        <f t="shared" ref="E48:F48" ca="1" si="45">E36</f>
        <v>308.05</v>
      </c>
      <c r="F48" s="118">
        <f t="shared" ca="1" si="45"/>
        <v>3.4800000000000004</v>
      </c>
      <c r="G48" s="8">
        <f>Dataset!AR48</f>
        <v>30</v>
      </c>
      <c r="H48" s="109">
        <f>Dataset!BK48</f>
        <v>0</v>
      </c>
      <c r="I48">
        <f>Dataset!BI48</f>
        <v>1</v>
      </c>
      <c r="K48" s="8">
        <f t="shared" si="28"/>
        <v>492239.451756227</v>
      </c>
      <c r="L48" s="1">
        <f t="shared" ca="1" si="29"/>
        <v>653674.72710152704</v>
      </c>
      <c r="M48" s="1">
        <f t="shared" ca="1" si="30"/>
        <v>11781.915475295584</v>
      </c>
      <c r="N48" s="1">
        <f t="shared" si="31"/>
        <v>2908148.3484387333</v>
      </c>
      <c r="O48" s="1">
        <f t="shared" si="4"/>
        <v>0</v>
      </c>
      <c r="P48" s="1">
        <f t="shared" si="5"/>
        <v>-77441.670344359605</v>
      </c>
      <c r="Q48" s="1">
        <f t="shared" ca="1" si="6"/>
        <v>3988402.7724274234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 s="118">
        <f t="shared" ref="E49:F49" ca="1" si="46">E37</f>
        <v>461.6</v>
      </c>
      <c r="F49" s="118">
        <f t="shared" ca="1" si="46"/>
        <v>0</v>
      </c>
      <c r="G49" s="8">
        <f>Dataset!AR49</f>
        <v>31</v>
      </c>
      <c r="H49" s="109">
        <f>Dataset!BK49</f>
        <v>0</v>
      </c>
      <c r="I49">
        <f>Dataset!BI49</f>
        <v>0</v>
      </c>
      <c r="K49" s="8">
        <f t="shared" si="28"/>
        <v>492239.451756227</v>
      </c>
      <c r="L49" s="1">
        <f t="shared" ca="1" si="29"/>
        <v>979504.15202098642</v>
      </c>
      <c r="M49" s="1">
        <f t="shared" ca="1" si="30"/>
        <v>0</v>
      </c>
      <c r="N49" s="1">
        <f t="shared" si="31"/>
        <v>3005086.6267200243</v>
      </c>
      <c r="O49" s="1">
        <f t="shared" si="4"/>
        <v>0</v>
      </c>
      <c r="P49" s="1">
        <f t="shared" si="5"/>
        <v>0</v>
      </c>
      <c r="Q49" s="1">
        <f t="shared" ca="1" si="6"/>
        <v>4476830.2304972373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 s="118">
        <f t="shared" ref="E50:F50" ca="1" si="47">E38</f>
        <v>572.42999999999995</v>
      </c>
      <c r="F50" s="118">
        <f t="shared" ca="1" si="47"/>
        <v>0</v>
      </c>
      <c r="G50" s="8">
        <f>Dataset!AR50</f>
        <v>31</v>
      </c>
      <c r="H50" s="109">
        <f>Dataset!BK50</f>
        <v>0</v>
      </c>
      <c r="I50">
        <f>Dataset!BI50</f>
        <v>0</v>
      </c>
      <c r="K50" s="8">
        <f t="shared" si="28"/>
        <v>492239.451756227</v>
      </c>
      <c r="L50" s="1">
        <f t="shared" ca="1" si="29"/>
        <v>1214682.7594050546</v>
      </c>
      <c r="M50" s="1">
        <f t="shared" ca="1" si="30"/>
        <v>0</v>
      </c>
      <c r="N50" s="1">
        <f t="shared" si="31"/>
        <v>3005086.6267200243</v>
      </c>
      <c r="O50" s="1">
        <f t="shared" si="4"/>
        <v>0</v>
      </c>
      <c r="P50" s="1">
        <f t="shared" si="5"/>
        <v>0</v>
      </c>
      <c r="Q50" s="1">
        <f t="shared" ca="1" si="6"/>
        <v>4712008.8378813062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 s="118">
        <f t="shared" ref="E51:F51" ca="1" si="48">E39</f>
        <v>525.4</v>
      </c>
      <c r="F51" s="118">
        <f t="shared" ca="1" si="48"/>
        <v>0</v>
      </c>
      <c r="G51" s="8">
        <f>Dataset!AR51</f>
        <v>29</v>
      </c>
      <c r="H51" s="109">
        <f>Dataset!BK51</f>
        <v>0</v>
      </c>
      <c r="I51">
        <f>Dataset!BI51</f>
        <v>0</v>
      </c>
      <c r="K51" s="8">
        <f t="shared" si="28"/>
        <v>492239.451756227</v>
      </c>
      <c r="L51" s="1">
        <f t="shared" ca="1" si="29"/>
        <v>1114886.2250256201</v>
      </c>
      <c r="M51" s="1">
        <f t="shared" ca="1" si="30"/>
        <v>0</v>
      </c>
      <c r="N51" s="1">
        <f t="shared" si="31"/>
        <v>2811210.0701574418</v>
      </c>
      <c r="O51" s="1">
        <f t="shared" si="4"/>
        <v>0</v>
      </c>
      <c r="P51" s="1">
        <f t="shared" si="5"/>
        <v>0</v>
      </c>
      <c r="Q51" s="1">
        <f t="shared" ca="1" si="6"/>
        <v>4418335.7469392885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 s="118">
        <f t="shared" ref="E52:F52" ca="1" si="49">E40</f>
        <v>437.1</v>
      </c>
      <c r="F52" s="118">
        <f t="shared" ca="1" si="49"/>
        <v>1.4700000000000002</v>
      </c>
      <c r="G52" s="8">
        <f>Dataset!AR52</f>
        <v>31</v>
      </c>
      <c r="H52" s="109">
        <f>Dataset!BK52</f>
        <v>0</v>
      </c>
      <c r="I52">
        <f>Dataset!BI52</f>
        <v>1</v>
      </c>
      <c r="K52" s="8">
        <f t="shared" si="28"/>
        <v>492239.451756227</v>
      </c>
      <c r="L52" s="1">
        <f t="shared" ca="1" si="29"/>
        <v>927515.73840635433</v>
      </c>
      <c r="M52" s="1">
        <f t="shared" ca="1" si="30"/>
        <v>4976.8436059438245</v>
      </c>
      <c r="N52" s="1">
        <f t="shared" si="31"/>
        <v>3005086.6267200243</v>
      </c>
      <c r="O52" s="1">
        <f t="shared" si="4"/>
        <v>0</v>
      </c>
      <c r="P52" s="1">
        <f t="shared" si="5"/>
        <v>-77441.670344359605</v>
      </c>
      <c r="Q52" s="1">
        <f t="shared" ca="1" si="6"/>
        <v>4352376.9901441904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 s="118">
        <f t="shared" ref="E53:F53" ca="1" si="50">E41</f>
        <v>264.39999999999998</v>
      </c>
      <c r="F53" s="118">
        <f t="shared" ca="1" si="50"/>
        <v>2.58</v>
      </c>
      <c r="G53" s="8">
        <f>Dataset!AR53</f>
        <v>30</v>
      </c>
      <c r="H53" s="109">
        <f>Dataset!BK53</f>
        <v>0</v>
      </c>
      <c r="I53">
        <f>Dataset!BI53</f>
        <v>1</v>
      </c>
      <c r="K53" s="8">
        <f t="shared" si="28"/>
        <v>492239.451756227</v>
      </c>
      <c r="L53" s="1">
        <f t="shared" ca="1" si="29"/>
        <v>561050.47182484565</v>
      </c>
      <c r="M53" s="1">
        <f t="shared" ca="1" si="30"/>
        <v>8734.8683696156913</v>
      </c>
      <c r="N53" s="1">
        <f t="shared" si="31"/>
        <v>2908148.3484387333</v>
      </c>
      <c r="O53" s="1">
        <f t="shared" si="4"/>
        <v>0</v>
      </c>
      <c r="P53" s="1">
        <f t="shared" si="5"/>
        <v>-77441.670344359605</v>
      </c>
      <c r="Q53" s="1">
        <f t="shared" ca="1" si="6"/>
        <v>3892731.4700450618</v>
      </c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 s="118">
        <f t="shared" ref="E54:F54" ca="1" si="51">E42</f>
        <v>95.570000000000007</v>
      </c>
      <c r="F54" s="118">
        <f t="shared" ca="1" si="51"/>
        <v>46.33</v>
      </c>
      <c r="G54" s="8">
        <f>Dataset!AR54</f>
        <v>31</v>
      </c>
      <c r="H54" s="109">
        <f>Dataset!BK54</f>
        <v>0</v>
      </c>
      <c r="I54">
        <f>Dataset!BI54</f>
        <v>1</v>
      </c>
      <c r="K54" s="8">
        <f t="shared" si="28"/>
        <v>492239.451756227</v>
      </c>
      <c r="L54" s="1">
        <f t="shared" ca="1" si="29"/>
        <v>202797.25261838318</v>
      </c>
      <c r="M54" s="1">
        <f t="shared" ca="1" si="30"/>
        <v>156855.21378461045</v>
      </c>
      <c r="N54" s="1">
        <f t="shared" si="31"/>
        <v>3005086.6267200243</v>
      </c>
      <c r="O54" s="1">
        <f t="shared" si="4"/>
        <v>0</v>
      </c>
      <c r="P54" s="1">
        <f t="shared" si="5"/>
        <v>-77441.670344359605</v>
      </c>
      <c r="Q54" s="1">
        <f t="shared" ca="1" si="6"/>
        <v>3779536.8745348849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 s="118">
        <f t="shared" ref="E55:F55" ca="1" si="52">E43</f>
        <v>11.73</v>
      </c>
      <c r="F55" s="118">
        <f t="shared" ca="1" si="52"/>
        <v>113.05999999999999</v>
      </c>
      <c r="G55" s="8">
        <f>Dataset!AR55</f>
        <v>30</v>
      </c>
      <c r="H55" s="109">
        <f>Dataset!BK55</f>
        <v>0</v>
      </c>
      <c r="I55">
        <f>Dataset!BI55</f>
        <v>0</v>
      </c>
      <c r="K55" s="8">
        <f t="shared" si="28"/>
        <v>492239.451756227</v>
      </c>
      <c r="L55" s="1">
        <f t="shared" ca="1" si="29"/>
        <v>24890.779253046298</v>
      </c>
      <c r="M55" s="1">
        <f t="shared" ca="1" si="30"/>
        <v>382776.82863129844</v>
      </c>
      <c r="N55" s="1">
        <f t="shared" si="31"/>
        <v>2908148.3484387333</v>
      </c>
      <c r="O55" s="1">
        <f t="shared" si="4"/>
        <v>0</v>
      </c>
      <c r="P55" s="1">
        <f t="shared" si="5"/>
        <v>0</v>
      </c>
      <c r="Q55" s="1">
        <f t="shared" ca="1" si="6"/>
        <v>3808055.4080793047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 s="118">
        <f t="shared" ref="E56:F56" ca="1" si="53">E44</f>
        <v>0</v>
      </c>
      <c r="F56" s="118">
        <f t="shared" ca="1" si="53"/>
        <v>211.26999999999998</v>
      </c>
      <c r="G56" s="8">
        <f>Dataset!AR56</f>
        <v>31</v>
      </c>
      <c r="H56" s="109">
        <f>Dataset!BK56</f>
        <v>0</v>
      </c>
      <c r="I56">
        <f>Dataset!BI56</f>
        <v>0</v>
      </c>
      <c r="K56" s="8">
        <f t="shared" si="28"/>
        <v>492239.451756227</v>
      </c>
      <c r="L56" s="1">
        <f t="shared" ca="1" si="29"/>
        <v>0</v>
      </c>
      <c r="M56" s="1">
        <f t="shared" ca="1" si="30"/>
        <v>715277.38001887861</v>
      </c>
      <c r="N56" s="1">
        <f t="shared" si="31"/>
        <v>3005086.6267200243</v>
      </c>
      <c r="O56" s="1">
        <f t="shared" si="4"/>
        <v>0</v>
      </c>
      <c r="P56" s="1">
        <f t="shared" si="5"/>
        <v>0</v>
      </c>
      <c r="Q56" s="1">
        <f t="shared" ca="1" si="6"/>
        <v>4212603.4584951298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 s="118">
        <f t="shared" ref="E57:F57" ca="1" si="54">E45</f>
        <v>0.13</v>
      </c>
      <c r="F57" s="118">
        <f t="shared" ca="1" si="54"/>
        <v>198.38000000000002</v>
      </c>
      <c r="G57" s="8">
        <f>Dataset!AR57</f>
        <v>31</v>
      </c>
      <c r="H57" s="109">
        <f>Dataset!BK57</f>
        <v>0</v>
      </c>
      <c r="I57">
        <f>Dataset!BI57</f>
        <v>0</v>
      </c>
      <c r="K57" s="8">
        <f t="shared" si="28"/>
        <v>492239.451756227</v>
      </c>
      <c r="L57" s="1">
        <f t="shared" ca="1" si="29"/>
        <v>275.85688856743553</v>
      </c>
      <c r="M57" s="1">
        <f t="shared" ca="1" si="30"/>
        <v>671636.89424975228</v>
      </c>
      <c r="N57" s="1">
        <f t="shared" si="31"/>
        <v>3005086.6267200243</v>
      </c>
      <c r="O57" s="1">
        <f t="shared" si="4"/>
        <v>0</v>
      </c>
      <c r="P57" s="1">
        <f t="shared" si="5"/>
        <v>0</v>
      </c>
      <c r="Q57" s="1">
        <f t="shared" ca="1" si="6"/>
        <v>4169238.8296145713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 s="118">
        <f t="shared" ref="E58:F58" ca="1" si="55">E46</f>
        <v>16.16</v>
      </c>
      <c r="F58" s="118">
        <f t="shared" ca="1" si="55"/>
        <v>100.94000000000001</v>
      </c>
      <c r="G58" s="8">
        <f>Dataset!AR58</f>
        <v>30</v>
      </c>
      <c r="H58" s="109">
        <f>Dataset!BK58</f>
        <v>0</v>
      </c>
      <c r="I58">
        <f>Dataset!BI58</f>
        <v>1</v>
      </c>
      <c r="K58" s="8">
        <f t="shared" si="28"/>
        <v>492239.451756227</v>
      </c>
      <c r="L58" s="1">
        <f t="shared" ca="1" si="29"/>
        <v>34291.133224998135</v>
      </c>
      <c r="M58" s="1">
        <f t="shared" ca="1" si="30"/>
        <v>341743.26094147592</v>
      </c>
      <c r="N58" s="1">
        <f t="shared" si="31"/>
        <v>2908148.3484387333</v>
      </c>
      <c r="O58" s="1">
        <f t="shared" si="4"/>
        <v>0</v>
      </c>
      <c r="P58" s="1">
        <f t="shared" si="5"/>
        <v>-77441.670344359605</v>
      </c>
      <c r="Q58" s="1">
        <f t="shared" ca="1" si="6"/>
        <v>3698980.5240170746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 s="118">
        <f t="shared" ref="E59:F59" ca="1" si="56">E47</f>
        <v>124.66000000000001</v>
      </c>
      <c r="F59" s="118">
        <f t="shared" ca="1" si="56"/>
        <v>24.5</v>
      </c>
      <c r="G59" s="8">
        <f>Dataset!AR59</f>
        <v>31</v>
      </c>
      <c r="H59" s="109">
        <f>Dataset!BK59</f>
        <v>0</v>
      </c>
      <c r="I59">
        <f>Dataset!BI59</f>
        <v>1</v>
      </c>
      <c r="K59" s="8">
        <f t="shared" si="28"/>
        <v>492239.451756227</v>
      </c>
      <c r="L59" s="1">
        <f t="shared" ca="1" si="29"/>
        <v>264525.53637551161</v>
      </c>
      <c r="M59" s="1">
        <f t="shared" ca="1" si="30"/>
        <v>82947.393432397061</v>
      </c>
      <c r="N59" s="1">
        <f t="shared" si="31"/>
        <v>3005086.6267200243</v>
      </c>
      <c r="O59" s="1">
        <f t="shared" si="4"/>
        <v>0</v>
      </c>
      <c r="P59" s="1">
        <f t="shared" si="5"/>
        <v>-77441.670344359605</v>
      </c>
      <c r="Q59" s="1">
        <f t="shared" ca="1" si="6"/>
        <v>3767357.3379398002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 s="118">
        <f t="shared" ref="E60:F60" ca="1" si="57">E48</f>
        <v>308.05</v>
      </c>
      <c r="F60" s="118">
        <f t="shared" ca="1" si="57"/>
        <v>3.4800000000000004</v>
      </c>
      <c r="G60" s="8">
        <f>Dataset!AR60</f>
        <v>30</v>
      </c>
      <c r="H60" s="109">
        <f>Dataset!BK60</f>
        <v>0</v>
      </c>
      <c r="I60">
        <f>Dataset!BI60</f>
        <v>1</v>
      </c>
      <c r="K60" s="8">
        <f t="shared" si="28"/>
        <v>492239.451756227</v>
      </c>
      <c r="L60" s="1">
        <f t="shared" ca="1" si="29"/>
        <v>653674.72710152704</v>
      </c>
      <c r="M60" s="1">
        <f t="shared" ca="1" si="30"/>
        <v>11781.915475295584</v>
      </c>
      <c r="N60" s="1">
        <f t="shared" si="31"/>
        <v>2908148.3484387333</v>
      </c>
      <c r="O60" s="1">
        <f t="shared" si="4"/>
        <v>0</v>
      </c>
      <c r="P60" s="1">
        <f t="shared" si="5"/>
        <v>-77441.670344359605</v>
      </c>
      <c r="Q60" s="1">
        <f t="shared" ca="1" si="6"/>
        <v>3988402.7724274234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 s="118">
        <f t="shared" ref="E61:F61" ca="1" si="58">E49</f>
        <v>461.6</v>
      </c>
      <c r="F61" s="118">
        <f t="shared" ca="1" si="58"/>
        <v>0</v>
      </c>
      <c r="G61" s="8">
        <f>Dataset!AR61</f>
        <v>31</v>
      </c>
      <c r="H61" s="109">
        <f>Dataset!BK61</f>
        <v>0</v>
      </c>
      <c r="I61">
        <f>Dataset!BI61</f>
        <v>0</v>
      </c>
      <c r="K61" s="8">
        <f t="shared" si="28"/>
        <v>492239.451756227</v>
      </c>
      <c r="L61" s="1">
        <f t="shared" ca="1" si="29"/>
        <v>979504.15202098642</v>
      </c>
      <c r="M61" s="1">
        <f t="shared" ca="1" si="30"/>
        <v>0</v>
      </c>
      <c r="N61" s="1">
        <f t="shared" si="31"/>
        <v>3005086.6267200243</v>
      </c>
      <c r="O61" s="1">
        <f t="shared" si="4"/>
        <v>0</v>
      </c>
      <c r="P61" s="1">
        <f t="shared" si="5"/>
        <v>0</v>
      </c>
      <c r="Q61" s="1">
        <f t="shared" ca="1" si="6"/>
        <v>4476830.2304972373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 s="118">
        <f t="shared" ref="E62:F62" ca="1" si="59">E50</f>
        <v>572.42999999999995</v>
      </c>
      <c r="F62" s="118">
        <f t="shared" ca="1" si="59"/>
        <v>0</v>
      </c>
      <c r="G62" s="8">
        <f>Dataset!AR62</f>
        <v>31</v>
      </c>
      <c r="H62" s="109">
        <f>Dataset!BK62</f>
        <v>0</v>
      </c>
      <c r="I62">
        <f>Dataset!BI62</f>
        <v>0</v>
      </c>
      <c r="K62" s="8">
        <f t="shared" si="28"/>
        <v>492239.451756227</v>
      </c>
      <c r="L62" s="1">
        <f t="shared" ca="1" si="29"/>
        <v>1214682.7594050546</v>
      </c>
      <c r="M62" s="1">
        <f t="shared" ca="1" si="30"/>
        <v>0</v>
      </c>
      <c r="N62" s="1">
        <f t="shared" si="31"/>
        <v>3005086.6267200243</v>
      </c>
      <c r="O62" s="1">
        <f t="shared" si="4"/>
        <v>0</v>
      </c>
      <c r="P62" s="1">
        <f t="shared" si="5"/>
        <v>0</v>
      </c>
      <c r="Q62" s="1">
        <f t="shared" ca="1" si="6"/>
        <v>4712008.8378813062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 s="118">
        <f t="shared" ref="E63:F63" ca="1" si="60">E51</f>
        <v>525.4</v>
      </c>
      <c r="F63" s="118">
        <f t="shared" ca="1" si="60"/>
        <v>0</v>
      </c>
      <c r="G63" s="8">
        <f>Dataset!AR63</f>
        <v>28</v>
      </c>
      <c r="H63" s="109">
        <f>Dataset!BK63</f>
        <v>0</v>
      </c>
      <c r="I63">
        <f>Dataset!BI63</f>
        <v>0</v>
      </c>
      <c r="K63" s="8">
        <f t="shared" si="28"/>
        <v>492239.451756227</v>
      </c>
      <c r="L63" s="1">
        <f t="shared" ca="1" si="29"/>
        <v>1114886.2250256201</v>
      </c>
      <c r="M63" s="1">
        <f t="shared" ca="1" si="30"/>
        <v>0</v>
      </c>
      <c r="N63" s="1">
        <f t="shared" si="31"/>
        <v>2714271.7918761508</v>
      </c>
      <c r="O63" s="1">
        <f t="shared" si="4"/>
        <v>0</v>
      </c>
      <c r="P63" s="1">
        <f t="shared" si="5"/>
        <v>0</v>
      </c>
      <c r="Q63" s="1">
        <f t="shared" ca="1" si="6"/>
        <v>4321397.4686579984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 s="118">
        <f t="shared" ref="E64:F64" ca="1" si="61">E52</f>
        <v>437.1</v>
      </c>
      <c r="F64" s="118">
        <f t="shared" ca="1" si="61"/>
        <v>1.4700000000000002</v>
      </c>
      <c r="G64" s="8">
        <f>Dataset!AR64</f>
        <v>31</v>
      </c>
      <c r="H64" s="109">
        <f>Dataset!BK64</f>
        <v>0</v>
      </c>
      <c r="I64">
        <f>Dataset!BI64</f>
        <v>1</v>
      </c>
      <c r="K64" s="8">
        <f t="shared" si="28"/>
        <v>492239.451756227</v>
      </c>
      <c r="L64" s="1">
        <f t="shared" ca="1" si="29"/>
        <v>927515.73840635433</v>
      </c>
      <c r="M64" s="1">
        <f t="shared" ca="1" si="30"/>
        <v>4976.8436059438245</v>
      </c>
      <c r="N64" s="1">
        <f t="shared" si="31"/>
        <v>3005086.6267200243</v>
      </c>
      <c r="O64" s="1">
        <f t="shared" si="4"/>
        <v>0</v>
      </c>
      <c r="P64" s="1">
        <f t="shared" si="5"/>
        <v>-77441.670344359605</v>
      </c>
      <c r="Q64" s="1">
        <f t="shared" ca="1" si="6"/>
        <v>4352376.9901441904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 s="118">
        <f t="shared" ref="E65:F65" ca="1" si="62">E53</f>
        <v>264.39999999999998</v>
      </c>
      <c r="F65" s="118">
        <f t="shared" ca="1" si="62"/>
        <v>2.58</v>
      </c>
      <c r="G65" s="8">
        <f>Dataset!AR65</f>
        <v>30</v>
      </c>
      <c r="H65" s="109">
        <f>Dataset!BK65</f>
        <v>0</v>
      </c>
      <c r="I65">
        <f>Dataset!BI65</f>
        <v>1</v>
      </c>
      <c r="K65" s="8">
        <f t="shared" si="28"/>
        <v>492239.451756227</v>
      </c>
      <c r="L65" s="1">
        <f t="shared" ca="1" si="29"/>
        <v>561050.47182484565</v>
      </c>
      <c r="M65" s="1">
        <f t="shared" ca="1" si="30"/>
        <v>8734.8683696156913</v>
      </c>
      <c r="N65" s="1">
        <f t="shared" si="31"/>
        <v>2908148.3484387333</v>
      </c>
      <c r="O65" s="1">
        <f t="shared" si="4"/>
        <v>0</v>
      </c>
      <c r="P65" s="1">
        <f t="shared" si="5"/>
        <v>-77441.670344359605</v>
      </c>
      <c r="Q65" s="1">
        <f t="shared" ca="1" si="6"/>
        <v>3892731.4700450618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 s="118">
        <f t="shared" ref="E66:F66" ca="1" si="63">E54</f>
        <v>95.570000000000007</v>
      </c>
      <c r="F66" s="118">
        <f t="shared" ca="1" si="63"/>
        <v>46.33</v>
      </c>
      <c r="G66" s="8">
        <f>Dataset!AR66</f>
        <v>31</v>
      </c>
      <c r="H66" s="109">
        <f>Dataset!BK66</f>
        <v>0</v>
      </c>
      <c r="I66">
        <f>Dataset!BI66</f>
        <v>1</v>
      </c>
      <c r="K66" s="8">
        <f t="shared" ref="K66:K97" si="64">$V$10</f>
        <v>492239.451756227</v>
      </c>
      <c r="L66" s="1">
        <f t="shared" ref="L66:L97" ca="1" si="65">E66*$V$11</f>
        <v>202797.25261838318</v>
      </c>
      <c r="M66" s="1">
        <f t="shared" ref="M66:M97" ca="1" si="66">F66*$V$12</f>
        <v>156855.21378461045</v>
      </c>
      <c r="N66" s="1">
        <f t="shared" ref="N66:N97" si="67">G66*$V$13</f>
        <v>3005086.6267200243</v>
      </c>
      <c r="O66" s="1">
        <f t="shared" si="4"/>
        <v>0</v>
      </c>
      <c r="P66" s="1">
        <f t="shared" si="5"/>
        <v>-77441.670344359605</v>
      </c>
      <c r="Q66" s="1">
        <f t="shared" ca="1" si="6"/>
        <v>3779536.8745348849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 s="118">
        <f t="shared" ref="E67:F67" ca="1" si="68">E55</f>
        <v>11.73</v>
      </c>
      <c r="F67" s="118">
        <f t="shared" ca="1" si="68"/>
        <v>113.05999999999999</v>
      </c>
      <c r="G67" s="8">
        <f>Dataset!AR67</f>
        <v>30</v>
      </c>
      <c r="H67" s="109">
        <f>Dataset!BK67</f>
        <v>0</v>
      </c>
      <c r="I67">
        <f>Dataset!BI67</f>
        <v>0</v>
      </c>
      <c r="K67" s="8">
        <f t="shared" si="64"/>
        <v>492239.451756227</v>
      </c>
      <c r="L67" s="1">
        <f t="shared" ca="1" si="65"/>
        <v>24890.779253046298</v>
      </c>
      <c r="M67" s="1">
        <f t="shared" ca="1" si="66"/>
        <v>382776.82863129844</v>
      </c>
      <c r="N67" s="1">
        <f t="shared" si="67"/>
        <v>2908148.3484387333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3808055.4080793047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 s="118">
        <f t="shared" ref="E68:F68" ca="1" si="72">E56</f>
        <v>0</v>
      </c>
      <c r="F68" s="118">
        <f t="shared" ca="1" si="72"/>
        <v>211.26999999999998</v>
      </c>
      <c r="G68" s="8">
        <f>Dataset!AR68</f>
        <v>31</v>
      </c>
      <c r="H68" s="109">
        <f>Dataset!BK68</f>
        <v>0</v>
      </c>
      <c r="I68">
        <f>Dataset!BI68</f>
        <v>0</v>
      </c>
      <c r="K68" s="8">
        <f t="shared" si="64"/>
        <v>492239.451756227</v>
      </c>
      <c r="L68" s="1">
        <f t="shared" ca="1" si="65"/>
        <v>0</v>
      </c>
      <c r="M68" s="1">
        <f t="shared" ca="1" si="66"/>
        <v>715277.38001887861</v>
      </c>
      <c r="N68" s="1">
        <f t="shared" si="67"/>
        <v>3005086.6267200243</v>
      </c>
      <c r="O68" s="1">
        <f t="shared" si="69"/>
        <v>0</v>
      </c>
      <c r="P68" s="1">
        <f t="shared" si="70"/>
        <v>0</v>
      </c>
      <c r="Q68" s="1">
        <f t="shared" ca="1" si="71"/>
        <v>4212603.4584951298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 s="118">
        <f t="shared" ref="E69:F69" ca="1" si="73">E57</f>
        <v>0.13</v>
      </c>
      <c r="F69" s="118">
        <f t="shared" ca="1" si="73"/>
        <v>198.38000000000002</v>
      </c>
      <c r="G69" s="8">
        <f>Dataset!AR69</f>
        <v>31</v>
      </c>
      <c r="H69" s="109">
        <f>Dataset!BK69</f>
        <v>0</v>
      </c>
      <c r="I69">
        <f>Dataset!BI69</f>
        <v>0</v>
      </c>
      <c r="K69" s="8">
        <f t="shared" si="64"/>
        <v>492239.451756227</v>
      </c>
      <c r="L69" s="1">
        <f t="shared" ca="1" si="65"/>
        <v>275.85688856743553</v>
      </c>
      <c r="M69" s="1">
        <f t="shared" ca="1" si="66"/>
        <v>671636.89424975228</v>
      </c>
      <c r="N69" s="1">
        <f t="shared" si="67"/>
        <v>3005086.6267200243</v>
      </c>
      <c r="O69" s="1">
        <f t="shared" si="69"/>
        <v>0</v>
      </c>
      <c r="P69" s="1">
        <f t="shared" si="70"/>
        <v>0</v>
      </c>
      <c r="Q69" s="1">
        <f t="shared" ca="1" si="71"/>
        <v>4169238.8296145713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 s="118">
        <f t="shared" ref="E70:F70" ca="1" si="74">E58</f>
        <v>16.16</v>
      </c>
      <c r="F70" s="118">
        <f t="shared" ca="1" si="74"/>
        <v>100.94000000000001</v>
      </c>
      <c r="G70" s="8">
        <f>Dataset!AR70</f>
        <v>30</v>
      </c>
      <c r="H70" s="109">
        <f>Dataset!BK70</f>
        <v>0</v>
      </c>
      <c r="I70">
        <f>Dataset!BI70</f>
        <v>1</v>
      </c>
      <c r="K70" s="8">
        <f t="shared" si="64"/>
        <v>492239.451756227</v>
      </c>
      <c r="L70" s="1">
        <f t="shared" ca="1" si="65"/>
        <v>34291.133224998135</v>
      </c>
      <c r="M70" s="1">
        <f t="shared" ca="1" si="66"/>
        <v>341743.26094147592</v>
      </c>
      <c r="N70" s="1">
        <f t="shared" si="67"/>
        <v>2908148.3484387333</v>
      </c>
      <c r="O70" s="1">
        <f t="shared" si="69"/>
        <v>0</v>
      </c>
      <c r="P70" s="1">
        <f t="shared" si="70"/>
        <v>-77441.670344359605</v>
      </c>
      <c r="Q70" s="1">
        <f t="shared" ca="1" si="71"/>
        <v>3698980.5240170746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 s="118">
        <f t="shared" ref="E71:F71" ca="1" si="75">E59</f>
        <v>124.66000000000001</v>
      </c>
      <c r="F71" s="118">
        <f t="shared" ca="1" si="75"/>
        <v>24.5</v>
      </c>
      <c r="G71" s="8">
        <f>Dataset!AR71</f>
        <v>31</v>
      </c>
      <c r="H71" s="109">
        <f>Dataset!BK71</f>
        <v>0</v>
      </c>
      <c r="I71">
        <f>Dataset!BI71</f>
        <v>1</v>
      </c>
      <c r="K71" s="8">
        <f t="shared" si="64"/>
        <v>492239.451756227</v>
      </c>
      <c r="L71" s="1">
        <f t="shared" ca="1" si="65"/>
        <v>264525.53637551161</v>
      </c>
      <c r="M71" s="1">
        <f t="shared" ca="1" si="66"/>
        <v>82947.393432397061</v>
      </c>
      <c r="N71" s="1">
        <f t="shared" si="67"/>
        <v>3005086.6267200243</v>
      </c>
      <c r="O71" s="1">
        <f t="shared" si="69"/>
        <v>0</v>
      </c>
      <c r="P71" s="1">
        <f t="shared" si="70"/>
        <v>-77441.670344359605</v>
      </c>
      <c r="Q71" s="1">
        <f t="shared" ca="1" si="71"/>
        <v>3767357.3379398002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 s="118">
        <f t="shared" ref="E72:F72" ca="1" si="76">E60</f>
        <v>308.05</v>
      </c>
      <c r="F72" s="118">
        <f t="shared" ca="1" si="76"/>
        <v>3.4800000000000004</v>
      </c>
      <c r="G72" s="8">
        <f>Dataset!AR72</f>
        <v>30</v>
      </c>
      <c r="H72" s="109">
        <f>Dataset!BK72</f>
        <v>0</v>
      </c>
      <c r="I72">
        <f>Dataset!BI72</f>
        <v>1</v>
      </c>
      <c r="K72" s="8">
        <f t="shared" si="64"/>
        <v>492239.451756227</v>
      </c>
      <c r="L72" s="1">
        <f t="shared" ca="1" si="65"/>
        <v>653674.72710152704</v>
      </c>
      <c r="M72" s="1">
        <f t="shared" ca="1" si="66"/>
        <v>11781.915475295584</v>
      </c>
      <c r="N72" s="1">
        <f t="shared" si="67"/>
        <v>2908148.3484387333</v>
      </c>
      <c r="O72" s="1">
        <f t="shared" si="69"/>
        <v>0</v>
      </c>
      <c r="P72" s="1">
        <f t="shared" si="70"/>
        <v>-77441.670344359605</v>
      </c>
      <c r="Q72" s="1">
        <f t="shared" ca="1" si="71"/>
        <v>3988402.7724274234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 s="118">
        <f t="shared" ref="E73:F73" ca="1" si="77">E61</f>
        <v>461.6</v>
      </c>
      <c r="F73" s="118">
        <f t="shared" ca="1" si="77"/>
        <v>0</v>
      </c>
      <c r="G73" s="8">
        <f>Dataset!AR73</f>
        <v>31</v>
      </c>
      <c r="H73" s="109">
        <f>Dataset!BK73</f>
        <v>0</v>
      </c>
      <c r="I73">
        <f>Dataset!BI73</f>
        <v>0</v>
      </c>
      <c r="K73" s="8">
        <f t="shared" si="64"/>
        <v>492239.451756227</v>
      </c>
      <c r="L73" s="1">
        <f t="shared" ca="1" si="65"/>
        <v>979504.15202098642</v>
      </c>
      <c r="M73" s="1">
        <f t="shared" ca="1" si="66"/>
        <v>0</v>
      </c>
      <c r="N73" s="1">
        <f t="shared" si="67"/>
        <v>3005086.6267200243</v>
      </c>
      <c r="O73" s="1">
        <f t="shared" si="69"/>
        <v>0</v>
      </c>
      <c r="P73" s="1">
        <f t="shared" si="70"/>
        <v>0</v>
      </c>
      <c r="Q73" s="1">
        <f t="shared" ca="1" si="71"/>
        <v>4476830.2304972373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 s="118">
        <f t="shared" ref="E74:F74" ca="1" si="78">E62</f>
        <v>572.42999999999995</v>
      </c>
      <c r="F74" s="118">
        <f t="shared" ca="1" si="78"/>
        <v>0</v>
      </c>
      <c r="G74" s="8">
        <f>Dataset!AR74</f>
        <v>31</v>
      </c>
      <c r="H74" s="109">
        <f>Dataset!BK74</f>
        <v>0</v>
      </c>
      <c r="I74">
        <f>Dataset!BI74</f>
        <v>0</v>
      </c>
      <c r="K74" s="8">
        <f t="shared" si="64"/>
        <v>492239.451756227</v>
      </c>
      <c r="L74" s="1">
        <f t="shared" ca="1" si="65"/>
        <v>1214682.7594050546</v>
      </c>
      <c r="M74" s="1">
        <f t="shared" ca="1" si="66"/>
        <v>0</v>
      </c>
      <c r="N74" s="1">
        <f t="shared" si="67"/>
        <v>3005086.6267200243</v>
      </c>
      <c r="O74" s="1">
        <f t="shared" si="69"/>
        <v>0</v>
      </c>
      <c r="P74" s="1">
        <f t="shared" si="70"/>
        <v>0</v>
      </c>
      <c r="Q74" s="1">
        <f t="shared" ca="1" si="71"/>
        <v>4712008.8378813062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 s="118">
        <f t="shared" ref="E75:F75" ca="1" si="79">E63</f>
        <v>525.4</v>
      </c>
      <c r="F75" s="118">
        <f t="shared" ca="1" si="79"/>
        <v>0</v>
      </c>
      <c r="G75" s="8">
        <f>Dataset!AR75</f>
        <v>28</v>
      </c>
      <c r="H75" s="109">
        <f>Dataset!BK75</f>
        <v>0</v>
      </c>
      <c r="I75">
        <f>Dataset!BI75</f>
        <v>0</v>
      </c>
      <c r="K75" s="8">
        <f t="shared" si="64"/>
        <v>492239.451756227</v>
      </c>
      <c r="L75" s="1">
        <f t="shared" ca="1" si="65"/>
        <v>1114886.2250256201</v>
      </c>
      <c r="M75" s="1">
        <f t="shared" ca="1" si="66"/>
        <v>0</v>
      </c>
      <c r="N75" s="1">
        <f t="shared" si="67"/>
        <v>2714271.7918761508</v>
      </c>
      <c r="O75" s="1">
        <f t="shared" si="69"/>
        <v>0</v>
      </c>
      <c r="P75" s="1">
        <f t="shared" si="70"/>
        <v>0</v>
      </c>
      <c r="Q75" s="1">
        <f t="shared" ca="1" si="71"/>
        <v>4321397.4686579984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 s="118">
        <f t="shared" ref="E76:F76" ca="1" si="80">E64</f>
        <v>437.1</v>
      </c>
      <c r="F76" s="118">
        <f t="shared" ca="1" si="80"/>
        <v>1.4700000000000002</v>
      </c>
      <c r="G76" s="8">
        <f>Dataset!AR76</f>
        <v>31</v>
      </c>
      <c r="H76" s="109">
        <f>Dataset!BK76</f>
        <v>0</v>
      </c>
      <c r="I76">
        <f>Dataset!BI76</f>
        <v>1</v>
      </c>
      <c r="K76" s="8">
        <f t="shared" si="64"/>
        <v>492239.451756227</v>
      </c>
      <c r="L76" s="1">
        <f t="shared" ca="1" si="65"/>
        <v>927515.73840635433</v>
      </c>
      <c r="M76" s="1">
        <f t="shared" ca="1" si="66"/>
        <v>4976.8436059438245</v>
      </c>
      <c r="N76" s="1">
        <f t="shared" si="67"/>
        <v>3005086.6267200243</v>
      </c>
      <c r="O76" s="1">
        <f t="shared" si="69"/>
        <v>0</v>
      </c>
      <c r="P76" s="1">
        <f t="shared" si="70"/>
        <v>-77441.670344359605</v>
      </c>
      <c r="Q76" s="1">
        <f t="shared" ca="1" si="71"/>
        <v>4352376.9901441904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 s="118">
        <f t="shared" ref="E77:F77" ca="1" si="81">E65</f>
        <v>264.39999999999998</v>
      </c>
      <c r="F77" s="118">
        <f t="shared" ca="1" si="81"/>
        <v>2.58</v>
      </c>
      <c r="G77" s="8">
        <f>Dataset!AR77</f>
        <v>30</v>
      </c>
      <c r="H77" s="109">
        <f>Dataset!BK77</f>
        <v>0</v>
      </c>
      <c r="I77">
        <f>Dataset!BI77</f>
        <v>1</v>
      </c>
      <c r="K77" s="8">
        <f t="shared" si="64"/>
        <v>492239.451756227</v>
      </c>
      <c r="L77" s="1">
        <f t="shared" ca="1" si="65"/>
        <v>561050.47182484565</v>
      </c>
      <c r="M77" s="1">
        <f t="shared" ca="1" si="66"/>
        <v>8734.8683696156913</v>
      </c>
      <c r="N77" s="1">
        <f t="shared" si="67"/>
        <v>2908148.3484387333</v>
      </c>
      <c r="O77" s="1">
        <f t="shared" si="69"/>
        <v>0</v>
      </c>
      <c r="P77" s="1">
        <f t="shared" si="70"/>
        <v>-77441.670344359605</v>
      </c>
      <c r="Q77" s="1">
        <f t="shared" ca="1" si="71"/>
        <v>3892731.4700450618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 s="118">
        <f t="shared" ref="E78:F78" ca="1" si="82">E66</f>
        <v>95.570000000000007</v>
      </c>
      <c r="F78" s="118">
        <f t="shared" ca="1" si="82"/>
        <v>46.33</v>
      </c>
      <c r="G78" s="8">
        <f>Dataset!AR78</f>
        <v>31</v>
      </c>
      <c r="H78" s="109">
        <f>Dataset!BK78</f>
        <v>0</v>
      </c>
      <c r="I78">
        <f>Dataset!BI78</f>
        <v>1</v>
      </c>
      <c r="K78" s="8">
        <f t="shared" si="64"/>
        <v>492239.451756227</v>
      </c>
      <c r="L78" s="1">
        <f t="shared" ca="1" si="65"/>
        <v>202797.25261838318</v>
      </c>
      <c r="M78" s="1">
        <f t="shared" ca="1" si="66"/>
        <v>156855.21378461045</v>
      </c>
      <c r="N78" s="1">
        <f t="shared" si="67"/>
        <v>3005086.6267200243</v>
      </c>
      <c r="O78" s="1">
        <f t="shared" si="69"/>
        <v>0</v>
      </c>
      <c r="P78" s="1">
        <f t="shared" si="70"/>
        <v>-77441.670344359605</v>
      </c>
      <c r="Q78" s="1">
        <f t="shared" ca="1" si="71"/>
        <v>3779536.8745348849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 s="118">
        <f t="shared" ref="E79:F79" ca="1" si="83">E67</f>
        <v>11.73</v>
      </c>
      <c r="F79" s="118">
        <f t="shared" ca="1" si="83"/>
        <v>113.05999999999999</v>
      </c>
      <c r="G79" s="8">
        <f>Dataset!AR79</f>
        <v>30</v>
      </c>
      <c r="H79" s="109">
        <f>Dataset!BK79</f>
        <v>0</v>
      </c>
      <c r="I79">
        <f>Dataset!BI79</f>
        <v>0</v>
      </c>
      <c r="K79" s="8">
        <f t="shared" si="64"/>
        <v>492239.451756227</v>
      </c>
      <c r="L79" s="1">
        <f t="shared" ca="1" si="65"/>
        <v>24890.779253046298</v>
      </c>
      <c r="M79" s="1">
        <f t="shared" ca="1" si="66"/>
        <v>382776.82863129844</v>
      </c>
      <c r="N79" s="1">
        <f t="shared" si="67"/>
        <v>2908148.3484387333</v>
      </c>
      <c r="O79" s="1">
        <f t="shared" si="69"/>
        <v>0</v>
      </c>
      <c r="P79" s="1">
        <f t="shared" si="70"/>
        <v>0</v>
      </c>
      <c r="Q79" s="1">
        <f t="shared" ca="1" si="71"/>
        <v>3808055.4080793047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 s="118">
        <f t="shared" ref="E80:F80" ca="1" si="84">E68</f>
        <v>0</v>
      </c>
      <c r="F80" s="118">
        <f t="shared" ca="1" si="84"/>
        <v>211.26999999999998</v>
      </c>
      <c r="G80" s="8">
        <f>Dataset!AR80</f>
        <v>31</v>
      </c>
      <c r="H80" s="109">
        <f>Dataset!BK80</f>
        <v>0</v>
      </c>
      <c r="I80">
        <f>Dataset!BI80</f>
        <v>0</v>
      </c>
      <c r="K80" s="8">
        <f t="shared" si="64"/>
        <v>492239.451756227</v>
      </c>
      <c r="L80" s="1">
        <f t="shared" ca="1" si="65"/>
        <v>0</v>
      </c>
      <c r="M80" s="1">
        <f t="shared" ca="1" si="66"/>
        <v>715277.38001887861</v>
      </c>
      <c r="N80" s="1">
        <f t="shared" si="67"/>
        <v>3005086.6267200243</v>
      </c>
      <c r="O80" s="1">
        <f t="shared" si="69"/>
        <v>0</v>
      </c>
      <c r="P80" s="1">
        <f t="shared" si="70"/>
        <v>0</v>
      </c>
      <c r="Q80" s="1">
        <f t="shared" ca="1" si="71"/>
        <v>4212603.4584951298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 s="118">
        <f t="shared" ref="E81:F81" ca="1" si="85">E69</f>
        <v>0.13</v>
      </c>
      <c r="F81" s="118">
        <f t="shared" ca="1" si="85"/>
        <v>198.38000000000002</v>
      </c>
      <c r="G81" s="8">
        <f>Dataset!AR81</f>
        <v>31</v>
      </c>
      <c r="H81" s="109">
        <f>Dataset!BK81</f>
        <v>0</v>
      </c>
      <c r="I81">
        <f>Dataset!BI81</f>
        <v>0</v>
      </c>
      <c r="K81" s="8">
        <f t="shared" si="64"/>
        <v>492239.451756227</v>
      </c>
      <c r="L81" s="1">
        <f t="shared" ca="1" si="65"/>
        <v>275.85688856743553</v>
      </c>
      <c r="M81" s="1">
        <f t="shared" ca="1" si="66"/>
        <v>671636.89424975228</v>
      </c>
      <c r="N81" s="1">
        <f t="shared" si="67"/>
        <v>3005086.6267200243</v>
      </c>
      <c r="O81" s="1">
        <f t="shared" si="69"/>
        <v>0</v>
      </c>
      <c r="P81" s="1">
        <f t="shared" si="70"/>
        <v>0</v>
      </c>
      <c r="Q81" s="1">
        <f t="shared" ca="1" si="71"/>
        <v>4169238.8296145713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 s="118">
        <f t="shared" ref="E82:F82" ca="1" si="86">E70</f>
        <v>16.16</v>
      </c>
      <c r="F82" s="118">
        <f t="shared" ca="1" si="86"/>
        <v>100.94000000000001</v>
      </c>
      <c r="G82" s="8">
        <f>Dataset!AR82</f>
        <v>30</v>
      </c>
      <c r="H82" s="109">
        <f>Dataset!BK82</f>
        <v>0</v>
      </c>
      <c r="I82">
        <f>Dataset!BI82</f>
        <v>1</v>
      </c>
      <c r="K82" s="8">
        <f t="shared" si="64"/>
        <v>492239.451756227</v>
      </c>
      <c r="L82" s="1">
        <f t="shared" ca="1" si="65"/>
        <v>34291.133224998135</v>
      </c>
      <c r="M82" s="1">
        <f t="shared" ca="1" si="66"/>
        <v>341743.26094147592</v>
      </c>
      <c r="N82" s="1">
        <f t="shared" si="67"/>
        <v>2908148.3484387333</v>
      </c>
      <c r="O82" s="1">
        <f t="shared" si="69"/>
        <v>0</v>
      </c>
      <c r="P82" s="1">
        <f t="shared" si="70"/>
        <v>-77441.670344359605</v>
      </c>
      <c r="Q82" s="1">
        <f t="shared" ca="1" si="71"/>
        <v>3698980.5240170746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 s="118">
        <f t="shared" ref="E83:F83" ca="1" si="87">E71</f>
        <v>124.66000000000001</v>
      </c>
      <c r="F83" s="118">
        <f t="shared" ca="1" si="87"/>
        <v>24.5</v>
      </c>
      <c r="G83" s="8">
        <f>Dataset!AR83</f>
        <v>31</v>
      </c>
      <c r="H83" s="109">
        <f>Dataset!BK83</f>
        <v>0</v>
      </c>
      <c r="I83">
        <f>Dataset!BI83</f>
        <v>1</v>
      </c>
      <c r="K83" s="8">
        <f t="shared" si="64"/>
        <v>492239.451756227</v>
      </c>
      <c r="L83" s="1">
        <f t="shared" ca="1" si="65"/>
        <v>264525.53637551161</v>
      </c>
      <c r="M83" s="1">
        <f t="shared" ca="1" si="66"/>
        <v>82947.393432397061</v>
      </c>
      <c r="N83" s="1">
        <f t="shared" si="67"/>
        <v>3005086.6267200243</v>
      </c>
      <c r="O83" s="1">
        <f t="shared" si="69"/>
        <v>0</v>
      </c>
      <c r="P83" s="1">
        <f t="shared" si="70"/>
        <v>-77441.670344359605</v>
      </c>
      <c r="Q83" s="1">
        <f t="shared" ca="1" si="71"/>
        <v>3767357.3379398002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 s="118">
        <f t="shared" ref="E84:F84" ca="1" si="88">E72</f>
        <v>308.05</v>
      </c>
      <c r="F84" s="118">
        <f t="shared" ca="1" si="88"/>
        <v>3.4800000000000004</v>
      </c>
      <c r="G84" s="8">
        <f>Dataset!AR84</f>
        <v>30</v>
      </c>
      <c r="H84" s="109">
        <f>Dataset!BK84</f>
        <v>0</v>
      </c>
      <c r="I84">
        <f>Dataset!BI84</f>
        <v>1</v>
      </c>
      <c r="K84" s="8">
        <f t="shared" si="64"/>
        <v>492239.451756227</v>
      </c>
      <c r="L84" s="1">
        <f t="shared" ca="1" si="65"/>
        <v>653674.72710152704</v>
      </c>
      <c r="M84" s="1">
        <f t="shared" ca="1" si="66"/>
        <v>11781.915475295584</v>
      </c>
      <c r="N84" s="1">
        <f t="shared" si="67"/>
        <v>2908148.3484387333</v>
      </c>
      <c r="O84" s="1">
        <f t="shared" si="69"/>
        <v>0</v>
      </c>
      <c r="P84" s="1">
        <f t="shared" si="70"/>
        <v>-77441.670344359605</v>
      </c>
      <c r="Q84" s="1">
        <f t="shared" ca="1" si="71"/>
        <v>3988402.7724274234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 s="118">
        <f t="shared" ref="E85:F85" ca="1" si="89">E73</f>
        <v>461.6</v>
      </c>
      <c r="F85" s="118">
        <f t="shared" ca="1" si="89"/>
        <v>0</v>
      </c>
      <c r="G85" s="8">
        <f>Dataset!AR85</f>
        <v>31</v>
      </c>
      <c r="H85" s="109">
        <f>Dataset!BK85</f>
        <v>0</v>
      </c>
      <c r="I85">
        <f>Dataset!BI85</f>
        <v>0</v>
      </c>
      <c r="K85" s="8">
        <f t="shared" si="64"/>
        <v>492239.451756227</v>
      </c>
      <c r="L85" s="1">
        <f t="shared" ca="1" si="65"/>
        <v>979504.15202098642</v>
      </c>
      <c r="M85" s="1">
        <f t="shared" ca="1" si="66"/>
        <v>0</v>
      </c>
      <c r="N85" s="1">
        <f t="shared" si="67"/>
        <v>3005086.6267200243</v>
      </c>
      <c r="O85" s="1">
        <f t="shared" si="69"/>
        <v>0</v>
      </c>
      <c r="P85" s="1">
        <f t="shared" si="70"/>
        <v>0</v>
      </c>
      <c r="Q85" s="1">
        <f t="shared" ca="1" si="71"/>
        <v>4476830.2304972373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 s="118">
        <f t="shared" ref="E86:F86" ca="1" si="90">E74</f>
        <v>572.42999999999995</v>
      </c>
      <c r="F86" s="118">
        <f t="shared" ca="1" si="90"/>
        <v>0</v>
      </c>
      <c r="G86" s="8">
        <f>Dataset!AR86</f>
        <v>31</v>
      </c>
      <c r="H86" s="109">
        <f>Dataset!BK86</f>
        <v>0</v>
      </c>
      <c r="I86">
        <f>Dataset!BI86</f>
        <v>0</v>
      </c>
      <c r="K86" s="8">
        <f t="shared" si="64"/>
        <v>492239.451756227</v>
      </c>
      <c r="L86" s="1">
        <f t="shared" ca="1" si="65"/>
        <v>1214682.7594050546</v>
      </c>
      <c r="M86" s="1">
        <f t="shared" ca="1" si="66"/>
        <v>0</v>
      </c>
      <c r="N86" s="1">
        <f t="shared" si="67"/>
        <v>3005086.6267200243</v>
      </c>
      <c r="O86" s="1">
        <f t="shared" si="69"/>
        <v>0</v>
      </c>
      <c r="P86" s="1">
        <f t="shared" si="70"/>
        <v>0</v>
      </c>
      <c r="Q86" s="1">
        <f t="shared" ca="1" si="71"/>
        <v>4712008.8378813062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 s="118">
        <f t="shared" ref="E87:F87" ca="1" si="91">E75</f>
        <v>525.4</v>
      </c>
      <c r="F87" s="118">
        <f t="shared" ca="1" si="91"/>
        <v>0</v>
      </c>
      <c r="G87" s="8">
        <f>Dataset!AR87</f>
        <v>28</v>
      </c>
      <c r="H87" s="109">
        <f>Dataset!BK87</f>
        <v>0</v>
      </c>
      <c r="I87">
        <f>Dataset!BI87</f>
        <v>0</v>
      </c>
      <c r="K87" s="8">
        <f t="shared" si="64"/>
        <v>492239.451756227</v>
      </c>
      <c r="L87" s="1">
        <f t="shared" ca="1" si="65"/>
        <v>1114886.2250256201</v>
      </c>
      <c r="M87" s="1">
        <f t="shared" ca="1" si="66"/>
        <v>0</v>
      </c>
      <c r="N87" s="1">
        <f t="shared" si="67"/>
        <v>2714271.7918761508</v>
      </c>
      <c r="O87" s="1">
        <f t="shared" si="69"/>
        <v>0</v>
      </c>
      <c r="P87" s="1">
        <f t="shared" si="70"/>
        <v>0</v>
      </c>
      <c r="Q87" s="1">
        <f t="shared" ca="1" si="71"/>
        <v>4321397.4686579984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 s="118">
        <f t="shared" ref="E88:F88" ca="1" si="92">E76</f>
        <v>437.1</v>
      </c>
      <c r="F88" s="118">
        <f t="shared" ca="1" si="92"/>
        <v>1.4700000000000002</v>
      </c>
      <c r="G88" s="8">
        <f>Dataset!AR88</f>
        <v>31</v>
      </c>
      <c r="H88" s="109">
        <f>Dataset!BK88</f>
        <v>0</v>
      </c>
      <c r="I88">
        <f>Dataset!BI88</f>
        <v>1</v>
      </c>
      <c r="K88" s="8">
        <f t="shared" si="64"/>
        <v>492239.451756227</v>
      </c>
      <c r="L88" s="1">
        <f t="shared" ca="1" si="65"/>
        <v>927515.73840635433</v>
      </c>
      <c r="M88" s="1">
        <f t="shared" ca="1" si="66"/>
        <v>4976.8436059438245</v>
      </c>
      <c r="N88" s="1">
        <f t="shared" si="67"/>
        <v>3005086.6267200243</v>
      </c>
      <c r="O88" s="1">
        <f t="shared" si="69"/>
        <v>0</v>
      </c>
      <c r="P88" s="1">
        <f t="shared" si="70"/>
        <v>-77441.670344359605</v>
      </c>
      <c r="Q88" s="1">
        <f t="shared" ca="1" si="71"/>
        <v>4352376.9901441904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 s="118">
        <f t="shared" ref="E89:F89" ca="1" si="93">E77</f>
        <v>264.39999999999998</v>
      </c>
      <c r="F89" s="118">
        <f t="shared" ca="1" si="93"/>
        <v>2.58</v>
      </c>
      <c r="G89" s="8">
        <f>Dataset!AR89</f>
        <v>30</v>
      </c>
      <c r="H89" s="109">
        <f>Dataset!BK89</f>
        <v>0</v>
      </c>
      <c r="I89">
        <f>Dataset!BI89</f>
        <v>1</v>
      </c>
      <c r="K89" s="8">
        <f t="shared" si="64"/>
        <v>492239.451756227</v>
      </c>
      <c r="L89" s="1">
        <f t="shared" ca="1" si="65"/>
        <v>561050.47182484565</v>
      </c>
      <c r="M89" s="1">
        <f t="shared" ca="1" si="66"/>
        <v>8734.8683696156913</v>
      </c>
      <c r="N89" s="1">
        <f t="shared" si="67"/>
        <v>2908148.3484387333</v>
      </c>
      <c r="O89" s="1">
        <f t="shared" si="69"/>
        <v>0</v>
      </c>
      <c r="P89" s="1">
        <f t="shared" si="70"/>
        <v>-77441.670344359605</v>
      </c>
      <c r="Q89" s="1">
        <f t="shared" ca="1" si="71"/>
        <v>3892731.4700450618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 s="118">
        <f t="shared" ref="E90:F90" ca="1" si="94">E78</f>
        <v>95.570000000000007</v>
      </c>
      <c r="F90" s="118">
        <f t="shared" ca="1" si="94"/>
        <v>46.33</v>
      </c>
      <c r="G90" s="8">
        <f>Dataset!AR90</f>
        <v>31</v>
      </c>
      <c r="H90" s="109">
        <f>Dataset!BK90</f>
        <v>0</v>
      </c>
      <c r="I90">
        <f>Dataset!BI90</f>
        <v>1</v>
      </c>
      <c r="K90" s="8">
        <f t="shared" si="64"/>
        <v>492239.451756227</v>
      </c>
      <c r="L90" s="1">
        <f t="shared" ca="1" si="65"/>
        <v>202797.25261838318</v>
      </c>
      <c r="M90" s="1">
        <f t="shared" ca="1" si="66"/>
        <v>156855.21378461045</v>
      </c>
      <c r="N90" s="1">
        <f t="shared" si="67"/>
        <v>3005086.6267200243</v>
      </c>
      <c r="O90" s="1">
        <f t="shared" si="69"/>
        <v>0</v>
      </c>
      <c r="P90" s="1">
        <f t="shared" si="70"/>
        <v>-77441.670344359605</v>
      </c>
      <c r="Q90" s="1">
        <f t="shared" ca="1" si="71"/>
        <v>3779536.8745348849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 s="118">
        <f t="shared" ref="E91:F91" ca="1" si="95">E79</f>
        <v>11.73</v>
      </c>
      <c r="F91" s="118">
        <f t="shared" ca="1" si="95"/>
        <v>113.05999999999999</v>
      </c>
      <c r="G91" s="8">
        <f>Dataset!AR91</f>
        <v>30</v>
      </c>
      <c r="H91" s="109">
        <f>Dataset!BK91</f>
        <v>0</v>
      </c>
      <c r="I91">
        <f>Dataset!BI91</f>
        <v>0</v>
      </c>
      <c r="K91" s="8">
        <f t="shared" si="64"/>
        <v>492239.451756227</v>
      </c>
      <c r="L91" s="1">
        <f t="shared" ca="1" si="65"/>
        <v>24890.779253046298</v>
      </c>
      <c r="M91" s="1">
        <f t="shared" ca="1" si="66"/>
        <v>382776.82863129844</v>
      </c>
      <c r="N91" s="1">
        <f t="shared" si="67"/>
        <v>2908148.3484387333</v>
      </c>
      <c r="O91" s="1">
        <f t="shared" si="69"/>
        <v>0</v>
      </c>
      <c r="P91" s="1">
        <f t="shared" si="70"/>
        <v>0</v>
      </c>
      <c r="Q91" s="1">
        <f t="shared" ca="1" si="71"/>
        <v>3808055.4080793047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 s="118">
        <f t="shared" ref="E92:F92" ca="1" si="96">E80</f>
        <v>0</v>
      </c>
      <c r="F92" s="118">
        <f t="shared" ca="1" si="96"/>
        <v>211.26999999999998</v>
      </c>
      <c r="G92" s="8">
        <f>Dataset!AR92</f>
        <v>31</v>
      </c>
      <c r="H92" s="109">
        <f>Dataset!BK92</f>
        <v>0</v>
      </c>
      <c r="I92">
        <f>Dataset!BI92</f>
        <v>0</v>
      </c>
      <c r="K92" s="8">
        <f t="shared" si="64"/>
        <v>492239.451756227</v>
      </c>
      <c r="L92" s="1">
        <f t="shared" ca="1" si="65"/>
        <v>0</v>
      </c>
      <c r="M92" s="1">
        <f t="shared" ca="1" si="66"/>
        <v>715277.38001887861</v>
      </c>
      <c r="N92" s="1">
        <f t="shared" si="67"/>
        <v>3005086.6267200243</v>
      </c>
      <c r="O92" s="1">
        <f t="shared" si="69"/>
        <v>0</v>
      </c>
      <c r="P92" s="1">
        <f t="shared" si="70"/>
        <v>0</v>
      </c>
      <c r="Q92" s="1">
        <f t="shared" ca="1" si="71"/>
        <v>4212603.4584951298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 s="118">
        <f t="shared" ref="E93:F93" ca="1" si="97">E81</f>
        <v>0.13</v>
      </c>
      <c r="F93" s="118">
        <f t="shared" ca="1" si="97"/>
        <v>198.38000000000002</v>
      </c>
      <c r="G93" s="8">
        <f>Dataset!AR93</f>
        <v>31</v>
      </c>
      <c r="H93" s="109">
        <f>Dataset!BK93</f>
        <v>0</v>
      </c>
      <c r="I93">
        <f>Dataset!BI93</f>
        <v>0</v>
      </c>
      <c r="K93" s="8">
        <f t="shared" si="64"/>
        <v>492239.451756227</v>
      </c>
      <c r="L93" s="1">
        <f t="shared" ca="1" si="65"/>
        <v>275.85688856743553</v>
      </c>
      <c r="M93" s="1">
        <f t="shared" ca="1" si="66"/>
        <v>671636.89424975228</v>
      </c>
      <c r="N93" s="1">
        <f t="shared" si="67"/>
        <v>3005086.6267200243</v>
      </c>
      <c r="O93" s="1">
        <f t="shared" si="69"/>
        <v>0</v>
      </c>
      <c r="P93" s="1">
        <f t="shared" si="70"/>
        <v>0</v>
      </c>
      <c r="Q93" s="1">
        <f t="shared" ca="1" si="71"/>
        <v>4169238.8296145713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 s="118">
        <f t="shared" ref="E94:F94" ca="1" si="98">E82</f>
        <v>16.16</v>
      </c>
      <c r="F94" s="118">
        <f t="shared" ca="1" si="98"/>
        <v>100.94000000000001</v>
      </c>
      <c r="G94" s="8">
        <f>Dataset!AR94</f>
        <v>30</v>
      </c>
      <c r="H94" s="109">
        <f>Dataset!BK94</f>
        <v>0</v>
      </c>
      <c r="I94">
        <f>Dataset!BI94</f>
        <v>1</v>
      </c>
      <c r="K94" s="8">
        <f t="shared" si="64"/>
        <v>492239.451756227</v>
      </c>
      <c r="L94" s="1">
        <f t="shared" ca="1" si="65"/>
        <v>34291.133224998135</v>
      </c>
      <c r="M94" s="1">
        <f t="shared" ca="1" si="66"/>
        <v>341743.26094147592</v>
      </c>
      <c r="N94" s="1">
        <f t="shared" si="67"/>
        <v>2908148.3484387333</v>
      </c>
      <c r="O94" s="1">
        <f t="shared" si="69"/>
        <v>0</v>
      </c>
      <c r="P94" s="1">
        <f t="shared" si="70"/>
        <v>-77441.670344359605</v>
      </c>
      <c r="Q94" s="1">
        <f t="shared" ca="1" si="71"/>
        <v>3698980.5240170746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 s="118">
        <f t="shared" ref="E95:F95" ca="1" si="99">E83</f>
        <v>124.66000000000001</v>
      </c>
      <c r="F95" s="118">
        <f t="shared" ca="1" si="99"/>
        <v>24.5</v>
      </c>
      <c r="G95" s="8">
        <f>Dataset!AR95</f>
        <v>31</v>
      </c>
      <c r="H95" s="109">
        <f>Dataset!BK95</f>
        <v>0</v>
      </c>
      <c r="I95">
        <f>Dataset!BI95</f>
        <v>1</v>
      </c>
      <c r="K95" s="8">
        <f t="shared" si="64"/>
        <v>492239.451756227</v>
      </c>
      <c r="L95" s="1">
        <f t="shared" ca="1" si="65"/>
        <v>264525.53637551161</v>
      </c>
      <c r="M95" s="1">
        <f t="shared" ca="1" si="66"/>
        <v>82947.393432397061</v>
      </c>
      <c r="N95" s="1">
        <f t="shared" si="67"/>
        <v>3005086.6267200243</v>
      </c>
      <c r="O95" s="1">
        <f t="shared" si="69"/>
        <v>0</v>
      </c>
      <c r="P95" s="1">
        <f t="shared" si="70"/>
        <v>-77441.670344359605</v>
      </c>
      <c r="Q95" s="1">
        <f t="shared" ca="1" si="71"/>
        <v>3767357.3379398002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 s="118">
        <f t="shared" ref="E96:F96" ca="1" si="100">E84</f>
        <v>308.05</v>
      </c>
      <c r="F96" s="118">
        <f t="shared" ca="1" si="100"/>
        <v>3.4800000000000004</v>
      </c>
      <c r="G96" s="8">
        <f>Dataset!AR96</f>
        <v>30</v>
      </c>
      <c r="H96" s="109">
        <f>Dataset!BK96</f>
        <v>0</v>
      </c>
      <c r="I96">
        <f>Dataset!BI96</f>
        <v>1</v>
      </c>
      <c r="K96" s="8">
        <f t="shared" si="64"/>
        <v>492239.451756227</v>
      </c>
      <c r="L96" s="1">
        <f t="shared" ca="1" si="65"/>
        <v>653674.72710152704</v>
      </c>
      <c r="M96" s="1">
        <f t="shared" ca="1" si="66"/>
        <v>11781.915475295584</v>
      </c>
      <c r="N96" s="1">
        <f t="shared" si="67"/>
        <v>2908148.3484387333</v>
      </c>
      <c r="O96" s="1">
        <f t="shared" si="69"/>
        <v>0</v>
      </c>
      <c r="P96" s="1">
        <f t="shared" si="70"/>
        <v>-77441.670344359605</v>
      </c>
      <c r="Q96" s="1">
        <f t="shared" ca="1" si="71"/>
        <v>3988402.7724274234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 s="118">
        <f t="shared" ref="E97:F97" ca="1" si="101">E85</f>
        <v>461.6</v>
      </c>
      <c r="F97" s="118">
        <f t="shared" ca="1" si="101"/>
        <v>0</v>
      </c>
      <c r="G97" s="8">
        <f>Dataset!AR97</f>
        <v>31</v>
      </c>
      <c r="H97" s="109">
        <f>Dataset!BK97</f>
        <v>0</v>
      </c>
      <c r="I97">
        <f>Dataset!BI97</f>
        <v>0</v>
      </c>
      <c r="K97" s="8">
        <f t="shared" si="64"/>
        <v>492239.451756227</v>
      </c>
      <c r="L97" s="1">
        <f t="shared" ca="1" si="65"/>
        <v>979504.15202098642</v>
      </c>
      <c r="M97" s="1">
        <f t="shared" ca="1" si="66"/>
        <v>0</v>
      </c>
      <c r="N97" s="1">
        <f t="shared" si="67"/>
        <v>3005086.6267200243</v>
      </c>
      <c r="O97" s="1">
        <f t="shared" si="69"/>
        <v>0</v>
      </c>
      <c r="P97" s="1">
        <f t="shared" si="70"/>
        <v>0</v>
      </c>
      <c r="Q97" s="1">
        <f t="shared" ca="1" si="71"/>
        <v>4476830.2304972373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 s="118">
        <f t="shared" ref="E98:F98" ca="1" si="102">E86</f>
        <v>572.42999999999995</v>
      </c>
      <c r="F98" s="118">
        <f t="shared" ca="1" si="102"/>
        <v>0</v>
      </c>
      <c r="G98" s="8">
        <f>Dataset!AR98</f>
        <v>31</v>
      </c>
      <c r="H98" s="109">
        <f>Dataset!BK98</f>
        <v>0</v>
      </c>
      <c r="I98">
        <f>Dataset!BI98</f>
        <v>0</v>
      </c>
      <c r="K98" s="8">
        <f t="shared" ref="K98:K129" si="103">$V$10</f>
        <v>492239.451756227</v>
      </c>
      <c r="L98" s="1">
        <f t="shared" ref="L98:L129" ca="1" si="104">E98*$V$11</f>
        <v>1214682.7594050546</v>
      </c>
      <c r="M98" s="1">
        <f t="shared" ref="M98:M129" ca="1" si="105">F98*$V$12</f>
        <v>0</v>
      </c>
      <c r="N98" s="1">
        <f t="shared" ref="N98:N129" si="106">G98*$V$13</f>
        <v>3005086.6267200243</v>
      </c>
      <c r="O98" s="1">
        <f t="shared" si="69"/>
        <v>0</v>
      </c>
      <c r="P98" s="1">
        <f t="shared" si="70"/>
        <v>0</v>
      </c>
      <c r="Q98" s="1">
        <f t="shared" ca="1" si="71"/>
        <v>4712008.8378813062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 s="118">
        <f t="shared" ref="E99:F99" ca="1" si="107">E87</f>
        <v>525.4</v>
      </c>
      <c r="F99" s="118">
        <f t="shared" ca="1" si="107"/>
        <v>0</v>
      </c>
      <c r="G99" s="8">
        <f>Dataset!AR99</f>
        <v>29</v>
      </c>
      <c r="H99" s="109">
        <f>Dataset!BK99</f>
        <v>0</v>
      </c>
      <c r="I99">
        <f>Dataset!BI99</f>
        <v>0</v>
      </c>
      <c r="K99" s="8">
        <f t="shared" si="103"/>
        <v>492239.451756227</v>
      </c>
      <c r="L99" s="1">
        <f t="shared" ca="1" si="104"/>
        <v>1114886.2250256201</v>
      </c>
      <c r="M99" s="1">
        <f t="shared" ca="1" si="105"/>
        <v>0</v>
      </c>
      <c r="N99" s="1">
        <f t="shared" si="106"/>
        <v>2811210.0701574418</v>
      </c>
      <c r="O99" s="1">
        <f t="shared" si="69"/>
        <v>0</v>
      </c>
      <c r="P99" s="1">
        <f t="shared" si="70"/>
        <v>0</v>
      </c>
      <c r="Q99" s="1">
        <f t="shared" ca="1" si="71"/>
        <v>4418335.7469392885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 s="118">
        <f t="shared" ref="E100:F100" ca="1" si="108">E88</f>
        <v>437.1</v>
      </c>
      <c r="F100" s="118">
        <f t="shared" ca="1" si="108"/>
        <v>1.4700000000000002</v>
      </c>
      <c r="G100" s="8">
        <f>Dataset!AR100</f>
        <v>31</v>
      </c>
      <c r="H100" s="109">
        <f>Dataset!BK100</f>
        <v>0.5</v>
      </c>
      <c r="I100">
        <f>Dataset!BI100</f>
        <v>1</v>
      </c>
      <c r="K100" s="8">
        <f t="shared" si="103"/>
        <v>492239.451756227</v>
      </c>
      <c r="L100" s="1">
        <f t="shared" ca="1" si="104"/>
        <v>927515.73840635433</v>
      </c>
      <c r="M100" s="1">
        <f t="shared" ca="1" si="105"/>
        <v>4976.8436059438245</v>
      </c>
      <c r="N100" s="1">
        <f t="shared" si="106"/>
        <v>3005086.6267200243</v>
      </c>
      <c r="O100" s="1">
        <f t="shared" si="69"/>
        <v>-232610.22328583701</v>
      </c>
      <c r="P100" s="1">
        <f t="shared" si="70"/>
        <v>-77441.670344359605</v>
      </c>
      <c r="Q100" s="1">
        <f t="shared" ca="1" si="71"/>
        <v>4119766.7668583528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 s="118">
        <f t="shared" ref="E101:F101" ca="1" si="109">E89</f>
        <v>264.39999999999998</v>
      </c>
      <c r="F101" s="118">
        <f t="shared" ca="1" si="109"/>
        <v>2.58</v>
      </c>
      <c r="G101" s="8">
        <f>Dataset!AR101</f>
        <v>30</v>
      </c>
      <c r="H101" s="109">
        <f>Dataset!BK101</f>
        <v>1</v>
      </c>
      <c r="I101">
        <f>Dataset!BI101</f>
        <v>1</v>
      </c>
      <c r="K101" s="8">
        <f t="shared" si="103"/>
        <v>492239.451756227</v>
      </c>
      <c r="L101" s="1">
        <f t="shared" ca="1" si="104"/>
        <v>561050.47182484565</v>
      </c>
      <c r="M101" s="1">
        <f t="shared" ca="1" si="105"/>
        <v>8734.8683696156913</v>
      </c>
      <c r="N101" s="1">
        <f t="shared" si="106"/>
        <v>2908148.3484387333</v>
      </c>
      <c r="O101" s="1">
        <f t="shared" si="69"/>
        <v>-465220.44657167402</v>
      </c>
      <c r="P101" s="1">
        <f t="shared" si="70"/>
        <v>-77441.670344359605</v>
      </c>
      <c r="Q101" s="1">
        <f t="shared" ca="1" si="71"/>
        <v>3427511.0234733876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 s="118">
        <f t="shared" ref="E102:F102" ca="1" si="110">E90</f>
        <v>95.570000000000007</v>
      </c>
      <c r="F102" s="118">
        <f t="shared" ca="1" si="110"/>
        <v>46.33</v>
      </c>
      <c r="G102" s="8">
        <f>Dataset!AR102</f>
        <v>31</v>
      </c>
      <c r="H102" s="109">
        <f>Dataset!BK102</f>
        <v>1</v>
      </c>
      <c r="I102">
        <f>Dataset!BI102</f>
        <v>1</v>
      </c>
      <c r="K102" s="8">
        <f t="shared" si="103"/>
        <v>492239.451756227</v>
      </c>
      <c r="L102" s="1">
        <f t="shared" ca="1" si="104"/>
        <v>202797.25261838318</v>
      </c>
      <c r="M102" s="1">
        <f t="shared" ca="1" si="105"/>
        <v>156855.21378461045</v>
      </c>
      <c r="N102" s="1">
        <f t="shared" si="106"/>
        <v>3005086.6267200243</v>
      </c>
      <c r="O102" s="1">
        <f t="shared" si="69"/>
        <v>-465220.44657167402</v>
      </c>
      <c r="P102" s="1">
        <f t="shared" si="70"/>
        <v>-77441.670344359605</v>
      </c>
      <c r="Q102" s="1">
        <f t="shared" ca="1" si="71"/>
        <v>3314316.4279632107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 s="118">
        <f t="shared" ref="E103:F103" ca="1" si="111">E91</f>
        <v>11.73</v>
      </c>
      <c r="F103" s="118">
        <f t="shared" ca="1" si="111"/>
        <v>113.05999999999999</v>
      </c>
      <c r="G103" s="8">
        <f>Dataset!AR103</f>
        <v>30</v>
      </c>
      <c r="H103" s="109">
        <f>Dataset!BK103</f>
        <v>0.5</v>
      </c>
      <c r="I103">
        <f>Dataset!BI103</f>
        <v>0</v>
      </c>
      <c r="K103" s="8">
        <f t="shared" si="103"/>
        <v>492239.451756227</v>
      </c>
      <c r="L103" s="1">
        <f t="shared" ca="1" si="104"/>
        <v>24890.779253046298</v>
      </c>
      <c r="M103" s="1">
        <f t="shared" ca="1" si="105"/>
        <v>382776.82863129844</v>
      </c>
      <c r="N103" s="1">
        <f t="shared" si="106"/>
        <v>2908148.3484387333</v>
      </c>
      <c r="O103" s="1">
        <f t="shared" si="69"/>
        <v>-232610.22328583701</v>
      </c>
      <c r="P103" s="1">
        <f t="shared" si="70"/>
        <v>0</v>
      </c>
      <c r="Q103" s="1">
        <f t="shared" ca="1" si="71"/>
        <v>3575445.1847934676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 s="118">
        <f t="shared" ref="E104:F104" ca="1" si="112">E92</f>
        <v>0</v>
      </c>
      <c r="F104" s="118">
        <f t="shared" ca="1" si="112"/>
        <v>211.26999999999998</v>
      </c>
      <c r="G104" s="8">
        <f>Dataset!AR104</f>
        <v>31</v>
      </c>
      <c r="H104" s="109">
        <f>Dataset!BK104</f>
        <v>0.5</v>
      </c>
      <c r="I104">
        <f>Dataset!BI104</f>
        <v>0</v>
      </c>
      <c r="K104" s="8">
        <f t="shared" si="103"/>
        <v>492239.451756227</v>
      </c>
      <c r="L104" s="1">
        <f t="shared" ca="1" si="104"/>
        <v>0</v>
      </c>
      <c r="M104" s="1">
        <f t="shared" ca="1" si="105"/>
        <v>715277.38001887861</v>
      </c>
      <c r="N104" s="1">
        <f t="shared" si="106"/>
        <v>3005086.6267200243</v>
      </c>
      <c r="O104" s="1">
        <f t="shared" si="69"/>
        <v>-232610.22328583701</v>
      </c>
      <c r="P104" s="1">
        <f t="shared" si="70"/>
        <v>0</v>
      </c>
      <c r="Q104" s="1">
        <f t="shared" ca="1" si="71"/>
        <v>3979993.2352092927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 s="118">
        <f t="shared" ref="E105:F105" ca="1" si="113">E93</f>
        <v>0.13</v>
      </c>
      <c r="F105" s="118">
        <f t="shared" ca="1" si="113"/>
        <v>198.38000000000002</v>
      </c>
      <c r="G105" s="8">
        <f>Dataset!AR105</f>
        <v>31</v>
      </c>
      <c r="H105" s="109">
        <f>Dataset!BK105</f>
        <v>0.5</v>
      </c>
      <c r="I105">
        <f>Dataset!BI105</f>
        <v>0</v>
      </c>
      <c r="K105" s="8">
        <f t="shared" si="103"/>
        <v>492239.451756227</v>
      </c>
      <c r="L105" s="1">
        <f t="shared" ca="1" si="104"/>
        <v>275.85688856743553</v>
      </c>
      <c r="M105" s="1">
        <f t="shared" ca="1" si="105"/>
        <v>671636.89424975228</v>
      </c>
      <c r="N105" s="1">
        <f t="shared" si="106"/>
        <v>3005086.6267200243</v>
      </c>
      <c r="O105" s="1">
        <f t="shared" si="69"/>
        <v>-232610.22328583701</v>
      </c>
      <c r="P105" s="1">
        <f t="shared" si="70"/>
        <v>0</v>
      </c>
      <c r="Q105" s="1">
        <f t="shared" ca="1" si="71"/>
        <v>3936628.6063287342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 s="118">
        <f t="shared" ref="E106:F106" ca="1" si="114">E94</f>
        <v>16.16</v>
      </c>
      <c r="F106" s="118">
        <f t="shared" ca="1" si="114"/>
        <v>100.94000000000001</v>
      </c>
      <c r="G106" s="8">
        <f>Dataset!AR106</f>
        <v>30</v>
      </c>
      <c r="H106" s="109">
        <f>Dataset!BK106</f>
        <v>0.5</v>
      </c>
      <c r="I106">
        <f>Dataset!BI106</f>
        <v>1</v>
      </c>
      <c r="K106" s="8">
        <f t="shared" si="103"/>
        <v>492239.451756227</v>
      </c>
      <c r="L106" s="1">
        <f t="shared" ca="1" si="104"/>
        <v>34291.133224998135</v>
      </c>
      <c r="M106" s="1">
        <f t="shared" ca="1" si="105"/>
        <v>341743.26094147592</v>
      </c>
      <c r="N106" s="1">
        <f t="shared" si="106"/>
        <v>2908148.3484387333</v>
      </c>
      <c r="O106" s="1">
        <f t="shared" si="69"/>
        <v>-232610.22328583701</v>
      </c>
      <c r="P106" s="1">
        <f t="shared" si="70"/>
        <v>-77441.670344359605</v>
      </c>
      <c r="Q106" s="1">
        <f t="shared" ca="1" si="71"/>
        <v>3466370.3007312375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 s="118">
        <f t="shared" ref="E107:F107" ca="1" si="115">E95</f>
        <v>124.66000000000001</v>
      </c>
      <c r="F107" s="118">
        <f t="shared" ca="1" si="115"/>
        <v>24.5</v>
      </c>
      <c r="G107" s="8">
        <f>Dataset!AR107</f>
        <v>31</v>
      </c>
      <c r="H107" s="109">
        <f>Dataset!BK107</f>
        <v>0.5</v>
      </c>
      <c r="I107">
        <f>Dataset!BI107</f>
        <v>1</v>
      </c>
      <c r="K107" s="8">
        <f t="shared" si="103"/>
        <v>492239.451756227</v>
      </c>
      <c r="L107" s="1">
        <f t="shared" ca="1" si="104"/>
        <v>264525.53637551161</v>
      </c>
      <c r="M107" s="1">
        <f t="shared" ca="1" si="105"/>
        <v>82947.393432397061</v>
      </c>
      <c r="N107" s="1">
        <f t="shared" si="106"/>
        <v>3005086.6267200243</v>
      </c>
      <c r="O107" s="1">
        <f t="shared" si="69"/>
        <v>-232610.22328583701</v>
      </c>
      <c r="P107" s="1">
        <f t="shared" si="70"/>
        <v>-77441.670344359605</v>
      </c>
      <c r="Q107" s="1">
        <f t="shared" ca="1" si="71"/>
        <v>3534747.1146539631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 s="118">
        <f t="shared" ref="E108:F108" ca="1" si="116">E96</f>
        <v>308.05</v>
      </c>
      <c r="F108" s="118">
        <f t="shared" ca="1" si="116"/>
        <v>3.4800000000000004</v>
      </c>
      <c r="G108" s="8">
        <f>Dataset!AR108</f>
        <v>30</v>
      </c>
      <c r="H108" s="109">
        <f>Dataset!BK108</f>
        <v>0.5</v>
      </c>
      <c r="I108">
        <f>Dataset!BI108</f>
        <v>1</v>
      </c>
      <c r="K108" s="8">
        <f t="shared" si="103"/>
        <v>492239.451756227</v>
      </c>
      <c r="L108" s="1">
        <f t="shared" ca="1" si="104"/>
        <v>653674.72710152704</v>
      </c>
      <c r="M108" s="1">
        <f t="shared" ca="1" si="105"/>
        <v>11781.915475295584</v>
      </c>
      <c r="N108" s="1">
        <f t="shared" si="106"/>
        <v>2908148.3484387333</v>
      </c>
      <c r="O108" s="1">
        <f t="shared" si="69"/>
        <v>-232610.22328583701</v>
      </c>
      <c r="P108" s="1">
        <f t="shared" si="70"/>
        <v>-77441.670344359605</v>
      </c>
      <c r="Q108" s="1">
        <f t="shared" ca="1" si="71"/>
        <v>3755792.5491415863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 s="118">
        <f t="shared" ref="E109:F109" ca="1" si="117">E97</f>
        <v>461.6</v>
      </c>
      <c r="F109" s="118">
        <f t="shared" ca="1" si="117"/>
        <v>0</v>
      </c>
      <c r="G109" s="8">
        <f>Dataset!AR109</f>
        <v>31</v>
      </c>
      <c r="H109" s="109">
        <f>Dataset!BK109</f>
        <v>0.5</v>
      </c>
      <c r="I109">
        <f>Dataset!BI109</f>
        <v>0</v>
      </c>
      <c r="K109" s="8">
        <f t="shared" si="103"/>
        <v>492239.451756227</v>
      </c>
      <c r="L109" s="1">
        <f t="shared" ca="1" si="104"/>
        <v>979504.15202098642</v>
      </c>
      <c r="M109" s="1">
        <f t="shared" ca="1" si="105"/>
        <v>0</v>
      </c>
      <c r="N109" s="1">
        <f t="shared" si="106"/>
        <v>3005086.6267200243</v>
      </c>
      <c r="O109" s="1">
        <f t="shared" si="69"/>
        <v>-232610.22328583701</v>
      </c>
      <c r="P109" s="1">
        <f t="shared" si="70"/>
        <v>0</v>
      </c>
      <c r="Q109" s="1">
        <f t="shared" ca="1" si="71"/>
        <v>4244220.0072114002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4273236.3259665137</v>
      </c>
      <c r="E110" s="118">
        <f t="shared" ref="E110:F110" ca="1" si="118">E98</f>
        <v>572.42999999999995</v>
      </c>
      <c r="F110" s="118">
        <f t="shared" ca="1" si="118"/>
        <v>0</v>
      </c>
      <c r="G110" s="8">
        <f>Dataset!AR110</f>
        <v>31</v>
      </c>
      <c r="H110" s="109">
        <f>Dataset!BK110</f>
        <v>0.5</v>
      </c>
      <c r="I110">
        <f>Dataset!BI110</f>
        <v>0</v>
      </c>
      <c r="K110" s="8">
        <f t="shared" si="103"/>
        <v>492239.451756227</v>
      </c>
      <c r="L110" s="1">
        <f t="shared" ca="1" si="104"/>
        <v>1214682.7594050546</v>
      </c>
      <c r="M110" s="1">
        <f t="shared" ca="1" si="105"/>
        <v>0</v>
      </c>
      <c r="N110" s="1">
        <f t="shared" si="106"/>
        <v>3005086.6267200243</v>
      </c>
      <c r="O110" s="1">
        <f t="shared" si="69"/>
        <v>-232610.22328583701</v>
      </c>
      <c r="P110" s="1">
        <f t="shared" si="70"/>
        <v>0</v>
      </c>
      <c r="Q110" s="1">
        <f t="shared" ca="1" si="71"/>
        <v>4479398.6145954691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4156976.6714535831</v>
      </c>
      <c r="E111" s="118">
        <f t="shared" ref="E111:F111" ca="1" si="119">E99</f>
        <v>525.4</v>
      </c>
      <c r="F111" s="118">
        <f t="shared" ca="1" si="119"/>
        <v>0</v>
      </c>
      <c r="G111" s="8">
        <f>Dataset!AR111</f>
        <v>28</v>
      </c>
      <c r="H111" s="109">
        <f>Dataset!BK111</f>
        <v>0.5</v>
      </c>
      <c r="I111">
        <f>Dataset!BI111</f>
        <v>0</v>
      </c>
      <c r="K111" s="8">
        <f t="shared" si="103"/>
        <v>492239.451756227</v>
      </c>
      <c r="L111" s="1">
        <f t="shared" ca="1" si="104"/>
        <v>1114886.2250256201</v>
      </c>
      <c r="M111" s="1">
        <f t="shared" ca="1" si="105"/>
        <v>0</v>
      </c>
      <c r="N111" s="1">
        <f t="shared" si="106"/>
        <v>2714271.7918761508</v>
      </c>
      <c r="O111" s="1">
        <f t="shared" si="69"/>
        <v>-232610.22328583701</v>
      </c>
      <c r="P111" s="1">
        <f t="shared" si="70"/>
        <v>0</v>
      </c>
      <c r="Q111" s="1">
        <f t="shared" ca="1" si="71"/>
        <v>4088787.2453721613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4304580.3632530198</v>
      </c>
      <c r="E112" s="118">
        <f t="shared" ref="E112:F112" ca="1" si="120">E100</f>
        <v>437.1</v>
      </c>
      <c r="F112" s="118">
        <f t="shared" ca="1" si="120"/>
        <v>1.4700000000000002</v>
      </c>
      <c r="G112" s="8">
        <f>Dataset!AR112</f>
        <v>31</v>
      </c>
      <c r="H112" s="109">
        <f>Dataset!BK112</f>
        <v>0.5</v>
      </c>
      <c r="I112">
        <f>Dataset!BI112</f>
        <v>1</v>
      </c>
      <c r="K112" s="8">
        <f t="shared" si="103"/>
        <v>492239.451756227</v>
      </c>
      <c r="L112" s="1">
        <f t="shared" ca="1" si="104"/>
        <v>927515.73840635433</v>
      </c>
      <c r="M112" s="1">
        <f t="shared" ca="1" si="105"/>
        <v>4976.8436059438245</v>
      </c>
      <c r="N112" s="1">
        <f t="shared" si="106"/>
        <v>3005086.6267200243</v>
      </c>
      <c r="O112" s="1">
        <f t="shared" si="69"/>
        <v>-232610.22328583701</v>
      </c>
      <c r="P112" s="1">
        <f t="shared" si="70"/>
        <v>-77441.670344359605</v>
      </c>
      <c r="Q112" s="1">
        <f t="shared" ca="1" si="71"/>
        <v>4119766.7668583528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3493870.4632008304</v>
      </c>
      <c r="E113" s="118">
        <f t="shared" ref="E113:F113" ca="1" si="121">E101</f>
        <v>264.39999999999998</v>
      </c>
      <c r="F113" s="118">
        <f t="shared" ca="1" si="121"/>
        <v>2.58</v>
      </c>
      <c r="G113" s="8">
        <f>Dataset!AR113</f>
        <v>30</v>
      </c>
      <c r="H113" s="109">
        <f>Dataset!BK113</f>
        <v>0.5</v>
      </c>
      <c r="I113">
        <f>Dataset!BI113</f>
        <v>1</v>
      </c>
      <c r="K113" s="8">
        <f t="shared" si="103"/>
        <v>492239.451756227</v>
      </c>
      <c r="L113" s="1">
        <f t="shared" ca="1" si="104"/>
        <v>561050.47182484565</v>
      </c>
      <c r="M113" s="1">
        <f t="shared" ca="1" si="105"/>
        <v>8734.8683696156913</v>
      </c>
      <c r="N113" s="1">
        <f t="shared" si="106"/>
        <v>2908148.3484387333</v>
      </c>
      <c r="O113" s="1">
        <f t="shared" si="69"/>
        <v>-232610.22328583701</v>
      </c>
      <c r="P113" s="1">
        <f t="shared" si="70"/>
        <v>-77441.670344359605</v>
      </c>
      <c r="Q113" s="1">
        <f t="shared" ca="1" si="71"/>
        <v>3660121.2467592247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3443371.5331146931</v>
      </c>
      <c r="E114" s="118">
        <f t="shared" ref="E114:F114" ca="1" si="122">E102</f>
        <v>95.570000000000007</v>
      </c>
      <c r="F114" s="118">
        <f t="shared" ca="1" si="122"/>
        <v>46.33</v>
      </c>
      <c r="G114" s="8">
        <f>Dataset!AR114</f>
        <v>31</v>
      </c>
      <c r="H114" s="109">
        <f>Dataset!BK114</f>
        <v>0.5</v>
      </c>
      <c r="I114">
        <f>Dataset!BI114</f>
        <v>1</v>
      </c>
      <c r="K114" s="8">
        <f t="shared" si="103"/>
        <v>492239.451756227</v>
      </c>
      <c r="L114" s="1">
        <f t="shared" ca="1" si="104"/>
        <v>202797.25261838318</v>
      </c>
      <c r="M114" s="1">
        <f t="shared" ca="1" si="105"/>
        <v>156855.21378461045</v>
      </c>
      <c r="N114" s="1">
        <f t="shared" si="106"/>
        <v>3005086.6267200243</v>
      </c>
      <c r="O114" s="1">
        <f t="shared" si="69"/>
        <v>-232610.22328583701</v>
      </c>
      <c r="P114" s="1">
        <f t="shared" si="70"/>
        <v>-77441.670344359605</v>
      </c>
      <c r="Q114" s="1">
        <f t="shared" ca="1" si="71"/>
        <v>3546926.6512490478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3799932.2427311637</v>
      </c>
      <c r="E115" s="118">
        <f t="shared" ref="E115:F115" ca="1" si="123">E103</f>
        <v>11.73</v>
      </c>
      <c r="F115" s="118">
        <f t="shared" ca="1" si="123"/>
        <v>113.05999999999999</v>
      </c>
      <c r="G115" s="8">
        <f>Dataset!AR115</f>
        <v>30</v>
      </c>
      <c r="H115" s="109">
        <f>Dataset!BK115</f>
        <v>0.5</v>
      </c>
      <c r="I115">
        <f>Dataset!BI115</f>
        <v>0</v>
      </c>
      <c r="K115" s="8">
        <f t="shared" si="103"/>
        <v>492239.451756227</v>
      </c>
      <c r="L115" s="1">
        <f t="shared" ca="1" si="104"/>
        <v>24890.779253046298</v>
      </c>
      <c r="M115" s="1">
        <f t="shared" ca="1" si="105"/>
        <v>382776.82863129844</v>
      </c>
      <c r="N115" s="1">
        <f t="shared" si="106"/>
        <v>2908148.3484387333</v>
      </c>
      <c r="O115" s="1">
        <f t="shared" si="69"/>
        <v>-232610.22328583701</v>
      </c>
      <c r="P115" s="1">
        <f t="shared" si="70"/>
        <v>0</v>
      </c>
      <c r="Q115" s="1">
        <f t="shared" ca="1" si="71"/>
        <v>3575445.1847934676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4003306.3794900794</v>
      </c>
      <c r="E116" s="118">
        <f t="shared" ref="E116:F116" ca="1" si="124">E104</f>
        <v>0</v>
      </c>
      <c r="F116" s="118">
        <f t="shared" ca="1" si="124"/>
        <v>211.26999999999998</v>
      </c>
      <c r="G116" s="8">
        <f>Dataset!AR116</f>
        <v>31</v>
      </c>
      <c r="H116" s="109">
        <f>Dataset!BK116</f>
        <v>0.5</v>
      </c>
      <c r="I116">
        <f>Dataset!BI116</f>
        <v>0</v>
      </c>
      <c r="K116" s="8">
        <f t="shared" si="103"/>
        <v>492239.451756227</v>
      </c>
      <c r="L116" s="1">
        <f t="shared" ca="1" si="104"/>
        <v>0</v>
      </c>
      <c r="M116" s="1">
        <f t="shared" ca="1" si="105"/>
        <v>715277.38001887861</v>
      </c>
      <c r="N116" s="1">
        <f t="shared" si="106"/>
        <v>3005086.6267200243</v>
      </c>
      <c r="O116" s="1">
        <f t="shared" si="69"/>
        <v>-232610.22328583701</v>
      </c>
      <c r="P116" s="1">
        <f t="shared" si="70"/>
        <v>0</v>
      </c>
      <c r="Q116" s="1">
        <f t="shared" ca="1" si="71"/>
        <v>3979993.2352092927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4419749.8569190353</v>
      </c>
      <c r="E117" s="118">
        <f t="shared" ref="E117:F118" ca="1" si="125">E105</f>
        <v>0.13</v>
      </c>
      <c r="F117" s="118">
        <f t="shared" ca="1" si="125"/>
        <v>198.38000000000002</v>
      </c>
      <c r="G117" s="8">
        <f>Dataset!AR117</f>
        <v>31</v>
      </c>
      <c r="H117" s="109">
        <f>Dataset!BK117</f>
        <v>0.5</v>
      </c>
      <c r="I117">
        <f>Dataset!BI117</f>
        <v>0</v>
      </c>
      <c r="K117" s="8">
        <f t="shared" si="103"/>
        <v>492239.451756227</v>
      </c>
      <c r="L117" s="1">
        <f t="shared" ca="1" si="104"/>
        <v>275.85688856743553</v>
      </c>
      <c r="M117" s="1">
        <f t="shared" ca="1" si="105"/>
        <v>671636.89424975228</v>
      </c>
      <c r="N117" s="1">
        <f t="shared" si="106"/>
        <v>3005086.6267200243</v>
      </c>
      <c r="O117" s="1">
        <f t="shared" si="69"/>
        <v>-232610.22328583701</v>
      </c>
      <c r="P117" s="1">
        <f t="shared" si="70"/>
        <v>0</v>
      </c>
      <c r="Q117" s="1">
        <f t="shared" ca="1" si="71"/>
        <v>3936628.6063287342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Dataset!I118</f>
        <v>3708378.6938781603</v>
      </c>
      <c r="E118" s="118">
        <f t="shared" ca="1" si="125"/>
        <v>16.16</v>
      </c>
      <c r="F118" s="118">
        <f t="shared" ca="1" si="125"/>
        <v>100.94000000000001</v>
      </c>
      <c r="G118" s="8">
        <f>Dataset!AR118</f>
        <v>30</v>
      </c>
      <c r="H118" s="109">
        <f>Dataset!BK118</f>
        <v>0.5</v>
      </c>
      <c r="I118">
        <f>Dataset!BI118</f>
        <v>1</v>
      </c>
      <c r="K118" s="8">
        <f t="shared" si="103"/>
        <v>492239.451756227</v>
      </c>
      <c r="L118" s="1">
        <f t="shared" ca="1" si="104"/>
        <v>34291.133224998135</v>
      </c>
      <c r="M118" s="1">
        <f t="shared" ca="1" si="105"/>
        <v>341743.26094147592</v>
      </c>
      <c r="N118" s="1">
        <f t="shared" si="106"/>
        <v>2908148.3484387333</v>
      </c>
      <c r="O118" s="1">
        <f t="shared" si="69"/>
        <v>-232610.22328583701</v>
      </c>
      <c r="P118" s="1">
        <f t="shared" si="70"/>
        <v>-77441.670344359605</v>
      </c>
      <c r="Q118" s="1">
        <f t="shared" ca="1" si="71"/>
        <v>3466370.3007312375</v>
      </c>
    </row>
    <row r="119" spans="1:17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3691197.7080561365</v>
      </c>
      <c r="E119" s="118">
        <f t="shared" ref="E119:F119" ca="1" si="126">E107</f>
        <v>124.66000000000001</v>
      </c>
      <c r="F119" s="118">
        <f t="shared" ca="1" si="126"/>
        <v>24.5</v>
      </c>
      <c r="G119" s="8">
        <f>Dataset!AR119</f>
        <v>31</v>
      </c>
      <c r="H119" s="109">
        <f>Dataset!BK119</f>
        <v>0.5</v>
      </c>
      <c r="I119">
        <f>Dataset!BI119</f>
        <v>1</v>
      </c>
      <c r="K119" s="8">
        <f t="shared" si="103"/>
        <v>492239.451756227</v>
      </c>
      <c r="L119" s="1">
        <f t="shared" ref="L119:L121" ca="1" si="127">E119*$V$11</f>
        <v>264525.53637551161</v>
      </c>
      <c r="M119" s="1">
        <f t="shared" ref="M119:M121" ca="1" si="128">F119*$V$12</f>
        <v>82947.393432397061</v>
      </c>
      <c r="N119" s="1">
        <f t="shared" ref="N119:N121" si="129">G119*$V$13</f>
        <v>3005086.6267200243</v>
      </c>
      <c r="O119" s="1">
        <f t="shared" ref="O119:O121" si="130">H119*$V$14</f>
        <v>-232610.22328583701</v>
      </c>
      <c r="P119" s="1">
        <f t="shared" ref="P119:P121" si="131">I119*$V$15</f>
        <v>-77441.670344359605</v>
      </c>
      <c r="Q119" s="1">
        <f t="shared" ref="Q119:Q121" ca="1" si="132">SUM(K119:P119)</f>
        <v>3534747.1146539631</v>
      </c>
    </row>
    <row r="120" spans="1:17">
      <c r="A120" s="7">
        <v>44470</v>
      </c>
      <c r="B120">
        <f t="shared" ref="B120" si="133">YEAR(A120)</f>
        <v>2021</v>
      </c>
      <c r="C120">
        <f t="shared" ref="C120" si="134">MONTH(A120)</f>
        <v>10</v>
      </c>
      <c r="D120" s="8">
        <f>Dataset!I120</f>
        <v>3985831.0760538317</v>
      </c>
      <c r="E120" s="118">
        <f t="shared" ref="E120:F120" ca="1" si="135">E108</f>
        <v>308.05</v>
      </c>
      <c r="F120" s="118">
        <f t="shared" ca="1" si="135"/>
        <v>3.4800000000000004</v>
      </c>
      <c r="G120" s="8">
        <f>Dataset!AR120</f>
        <v>30</v>
      </c>
      <c r="H120" s="109">
        <f>Dataset!BK120</f>
        <v>0.5</v>
      </c>
      <c r="I120">
        <f>Dataset!BI120</f>
        <v>1</v>
      </c>
      <c r="K120" s="8">
        <f t="shared" si="103"/>
        <v>492239.451756227</v>
      </c>
      <c r="L120" s="1">
        <f t="shared" ca="1" si="127"/>
        <v>653674.72710152704</v>
      </c>
      <c r="M120" s="1">
        <f t="shared" ca="1" si="128"/>
        <v>11781.915475295584</v>
      </c>
      <c r="N120" s="1">
        <f t="shared" si="129"/>
        <v>2908148.3484387333</v>
      </c>
      <c r="O120" s="1">
        <f t="shared" si="130"/>
        <v>-232610.22328583701</v>
      </c>
      <c r="P120" s="1">
        <f t="shared" si="131"/>
        <v>-77441.670344359605</v>
      </c>
      <c r="Q120" s="1">
        <f t="shared" ca="1" si="132"/>
        <v>3755792.5491415863</v>
      </c>
    </row>
    <row r="121" spans="1:17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4419793.6759724179</v>
      </c>
      <c r="E121" s="118">
        <f t="shared" ref="E121:F121" ca="1" si="136">E109</f>
        <v>461.6</v>
      </c>
      <c r="F121" s="118">
        <f t="shared" ca="1" si="136"/>
        <v>0</v>
      </c>
      <c r="G121" s="8">
        <f>Dataset!AR121</f>
        <v>31</v>
      </c>
      <c r="H121" s="109">
        <f>Dataset!BK121</f>
        <v>0.5</v>
      </c>
      <c r="I121">
        <f>Dataset!BI121</f>
        <v>0</v>
      </c>
      <c r="J121" s="38" t="s">
        <v>84</v>
      </c>
      <c r="K121" s="8">
        <f t="shared" si="103"/>
        <v>492239.451756227</v>
      </c>
      <c r="L121" s="1">
        <f t="shared" ca="1" si="127"/>
        <v>979504.15202098642</v>
      </c>
      <c r="M121" s="1">
        <f t="shared" ca="1" si="128"/>
        <v>0</v>
      </c>
      <c r="N121" s="1">
        <f t="shared" si="129"/>
        <v>3005086.6267200243</v>
      </c>
      <c r="O121" s="1">
        <f t="shared" si="130"/>
        <v>-232610.22328583701</v>
      </c>
      <c r="P121" s="1">
        <f t="shared" si="131"/>
        <v>0</v>
      </c>
      <c r="Q121" s="1">
        <f t="shared" ca="1" si="132"/>
        <v>4244220.0072114002</v>
      </c>
    </row>
    <row r="122" spans="1:17">
      <c r="A122" s="7">
        <v>44562</v>
      </c>
      <c r="B122">
        <f t="shared" ref="B122:B145" si="137">YEAR(A122)</f>
        <v>2022</v>
      </c>
      <c r="C122">
        <f t="shared" ref="C122:C145" si="138">MONTH(A122)</f>
        <v>1</v>
      </c>
      <c r="E122" s="119">
        <f t="shared" ref="E122:F122" ca="1" si="139">E110</f>
        <v>572.42999999999995</v>
      </c>
      <c r="F122" s="119">
        <f t="shared" ca="1" si="139"/>
        <v>0</v>
      </c>
      <c r="G122" s="116">
        <f t="shared" ref="G122:G182" si="140">G74</f>
        <v>31</v>
      </c>
      <c r="H122" s="120">
        <f t="shared" ref="H122:H145" si="141">0.5*J122</f>
        <v>0.25</v>
      </c>
      <c r="I122" s="120">
        <f t="shared" ref="I122:I183" si="142">I110</f>
        <v>0</v>
      </c>
      <c r="J122">
        <f>'Residential Normalized'!L122</f>
        <v>0.5</v>
      </c>
      <c r="K122" s="8">
        <f t="shared" si="103"/>
        <v>492239.451756227</v>
      </c>
      <c r="L122" s="1">
        <f t="shared" ca="1" si="104"/>
        <v>1214682.7594050546</v>
      </c>
      <c r="M122" s="1">
        <f t="shared" ca="1" si="105"/>
        <v>0</v>
      </c>
      <c r="N122" s="1">
        <f t="shared" si="106"/>
        <v>3005086.6267200243</v>
      </c>
      <c r="O122" s="1">
        <f t="shared" si="69"/>
        <v>-116305.11164291851</v>
      </c>
      <c r="P122" s="1">
        <f t="shared" si="70"/>
        <v>0</v>
      </c>
      <c r="Q122" s="1">
        <f t="shared" ca="1" si="71"/>
        <v>4595703.7262383876</v>
      </c>
    </row>
    <row r="123" spans="1:17">
      <c r="A123" s="7">
        <v>44593</v>
      </c>
      <c r="B123">
        <f t="shared" si="137"/>
        <v>2022</v>
      </c>
      <c r="C123">
        <f t="shared" si="138"/>
        <v>2</v>
      </c>
      <c r="E123" s="119">
        <f t="shared" ref="E123:F123" ca="1" si="143">E111</f>
        <v>525.4</v>
      </c>
      <c r="F123" s="119">
        <f t="shared" ca="1" si="143"/>
        <v>0</v>
      </c>
      <c r="G123" s="116">
        <f t="shared" si="140"/>
        <v>28</v>
      </c>
      <c r="H123" s="120">
        <f t="shared" si="141"/>
        <v>0.25</v>
      </c>
      <c r="I123" s="120">
        <f t="shared" si="142"/>
        <v>0</v>
      </c>
      <c r="J123">
        <f>'Residential Normalized'!L123</f>
        <v>0.5</v>
      </c>
      <c r="K123" s="8">
        <f t="shared" si="103"/>
        <v>492239.451756227</v>
      </c>
      <c r="L123" s="1">
        <f t="shared" ca="1" si="104"/>
        <v>1114886.2250256201</v>
      </c>
      <c r="M123" s="1">
        <f t="shared" ca="1" si="105"/>
        <v>0</v>
      </c>
      <c r="N123" s="1">
        <f t="shared" si="106"/>
        <v>2714271.7918761508</v>
      </c>
      <c r="O123" s="1">
        <f t="shared" si="69"/>
        <v>-116305.11164291851</v>
      </c>
      <c r="P123" s="1">
        <f t="shared" si="70"/>
        <v>0</v>
      </c>
      <c r="Q123" s="1">
        <f t="shared" ca="1" si="71"/>
        <v>4205092.3570150798</v>
      </c>
    </row>
    <row r="124" spans="1:17">
      <c r="A124" s="7">
        <v>44621</v>
      </c>
      <c r="B124">
        <f t="shared" si="137"/>
        <v>2022</v>
      </c>
      <c r="C124">
        <f t="shared" si="138"/>
        <v>3</v>
      </c>
      <c r="E124" s="119">
        <f t="shared" ref="E124:F124" ca="1" si="144">E112</f>
        <v>437.1</v>
      </c>
      <c r="F124" s="119">
        <f t="shared" ca="1" si="144"/>
        <v>1.4700000000000002</v>
      </c>
      <c r="G124" s="116">
        <f t="shared" si="140"/>
        <v>31</v>
      </c>
      <c r="H124" s="120">
        <f t="shared" si="141"/>
        <v>0.25</v>
      </c>
      <c r="I124" s="120">
        <f t="shared" si="142"/>
        <v>1</v>
      </c>
      <c r="J124">
        <f>'Residential Normalized'!L124</f>
        <v>0.5</v>
      </c>
      <c r="K124" s="8">
        <f t="shared" si="103"/>
        <v>492239.451756227</v>
      </c>
      <c r="L124" s="1">
        <f t="shared" ca="1" si="104"/>
        <v>927515.73840635433</v>
      </c>
      <c r="M124" s="1">
        <f t="shared" ca="1" si="105"/>
        <v>4976.8436059438245</v>
      </c>
      <c r="N124" s="1">
        <f t="shared" si="106"/>
        <v>3005086.6267200243</v>
      </c>
      <c r="O124" s="1">
        <f t="shared" si="69"/>
        <v>-116305.11164291851</v>
      </c>
      <c r="P124" s="1">
        <f t="shared" si="70"/>
        <v>-77441.670344359605</v>
      </c>
      <c r="Q124" s="1">
        <f t="shared" ca="1" si="71"/>
        <v>4236071.8785012718</v>
      </c>
    </row>
    <row r="125" spans="1:17">
      <c r="A125" s="7">
        <v>44652</v>
      </c>
      <c r="B125">
        <f t="shared" si="137"/>
        <v>2022</v>
      </c>
      <c r="C125">
        <f t="shared" si="138"/>
        <v>4</v>
      </c>
      <c r="E125" s="119">
        <f t="shared" ref="E125:F125" ca="1" si="145">E113</f>
        <v>264.39999999999998</v>
      </c>
      <c r="F125" s="119">
        <f t="shared" ca="1" si="145"/>
        <v>2.58</v>
      </c>
      <c r="G125" s="116">
        <f t="shared" si="140"/>
        <v>30</v>
      </c>
      <c r="H125" s="120">
        <f t="shared" si="141"/>
        <v>0.25</v>
      </c>
      <c r="I125" s="120">
        <f t="shared" si="142"/>
        <v>1</v>
      </c>
      <c r="J125">
        <f>'Residential Normalized'!L125</f>
        <v>0.5</v>
      </c>
      <c r="K125" s="8">
        <f t="shared" si="103"/>
        <v>492239.451756227</v>
      </c>
      <c r="L125" s="1">
        <f t="shared" ca="1" si="104"/>
        <v>561050.47182484565</v>
      </c>
      <c r="M125" s="1">
        <f t="shared" ca="1" si="105"/>
        <v>8734.8683696156913</v>
      </c>
      <c r="N125" s="1">
        <f t="shared" si="106"/>
        <v>2908148.3484387333</v>
      </c>
      <c r="O125" s="1">
        <f t="shared" si="69"/>
        <v>-116305.11164291851</v>
      </c>
      <c r="P125" s="1">
        <f t="shared" si="70"/>
        <v>-77441.670344359605</v>
      </c>
      <c r="Q125" s="1">
        <f t="shared" ca="1" si="71"/>
        <v>3776426.3584021432</v>
      </c>
    </row>
    <row r="126" spans="1:17">
      <c r="A126" s="7">
        <v>44682</v>
      </c>
      <c r="B126">
        <f t="shared" si="137"/>
        <v>2022</v>
      </c>
      <c r="C126">
        <f t="shared" si="138"/>
        <v>5</v>
      </c>
      <c r="E126" s="119">
        <f t="shared" ref="E126:F126" ca="1" si="146">E114</f>
        <v>95.570000000000007</v>
      </c>
      <c r="F126" s="119">
        <f t="shared" ca="1" si="146"/>
        <v>46.33</v>
      </c>
      <c r="G126" s="116">
        <f t="shared" si="140"/>
        <v>31</v>
      </c>
      <c r="H126" s="120">
        <f t="shared" si="141"/>
        <v>0.25</v>
      </c>
      <c r="I126" s="120">
        <f t="shared" si="142"/>
        <v>1</v>
      </c>
      <c r="J126">
        <f>'Residential Normalized'!L126</f>
        <v>0.5</v>
      </c>
      <c r="K126" s="8">
        <f t="shared" si="103"/>
        <v>492239.451756227</v>
      </c>
      <c r="L126" s="1">
        <f t="shared" ca="1" si="104"/>
        <v>202797.25261838318</v>
      </c>
      <c r="M126" s="1">
        <f t="shared" ca="1" si="105"/>
        <v>156855.21378461045</v>
      </c>
      <c r="N126" s="1">
        <f t="shared" si="106"/>
        <v>3005086.6267200243</v>
      </c>
      <c r="O126" s="1">
        <f t="shared" si="69"/>
        <v>-116305.11164291851</v>
      </c>
      <c r="P126" s="1">
        <f t="shared" si="70"/>
        <v>-77441.670344359605</v>
      </c>
      <c r="Q126" s="1">
        <f t="shared" ca="1" si="71"/>
        <v>3663231.7628919664</v>
      </c>
    </row>
    <row r="127" spans="1:17">
      <c r="A127" s="7">
        <v>44713</v>
      </c>
      <c r="B127">
        <f t="shared" si="137"/>
        <v>2022</v>
      </c>
      <c r="C127">
        <f t="shared" si="138"/>
        <v>6</v>
      </c>
      <c r="E127" s="119">
        <f t="shared" ref="E127:F127" ca="1" si="147">E115</f>
        <v>11.73</v>
      </c>
      <c r="F127" s="119">
        <f t="shared" ca="1" si="147"/>
        <v>113.05999999999999</v>
      </c>
      <c r="G127" s="116">
        <f t="shared" si="140"/>
        <v>30</v>
      </c>
      <c r="H127" s="120">
        <f t="shared" si="141"/>
        <v>0.25</v>
      </c>
      <c r="I127" s="120">
        <f t="shared" si="142"/>
        <v>0</v>
      </c>
      <c r="J127">
        <f>'Residential Normalized'!L127</f>
        <v>0.5</v>
      </c>
      <c r="K127" s="8">
        <f t="shared" si="103"/>
        <v>492239.451756227</v>
      </c>
      <c r="L127" s="1">
        <f t="shared" ca="1" si="104"/>
        <v>24890.779253046298</v>
      </c>
      <c r="M127" s="1">
        <f t="shared" ca="1" si="105"/>
        <v>382776.82863129844</v>
      </c>
      <c r="N127" s="1">
        <f t="shared" si="106"/>
        <v>2908148.3484387333</v>
      </c>
      <c r="O127" s="1">
        <f t="shared" si="69"/>
        <v>-116305.11164291851</v>
      </c>
      <c r="P127" s="1">
        <f t="shared" si="70"/>
        <v>0</v>
      </c>
      <c r="Q127" s="1">
        <f t="shared" ca="1" si="71"/>
        <v>3691750.2964363862</v>
      </c>
    </row>
    <row r="128" spans="1:17">
      <c r="A128" s="7">
        <v>44743</v>
      </c>
      <c r="B128">
        <f t="shared" si="137"/>
        <v>2022</v>
      </c>
      <c r="C128">
        <f t="shared" si="138"/>
        <v>7</v>
      </c>
      <c r="E128" s="119">
        <f t="shared" ref="E128:F128" ca="1" si="148">E116</f>
        <v>0</v>
      </c>
      <c r="F128" s="119">
        <f t="shared" ca="1" si="148"/>
        <v>211.26999999999998</v>
      </c>
      <c r="G128" s="116">
        <f t="shared" si="140"/>
        <v>31</v>
      </c>
      <c r="H128" s="120">
        <f t="shared" si="141"/>
        <v>0.25</v>
      </c>
      <c r="I128" s="120">
        <f t="shared" si="142"/>
        <v>0</v>
      </c>
      <c r="J128">
        <f>'Residential Normalized'!L128</f>
        <v>0.5</v>
      </c>
      <c r="K128" s="8">
        <f t="shared" si="103"/>
        <v>492239.451756227</v>
      </c>
      <c r="L128" s="1">
        <f t="shared" ca="1" si="104"/>
        <v>0</v>
      </c>
      <c r="M128" s="1">
        <f t="shared" ca="1" si="105"/>
        <v>715277.38001887861</v>
      </c>
      <c r="N128" s="1">
        <f t="shared" si="106"/>
        <v>3005086.6267200243</v>
      </c>
      <c r="O128" s="1">
        <f t="shared" si="69"/>
        <v>-116305.11164291851</v>
      </c>
      <c r="P128" s="1">
        <f t="shared" si="70"/>
        <v>0</v>
      </c>
      <c r="Q128" s="1">
        <f t="shared" ca="1" si="71"/>
        <v>4096298.3468522113</v>
      </c>
    </row>
    <row r="129" spans="1:17">
      <c r="A129" s="7">
        <v>44774</v>
      </c>
      <c r="B129">
        <f t="shared" si="137"/>
        <v>2022</v>
      </c>
      <c r="C129">
        <f t="shared" si="138"/>
        <v>8</v>
      </c>
      <c r="E129" s="119">
        <f t="shared" ref="E129:F129" ca="1" si="149">E117</f>
        <v>0.13</v>
      </c>
      <c r="F129" s="119">
        <f t="shared" ca="1" si="149"/>
        <v>198.38000000000002</v>
      </c>
      <c r="G129" s="116">
        <f t="shared" si="140"/>
        <v>31</v>
      </c>
      <c r="H129" s="120">
        <f t="shared" si="141"/>
        <v>0.25</v>
      </c>
      <c r="I129" s="120">
        <f t="shared" si="142"/>
        <v>0</v>
      </c>
      <c r="J129">
        <f>'Residential Normalized'!L129</f>
        <v>0.5</v>
      </c>
      <c r="K129" s="8">
        <f t="shared" si="103"/>
        <v>492239.451756227</v>
      </c>
      <c r="L129" s="1">
        <f t="shared" ca="1" si="104"/>
        <v>275.85688856743553</v>
      </c>
      <c r="M129" s="1">
        <f t="shared" ca="1" si="105"/>
        <v>671636.89424975228</v>
      </c>
      <c r="N129" s="1">
        <f t="shared" si="106"/>
        <v>3005086.6267200243</v>
      </c>
      <c r="O129" s="1">
        <f t="shared" si="69"/>
        <v>-116305.11164291851</v>
      </c>
      <c r="P129" s="1">
        <f t="shared" si="70"/>
        <v>0</v>
      </c>
      <c r="Q129" s="1">
        <f t="shared" ca="1" si="71"/>
        <v>4052933.7179716527</v>
      </c>
    </row>
    <row r="130" spans="1:17">
      <c r="A130" s="7">
        <v>44805</v>
      </c>
      <c r="B130">
        <f t="shared" si="137"/>
        <v>2022</v>
      </c>
      <c r="C130">
        <f t="shared" si="138"/>
        <v>9</v>
      </c>
      <c r="E130" s="119">
        <f t="shared" ref="E130:F130" ca="1" si="150">E118</f>
        <v>16.16</v>
      </c>
      <c r="F130" s="119">
        <f t="shared" ca="1" si="150"/>
        <v>100.94000000000001</v>
      </c>
      <c r="G130" s="116">
        <f t="shared" si="140"/>
        <v>30</v>
      </c>
      <c r="H130" s="120">
        <f t="shared" si="141"/>
        <v>0.25</v>
      </c>
      <c r="I130" s="120">
        <f t="shared" si="142"/>
        <v>1</v>
      </c>
      <c r="J130">
        <f>'Residential Normalized'!L130</f>
        <v>0.5</v>
      </c>
      <c r="K130" s="8">
        <f t="shared" ref="K130:K145" si="151">$V$10</f>
        <v>492239.451756227</v>
      </c>
      <c r="L130" s="1">
        <f t="shared" ref="L130:L145" ca="1" si="152">E130*$V$11</f>
        <v>34291.133224998135</v>
      </c>
      <c r="M130" s="1">
        <f t="shared" ref="M130:M145" ca="1" si="153">F130*$V$12</f>
        <v>341743.26094147592</v>
      </c>
      <c r="N130" s="1">
        <f t="shared" ref="N130:N145" si="154">G130*$V$13</f>
        <v>2908148.3484387333</v>
      </c>
      <c r="O130" s="1">
        <f t="shared" si="69"/>
        <v>-116305.11164291851</v>
      </c>
      <c r="P130" s="1">
        <f t="shared" si="70"/>
        <v>-77441.670344359605</v>
      </c>
      <c r="Q130" s="1">
        <f t="shared" ca="1" si="71"/>
        <v>3582675.4123741561</v>
      </c>
    </row>
    <row r="131" spans="1:17">
      <c r="A131" s="7">
        <v>44835</v>
      </c>
      <c r="B131">
        <f t="shared" si="137"/>
        <v>2022</v>
      </c>
      <c r="C131">
        <f t="shared" si="138"/>
        <v>10</v>
      </c>
      <c r="E131" s="119">
        <f t="shared" ref="E131:F131" ca="1" si="155">E119</f>
        <v>124.66000000000001</v>
      </c>
      <c r="F131" s="119">
        <f t="shared" ca="1" si="155"/>
        <v>24.5</v>
      </c>
      <c r="G131" s="116">
        <f t="shared" si="140"/>
        <v>31</v>
      </c>
      <c r="H131" s="120">
        <f t="shared" si="141"/>
        <v>0.25</v>
      </c>
      <c r="I131" s="120">
        <f t="shared" si="142"/>
        <v>1</v>
      </c>
      <c r="J131">
        <f>'Residential Normalized'!L131</f>
        <v>0.5</v>
      </c>
      <c r="K131" s="8">
        <f t="shared" si="151"/>
        <v>492239.451756227</v>
      </c>
      <c r="L131" s="1">
        <f t="shared" ca="1" si="152"/>
        <v>264525.53637551161</v>
      </c>
      <c r="M131" s="1">
        <f t="shared" ca="1" si="153"/>
        <v>82947.393432397061</v>
      </c>
      <c r="N131" s="1">
        <f t="shared" si="154"/>
        <v>3005086.6267200243</v>
      </c>
      <c r="O131" s="1">
        <f t="shared" ref="O131:O145" si="156">H131*$V$14</f>
        <v>-116305.11164291851</v>
      </c>
      <c r="P131" s="1">
        <f t="shared" ref="P131:P145" si="157">I131*$V$15</f>
        <v>-77441.670344359605</v>
      </c>
      <c r="Q131" s="1">
        <f t="shared" ref="Q131:Q145" ca="1" si="158">SUM(K131:P131)</f>
        <v>3651052.2262968817</v>
      </c>
    </row>
    <row r="132" spans="1:17">
      <c r="A132" s="7">
        <v>44866</v>
      </c>
      <c r="B132">
        <f t="shared" si="137"/>
        <v>2022</v>
      </c>
      <c r="C132">
        <f t="shared" si="138"/>
        <v>11</v>
      </c>
      <c r="E132" s="119">
        <f t="shared" ref="E132:F132" ca="1" si="159">E120</f>
        <v>308.05</v>
      </c>
      <c r="F132" s="119">
        <f t="shared" ca="1" si="159"/>
        <v>3.4800000000000004</v>
      </c>
      <c r="G132" s="116">
        <f t="shared" si="140"/>
        <v>30</v>
      </c>
      <c r="H132" s="120">
        <f t="shared" si="141"/>
        <v>0.25</v>
      </c>
      <c r="I132" s="120">
        <f t="shared" si="142"/>
        <v>1</v>
      </c>
      <c r="J132">
        <f>'Residential Normalized'!L132</f>
        <v>0.5</v>
      </c>
      <c r="K132" s="8">
        <f t="shared" si="151"/>
        <v>492239.451756227</v>
      </c>
      <c r="L132" s="1">
        <f t="shared" ca="1" si="152"/>
        <v>653674.72710152704</v>
      </c>
      <c r="M132" s="1">
        <f t="shared" ca="1" si="153"/>
        <v>11781.915475295584</v>
      </c>
      <c r="N132" s="1">
        <f t="shared" si="154"/>
        <v>2908148.3484387333</v>
      </c>
      <c r="O132" s="1">
        <f t="shared" si="156"/>
        <v>-116305.11164291851</v>
      </c>
      <c r="P132" s="1">
        <f t="shared" si="157"/>
        <v>-77441.670344359605</v>
      </c>
      <c r="Q132" s="1">
        <f t="shared" ca="1" si="158"/>
        <v>3872097.6607845048</v>
      </c>
    </row>
    <row r="133" spans="1:17">
      <c r="A133" s="7">
        <v>44896</v>
      </c>
      <c r="B133">
        <f t="shared" si="137"/>
        <v>2022</v>
      </c>
      <c r="C133">
        <f t="shared" si="138"/>
        <v>12</v>
      </c>
      <c r="E133" s="119">
        <f t="shared" ref="E133:F133" ca="1" si="160">E121</f>
        <v>461.6</v>
      </c>
      <c r="F133" s="119">
        <f t="shared" ca="1" si="160"/>
        <v>0</v>
      </c>
      <c r="G133" s="116">
        <f t="shared" si="140"/>
        <v>31</v>
      </c>
      <c r="H133" s="120">
        <f t="shared" si="141"/>
        <v>0.25</v>
      </c>
      <c r="I133" s="120">
        <f t="shared" si="142"/>
        <v>0</v>
      </c>
      <c r="J133">
        <f>'Residential Normalized'!L133</f>
        <v>0.5</v>
      </c>
      <c r="K133" s="8">
        <f t="shared" si="151"/>
        <v>492239.451756227</v>
      </c>
      <c r="L133" s="1">
        <f t="shared" ca="1" si="152"/>
        <v>979504.15202098642</v>
      </c>
      <c r="M133" s="1">
        <f t="shared" ca="1" si="153"/>
        <v>0</v>
      </c>
      <c r="N133" s="1">
        <f t="shared" si="154"/>
        <v>3005086.6267200243</v>
      </c>
      <c r="O133" s="1">
        <f t="shared" si="156"/>
        <v>-116305.11164291851</v>
      </c>
      <c r="P133" s="1">
        <f t="shared" si="157"/>
        <v>0</v>
      </c>
      <c r="Q133" s="1">
        <f t="shared" ca="1" si="158"/>
        <v>4360525.1188543187</v>
      </c>
    </row>
    <row r="134" spans="1:17">
      <c r="A134" s="7">
        <v>44927</v>
      </c>
      <c r="B134">
        <f t="shared" si="137"/>
        <v>2023</v>
      </c>
      <c r="C134">
        <f t="shared" si="138"/>
        <v>1</v>
      </c>
      <c r="E134" s="119">
        <f t="shared" ref="E134:F134" ca="1" si="161">E122</f>
        <v>572.42999999999995</v>
      </c>
      <c r="F134" s="119">
        <f t="shared" ca="1" si="161"/>
        <v>0</v>
      </c>
      <c r="G134" s="116">
        <f t="shared" si="140"/>
        <v>31</v>
      </c>
      <c r="H134" s="120">
        <f t="shared" si="141"/>
        <v>0.125</v>
      </c>
      <c r="I134" s="120">
        <f t="shared" si="142"/>
        <v>0</v>
      </c>
      <c r="J134">
        <f>'Residential Normalized'!L134</f>
        <v>0.25</v>
      </c>
      <c r="K134" s="8">
        <f t="shared" si="151"/>
        <v>492239.451756227</v>
      </c>
      <c r="L134" s="1">
        <f t="shared" ca="1" si="152"/>
        <v>1214682.7594050546</v>
      </c>
      <c r="M134" s="1">
        <f t="shared" ca="1" si="153"/>
        <v>0</v>
      </c>
      <c r="N134" s="1">
        <f t="shared" si="154"/>
        <v>3005086.6267200243</v>
      </c>
      <c r="O134" s="1">
        <f t="shared" si="156"/>
        <v>-58152.555821459253</v>
      </c>
      <c r="P134" s="1">
        <f t="shared" si="157"/>
        <v>0</v>
      </c>
      <c r="Q134" s="1">
        <f t="shared" ca="1" si="158"/>
        <v>4653856.2820598474</v>
      </c>
    </row>
    <row r="135" spans="1:17">
      <c r="A135" s="7">
        <v>44958</v>
      </c>
      <c r="B135">
        <f t="shared" si="137"/>
        <v>2023</v>
      </c>
      <c r="C135">
        <f t="shared" si="138"/>
        <v>2</v>
      </c>
      <c r="E135" s="119">
        <f t="shared" ref="E135:F135" ca="1" si="162">E123</f>
        <v>525.4</v>
      </c>
      <c r="F135" s="119">
        <f t="shared" ca="1" si="162"/>
        <v>0</v>
      </c>
      <c r="G135" s="116">
        <f t="shared" si="140"/>
        <v>28</v>
      </c>
      <c r="H135" s="120">
        <f t="shared" si="141"/>
        <v>0.125</v>
      </c>
      <c r="I135" s="120">
        <f t="shared" si="142"/>
        <v>0</v>
      </c>
      <c r="J135">
        <f>'Residential Normalized'!L135</f>
        <v>0.25</v>
      </c>
      <c r="K135" s="8">
        <f t="shared" si="151"/>
        <v>492239.451756227</v>
      </c>
      <c r="L135" s="1">
        <f t="shared" ca="1" si="152"/>
        <v>1114886.2250256201</v>
      </c>
      <c r="M135" s="1">
        <f t="shared" ca="1" si="153"/>
        <v>0</v>
      </c>
      <c r="N135" s="1">
        <f t="shared" si="154"/>
        <v>2714271.7918761508</v>
      </c>
      <c r="O135" s="1">
        <f t="shared" si="156"/>
        <v>-58152.555821459253</v>
      </c>
      <c r="P135" s="1">
        <f t="shared" si="157"/>
        <v>0</v>
      </c>
      <c r="Q135" s="1">
        <f t="shared" ca="1" si="158"/>
        <v>4263244.9128365396</v>
      </c>
    </row>
    <row r="136" spans="1:17">
      <c r="A136" s="7">
        <v>44986</v>
      </c>
      <c r="B136">
        <f t="shared" si="137"/>
        <v>2023</v>
      </c>
      <c r="C136">
        <f t="shared" si="138"/>
        <v>3</v>
      </c>
      <c r="E136" s="119">
        <f t="shared" ref="E136:F136" ca="1" si="163">E124</f>
        <v>437.1</v>
      </c>
      <c r="F136" s="119">
        <f t="shared" ca="1" si="163"/>
        <v>1.4700000000000002</v>
      </c>
      <c r="G136" s="116">
        <f t="shared" si="140"/>
        <v>31</v>
      </c>
      <c r="H136" s="120">
        <f t="shared" si="141"/>
        <v>0.125</v>
      </c>
      <c r="I136" s="120">
        <f t="shared" si="142"/>
        <v>1</v>
      </c>
      <c r="J136">
        <f>'Residential Normalized'!L136</f>
        <v>0.25</v>
      </c>
      <c r="K136" s="8">
        <f t="shared" si="151"/>
        <v>492239.451756227</v>
      </c>
      <c r="L136" s="1">
        <f t="shared" ca="1" si="152"/>
        <v>927515.73840635433</v>
      </c>
      <c r="M136" s="1">
        <f t="shared" ca="1" si="153"/>
        <v>4976.8436059438245</v>
      </c>
      <c r="N136" s="1">
        <f t="shared" si="154"/>
        <v>3005086.6267200243</v>
      </c>
      <c r="O136" s="1">
        <f t="shared" si="156"/>
        <v>-58152.555821459253</v>
      </c>
      <c r="P136" s="1">
        <f t="shared" si="157"/>
        <v>-77441.670344359605</v>
      </c>
      <c r="Q136" s="1">
        <f t="shared" ca="1" si="158"/>
        <v>4294224.4343227316</v>
      </c>
    </row>
    <row r="137" spans="1:17">
      <c r="A137" s="7">
        <v>45017</v>
      </c>
      <c r="B137">
        <f t="shared" si="137"/>
        <v>2023</v>
      </c>
      <c r="C137">
        <f t="shared" si="138"/>
        <v>4</v>
      </c>
      <c r="E137" s="119">
        <f t="shared" ref="E137:F137" ca="1" si="164">E125</f>
        <v>264.39999999999998</v>
      </c>
      <c r="F137" s="119">
        <f t="shared" ca="1" si="164"/>
        <v>2.58</v>
      </c>
      <c r="G137" s="116">
        <f t="shared" si="140"/>
        <v>30</v>
      </c>
      <c r="H137" s="120">
        <f t="shared" si="141"/>
        <v>0.125</v>
      </c>
      <c r="I137" s="120">
        <f t="shared" si="142"/>
        <v>1</v>
      </c>
      <c r="J137">
        <f>'Residential Normalized'!L137</f>
        <v>0.25</v>
      </c>
      <c r="K137" s="8">
        <f t="shared" si="151"/>
        <v>492239.451756227</v>
      </c>
      <c r="L137" s="1">
        <f t="shared" ca="1" si="152"/>
        <v>561050.47182484565</v>
      </c>
      <c r="M137" s="1">
        <f t="shared" ca="1" si="153"/>
        <v>8734.8683696156913</v>
      </c>
      <c r="N137" s="1">
        <f t="shared" si="154"/>
        <v>2908148.3484387333</v>
      </c>
      <c r="O137" s="1">
        <f t="shared" si="156"/>
        <v>-58152.555821459253</v>
      </c>
      <c r="P137" s="1">
        <f t="shared" si="157"/>
        <v>-77441.670344359605</v>
      </c>
      <c r="Q137" s="1">
        <f t="shared" ca="1" si="158"/>
        <v>3834578.9142236025</v>
      </c>
    </row>
    <row r="138" spans="1:17">
      <c r="A138" s="7">
        <v>45047</v>
      </c>
      <c r="B138">
        <f t="shared" si="137"/>
        <v>2023</v>
      </c>
      <c r="C138">
        <f t="shared" si="138"/>
        <v>5</v>
      </c>
      <c r="E138" s="119">
        <f t="shared" ref="E138:F138" ca="1" si="165">E126</f>
        <v>95.570000000000007</v>
      </c>
      <c r="F138" s="119">
        <f t="shared" ca="1" si="165"/>
        <v>46.33</v>
      </c>
      <c r="G138" s="116">
        <f t="shared" si="140"/>
        <v>31</v>
      </c>
      <c r="H138" s="120">
        <f t="shared" si="141"/>
        <v>0.125</v>
      </c>
      <c r="I138" s="120">
        <f t="shared" si="142"/>
        <v>1</v>
      </c>
      <c r="J138">
        <f>'Residential Normalized'!L138</f>
        <v>0.25</v>
      </c>
      <c r="K138" s="8">
        <f t="shared" si="151"/>
        <v>492239.451756227</v>
      </c>
      <c r="L138" s="1">
        <f t="shared" ca="1" si="152"/>
        <v>202797.25261838318</v>
      </c>
      <c r="M138" s="1">
        <f t="shared" ca="1" si="153"/>
        <v>156855.21378461045</v>
      </c>
      <c r="N138" s="1">
        <f t="shared" si="154"/>
        <v>3005086.6267200243</v>
      </c>
      <c r="O138" s="1">
        <f t="shared" si="156"/>
        <v>-58152.555821459253</v>
      </c>
      <c r="P138" s="1">
        <f t="shared" si="157"/>
        <v>-77441.670344359605</v>
      </c>
      <c r="Q138" s="1">
        <f t="shared" ca="1" si="158"/>
        <v>3721384.3187134257</v>
      </c>
    </row>
    <row r="139" spans="1:17">
      <c r="A139" s="7">
        <v>45078</v>
      </c>
      <c r="B139">
        <f t="shared" si="137"/>
        <v>2023</v>
      </c>
      <c r="C139">
        <f t="shared" si="138"/>
        <v>6</v>
      </c>
      <c r="E139" s="119">
        <f t="shared" ref="E139:F139" ca="1" si="166">E127</f>
        <v>11.73</v>
      </c>
      <c r="F139" s="119">
        <f t="shared" ca="1" si="166"/>
        <v>113.05999999999999</v>
      </c>
      <c r="G139" s="116">
        <f t="shared" si="140"/>
        <v>30</v>
      </c>
      <c r="H139" s="120">
        <f t="shared" si="141"/>
        <v>0.125</v>
      </c>
      <c r="I139" s="120">
        <f t="shared" si="142"/>
        <v>0</v>
      </c>
      <c r="J139">
        <f>'Residential Normalized'!L139</f>
        <v>0.25</v>
      </c>
      <c r="K139" s="8">
        <f t="shared" si="151"/>
        <v>492239.451756227</v>
      </c>
      <c r="L139" s="1">
        <f t="shared" ca="1" si="152"/>
        <v>24890.779253046298</v>
      </c>
      <c r="M139" s="1">
        <f t="shared" ca="1" si="153"/>
        <v>382776.82863129844</v>
      </c>
      <c r="N139" s="1">
        <f t="shared" si="154"/>
        <v>2908148.3484387333</v>
      </c>
      <c r="O139" s="1">
        <f t="shared" si="156"/>
        <v>-58152.555821459253</v>
      </c>
      <c r="P139" s="1">
        <f t="shared" si="157"/>
        <v>0</v>
      </c>
      <c r="Q139" s="1">
        <f t="shared" ca="1" si="158"/>
        <v>3749902.8522578455</v>
      </c>
    </row>
    <row r="140" spans="1:17">
      <c r="A140" s="7">
        <v>45108</v>
      </c>
      <c r="B140">
        <f t="shared" si="137"/>
        <v>2023</v>
      </c>
      <c r="C140">
        <f t="shared" si="138"/>
        <v>7</v>
      </c>
      <c r="E140" s="119">
        <f t="shared" ref="E140:F140" ca="1" si="167">E128</f>
        <v>0</v>
      </c>
      <c r="F140" s="119">
        <f t="shared" ca="1" si="167"/>
        <v>211.26999999999998</v>
      </c>
      <c r="G140" s="116">
        <f t="shared" si="140"/>
        <v>31</v>
      </c>
      <c r="H140" s="120">
        <f t="shared" si="141"/>
        <v>0.125</v>
      </c>
      <c r="I140" s="120">
        <f t="shared" si="142"/>
        <v>0</v>
      </c>
      <c r="J140">
        <f>'Residential Normalized'!L140</f>
        <v>0.25</v>
      </c>
      <c r="K140" s="8">
        <f t="shared" si="151"/>
        <v>492239.451756227</v>
      </c>
      <c r="L140" s="1">
        <f t="shared" ca="1" si="152"/>
        <v>0</v>
      </c>
      <c r="M140" s="1">
        <f t="shared" ca="1" si="153"/>
        <v>715277.38001887861</v>
      </c>
      <c r="N140" s="1">
        <f t="shared" si="154"/>
        <v>3005086.6267200243</v>
      </c>
      <c r="O140" s="1">
        <f t="shared" si="156"/>
        <v>-58152.555821459253</v>
      </c>
      <c r="P140" s="1">
        <f t="shared" si="157"/>
        <v>0</v>
      </c>
      <c r="Q140" s="1">
        <f t="shared" ca="1" si="158"/>
        <v>4154450.9026736706</v>
      </c>
    </row>
    <row r="141" spans="1:17">
      <c r="A141" s="7">
        <v>45139</v>
      </c>
      <c r="B141">
        <f t="shared" si="137"/>
        <v>2023</v>
      </c>
      <c r="C141">
        <f t="shared" si="138"/>
        <v>8</v>
      </c>
      <c r="E141" s="119">
        <f t="shared" ref="E141:F141" ca="1" si="168">E129</f>
        <v>0.13</v>
      </c>
      <c r="F141" s="119">
        <f t="shared" ca="1" si="168"/>
        <v>198.38000000000002</v>
      </c>
      <c r="G141" s="116">
        <f t="shared" si="140"/>
        <v>31</v>
      </c>
      <c r="H141" s="120">
        <f t="shared" si="141"/>
        <v>0.125</v>
      </c>
      <c r="I141" s="120">
        <f t="shared" si="142"/>
        <v>0</v>
      </c>
      <c r="J141">
        <f>'Residential Normalized'!L141</f>
        <v>0.25</v>
      </c>
      <c r="K141" s="8">
        <f t="shared" si="151"/>
        <v>492239.451756227</v>
      </c>
      <c r="L141" s="1">
        <f t="shared" ca="1" si="152"/>
        <v>275.85688856743553</v>
      </c>
      <c r="M141" s="1">
        <f t="shared" ca="1" si="153"/>
        <v>671636.89424975228</v>
      </c>
      <c r="N141" s="1">
        <f t="shared" si="154"/>
        <v>3005086.6267200243</v>
      </c>
      <c r="O141" s="1">
        <f t="shared" si="156"/>
        <v>-58152.555821459253</v>
      </c>
      <c r="P141" s="1">
        <f t="shared" si="157"/>
        <v>0</v>
      </c>
      <c r="Q141" s="1">
        <f t="shared" ca="1" si="158"/>
        <v>4111086.273793112</v>
      </c>
    </row>
    <row r="142" spans="1:17">
      <c r="A142" s="7">
        <v>45170</v>
      </c>
      <c r="B142">
        <f t="shared" si="137"/>
        <v>2023</v>
      </c>
      <c r="C142">
        <f t="shared" si="138"/>
        <v>9</v>
      </c>
      <c r="E142" s="119">
        <f t="shared" ref="E142:F142" ca="1" si="169">E130</f>
        <v>16.16</v>
      </c>
      <c r="F142" s="119">
        <f t="shared" ca="1" si="169"/>
        <v>100.94000000000001</v>
      </c>
      <c r="G142" s="116">
        <f t="shared" si="140"/>
        <v>30</v>
      </c>
      <c r="H142" s="120">
        <f t="shared" si="141"/>
        <v>0.125</v>
      </c>
      <c r="I142" s="120">
        <f t="shared" si="142"/>
        <v>1</v>
      </c>
      <c r="J142">
        <f>'Residential Normalized'!L142</f>
        <v>0.25</v>
      </c>
      <c r="K142" s="8">
        <f t="shared" si="151"/>
        <v>492239.451756227</v>
      </c>
      <c r="L142" s="1">
        <f t="shared" ca="1" si="152"/>
        <v>34291.133224998135</v>
      </c>
      <c r="M142" s="1">
        <f t="shared" ca="1" si="153"/>
        <v>341743.26094147592</v>
      </c>
      <c r="N142" s="1">
        <f t="shared" si="154"/>
        <v>2908148.3484387333</v>
      </c>
      <c r="O142" s="1">
        <f t="shared" si="156"/>
        <v>-58152.555821459253</v>
      </c>
      <c r="P142" s="1">
        <f t="shared" si="157"/>
        <v>-77441.670344359605</v>
      </c>
      <c r="Q142" s="1">
        <f t="shared" ca="1" si="158"/>
        <v>3640827.9681956153</v>
      </c>
    </row>
    <row r="143" spans="1:17">
      <c r="A143" s="7">
        <v>45200</v>
      </c>
      <c r="B143">
        <f t="shared" si="137"/>
        <v>2023</v>
      </c>
      <c r="C143">
        <f t="shared" si="138"/>
        <v>10</v>
      </c>
      <c r="E143" s="119">
        <f t="shared" ref="E143:F143" ca="1" si="170">E131</f>
        <v>124.66000000000001</v>
      </c>
      <c r="F143" s="119">
        <f t="shared" ca="1" si="170"/>
        <v>24.5</v>
      </c>
      <c r="G143" s="116">
        <f t="shared" si="140"/>
        <v>31</v>
      </c>
      <c r="H143" s="120">
        <f t="shared" si="141"/>
        <v>0.125</v>
      </c>
      <c r="I143" s="120">
        <f t="shared" si="142"/>
        <v>1</v>
      </c>
      <c r="J143">
        <f>'Residential Normalized'!L143</f>
        <v>0.25</v>
      </c>
      <c r="K143" s="8">
        <f t="shared" si="151"/>
        <v>492239.451756227</v>
      </c>
      <c r="L143" s="1">
        <f t="shared" ca="1" si="152"/>
        <v>264525.53637551161</v>
      </c>
      <c r="M143" s="1">
        <f t="shared" ca="1" si="153"/>
        <v>82947.393432397061</v>
      </c>
      <c r="N143" s="1">
        <f t="shared" si="154"/>
        <v>3005086.6267200243</v>
      </c>
      <c r="O143" s="1">
        <f t="shared" si="156"/>
        <v>-58152.555821459253</v>
      </c>
      <c r="P143" s="1">
        <f t="shared" si="157"/>
        <v>-77441.670344359605</v>
      </c>
      <c r="Q143" s="1">
        <f t="shared" ca="1" si="158"/>
        <v>3709204.782118341</v>
      </c>
    </row>
    <row r="144" spans="1:17">
      <c r="A144" s="7">
        <v>45231</v>
      </c>
      <c r="B144">
        <f t="shared" si="137"/>
        <v>2023</v>
      </c>
      <c r="C144">
        <f t="shared" si="138"/>
        <v>11</v>
      </c>
      <c r="E144" s="119">
        <f t="shared" ref="E144:F144" ca="1" si="171">E132</f>
        <v>308.05</v>
      </c>
      <c r="F144" s="119">
        <f t="shared" ca="1" si="171"/>
        <v>3.4800000000000004</v>
      </c>
      <c r="G144" s="116">
        <f t="shared" si="140"/>
        <v>30</v>
      </c>
      <c r="H144" s="120">
        <f t="shared" si="141"/>
        <v>0.125</v>
      </c>
      <c r="I144" s="120">
        <f t="shared" si="142"/>
        <v>1</v>
      </c>
      <c r="J144">
        <f>'Residential Normalized'!L144</f>
        <v>0.25</v>
      </c>
      <c r="K144" s="8">
        <f t="shared" si="151"/>
        <v>492239.451756227</v>
      </c>
      <c r="L144" s="1">
        <f t="shared" ca="1" si="152"/>
        <v>653674.72710152704</v>
      </c>
      <c r="M144" s="1">
        <f t="shared" ca="1" si="153"/>
        <v>11781.915475295584</v>
      </c>
      <c r="N144" s="1">
        <f t="shared" si="154"/>
        <v>2908148.3484387333</v>
      </c>
      <c r="O144" s="1">
        <f t="shared" si="156"/>
        <v>-58152.555821459253</v>
      </c>
      <c r="P144" s="1">
        <f t="shared" si="157"/>
        <v>-77441.670344359605</v>
      </c>
      <c r="Q144" s="1">
        <f t="shared" ca="1" si="158"/>
        <v>3930250.2166059641</v>
      </c>
    </row>
    <row r="145" spans="1:17">
      <c r="A145" s="7">
        <v>45261</v>
      </c>
      <c r="B145">
        <f t="shared" si="137"/>
        <v>2023</v>
      </c>
      <c r="C145">
        <f t="shared" si="138"/>
        <v>12</v>
      </c>
      <c r="E145" s="119">
        <f t="shared" ref="E145:F145" ca="1" si="172">E133</f>
        <v>461.6</v>
      </c>
      <c r="F145" s="119">
        <f t="shared" ca="1" si="172"/>
        <v>0</v>
      </c>
      <c r="G145" s="116">
        <f t="shared" si="140"/>
        <v>31</v>
      </c>
      <c r="H145" s="120">
        <f t="shared" si="141"/>
        <v>0.125</v>
      </c>
      <c r="I145" s="120">
        <f t="shared" si="142"/>
        <v>0</v>
      </c>
      <c r="J145">
        <f>'Residential Normalized'!L145</f>
        <v>0.25</v>
      </c>
      <c r="K145" s="8">
        <f t="shared" si="151"/>
        <v>492239.451756227</v>
      </c>
      <c r="L145" s="1">
        <f t="shared" ca="1" si="152"/>
        <v>979504.15202098642</v>
      </c>
      <c r="M145" s="1">
        <f t="shared" ca="1" si="153"/>
        <v>0</v>
      </c>
      <c r="N145" s="1">
        <f t="shared" si="154"/>
        <v>3005086.6267200243</v>
      </c>
      <c r="O145" s="1">
        <f t="shared" si="156"/>
        <v>-58152.555821459253</v>
      </c>
      <c r="P145" s="1">
        <f t="shared" si="157"/>
        <v>0</v>
      </c>
      <c r="Q145" s="1">
        <f t="shared" ca="1" si="158"/>
        <v>4418677.6746757785</v>
      </c>
    </row>
    <row r="146" spans="1:17">
      <c r="A146" s="7">
        <v>45292</v>
      </c>
      <c r="B146">
        <f t="shared" ref="B146:B169" si="173">YEAR(A146)</f>
        <v>2024</v>
      </c>
      <c r="C146">
        <f t="shared" ref="C146:C169" si="174">MONTH(A146)</f>
        <v>1</v>
      </c>
      <c r="E146" s="119">
        <f t="shared" ref="E146:F146" ca="1" si="175">E134</f>
        <v>572.42999999999995</v>
      </c>
      <c r="F146" s="119">
        <f t="shared" ca="1" si="175"/>
        <v>0</v>
      </c>
      <c r="G146" s="116">
        <f t="shared" si="140"/>
        <v>31</v>
      </c>
      <c r="H146" s="120">
        <f t="shared" ref="H146:H169" si="176">0.5*J146</f>
        <v>0</v>
      </c>
      <c r="I146" s="120">
        <f t="shared" si="142"/>
        <v>0</v>
      </c>
      <c r="J146">
        <f>'Residential Normalized'!L146</f>
        <v>0</v>
      </c>
      <c r="K146" s="8">
        <f t="shared" ref="K146:K163" si="177">$V$10</f>
        <v>492239.451756227</v>
      </c>
      <c r="L146" s="1">
        <f t="shared" ref="L146:L163" ca="1" si="178">E146*$V$11</f>
        <v>1214682.7594050546</v>
      </c>
      <c r="M146" s="1">
        <f t="shared" ref="M146:M163" ca="1" si="179">F146*$V$12</f>
        <v>0</v>
      </c>
      <c r="N146" s="1">
        <f t="shared" ref="N146:N163" si="180">G146*$V$13</f>
        <v>3005086.6267200243</v>
      </c>
      <c r="O146" s="1">
        <f t="shared" ref="O146:O169" si="181">H146*$V$14</f>
        <v>0</v>
      </c>
      <c r="P146" s="1">
        <f t="shared" ref="P146:P169" si="182">I146*$V$15</f>
        <v>0</v>
      </c>
      <c r="Q146" s="1">
        <f t="shared" ref="Q146:Q169" ca="1" si="183">SUM(K146:P146)</f>
        <v>4712008.8378813062</v>
      </c>
    </row>
    <row r="147" spans="1:17">
      <c r="A147" s="7">
        <v>45323</v>
      </c>
      <c r="B147">
        <f t="shared" si="173"/>
        <v>2024</v>
      </c>
      <c r="C147">
        <f t="shared" si="174"/>
        <v>2</v>
      </c>
      <c r="E147" s="119">
        <f t="shared" ref="E147:F147" ca="1" si="184">E135</f>
        <v>525.4</v>
      </c>
      <c r="F147" s="119">
        <f t="shared" ca="1" si="184"/>
        <v>0</v>
      </c>
      <c r="G147" s="116">
        <f t="shared" si="140"/>
        <v>29</v>
      </c>
      <c r="H147" s="120">
        <f t="shared" si="176"/>
        <v>0</v>
      </c>
      <c r="I147" s="120">
        <f t="shared" si="142"/>
        <v>0</v>
      </c>
      <c r="J147">
        <f>'Residential Normalized'!L147</f>
        <v>0</v>
      </c>
      <c r="K147" s="8">
        <f t="shared" si="177"/>
        <v>492239.451756227</v>
      </c>
      <c r="L147" s="1">
        <f t="shared" ca="1" si="178"/>
        <v>1114886.2250256201</v>
      </c>
      <c r="M147" s="1">
        <f t="shared" ca="1" si="179"/>
        <v>0</v>
      </c>
      <c r="N147" s="1">
        <f t="shared" si="180"/>
        <v>2811210.0701574418</v>
      </c>
      <c r="O147" s="1">
        <f t="shared" si="181"/>
        <v>0</v>
      </c>
      <c r="P147" s="1">
        <f t="shared" si="182"/>
        <v>0</v>
      </c>
      <c r="Q147" s="1">
        <f t="shared" ca="1" si="183"/>
        <v>4418335.7469392885</v>
      </c>
    </row>
    <row r="148" spans="1:17">
      <c r="A148" s="7">
        <v>45352</v>
      </c>
      <c r="B148">
        <f t="shared" si="173"/>
        <v>2024</v>
      </c>
      <c r="C148">
        <f t="shared" si="174"/>
        <v>3</v>
      </c>
      <c r="E148" s="119">
        <f t="shared" ref="E148:F148" ca="1" si="185">E136</f>
        <v>437.1</v>
      </c>
      <c r="F148" s="119">
        <f t="shared" ca="1" si="185"/>
        <v>1.4700000000000002</v>
      </c>
      <c r="G148" s="116">
        <f t="shared" si="140"/>
        <v>31</v>
      </c>
      <c r="H148" s="120">
        <f t="shared" si="176"/>
        <v>0</v>
      </c>
      <c r="I148" s="120">
        <f t="shared" si="142"/>
        <v>1</v>
      </c>
      <c r="J148">
        <f>'Residential Normalized'!L148</f>
        <v>0</v>
      </c>
      <c r="K148" s="8">
        <f t="shared" si="177"/>
        <v>492239.451756227</v>
      </c>
      <c r="L148" s="1">
        <f t="shared" ca="1" si="178"/>
        <v>927515.73840635433</v>
      </c>
      <c r="M148" s="1">
        <f t="shared" ca="1" si="179"/>
        <v>4976.8436059438245</v>
      </c>
      <c r="N148" s="1">
        <f t="shared" si="180"/>
        <v>3005086.6267200243</v>
      </c>
      <c r="O148" s="1">
        <f t="shared" si="181"/>
        <v>0</v>
      </c>
      <c r="P148" s="1">
        <f t="shared" si="182"/>
        <v>-77441.670344359605</v>
      </c>
      <c r="Q148" s="1">
        <f t="shared" ca="1" si="183"/>
        <v>4352376.9901441904</v>
      </c>
    </row>
    <row r="149" spans="1:17">
      <c r="A149" s="7">
        <v>45383</v>
      </c>
      <c r="B149">
        <f t="shared" si="173"/>
        <v>2024</v>
      </c>
      <c r="C149">
        <f t="shared" si="174"/>
        <v>4</v>
      </c>
      <c r="E149" s="119">
        <f t="shared" ref="E149:F149" ca="1" si="186">E137</f>
        <v>264.39999999999998</v>
      </c>
      <c r="F149" s="119">
        <f t="shared" ca="1" si="186"/>
        <v>2.58</v>
      </c>
      <c r="G149" s="116">
        <f t="shared" si="140"/>
        <v>30</v>
      </c>
      <c r="H149" s="120">
        <f t="shared" si="176"/>
        <v>0</v>
      </c>
      <c r="I149" s="120">
        <f t="shared" si="142"/>
        <v>1</v>
      </c>
      <c r="J149">
        <f>'Residential Normalized'!L149</f>
        <v>0</v>
      </c>
      <c r="K149" s="8">
        <f t="shared" si="177"/>
        <v>492239.451756227</v>
      </c>
      <c r="L149" s="1">
        <f t="shared" ca="1" si="178"/>
        <v>561050.47182484565</v>
      </c>
      <c r="M149" s="1">
        <f t="shared" ca="1" si="179"/>
        <v>8734.8683696156913</v>
      </c>
      <c r="N149" s="1">
        <f t="shared" si="180"/>
        <v>2908148.3484387333</v>
      </c>
      <c r="O149" s="1">
        <f t="shared" si="181"/>
        <v>0</v>
      </c>
      <c r="P149" s="1">
        <f t="shared" si="182"/>
        <v>-77441.670344359605</v>
      </c>
      <c r="Q149" s="1">
        <f t="shared" ca="1" si="183"/>
        <v>3892731.4700450618</v>
      </c>
    </row>
    <row r="150" spans="1:17">
      <c r="A150" s="7">
        <v>45413</v>
      </c>
      <c r="B150">
        <f t="shared" si="173"/>
        <v>2024</v>
      </c>
      <c r="C150">
        <f t="shared" si="174"/>
        <v>5</v>
      </c>
      <c r="E150" s="119">
        <f t="shared" ref="E150:F150" ca="1" si="187">E138</f>
        <v>95.570000000000007</v>
      </c>
      <c r="F150" s="119">
        <f t="shared" ca="1" si="187"/>
        <v>46.33</v>
      </c>
      <c r="G150" s="116">
        <f t="shared" si="140"/>
        <v>31</v>
      </c>
      <c r="H150" s="120">
        <f t="shared" si="176"/>
        <v>0</v>
      </c>
      <c r="I150" s="120">
        <f t="shared" si="142"/>
        <v>1</v>
      </c>
      <c r="J150">
        <f>'Residential Normalized'!L150</f>
        <v>0</v>
      </c>
      <c r="K150" s="8">
        <f t="shared" si="177"/>
        <v>492239.451756227</v>
      </c>
      <c r="L150" s="1">
        <f t="shared" ca="1" si="178"/>
        <v>202797.25261838318</v>
      </c>
      <c r="M150" s="1">
        <f t="shared" ca="1" si="179"/>
        <v>156855.21378461045</v>
      </c>
      <c r="N150" s="1">
        <f t="shared" si="180"/>
        <v>3005086.6267200243</v>
      </c>
      <c r="O150" s="1">
        <f t="shared" si="181"/>
        <v>0</v>
      </c>
      <c r="P150" s="1">
        <f t="shared" si="182"/>
        <v>-77441.670344359605</v>
      </c>
      <c r="Q150" s="1">
        <f t="shared" ca="1" si="183"/>
        <v>3779536.8745348849</v>
      </c>
    </row>
    <row r="151" spans="1:17">
      <c r="A151" s="7">
        <v>45444</v>
      </c>
      <c r="B151">
        <f t="shared" si="173"/>
        <v>2024</v>
      </c>
      <c r="C151">
        <f t="shared" si="174"/>
        <v>6</v>
      </c>
      <c r="E151" s="119">
        <f t="shared" ref="E151:F151" ca="1" si="188">E139</f>
        <v>11.73</v>
      </c>
      <c r="F151" s="119">
        <f t="shared" ca="1" si="188"/>
        <v>113.05999999999999</v>
      </c>
      <c r="G151" s="116">
        <f t="shared" si="140"/>
        <v>30</v>
      </c>
      <c r="H151" s="120">
        <f t="shared" si="176"/>
        <v>0</v>
      </c>
      <c r="I151" s="120">
        <f t="shared" si="142"/>
        <v>0</v>
      </c>
      <c r="J151">
        <f>'Residential Normalized'!L151</f>
        <v>0</v>
      </c>
      <c r="K151" s="8">
        <f t="shared" si="177"/>
        <v>492239.451756227</v>
      </c>
      <c r="L151" s="1">
        <f t="shared" ca="1" si="178"/>
        <v>24890.779253046298</v>
      </c>
      <c r="M151" s="1">
        <f t="shared" ca="1" si="179"/>
        <v>382776.82863129844</v>
      </c>
      <c r="N151" s="1">
        <f t="shared" si="180"/>
        <v>2908148.3484387333</v>
      </c>
      <c r="O151" s="1">
        <f t="shared" si="181"/>
        <v>0</v>
      </c>
      <c r="P151" s="1">
        <f t="shared" si="182"/>
        <v>0</v>
      </c>
      <c r="Q151" s="1">
        <f t="shared" ca="1" si="183"/>
        <v>3808055.4080793047</v>
      </c>
    </row>
    <row r="152" spans="1:17">
      <c r="A152" s="7">
        <v>45474</v>
      </c>
      <c r="B152">
        <f t="shared" si="173"/>
        <v>2024</v>
      </c>
      <c r="C152">
        <f t="shared" si="174"/>
        <v>7</v>
      </c>
      <c r="E152" s="119">
        <f t="shared" ref="E152:F152" ca="1" si="189">E140</f>
        <v>0</v>
      </c>
      <c r="F152" s="119">
        <f t="shared" ca="1" si="189"/>
        <v>211.26999999999998</v>
      </c>
      <c r="G152" s="116">
        <f t="shared" si="140"/>
        <v>31</v>
      </c>
      <c r="H152" s="120">
        <f t="shared" si="176"/>
        <v>0</v>
      </c>
      <c r="I152" s="120">
        <f t="shared" si="142"/>
        <v>0</v>
      </c>
      <c r="J152">
        <f>'Residential Normalized'!L152</f>
        <v>0</v>
      </c>
      <c r="K152" s="8">
        <f t="shared" si="177"/>
        <v>492239.451756227</v>
      </c>
      <c r="L152" s="1">
        <f t="shared" ca="1" si="178"/>
        <v>0</v>
      </c>
      <c r="M152" s="1">
        <f t="shared" ca="1" si="179"/>
        <v>715277.38001887861</v>
      </c>
      <c r="N152" s="1">
        <f t="shared" si="180"/>
        <v>3005086.6267200243</v>
      </c>
      <c r="O152" s="1">
        <f t="shared" si="181"/>
        <v>0</v>
      </c>
      <c r="P152" s="1">
        <f t="shared" si="182"/>
        <v>0</v>
      </c>
      <c r="Q152" s="1">
        <f t="shared" ca="1" si="183"/>
        <v>4212603.4584951298</v>
      </c>
    </row>
    <row r="153" spans="1:17">
      <c r="A153" s="7">
        <v>45505</v>
      </c>
      <c r="B153">
        <f t="shared" si="173"/>
        <v>2024</v>
      </c>
      <c r="C153">
        <f t="shared" si="174"/>
        <v>8</v>
      </c>
      <c r="E153" s="119">
        <f t="shared" ref="E153:F153" ca="1" si="190">E141</f>
        <v>0.13</v>
      </c>
      <c r="F153" s="119">
        <f t="shared" ca="1" si="190"/>
        <v>198.38000000000002</v>
      </c>
      <c r="G153" s="116">
        <f t="shared" si="140"/>
        <v>31</v>
      </c>
      <c r="H153" s="120">
        <f t="shared" si="176"/>
        <v>0</v>
      </c>
      <c r="I153" s="120">
        <f t="shared" si="142"/>
        <v>0</v>
      </c>
      <c r="J153">
        <f>'Residential Normalized'!L153</f>
        <v>0</v>
      </c>
      <c r="K153" s="8">
        <f t="shared" si="177"/>
        <v>492239.451756227</v>
      </c>
      <c r="L153" s="1">
        <f t="shared" ca="1" si="178"/>
        <v>275.85688856743553</v>
      </c>
      <c r="M153" s="1">
        <f t="shared" ca="1" si="179"/>
        <v>671636.89424975228</v>
      </c>
      <c r="N153" s="1">
        <f t="shared" si="180"/>
        <v>3005086.6267200243</v>
      </c>
      <c r="O153" s="1">
        <f t="shared" si="181"/>
        <v>0</v>
      </c>
      <c r="P153" s="1">
        <f t="shared" si="182"/>
        <v>0</v>
      </c>
      <c r="Q153" s="1">
        <f t="shared" ca="1" si="183"/>
        <v>4169238.8296145713</v>
      </c>
    </row>
    <row r="154" spans="1:17">
      <c r="A154" s="7">
        <v>45536</v>
      </c>
      <c r="B154">
        <f t="shared" si="173"/>
        <v>2024</v>
      </c>
      <c r="C154">
        <f t="shared" si="174"/>
        <v>9</v>
      </c>
      <c r="E154" s="119">
        <f t="shared" ref="E154:F154" ca="1" si="191">E142</f>
        <v>16.16</v>
      </c>
      <c r="F154" s="119">
        <f t="shared" ca="1" si="191"/>
        <v>100.94000000000001</v>
      </c>
      <c r="G154" s="116">
        <f t="shared" si="140"/>
        <v>30</v>
      </c>
      <c r="H154" s="120">
        <f t="shared" si="176"/>
        <v>0</v>
      </c>
      <c r="I154" s="120">
        <f t="shared" si="142"/>
        <v>1</v>
      </c>
      <c r="J154">
        <f>'Residential Normalized'!L154</f>
        <v>0</v>
      </c>
      <c r="K154" s="8">
        <f t="shared" si="177"/>
        <v>492239.451756227</v>
      </c>
      <c r="L154" s="1">
        <f t="shared" ca="1" si="178"/>
        <v>34291.133224998135</v>
      </c>
      <c r="M154" s="1">
        <f t="shared" ca="1" si="179"/>
        <v>341743.26094147592</v>
      </c>
      <c r="N154" s="1">
        <f t="shared" si="180"/>
        <v>2908148.3484387333</v>
      </c>
      <c r="O154" s="1">
        <f t="shared" si="181"/>
        <v>0</v>
      </c>
      <c r="P154" s="1">
        <f t="shared" si="182"/>
        <v>-77441.670344359605</v>
      </c>
      <c r="Q154" s="1">
        <f t="shared" ca="1" si="183"/>
        <v>3698980.5240170746</v>
      </c>
    </row>
    <row r="155" spans="1:17">
      <c r="A155" s="7">
        <v>45566</v>
      </c>
      <c r="B155">
        <f t="shared" si="173"/>
        <v>2024</v>
      </c>
      <c r="C155">
        <f t="shared" si="174"/>
        <v>10</v>
      </c>
      <c r="E155" s="119">
        <f t="shared" ref="E155:F155" ca="1" si="192">E143</f>
        <v>124.66000000000001</v>
      </c>
      <c r="F155" s="119">
        <f t="shared" ca="1" si="192"/>
        <v>24.5</v>
      </c>
      <c r="G155" s="116">
        <f t="shared" si="140"/>
        <v>31</v>
      </c>
      <c r="H155" s="120">
        <f t="shared" si="176"/>
        <v>0</v>
      </c>
      <c r="I155" s="120">
        <f t="shared" si="142"/>
        <v>1</v>
      </c>
      <c r="J155">
        <f>'Residential Normalized'!L155</f>
        <v>0</v>
      </c>
      <c r="K155" s="8">
        <f t="shared" si="177"/>
        <v>492239.451756227</v>
      </c>
      <c r="L155" s="1">
        <f t="shared" ca="1" si="178"/>
        <v>264525.53637551161</v>
      </c>
      <c r="M155" s="1">
        <f t="shared" ca="1" si="179"/>
        <v>82947.393432397061</v>
      </c>
      <c r="N155" s="1">
        <f t="shared" si="180"/>
        <v>3005086.6267200243</v>
      </c>
      <c r="O155" s="1">
        <f t="shared" si="181"/>
        <v>0</v>
      </c>
      <c r="P155" s="1">
        <f t="shared" si="182"/>
        <v>-77441.670344359605</v>
      </c>
      <c r="Q155" s="1">
        <f t="shared" ca="1" si="183"/>
        <v>3767357.3379398002</v>
      </c>
    </row>
    <row r="156" spans="1:17">
      <c r="A156" s="7">
        <v>45597</v>
      </c>
      <c r="B156">
        <f t="shared" si="173"/>
        <v>2024</v>
      </c>
      <c r="C156">
        <f t="shared" si="174"/>
        <v>11</v>
      </c>
      <c r="E156" s="119">
        <f t="shared" ref="E156:F156" ca="1" si="193">E144</f>
        <v>308.05</v>
      </c>
      <c r="F156" s="119">
        <f t="shared" ca="1" si="193"/>
        <v>3.4800000000000004</v>
      </c>
      <c r="G156" s="116">
        <f t="shared" si="140"/>
        <v>30</v>
      </c>
      <c r="H156" s="120">
        <f t="shared" si="176"/>
        <v>0</v>
      </c>
      <c r="I156" s="120">
        <f t="shared" si="142"/>
        <v>1</v>
      </c>
      <c r="J156">
        <f>'Residential Normalized'!L156</f>
        <v>0</v>
      </c>
      <c r="K156" s="8">
        <f t="shared" si="177"/>
        <v>492239.451756227</v>
      </c>
      <c r="L156" s="1">
        <f t="shared" ca="1" si="178"/>
        <v>653674.72710152704</v>
      </c>
      <c r="M156" s="1">
        <f t="shared" ca="1" si="179"/>
        <v>11781.915475295584</v>
      </c>
      <c r="N156" s="1">
        <f t="shared" si="180"/>
        <v>2908148.3484387333</v>
      </c>
      <c r="O156" s="1">
        <f t="shared" si="181"/>
        <v>0</v>
      </c>
      <c r="P156" s="1">
        <f t="shared" si="182"/>
        <v>-77441.670344359605</v>
      </c>
      <c r="Q156" s="1">
        <f t="shared" ca="1" si="183"/>
        <v>3988402.7724274234</v>
      </c>
    </row>
    <row r="157" spans="1:17">
      <c r="A157" s="7">
        <v>45627</v>
      </c>
      <c r="B157">
        <f t="shared" si="173"/>
        <v>2024</v>
      </c>
      <c r="C157">
        <f t="shared" si="174"/>
        <v>12</v>
      </c>
      <c r="E157" s="119">
        <f t="shared" ref="E157:F157" ca="1" si="194">E145</f>
        <v>461.6</v>
      </c>
      <c r="F157" s="119">
        <f t="shared" ca="1" si="194"/>
        <v>0</v>
      </c>
      <c r="G157" s="116">
        <f t="shared" si="140"/>
        <v>31</v>
      </c>
      <c r="H157" s="120">
        <f t="shared" si="176"/>
        <v>0</v>
      </c>
      <c r="I157" s="120">
        <f t="shared" si="142"/>
        <v>0</v>
      </c>
      <c r="J157">
        <f>'Residential Normalized'!L157</f>
        <v>0</v>
      </c>
      <c r="K157" s="8">
        <f t="shared" si="177"/>
        <v>492239.451756227</v>
      </c>
      <c r="L157" s="1">
        <f t="shared" ca="1" si="178"/>
        <v>979504.15202098642</v>
      </c>
      <c r="M157" s="1">
        <f t="shared" ca="1" si="179"/>
        <v>0</v>
      </c>
      <c r="N157" s="1">
        <f t="shared" si="180"/>
        <v>3005086.6267200243</v>
      </c>
      <c r="O157" s="1">
        <f t="shared" si="181"/>
        <v>0</v>
      </c>
      <c r="P157" s="1">
        <f t="shared" si="182"/>
        <v>0</v>
      </c>
      <c r="Q157" s="1">
        <f t="shared" ca="1" si="183"/>
        <v>4476830.2304972373</v>
      </c>
    </row>
    <row r="158" spans="1:17">
      <c r="A158" s="7">
        <v>45658</v>
      </c>
      <c r="B158">
        <f t="shared" si="173"/>
        <v>2025</v>
      </c>
      <c r="C158">
        <f t="shared" si="174"/>
        <v>1</v>
      </c>
      <c r="E158" s="119">
        <f t="shared" ref="E158:F158" ca="1" si="195">E146</f>
        <v>572.42999999999995</v>
      </c>
      <c r="F158" s="119">
        <f t="shared" ca="1" si="195"/>
        <v>0</v>
      </c>
      <c r="G158" s="116">
        <f t="shared" si="140"/>
        <v>31</v>
      </c>
      <c r="H158" s="120">
        <f t="shared" si="176"/>
        <v>0</v>
      </c>
      <c r="I158" s="120">
        <f t="shared" si="142"/>
        <v>0</v>
      </c>
      <c r="J158">
        <f>'Residential Normalized'!L158</f>
        <v>0</v>
      </c>
      <c r="K158" s="8">
        <f t="shared" si="177"/>
        <v>492239.451756227</v>
      </c>
      <c r="L158" s="1">
        <f t="shared" ca="1" si="178"/>
        <v>1214682.7594050546</v>
      </c>
      <c r="M158" s="1">
        <f t="shared" ca="1" si="179"/>
        <v>0</v>
      </c>
      <c r="N158" s="1">
        <f t="shared" si="180"/>
        <v>3005086.6267200243</v>
      </c>
      <c r="O158" s="1">
        <f t="shared" si="181"/>
        <v>0</v>
      </c>
      <c r="P158" s="1">
        <f t="shared" si="182"/>
        <v>0</v>
      </c>
      <c r="Q158" s="1">
        <f t="shared" ca="1" si="183"/>
        <v>4712008.8378813062</v>
      </c>
    </row>
    <row r="159" spans="1:17">
      <c r="A159" s="7">
        <v>45689</v>
      </c>
      <c r="B159">
        <f t="shared" si="173"/>
        <v>2025</v>
      </c>
      <c r="C159">
        <f t="shared" si="174"/>
        <v>2</v>
      </c>
      <c r="E159" s="119">
        <f t="shared" ref="E159:F159" ca="1" si="196">E147</f>
        <v>525.4</v>
      </c>
      <c r="F159" s="119">
        <f t="shared" ca="1" si="196"/>
        <v>0</v>
      </c>
      <c r="G159" s="116">
        <f t="shared" si="140"/>
        <v>28</v>
      </c>
      <c r="H159" s="120">
        <f t="shared" si="176"/>
        <v>0</v>
      </c>
      <c r="I159" s="120">
        <f t="shared" si="142"/>
        <v>0</v>
      </c>
      <c r="J159">
        <f>'Residential Normalized'!L159</f>
        <v>0</v>
      </c>
      <c r="K159" s="8">
        <f t="shared" si="177"/>
        <v>492239.451756227</v>
      </c>
      <c r="L159" s="1">
        <f t="shared" ca="1" si="178"/>
        <v>1114886.2250256201</v>
      </c>
      <c r="M159" s="1">
        <f t="shared" ca="1" si="179"/>
        <v>0</v>
      </c>
      <c r="N159" s="1">
        <f t="shared" si="180"/>
        <v>2714271.7918761508</v>
      </c>
      <c r="O159" s="1">
        <f t="shared" si="181"/>
        <v>0</v>
      </c>
      <c r="P159" s="1">
        <f t="shared" si="182"/>
        <v>0</v>
      </c>
      <c r="Q159" s="1">
        <f t="shared" ca="1" si="183"/>
        <v>4321397.4686579984</v>
      </c>
    </row>
    <row r="160" spans="1:17">
      <c r="A160" s="7">
        <v>45717</v>
      </c>
      <c r="B160">
        <f t="shared" si="173"/>
        <v>2025</v>
      </c>
      <c r="C160">
        <f t="shared" si="174"/>
        <v>3</v>
      </c>
      <c r="E160" s="119">
        <f t="shared" ref="E160:F160" ca="1" si="197">E148</f>
        <v>437.1</v>
      </c>
      <c r="F160" s="119">
        <f t="shared" ca="1" si="197"/>
        <v>1.4700000000000002</v>
      </c>
      <c r="G160" s="116">
        <f t="shared" si="140"/>
        <v>31</v>
      </c>
      <c r="H160" s="120">
        <f t="shared" si="176"/>
        <v>0</v>
      </c>
      <c r="I160" s="120">
        <f t="shared" si="142"/>
        <v>1</v>
      </c>
      <c r="J160">
        <f>'Residential Normalized'!L160</f>
        <v>0</v>
      </c>
      <c r="K160" s="8">
        <f t="shared" si="177"/>
        <v>492239.451756227</v>
      </c>
      <c r="L160" s="1">
        <f t="shared" ca="1" si="178"/>
        <v>927515.73840635433</v>
      </c>
      <c r="M160" s="1">
        <f t="shared" ca="1" si="179"/>
        <v>4976.8436059438245</v>
      </c>
      <c r="N160" s="1">
        <f t="shared" si="180"/>
        <v>3005086.6267200243</v>
      </c>
      <c r="O160" s="1">
        <f t="shared" si="181"/>
        <v>0</v>
      </c>
      <c r="P160" s="1">
        <f t="shared" si="182"/>
        <v>-77441.670344359605</v>
      </c>
      <c r="Q160" s="1">
        <f t="shared" ca="1" si="183"/>
        <v>4352376.9901441904</v>
      </c>
    </row>
    <row r="161" spans="1:17">
      <c r="A161" s="7">
        <v>45748</v>
      </c>
      <c r="B161">
        <f t="shared" si="173"/>
        <v>2025</v>
      </c>
      <c r="C161">
        <f t="shared" si="174"/>
        <v>4</v>
      </c>
      <c r="E161" s="119">
        <f t="shared" ref="E161:F161" ca="1" si="198">E149</f>
        <v>264.39999999999998</v>
      </c>
      <c r="F161" s="119">
        <f t="shared" ca="1" si="198"/>
        <v>2.58</v>
      </c>
      <c r="G161" s="116">
        <f t="shared" si="140"/>
        <v>30</v>
      </c>
      <c r="H161" s="120">
        <f t="shared" si="176"/>
        <v>0</v>
      </c>
      <c r="I161" s="120">
        <f t="shared" si="142"/>
        <v>1</v>
      </c>
      <c r="J161">
        <f>'Residential Normalized'!L161</f>
        <v>0</v>
      </c>
      <c r="K161" s="8">
        <f t="shared" si="177"/>
        <v>492239.451756227</v>
      </c>
      <c r="L161" s="1">
        <f t="shared" ca="1" si="178"/>
        <v>561050.47182484565</v>
      </c>
      <c r="M161" s="1">
        <f t="shared" ca="1" si="179"/>
        <v>8734.8683696156913</v>
      </c>
      <c r="N161" s="1">
        <f t="shared" si="180"/>
        <v>2908148.3484387333</v>
      </c>
      <c r="O161" s="1">
        <f t="shared" si="181"/>
        <v>0</v>
      </c>
      <c r="P161" s="1">
        <f t="shared" si="182"/>
        <v>-77441.670344359605</v>
      </c>
      <c r="Q161" s="1">
        <f t="shared" ca="1" si="183"/>
        <v>3892731.4700450618</v>
      </c>
    </row>
    <row r="162" spans="1:17">
      <c r="A162" s="7">
        <v>45778</v>
      </c>
      <c r="B162">
        <f t="shared" si="173"/>
        <v>2025</v>
      </c>
      <c r="C162">
        <f t="shared" si="174"/>
        <v>5</v>
      </c>
      <c r="E162" s="119">
        <f t="shared" ref="E162:F162" ca="1" si="199">E150</f>
        <v>95.570000000000007</v>
      </c>
      <c r="F162" s="119">
        <f t="shared" ca="1" si="199"/>
        <v>46.33</v>
      </c>
      <c r="G162" s="116">
        <f t="shared" si="140"/>
        <v>31</v>
      </c>
      <c r="H162" s="120">
        <f t="shared" si="176"/>
        <v>0</v>
      </c>
      <c r="I162" s="120">
        <f t="shared" si="142"/>
        <v>1</v>
      </c>
      <c r="J162">
        <f>'Residential Normalized'!L162</f>
        <v>0</v>
      </c>
      <c r="K162" s="8">
        <f t="shared" si="177"/>
        <v>492239.451756227</v>
      </c>
      <c r="L162" s="1">
        <f t="shared" ca="1" si="178"/>
        <v>202797.25261838318</v>
      </c>
      <c r="M162" s="1">
        <f t="shared" ca="1" si="179"/>
        <v>156855.21378461045</v>
      </c>
      <c r="N162" s="1">
        <f t="shared" si="180"/>
        <v>3005086.6267200243</v>
      </c>
      <c r="O162" s="1">
        <f t="shared" si="181"/>
        <v>0</v>
      </c>
      <c r="P162" s="1">
        <f t="shared" si="182"/>
        <v>-77441.670344359605</v>
      </c>
      <c r="Q162" s="1">
        <f t="shared" ca="1" si="183"/>
        <v>3779536.8745348849</v>
      </c>
    </row>
    <row r="163" spans="1:17">
      <c r="A163" s="7">
        <v>45809</v>
      </c>
      <c r="B163">
        <f t="shared" si="173"/>
        <v>2025</v>
      </c>
      <c r="C163">
        <f t="shared" si="174"/>
        <v>6</v>
      </c>
      <c r="E163" s="119">
        <f t="shared" ref="E163:F163" ca="1" si="200">E151</f>
        <v>11.73</v>
      </c>
      <c r="F163" s="119">
        <f t="shared" ca="1" si="200"/>
        <v>113.05999999999999</v>
      </c>
      <c r="G163" s="116">
        <f t="shared" si="140"/>
        <v>30</v>
      </c>
      <c r="H163" s="120">
        <f t="shared" si="176"/>
        <v>0</v>
      </c>
      <c r="I163" s="120">
        <f t="shared" si="142"/>
        <v>0</v>
      </c>
      <c r="J163">
        <f>'Residential Normalized'!L163</f>
        <v>0</v>
      </c>
      <c r="K163" s="8">
        <f t="shared" si="177"/>
        <v>492239.451756227</v>
      </c>
      <c r="L163" s="1">
        <f t="shared" ca="1" si="178"/>
        <v>24890.779253046298</v>
      </c>
      <c r="M163" s="1">
        <f t="shared" ca="1" si="179"/>
        <v>382776.82863129844</v>
      </c>
      <c r="N163" s="1">
        <f t="shared" si="180"/>
        <v>2908148.3484387333</v>
      </c>
      <c r="O163" s="1">
        <f t="shared" si="181"/>
        <v>0</v>
      </c>
      <c r="P163" s="1">
        <f t="shared" si="182"/>
        <v>0</v>
      </c>
      <c r="Q163" s="1">
        <f t="shared" ca="1" si="183"/>
        <v>3808055.4080793047</v>
      </c>
    </row>
    <row r="164" spans="1:17">
      <c r="A164" s="7">
        <v>45839</v>
      </c>
      <c r="B164">
        <f t="shared" si="173"/>
        <v>2025</v>
      </c>
      <c r="C164">
        <f t="shared" si="174"/>
        <v>7</v>
      </c>
      <c r="E164" s="119">
        <f t="shared" ref="E164:F164" ca="1" si="201">E152</f>
        <v>0</v>
      </c>
      <c r="F164" s="119">
        <f t="shared" ca="1" si="201"/>
        <v>211.26999999999998</v>
      </c>
      <c r="G164" s="116">
        <f t="shared" si="140"/>
        <v>31</v>
      </c>
      <c r="H164" s="120">
        <f t="shared" si="176"/>
        <v>0</v>
      </c>
      <c r="I164" s="120">
        <f t="shared" si="142"/>
        <v>0</v>
      </c>
      <c r="J164">
        <f>'Residential Normalized'!L164</f>
        <v>0</v>
      </c>
      <c r="K164" s="8">
        <f t="shared" ref="K164:K169" si="202">$V$10</f>
        <v>492239.451756227</v>
      </c>
      <c r="L164" s="1">
        <f t="shared" ref="L164:L169" ca="1" si="203">E164*$V$11</f>
        <v>0</v>
      </c>
      <c r="M164" s="1">
        <f t="shared" ref="M164:M169" ca="1" si="204">F164*$V$12</f>
        <v>715277.38001887861</v>
      </c>
      <c r="N164" s="1">
        <f t="shared" ref="N164:N169" si="205">G164*$V$13</f>
        <v>3005086.6267200243</v>
      </c>
      <c r="O164" s="1">
        <f t="shared" si="181"/>
        <v>0</v>
      </c>
      <c r="P164" s="1">
        <f t="shared" si="182"/>
        <v>0</v>
      </c>
      <c r="Q164" s="1">
        <f t="shared" ca="1" si="183"/>
        <v>4212603.4584951298</v>
      </c>
    </row>
    <row r="165" spans="1:17">
      <c r="A165" s="7">
        <v>45870</v>
      </c>
      <c r="B165">
        <f t="shared" si="173"/>
        <v>2025</v>
      </c>
      <c r="C165">
        <f t="shared" si="174"/>
        <v>8</v>
      </c>
      <c r="E165" s="119">
        <f t="shared" ref="E165:F165" ca="1" si="206">E153</f>
        <v>0.13</v>
      </c>
      <c r="F165" s="119">
        <f t="shared" ca="1" si="206"/>
        <v>198.38000000000002</v>
      </c>
      <c r="G165" s="116">
        <f t="shared" si="140"/>
        <v>31</v>
      </c>
      <c r="H165" s="120">
        <f t="shared" si="176"/>
        <v>0</v>
      </c>
      <c r="I165" s="120">
        <f t="shared" si="142"/>
        <v>0</v>
      </c>
      <c r="J165">
        <f>'Residential Normalized'!L165</f>
        <v>0</v>
      </c>
      <c r="K165" s="8">
        <f t="shared" si="202"/>
        <v>492239.451756227</v>
      </c>
      <c r="L165" s="1">
        <f t="shared" ca="1" si="203"/>
        <v>275.85688856743553</v>
      </c>
      <c r="M165" s="1">
        <f t="shared" ca="1" si="204"/>
        <v>671636.89424975228</v>
      </c>
      <c r="N165" s="1">
        <f t="shared" si="205"/>
        <v>3005086.6267200243</v>
      </c>
      <c r="O165" s="1">
        <f t="shared" si="181"/>
        <v>0</v>
      </c>
      <c r="P165" s="1">
        <f t="shared" si="182"/>
        <v>0</v>
      </c>
      <c r="Q165" s="1">
        <f t="shared" ca="1" si="183"/>
        <v>4169238.8296145713</v>
      </c>
    </row>
    <row r="166" spans="1:17">
      <c r="A166" s="7">
        <v>45901</v>
      </c>
      <c r="B166">
        <f t="shared" si="173"/>
        <v>2025</v>
      </c>
      <c r="C166">
        <f t="shared" si="174"/>
        <v>9</v>
      </c>
      <c r="E166" s="119">
        <f t="shared" ref="E166:F166" ca="1" si="207">E154</f>
        <v>16.16</v>
      </c>
      <c r="F166" s="119">
        <f t="shared" ca="1" si="207"/>
        <v>100.94000000000001</v>
      </c>
      <c r="G166" s="116">
        <f t="shared" si="140"/>
        <v>30</v>
      </c>
      <c r="H166" s="120">
        <f t="shared" si="176"/>
        <v>0</v>
      </c>
      <c r="I166" s="120">
        <f t="shared" si="142"/>
        <v>1</v>
      </c>
      <c r="J166">
        <f>'Residential Normalized'!L166</f>
        <v>0</v>
      </c>
      <c r="K166" s="8">
        <f t="shared" si="202"/>
        <v>492239.451756227</v>
      </c>
      <c r="L166" s="1">
        <f t="shared" ca="1" si="203"/>
        <v>34291.133224998135</v>
      </c>
      <c r="M166" s="1">
        <f t="shared" ca="1" si="204"/>
        <v>341743.26094147592</v>
      </c>
      <c r="N166" s="1">
        <f t="shared" si="205"/>
        <v>2908148.3484387333</v>
      </c>
      <c r="O166" s="1">
        <f t="shared" si="181"/>
        <v>0</v>
      </c>
      <c r="P166" s="1">
        <f t="shared" si="182"/>
        <v>-77441.670344359605</v>
      </c>
      <c r="Q166" s="1">
        <f t="shared" ca="1" si="183"/>
        <v>3698980.5240170746</v>
      </c>
    </row>
    <row r="167" spans="1:17">
      <c r="A167" s="7">
        <v>45931</v>
      </c>
      <c r="B167">
        <f t="shared" si="173"/>
        <v>2025</v>
      </c>
      <c r="C167">
        <f t="shared" si="174"/>
        <v>10</v>
      </c>
      <c r="E167" s="119">
        <f t="shared" ref="E167:F167" ca="1" si="208">E155</f>
        <v>124.66000000000001</v>
      </c>
      <c r="F167" s="119">
        <f t="shared" ca="1" si="208"/>
        <v>24.5</v>
      </c>
      <c r="G167" s="116">
        <f t="shared" si="140"/>
        <v>31</v>
      </c>
      <c r="H167" s="120">
        <f t="shared" si="176"/>
        <v>0</v>
      </c>
      <c r="I167" s="120">
        <f t="shared" si="142"/>
        <v>1</v>
      </c>
      <c r="J167">
        <f>'Residential Normalized'!L167</f>
        <v>0</v>
      </c>
      <c r="K167" s="8">
        <f t="shared" si="202"/>
        <v>492239.451756227</v>
      </c>
      <c r="L167" s="1">
        <f t="shared" ca="1" si="203"/>
        <v>264525.53637551161</v>
      </c>
      <c r="M167" s="1">
        <f t="shared" ca="1" si="204"/>
        <v>82947.393432397061</v>
      </c>
      <c r="N167" s="1">
        <f t="shared" si="205"/>
        <v>3005086.6267200243</v>
      </c>
      <c r="O167" s="1">
        <f t="shared" si="181"/>
        <v>0</v>
      </c>
      <c r="P167" s="1">
        <f t="shared" si="182"/>
        <v>-77441.670344359605</v>
      </c>
      <c r="Q167" s="1">
        <f t="shared" ca="1" si="183"/>
        <v>3767357.3379398002</v>
      </c>
    </row>
    <row r="168" spans="1:17">
      <c r="A168" s="7">
        <v>45962</v>
      </c>
      <c r="B168">
        <f t="shared" si="173"/>
        <v>2025</v>
      </c>
      <c r="C168">
        <f t="shared" si="174"/>
        <v>11</v>
      </c>
      <c r="E168" s="119">
        <f t="shared" ref="E168:F168" ca="1" si="209">E156</f>
        <v>308.05</v>
      </c>
      <c r="F168" s="119">
        <f t="shared" ca="1" si="209"/>
        <v>3.4800000000000004</v>
      </c>
      <c r="G168" s="116">
        <f t="shared" si="140"/>
        <v>30</v>
      </c>
      <c r="H168" s="120">
        <f t="shared" si="176"/>
        <v>0</v>
      </c>
      <c r="I168" s="120">
        <f t="shared" si="142"/>
        <v>1</v>
      </c>
      <c r="J168">
        <f>'Residential Normalized'!L168</f>
        <v>0</v>
      </c>
      <c r="K168" s="8">
        <f t="shared" si="202"/>
        <v>492239.451756227</v>
      </c>
      <c r="L168" s="1">
        <f t="shared" ca="1" si="203"/>
        <v>653674.72710152704</v>
      </c>
      <c r="M168" s="1">
        <f t="shared" ca="1" si="204"/>
        <v>11781.915475295584</v>
      </c>
      <c r="N168" s="1">
        <f t="shared" si="205"/>
        <v>2908148.3484387333</v>
      </c>
      <c r="O168" s="1">
        <f t="shared" si="181"/>
        <v>0</v>
      </c>
      <c r="P168" s="1">
        <f t="shared" si="182"/>
        <v>-77441.670344359605</v>
      </c>
      <c r="Q168" s="1">
        <f t="shared" ca="1" si="183"/>
        <v>3988402.7724274234</v>
      </c>
    </row>
    <row r="169" spans="1:17">
      <c r="A169" s="7">
        <v>45992</v>
      </c>
      <c r="B169">
        <f t="shared" si="173"/>
        <v>2025</v>
      </c>
      <c r="C169">
        <f t="shared" si="174"/>
        <v>12</v>
      </c>
      <c r="E169" s="119">
        <f t="shared" ref="E169:F169" ca="1" si="210">E157</f>
        <v>461.6</v>
      </c>
      <c r="F169" s="119">
        <f t="shared" ca="1" si="210"/>
        <v>0</v>
      </c>
      <c r="G169" s="116">
        <f t="shared" si="140"/>
        <v>31</v>
      </c>
      <c r="H169" s="120">
        <f t="shared" si="176"/>
        <v>0</v>
      </c>
      <c r="I169" s="120">
        <f t="shared" si="142"/>
        <v>0</v>
      </c>
      <c r="J169">
        <f>'Residential Normalized'!L169</f>
        <v>0</v>
      </c>
      <c r="K169" s="8">
        <f t="shared" si="202"/>
        <v>492239.451756227</v>
      </c>
      <c r="L169" s="1">
        <f t="shared" ca="1" si="203"/>
        <v>979504.15202098642</v>
      </c>
      <c r="M169" s="1">
        <f t="shared" ca="1" si="204"/>
        <v>0</v>
      </c>
      <c r="N169" s="1">
        <f t="shared" si="205"/>
        <v>3005086.6267200243</v>
      </c>
      <c r="O169" s="1">
        <f t="shared" si="181"/>
        <v>0</v>
      </c>
      <c r="P169" s="1">
        <f t="shared" si="182"/>
        <v>0</v>
      </c>
      <c r="Q169" s="1">
        <f t="shared" ca="1" si="183"/>
        <v>4476830.2304972373</v>
      </c>
    </row>
    <row r="170" spans="1:17">
      <c r="A170" s="7">
        <v>46023</v>
      </c>
      <c r="B170">
        <f t="shared" ref="B170:B193" si="211">YEAR(A170)</f>
        <v>2026</v>
      </c>
      <c r="C170">
        <f t="shared" ref="C170:C193" si="212">MONTH(A170)</f>
        <v>1</v>
      </c>
      <c r="E170" s="119">
        <f t="shared" ref="E170:F170" ca="1" si="213">E158</f>
        <v>572.42999999999995</v>
      </c>
      <c r="F170" s="119">
        <f t="shared" ca="1" si="213"/>
        <v>0</v>
      </c>
      <c r="G170" s="116">
        <f t="shared" si="140"/>
        <v>31</v>
      </c>
      <c r="H170" s="120">
        <f t="shared" ref="H170:H193" si="214">0.5*J170</f>
        <v>0</v>
      </c>
      <c r="I170" s="120">
        <f t="shared" si="142"/>
        <v>0</v>
      </c>
      <c r="J170">
        <f>'Residential Normalized'!L170</f>
        <v>0</v>
      </c>
      <c r="K170" s="8">
        <f t="shared" ref="K170:K179" si="215">$V$10</f>
        <v>492239.451756227</v>
      </c>
      <c r="L170" s="1">
        <f t="shared" ref="L170:L179" ca="1" si="216">E170*$V$11</f>
        <v>1214682.7594050546</v>
      </c>
      <c r="M170" s="1">
        <f t="shared" ref="M170:M179" ca="1" si="217">F170*$V$12</f>
        <v>0</v>
      </c>
      <c r="N170" s="1">
        <f t="shared" ref="N170:N179" si="218">G170*$V$13</f>
        <v>3005086.6267200243</v>
      </c>
      <c r="O170" s="1">
        <f t="shared" ref="O170:O193" si="219">H170*$V$14</f>
        <v>0</v>
      </c>
      <c r="P170" s="1">
        <f t="shared" ref="P170:P193" si="220">I170*$V$15</f>
        <v>0</v>
      </c>
      <c r="Q170" s="1">
        <f t="shared" ref="Q170:Q193" ca="1" si="221">SUM(K170:P170)</f>
        <v>4712008.8378813062</v>
      </c>
    </row>
    <row r="171" spans="1:17">
      <c r="A171" s="7">
        <v>46054</v>
      </c>
      <c r="B171">
        <f t="shared" si="211"/>
        <v>2026</v>
      </c>
      <c r="C171">
        <f t="shared" si="212"/>
        <v>2</v>
      </c>
      <c r="E171" s="119">
        <f t="shared" ref="E171:F171" ca="1" si="222">E159</f>
        <v>525.4</v>
      </c>
      <c r="F171" s="119">
        <f t="shared" ca="1" si="222"/>
        <v>0</v>
      </c>
      <c r="G171" s="116">
        <f t="shared" si="140"/>
        <v>28</v>
      </c>
      <c r="H171" s="120">
        <f t="shared" si="214"/>
        <v>0</v>
      </c>
      <c r="I171" s="120">
        <f t="shared" si="142"/>
        <v>0</v>
      </c>
      <c r="J171">
        <f>'Residential Normalized'!L171</f>
        <v>0</v>
      </c>
      <c r="K171" s="8">
        <f t="shared" si="215"/>
        <v>492239.451756227</v>
      </c>
      <c r="L171" s="1">
        <f t="shared" ca="1" si="216"/>
        <v>1114886.2250256201</v>
      </c>
      <c r="M171" s="1">
        <f t="shared" ca="1" si="217"/>
        <v>0</v>
      </c>
      <c r="N171" s="1">
        <f t="shared" si="218"/>
        <v>2714271.7918761508</v>
      </c>
      <c r="O171" s="1">
        <f t="shared" si="219"/>
        <v>0</v>
      </c>
      <c r="P171" s="1">
        <f t="shared" si="220"/>
        <v>0</v>
      </c>
      <c r="Q171" s="1">
        <f t="shared" ca="1" si="221"/>
        <v>4321397.4686579984</v>
      </c>
    </row>
    <row r="172" spans="1:17">
      <c r="A172" s="7">
        <v>46082</v>
      </c>
      <c r="B172">
        <f t="shared" si="211"/>
        <v>2026</v>
      </c>
      <c r="C172">
        <f t="shared" si="212"/>
        <v>3</v>
      </c>
      <c r="E172" s="119">
        <f t="shared" ref="E172:F172" ca="1" si="223">E160</f>
        <v>437.1</v>
      </c>
      <c r="F172" s="119">
        <f t="shared" ca="1" si="223"/>
        <v>1.4700000000000002</v>
      </c>
      <c r="G172" s="116">
        <f t="shared" si="140"/>
        <v>31</v>
      </c>
      <c r="H172" s="120">
        <f t="shared" si="214"/>
        <v>0</v>
      </c>
      <c r="I172" s="120">
        <f t="shared" si="142"/>
        <v>1</v>
      </c>
      <c r="J172">
        <f>'Residential Normalized'!L172</f>
        <v>0</v>
      </c>
      <c r="K172" s="8">
        <f t="shared" si="215"/>
        <v>492239.451756227</v>
      </c>
      <c r="L172" s="1">
        <f t="shared" ca="1" si="216"/>
        <v>927515.73840635433</v>
      </c>
      <c r="M172" s="1">
        <f t="shared" ca="1" si="217"/>
        <v>4976.8436059438245</v>
      </c>
      <c r="N172" s="1">
        <f t="shared" si="218"/>
        <v>3005086.6267200243</v>
      </c>
      <c r="O172" s="1">
        <f t="shared" si="219"/>
        <v>0</v>
      </c>
      <c r="P172" s="1">
        <f t="shared" si="220"/>
        <v>-77441.670344359605</v>
      </c>
      <c r="Q172" s="1">
        <f t="shared" ca="1" si="221"/>
        <v>4352376.9901441904</v>
      </c>
    </row>
    <row r="173" spans="1:17">
      <c r="A173" s="7">
        <v>46113</v>
      </c>
      <c r="B173">
        <f t="shared" si="211"/>
        <v>2026</v>
      </c>
      <c r="C173">
        <f t="shared" si="212"/>
        <v>4</v>
      </c>
      <c r="E173" s="119">
        <f t="shared" ref="E173:F173" ca="1" si="224">E161</f>
        <v>264.39999999999998</v>
      </c>
      <c r="F173" s="119">
        <f t="shared" ca="1" si="224"/>
        <v>2.58</v>
      </c>
      <c r="G173" s="116">
        <f t="shared" si="140"/>
        <v>30</v>
      </c>
      <c r="H173" s="120">
        <f t="shared" si="214"/>
        <v>0</v>
      </c>
      <c r="I173" s="120">
        <f t="shared" si="142"/>
        <v>1</v>
      </c>
      <c r="J173">
        <f>'Residential Normalized'!L173</f>
        <v>0</v>
      </c>
      <c r="K173" s="8">
        <f t="shared" si="215"/>
        <v>492239.451756227</v>
      </c>
      <c r="L173" s="1">
        <f t="shared" ca="1" si="216"/>
        <v>561050.47182484565</v>
      </c>
      <c r="M173" s="1">
        <f t="shared" ca="1" si="217"/>
        <v>8734.8683696156913</v>
      </c>
      <c r="N173" s="1">
        <f t="shared" si="218"/>
        <v>2908148.3484387333</v>
      </c>
      <c r="O173" s="1">
        <f t="shared" si="219"/>
        <v>0</v>
      </c>
      <c r="P173" s="1">
        <f t="shared" si="220"/>
        <v>-77441.670344359605</v>
      </c>
      <c r="Q173" s="1">
        <f t="shared" ca="1" si="221"/>
        <v>3892731.4700450618</v>
      </c>
    </row>
    <row r="174" spans="1:17">
      <c r="A174" s="7">
        <v>46143</v>
      </c>
      <c r="B174">
        <f t="shared" si="211"/>
        <v>2026</v>
      </c>
      <c r="C174">
        <f t="shared" si="212"/>
        <v>5</v>
      </c>
      <c r="E174" s="119">
        <f t="shared" ref="E174:F174" ca="1" si="225">E162</f>
        <v>95.570000000000007</v>
      </c>
      <c r="F174" s="119">
        <f t="shared" ca="1" si="225"/>
        <v>46.33</v>
      </c>
      <c r="G174" s="116">
        <f t="shared" si="140"/>
        <v>31</v>
      </c>
      <c r="H174" s="120">
        <f t="shared" si="214"/>
        <v>0</v>
      </c>
      <c r="I174" s="120">
        <f t="shared" si="142"/>
        <v>1</v>
      </c>
      <c r="J174">
        <f>'Residential Normalized'!L174</f>
        <v>0</v>
      </c>
      <c r="K174" s="8">
        <f t="shared" si="215"/>
        <v>492239.451756227</v>
      </c>
      <c r="L174" s="1">
        <f t="shared" ca="1" si="216"/>
        <v>202797.25261838318</v>
      </c>
      <c r="M174" s="1">
        <f t="shared" ca="1" si="217"/>
        <v>156855.21378461045</v>
      </c>
      <c r="N174" s="1">
        <f t="shared" si="218"/>
        <v>3005086.6267200243</v>
      </c>
      <c r="O174" s="1">
        <f t="shared" si="219"/>
        <v>0</v>
      </c>
      <c r="P174" s="1">
        <f t="shared" si="220"/>
        <v>-77441.670344359605</v>
      </c>
      <c r="Q174" s="1">
        <f t="shared" ca="1" si="221"/>
        <v>3779536.8745348849</v>
      </c>
    </row>
    <row r="175" spans="1:17">
      <c r="A175" s="7">
        <v>46174</v>
      </c>
      <c r="B175">
        <f t="shared" si="211"/>
        <v>2026</v>
      </c>
      <c r="C175">
        <f t="shared" si="212"/>
        <v>6</v>
      </c>
      <c r="E175" s="119">
        <f t="shared" ref="E175:F175" ca="1" si="226">E163</f>
        <v>11.73</v>
      </c>
      <c r="F175" s="119">
        <f t="shared" ca="1" si="226"/>
        <v>113.05999999999999</v>
      </c>
      <c r="G175" s="116">
        <f t="shared" si="140"/>
        <v>30</v>
      </c>
      <c r="H175" s="120">
        <f t="shared" si="214"/>
        <v>0</v>
      </c>
      <c r="I175" s="120">
        <f t="shared" si="142"/>
        <v>0</v>
      </c>
      <c r="J175">
        <f>'Residential Normalized'!L175</f>
        <v>0</v>
      </c>
      <c r="K175" s="8">
        <f t="shared" si="215"/>
        <v>492239.451756227</v>
      </c>
      <c r="L175" s="1">
        <f t="shared" ca="1" si="216"/>
        <v>24890.779253046298</v>
      </c>
      <c r="M175" s="1">
        <f t="shared" ca="1" si="217"/>
        <v>382776.82863129844</v>
      </c>
      <c r="N175" s="1">
        <f t="shared" si="218"/>
        <v>2908148.3484387333</v>
      </c>
      <c r="O175" s="1">
        <f t="shared" si="219"/>
        <v>0</v>
      </c>
      <c r="P175" s="1">
        <f t="shared" si="220"/>
        <v>0</v>
      </c>
      <c r="Q175" s="1">
        <f t="shared" ca="1" si="221"/>
        <v>3808055.4080793047</v>
      </c>
    </row>
    <row r="176" spans="1:17">
      <c r="A176" s="7">
        <v>46204</v>
      </c>
      <c r="B176">
        <f t="shared" si="211"/>
        <v>2026</v>
      </c>
      <c r="C176">
        <f t="shared" si="212"/>
        <v>7</v>
      </c>
      <c r="E176" s="119">
        <f t="shared" ref="E176:F176" ca="1" si="227">E164</f>
        <v>0</v>
      </c>
      <c r="F176" s="119">
        <f t="shared" ca="1" si="227"/>
        <v>211.26999999999998</v>
      </c>
      <c r="G176" s="116">
        <f t="shared" si="140"/>
        <v>31</v>
      </c>
      <c r="H176" s="120">
        <f t="shared" si="214"/>
        <v>0</v>
      </c>
      <c r="I176" s="120">
        <f t="shared" si="142"/>
        <v>0</v>
      </c>
      <c r="J176">
        <f>'Residential Normalized'!L176</f>
        <v>0</v>
      </c>
      <c r="K176" s="8">
        <f t="shared" si="215"/>
        <v>492239.451756227</v>
      </c>
      <c r="L176" s="1">
        <f t="shared" ca="1" si="216"/>
        <v>0</v>
      </c>
      <c r="M176" s="1">
        <f t="shared" ca="1" si="217"/>
        <v>715277.38001887861</v>
      </c>
      <c r="N176" s="1">
        <f t="shared" si="218"/>
        <v>3005086.6267200243</v>
      </c>
      <c r="O176" s="1">
        <f t="shared" si="219"/>
        <v>0</v>
      </c>
      <c r="P176" s="1">
        <f t="shared" si="220"/>
        <v>0</v>
      </c>
      <c r="Q176" s="1">
        <f t="shared" ca="1" si="221"/>
        <v>4212603.4584951298</v>
      </c>
    </row>
    <row r="177" spans="1:17">
      <c r="A177" s="7">
        <v>46235</v>
      </c>
      <c r="B177">
        <f t="shared" si="211"/>
        <v>2026</v>
      </c>
      <c r="C177">
        <f t="shared" si="212"/>
        <v>8</v>
      </c>
      <c r="E177" s="119">
        <f t="shared" ref="E177:F177" ca="1" si="228">E165</f>
        <v>0.13</v>
      </c>
      <c r="F177" s="119">
        <f t="shared" ca="1" si="228"/>
        <v>198.38000000000002</v>
      </c>
      <c r="G177" s="116">
        <f t="shared" si="140"/>
        <v>31</v>
      </c>
      <c r="H177" s="120">
        <f t="shared" si="214"/>
        <v>0</v>
      </c>
      <c r="I177" s="120">
        <f t="shared" si="142"/>
        <v>0</v>
      </c>
      <c r="J177">
        <f>'Residential Normalized'!L177</f>
        <v>0</v>
      </c>
      <c r="K177" s="8">
        <f t="shared" si="215"/>
        <v>492239.451756227</v>
      </c>
      <c r="L177" s="1">
        <f t="shared" ca="1" si="216"/>
        <v>275.85688856743553</v>
      </c>
      <c r="M177" s="1">
        <f t="shared" ca="1" si="217"/>
        <v>671636.89424975228</v>
      </c>
      <c r="N177" s="1">
        <f t="shared" si="218"/>
        <v>3005086.6267200243</v>
      </c>
      <c r="O177" s="1">
        <f t="shared" si="219"/>
        <v>0</v>
      </c>
      <c r="P177" s="1">
        <f t="shared" si="220"/>
        <v>0</v>
      </c>
      <c r="Q177" s="1">
        <f t="shared" ca="1" si="221"/>
        <v>4169238.8296145713</v>
      </c>
    </row>
    <row r="178" spans="1:17">
      <c r="A178" s="7">
        <v>46266</v>
      </c>
      <c r="B178">
        <f t="shared" si="211"/>
        <v>2026</v>
      </c>
      <c r="C178">
        <f t="shared" si="212"/>
        <v>9</v>
      </c>
      <c r="E178" s="119">
        <f t="shared" ref="E178:F178" ca="1" si="229">E166</f>
        <v>16.16</v>
      </c>
      <c r="F178" s="119">
        <f t="shared" ca="1" si="229"/>
        <v>100.94000000000001</v>
      </c>
      <c r="G178" s="116">
        <f t="shared" si="140"/>
        <v>30</v>
      </c>
      <c r="H178" s="120">
        <f t="shared" si="214"/>
        <v>0</v>
      </c>
      <c r="I178" s="120">
        <f t="shared" si="142"/>
        <v>1</v>
      </c>
      <c r="J178">
        <f>'Residential Normalized'!L178</f>
        <v>0</v>
      </c>
      <c r="K178" s="8">
        <f t="shared" si="215"/>
        <v>492239.451756227</v>
      </c>
      <c r="L178" s="1">
        <f t="shared" ca="1" si="216"/>
        <v>34291.133224998135</v>
      </c>
      <c r="M178" s="1">
        <f t="shared" ca="1" si="217"/>
        <v>341743.26094147592</v>
      </c>
      <c r="N178" s="1">
        <f t="shared" si="218"/>
        <v>2908148.3484387333</v>
      </c>
      <c r="O178" s="1">
        <f t="shared" si="219"/>
        <v>0</v>
      </c>
      <c r="P178" s="1">
        <f t="shared" si="220"/>
        <v>-77441.670344359605</v>
      </c>
      <c r="Q178" s="1">
        <f t="shared" ca="1" si="221"/>
        <v>3698980.5240170746</v>
      </c>
    </row>
    <row r="179" spans="1:17">
      <c r="A179" s="7">
        <v>46296</v>
      </c>
      <c r="B179">
        <f t="shared" si="211"/>
        <v>2026</v>
      </c>
      <c r="C179">
        <f t="shared" si="212"/>
        <v>10</v>
      </c>
      <c r="E179" s="119">
        <f t="shared" ref="E179:F179" ca="1" si="230">E167</f>
        <v>124.66000000000001</v>
      </c>
      <c r="F179" s="119">
        <f t="shared" ca="1" si="230"/>
        <v>24.5</v>
      </c>
      <c r="G179" s="116">
        <f t="shared" si="140"/>
        <v>31</v>
      </c>
      <c r="H179" s="120">
        <f t="shared" si="214"/>
        <v>0</v>
      </c>
      <c r="I179" s="120">
        <f t="shared" si="142"/>
        <v>1</v>
      </c>
      <c r="J179">
        <f>'Residential Normalized'!L179</f>
        <v>0</v>
      </c>
      <c r="K179" s="8">
        <f t="shared" si="215"/>
        <v>492239.451756227</v>
      </c>
      <c r="L179" s="1">
        <f t="shared" ca="1" si="216"/>
        <v>264525.53637551161</v>
      </c>
      <c r="M179" s="1">
        <f t="shared" ca="1" si="217"/>
        <v>82947.393432397061</v>
      </c>
      <c r="N179" s="1">
        <f t="shared" si="218"/>
        <v>3005086.6267200243</v>
      </c>
      <c r="O179" s="1">
        <f t="shared" si="219"/>
        <v>0</v>
      </c>
      <c r="P179" s="1">
        <f t="shared" si="220"/>
        <v>-77441.670344359605</v>
      </c>
      <c r="Q179" s="1">
        <f t="shared" ca="1" si="221"/>
        <v>3767357.3379398002</v>
      </c>
    </row>
    <row r="180" spans="1:17">
      <c r="A180" s="7">
        <v>46327</v>
      </c>
      <c r="B180">
        <f t="shared" si="211"/>
        <v>2026</v>
      </c>
      <c r="C180">
        <f t="shared" si="212"/>
        <v>11</v>
      </c>
      <c r="E180" s="119">
        <f t="shared" ref="E180:F180" ca="1" si="231">E168</f>
        <v>308.05</v>
      </c>
      <c r="F180" s="119">
        <f t="shared" ca="1" si="231"/>
        <v>3.4800000000000004</v>
      </c>
      <c r="G180" s="116">
        <f t="shared" si="140"/>
        <v>30</v>
      </c>
      <c r="H180" s="120">
        <f t="shared" si="214"/>
        <v>0</v>
      </c>
      <c r="I180" s="120">
        <f t="shared" si="142"/>
        <v>1</v>
      </c>
      <c r="J180">
        <f>'Residential Normalized'!L180</f>
        <v>0</v>
      </c>
      <c r="K180" s="8">
        <f t="shared" ref="K180:K185" si="232">$V$10</f>
        <v>492239.451756227</v>
      </c>
      <c r="L180" s="1">
        <f t="shared" ref="L180:L185" ca="1" si="233">E180*$V$11</f>
        <v>653674.72710152704</v>
      </c>
      <c r="M180" s="1">
        <f t="shared" ref="M180:M185" ca="1" si="234">F180*$V$12</f>
        <v>11781.915475295584</v>
      </c>
      <c r="N180" s="1">
        <f t="shared" ref="N180:N185" si="235">G180*$V$13</f>
        <v>2908148.3484387333</v>
      </c>
      <c r="O180" s="1">
        <f t="shared" si="219"/>
        <v>0</v>
      </c>
      <c r="P180" s="1">
        <f t="shared" si="220"/>
        <v>-77441.670344359605</v>
      </c>
      <c r="Q180" s="1">
        <f t="shared" ca="1" si="221"/>
        <v>3988402.7724274234</v>
      </c>
    </row>
    <row r="181" spans="1:17">
      <c r="A181" s="7">
        <v>46357</v>
      </c>
      <c r="B181">
        <f t="shared" si="211"/>
        <v>2026</v>
      </c>
      <c r="C181">
        <f t="shared" si="212"/>
        <v>12</v>
      </c>
      <c r="E181" s="119">
        <f t="shared" ref="E181:F181" ca="1" si="236">E169</f>
        <v>461.6</v>
      </c>
      <c r="F181" s="119">
        <f t="shared" ca="1" si="236"/>
        <v>0</v>
      </c>
      <c r="G181" s="116">
        <f t="shared" si="140"/>
        <v>31</v>
      </c>
      <c r="H181" s="120">
        <f t="shared" si="214"/>
        <v>0</v>
      </c>
      <c r="I181" s="120">
        <f t="shared" si="142"/>
        <v>0</v>
      </c>
      <c r="J181">
        <f>'Residential Normalized'!L181</f>
        <v>0</v>
      </c>
      <c r="K181" s="8">
        <f t="shared" si="232"/>
        <v>492239.451756227</v>
      </c>
      <c r="L181" s="1">
        <f t="shared" ca="1" si="233"/>
        <v>979504.15202098642</v>
      </c>
      <c r="M181" s="1">
        <f t="shared" ca="1" si="234"/>
        <v>0</v>
      </c>
      <c r="N181" s="1">
        <f t="shared" si="235"/>
        <v>3005086.6267200243</v>
      </c>
      <c r="O181" s="1">
        <f t="shared" si="219"/>
        <v>0</v>
      </c>
      <c r="P181" s="1">
        <f t="shared" si="220"/>
        <v>0</v>
      </c>
      <c r="Q181" s="1">
        <f t="shared" ca="1" si="221"/>
        <v>4476830.2304972373</v>
      </c>
    </row>
    <row r="182" spans="1:17">
      <c r="A182" s="7">
        <v>46388</v>
      </c>
      <c r="B182">
        <f t="shared" si="211"/>
        <v>2027</v>
      </c>
      <c r="C182">
        <f t="shared" si="212"/>
        <v>1</v>
      </c>
      <c r="E182" s="119">
        <f t="shared" ref="E182:F182" ca="1" si="237">E170</f>
        <v>572.42999999999995</v>
      </c>
      <c r="F182" s="119">
        <f t="shared" ca="1" si="237"/>
        <v>0</v>
      </c>
      <c r="G182" s="116">
        <f t="shared" si="140"/>
        <v>31</v>
      </c>
      <c r="H182" s="120">
        <f t="shared" si="214"/>
        <v>0</v>
      </c>
      <c r="I182" s="120">
        <f t="shared" si="142"/>
        <v>0</v>
      </c>
      <c r="J182">
        <f>'Residential Normalized'!L182</f>
        <v>0</v>
      </c>
      <c r="K182" s="8">
        <f t="shared" si="232"/>
        <v>492239.451756227</v>
      </c>
      <c r="L182" s="1">
        <f t="shared" ca="1" si="233"/>
        <v>1214682.7594050546</v>
      </c>
      <c r="M182" s="1">
        <f t="shared" ca="1" si="234"/>
        <v>0</v>
      </c>
      <c r="N182" s="1">
        <f t="shared" si="235"/>
        <v>3005086.6267200243</v>
      </c>
      <c r="O182" s="1">
        <f t="shared" si="219"/>
        <v>0</v>
      </c>
      <c r="P182" s="1">
        <f t="shared" si="220"/>
        <v>0</v>
      </c>
      <c r="Q182" s="1">
        <f t="shared" ca="1" si="221"/>
        <v>4712008.8378813062</v>
      </c>
    </row>
    <row r="183" spans="1:17">
      <c r="A183" s="7">
        <v>46419</v>
      </c>
      <c r="B183">
        <f t="shared" si="211"/>
        <v>2027</v>
      </c>
      <c r="C183">
        <f t="shared" si="212"/>
        <v>2</v>
      </c>
      <c r="E183" s="119">
        <f t="shared" ref="E183:F183" ca="1" si="238">E171</f>
        <v>525.4</v>
      </c>
      <c r="F183" s="119">
        <f t="shared" ca="1" si="238"/>
        <v>0</v>
      </c>
      <c r="G183" s="116">
        <f t="shared" ref="G183:G193" si="239">G135</f>
        <v>28</v>
      </c>
      <c r="H183" s="120">
        <f t="shared" si="214"/>
        <v>0</v>
      </c>
      <c r="I183" s="120">
        <f t="shared" si="142"/>
        <v>0</v>
      </c>
      <c r="J183">
        <f>'Residential Normalized'!L183</f>
        <v>0</v>
      </c>
      <c r="K183" s="8">
        <f t="shared" si="232"/>
        <v>492239.451756227</v>
      </c>
      <c r="L183" s="1">
        <f t="shared" ca="1" si="233"/>
        <v>1114886.2250256201</v>
      </c>
      <c r="M183" s="1">
        <f t="shared" ca="1" si="234"/>
        <v>0</v>
      </c>
      <c r="N183" s="1">
        <f t="shared" si="235"/>
        <v>2714271.7918761508</v>
      </c>
      <c r="O183" s="1">
        <f t="shared" si="219"/>
        <v>0</v>
      </c>
      <c r="P183" s="1">
        <f t="shared" si="220"/>
        <v>0</v>
      </c>
      <c r="Q183" s="1">
        <f t="shared" ca="1" si="221"/>
        <v>4321397.4686579984</v>
      </c>
    </row>
    <row r="184" spans="1:17">
      <c r="A184" s="7">
        <v>46447</v>
      </c>
      <c r="B184">
        <f t="shared" si="211"/>
        <v>2027</v>
      </c>
      <c r="C184">
        <f t="shared" si="212"/>
        <v>3</v>
      </c>
      <c r="E184" s="119">
        <f t="shared" ref="E184:F184" ca="1" si="240">E172</f>
        <v>437.1</v>
      </c>
      <c r="F184" s="119">
        <f t="shared" ca="1" si="240"/>
        <v>1.4700000000000002</v>
      </c>
      <c r="G184" s="116">
        <f t="shared" si="239"/>
        <v>31</v>
      </c>
      <c r="H184" s="120">
        <f t="shared" si="214"/>
        <v>0</v>
      </c>
      <c r="I184" s="120">
        <f t="shared" ref="I184:I193" si="241">I172</f>
        <v>1</v>
      </c>
      <c r="J184">
        <f>'Residential Normalized'!L184</f>
        <v>0</v>
      </c>
      <c r="K184" s="8">
        <f t="shared" si="232"/>
        <v>492239.451756227</v>
      </c>
      <c r="L184" s="1">
        <f t="shared" ca="1" si="233"/>
        <v>927515.73840635433</v>
      </c>
      <c r="M184" s="1">
        <f t="shared" ca="1" si="234"/>
        <v>4976.8436059438245</v>
      </c>
      <c r="N184" s="1">
        <f t="shared" si="235"/>
        <v>3005086.6267200243</v>
      </c>
      <c r="O184" s="1">
        <f t="shared" si="219"/>
        <v>0</v>
      </c>
      <c r="P184" s="1">
        <f t="shared" si="220"/>
        <v>-77441.670344359605</v>
      </c>
      <c r="Q184" s="1">
        <f t="shared" ca="1" si="221"/>
        <v>4352376.9901441904</v>
      </c>
    </row>
    <row r="185" spans="1:17">
      <c r="A185" s="7">
        <v>46478</v>
      </c>
      <c r="B185">
        <f t="shared" si="211"/>
        <v>2027</v>
      </c>
      <c r="C185">
        <f t="shared" si="212"/>
        <v>4</v>
      </c>
      <c r="E185" s="119">
        <f t="shared" ref="E185:F185" ca="1" si="242">E173</f>
        <v>264.39999999999998</v>
      </c>
      <c r="F185" s="119">
        <f t="shared" ca="1" si="242"/>
        <v>2.58</v>
      </c>
      <c r="G185" s="116">
        <f t="shared" si="239"/>
        <v>30</v>
      </c>
      <c r="H185" s="120">
        <f t="shared" si="214"/>
        <v>0</v>
      </c>
      <c r="I185" s="120">
        <f t="shared" si="241"/>
        <v>1</v>
      </c>
      <c r="J185">
        <f>'Residential Normalized'!L185</f>
        <v>0</v>
      </c>
      <c r="K185" s="8">
        <f t="shared" si="232"/>
        <v>492239.451756227</v>
      </c>
      <c r="L185" s="1">
        <f t="shared" ca="1" si="233"/>
        <v>561050.47182484565</v>
      </c>
      <c r="M185" s="1">
        <f t="shared" ca="1" si="234"/>
        <v>8734.8683696156913</v>
      </c>
      <c r="N185" s="1">
        <f t="shared" si="235"/>
        <v>2908148.3484387333</v>
      </c>
      <c r="O185" s="1">
        <f t="shared" si="219"/>
        <v>0</v>
      </c>
      <c r="P185" s="1">
        <f t="shared" si="220"/>
        <v>-77441.670344359605</v>
      </c>
      <c r="Q185" s="1">
        <f t="shared" ca="1" si="221"/>
        <v>3892731.4700450618</v>
      </c>
    </row>
    <row r="186" spans="1:17">
      <c r="A186" s="7">
        <v>46508</v>
      </c>
      <c r="B186">
        <f t="shared" si="211"/>
        <v>2027</v>
      </c>
      <c r="C186">
        <f t="shared" si="212"/>
        <v>5</v>
      </c>
      <c r="E186" s="119">
        <f t="shared" ref="E186:F186" ca="1" si="243">E174</f>
        <v>95.570000000000007</v>
      </c>
      <c r="F186" s="119">
        <f t="shared" ca="1" si="243"/>
        <v>46.33</v>
      </c>
      <c r="G186" s="116">
        <f t="shared" si="239"/>
        <v>31</v>
      </c>
      <c r="H186" s="120">
        <f t="shared" si="214"/>
        <v>0</v>
      </c>
      <c r="I186" s="120">
        <f t="shared" si="241"/>
        <v>1</v>
      </c>
      <c r="J186">
        <f>'Residential Normalized'!L186</f>
        <v>0</v>
      </c>
      <c r="K186" s="8">
        <f t="shared" ref="K186:K193" si="244">$V$10</f>
        <v>492239.451756227</v>
      </c>
      <c r="L186" s="1">
        <f t="shared" ref="L186:L193" ca="1" si="245">E186*$V$11</f>
        <v>202797.25261838318</v>
      </c>
      <c r="M186" s="1">
        <f t="shared" ref="M186:M193" ca="1" si="246">F186*$V$12</f>
        <v>156855.21378461045</v>
      </c>
      <c r="N186" s="1">
        <f t="shared" ref="N186:N193" si="247">G186*$V$13</f>
        <v>3005086.6267200243</v>
      </c>
      <c r="O186" s="1">
        <f t="shared" si="219"/>
        <v>0</v>
      </c>
      <c r="P186" s="1">
        <f t="shared" si="220"/>
        <v>-77441.670344359605</v>
      </c>
      <c r="Q186" s="1">
        <f t="shared" ca="1" si="221"/>
        <v>3779536.8745348849</v>
      </c>
    </row>
    <row r="187" spans="1:17">
      <c r="A187" s="7">
        <v>46539</v>
      </c>
      <c r="B187">
        <f t="shared" si="211"/>
        <v>2027</v>
      </c>
      <c r="C187">
        <f t="shared" si="212"/>
        <v>6</v>
      </c>
      <c r="E187" s="119">
        <f t="shared" ref="E187:F187" ca="1" si="248">E175</f>
        <v>11.73</v>
      </c>
      <c r="F187" s="119">
        <f t="shared" ca="1" si="248"/>
        <v>113.05999999999999</v>
      </c>
      <c r="G187" s="116">
        <f t="shared" si="239"/>
        <v>30</v>
      </c>
      <c r="H187" s="120">
        <f t="shared" si="214"/>
        <v>0</v>
      </c>
      <c r="I187" s="120">
        <f t="shared" si="241"/>
        <v>0</v>
      </c>
      <c r="J187">
        <f>'Residential Normalized'!L187</f>
        <v>0</v>
      </c>
      <c r="K187" s="8">
        <f t="shared" si="244"/>
        <v>492239.451756227</v>
      </c>
      <c r="L187" s="1">
        <f t="shared" ca="1" si="245"/>
        <v>24890.779253046298</v>
      </c>
      <c r="M187" s="1">
        <f t="shared" ca="1" si="246"/>
        <v>382776.82863129844</v>
      </c>
      <c r="N187" s="1">
        <f t="shared" si="247"/>
        <v>2908148.3484387333</v>
      </c>
      <c r="O187" s="1">
        <f t="shared" si="219"/>
        <v>0</v>
      </c>
      <c r="P187" s="1">
        <f t="shared" si="220"/>
        <v>0</v>
      </c>
      <c r="Q187" s="1">
        <f t="shared" ca="1" si="221"/>
        <v>3808055.4080793047</v>
      </c>
    </row>
    <row r="188" spans="1:17">
      <c r="A188" s="7">
        <v>46569</v>
      </c>
      <c r="B188">
        <f t="shared" si="211"/>
        <v>2027</v>
      </c>
      <c r="C188">
        <f t="shared" si="212"/>
        <v>7</v>
      </c>
      <c r="E188" s="119">
        <f t="shared" ref="E188:F188" ca="1" si="249">E176</f>
        <v>0</v>
      </c>
      <c r="F188" s="119">
        <f t="shared" ca="1" si="249"/>
        <v>211.26999999999998</v>
      </c>
      <c r="G188" s="116">
        <f t="shared" si="239"/>
        <v>31</v>
      </c>
      <c r="H188" s="120">
        <f t="shared" si="214"/>
        <v>0</v>
      </c>
      <c r="I188" s="120">
        <f t="shared" si="241"/>
        <v>0</v>
      </c>
      <c r="J188">
        <f>'Residential Normalized'!L188</f>
        <v>0</v>
      </c>
      <c r="K188" s="8">
        <f t="shared" si="244"/>
        <v>492239.451756227</v>
      </c>
      <c r="L188" s="1">
        <f t="shared" ca="1" si="245"/>
        <v>0</v>
      </c>
      <c r="M188" s="1">
        <f t="shared" ca="1" si="246"/>
        <v>715277.38001887861</v>
      </c>
      <c r="N188" s="1">
        <f t="shared" si="247"/>
        <v>3005086.6267200243</v>
      </c>
      <c r="O188" s="1">
        <f t="shared" si="219"/>
        <v>0</v>
      </c>
      <c r="P188" s="1">
        <f t="shared" si="220"/>
        <v>0</v>
      </c>
      <c r="Q188" s="1">
        <f t="shared" ca="1" si="221"/>
        <v>4212603.4584951298</v>
      </c>
    </row>
    <row r="189" spans="1:17">
      <c r="A189" s="7">
        <v>46600</v>
      </c>
      <c r="B189">
        <f t="shared" si="211"/>
        <v>2027</v>
      </c>
      <c r="C189">
        <f t="shared" si="212"/>
        <v>8</v>
      </c>
      <c r="E189" s="119">
        <f t="shared" ref="E189:F189" ca="1" si="250">E177</f>
        <v>0.13</v>
      </c>
      <c r="F189" s="119">
        <f t="shared" ca="1" si="250"/>
        <v>198.38000000000002</v>
      </c>
      <c r="G189" s="116">
        <f t="shared" si="239"/>
        <v>31</v>
      </c>
      <c r="H189" s="120">
        <f t="shared" si="214"/>
        <v>0</v>
      </c>
      <c r="I189" s="120">
        <f t="shared" si="241"/>
        <v>0</v>
      </c>
      <c r="J189">
        <f>'Residential Normalized'!L189</f>
        <v>0</v>
      </c>
      <c r="K189" s="8">
        <f t="shared" si="244"/>
        <v>492239.451756227</v>
      </c>
      <c r="L189" s="1">
        <f t="shared" ca="1" si="245"/>
        <v>275.85688856743553</v>
      </c>
      <c r="M189" s="1">
        <f t="shared" ca="1" si="246"/>
        <v>671636.89424975228</v>
      </c>
      <c r="N189" s="1">
        <f t="shared" si="247"/>
        <v>3005086.6267200243</v>
      </c>
      <c r="O189" s="1">
        <f t="shared" si="219"/>
        <v>0</v>
      </c>
      <c r="P189" s="1">
        <f t="shared" si="220"/>
        <v>0</v>
      </c>
      <c r="Q189" s="1">
        <f t="shared" ca="1" si="221"/>
        <v>4169238.8296145713</v>
      </c>
    </row>
    <row r="190" spans="1:17">
      <c r="A190" s="7">
        <v>46631</v>
      </c>
      <c r="B190">
        <f t="shared" si="211"/>
        <v>2027</v>
      </c>
      <c r="C190">
        <f t="shared" si="212"/>
        <v>9</v>
      </c>
      <c r="E190" s="119">
        <f t="shared" ref="E190:F190" ca="1" si="251">E178</f>
        <v>16.16</v>
      </c>
      <c r="F190" s="119">
        <f t="shared" ca="1" si="251"/>
        <v>100.94000000000001</v>
      </c>
      <c r="G190" s="116">
        <f t="shared" si="239"/>
        <v>30</v>
      </c>
      <c r="H190" s="120">
        <f t="shared" si="214"/>
        <v>0</v>
      </c>
      <c r="I190" s="120">
        <f t="shared" si="241"/>
        <v>1</v>
      </c>
      <c r="J190">
        <f>'Residential Normalized'!L190</f>
        <v>0</v>
      </c>
      <c r="K190" s="8">
        <f t="shared" si="244"/>
        <v>492239.451756227</v>
      </c>
      <c r="L190" s="1">
        <f t="shared" ca="1" si="245"/>
        <v>34291.133224998135</v>
      </c>
      <c r="M190" s="1">
        <f t="shared" ca="1" si="246"/>
        <v>341743.26094147592</v>
      </c>
      <c r="N190" s="1">
        <f t="shared" si="247"/>
        <v>2908148.3484387333</v>
      </c>
      <c r="O190" s="1">
        <f t="shared" si="219"/>
        <v>0</v>
      </c>
      <c r="P190" s="1">
        <f t="shared" si="220"/>
        <v>-77441.670344359605</v>
      </c>
      <c r="Q190" s="1">
        <f t="shared" ca="1" si="221"/>
        <v>3698980.5240170746</v>
      </c>
    </row>
    <row r="191" spans="1:17">
      <c r="A191" s="7">
        <v>46661</v>
      </c>
      <c r="B191">
        <f t="shared" si="211"/>
        <v>2027</v>
      </c>
      <c r="C191">
        <f t="shared" si="212"/>
        <v>10</v>
      </c>
      <c r="E191" s="119">
        <f t="shared" ref="E191:F191" ca="1" si="252">E179</f>
        <v>124.66000000000001</v>
      </c>
      <c r="F191" s="119">
        <f t="shared" ca="1" si="252"/>
        <v>24.5</v>
      </c>
      <c r="G191" s="116">
        <f t="shared" si="239"/>
        <v>31</v>
      </c>
      <c r="H191" s="120">
        <f t="shared" si="214"/>
        <v>0</v>
      </c>
      <c r="I191" s="120">
        <f t="shared" si="241"/>
        <v>1</v>
      </c>
      <c r="J191">
        <f>'Residential Normalized'!L191</f>
        <v>0</v>
      </c>
      <c r="K191" s="8">
        <f t="shared" si="244"/>
        <v>492239.451756227</v>
      </c>
      <c r="L191" s="1">
        <f t="shared" ca="1" si="245"/>
        <v>264525.53637551161</v>
      </c>
      <c r="M191" s="1">
        <f t="shared" ca="1" si="246"/>
        <v>82947.393432397061</v>
      </c>
      <c r="N191" s="1">
        <f t="shared" si="247"/>
        <v>3005086.6267200243</v>
      </c>
      <c r="O191" s="1">
        <f t="shared" si="219"/>
        <v>0</v>
      </c>
      <c r="P191" s="1">
        <f t="shared" si="220"/>
        <v>-77441.670344359605</v>
      </c>
      <c r="Q191" s="1">
        <f t="shared" ca="1" si="221"/>
        <v>3767357.3379398002</v>
      </c>
    </row>
    <row r="192" spans="1:17">
      <c r="A192" s="7">
        <v>46692</v>
      </c>
      <c r="B192">
        <f t="shared" si="211"/>
        <v>2027</v>
      </c>
      <c r="C192">
        <f t="shared" si="212"/>
        <v>11</v>
      </c>
      <c r="E192" s="119">
        <f t="shared" ref="E192:F192" ca="1" si="253">E180</f>
        <v>308.05</v>
      </c>
      <c r="F192" s="119">
        <f t="shared" ca="1" si="253"/>
        <v>3.4800000000000004</v>
      </c>
      <c r="G192" s="116">
        <f t="shared" si="239"/>
        <v>30</v>
      </c>
      <c r="H192" s="120">
        <f t="shared" si="214"/>
        <v>0</v>
      </c>
      <c r="I192" s="120">
        <f t="shared" si="241"/>
        <v>1</v>
      </c>
      <c r="J192">
        <f>'Residential Normalized'!L192</f>
        <v>0</v>
      </c>
      <c r="K192" s="8">
        <f t="shared" si="244"/>
        <v>492239.451756227</v>
      </c>
      <c r="L192" s="1">
        <f t="shared" ca="1" si="245"/>
        <v>653674.72710152704</v>
      </c>
      <c r="M192" s="1">
        <f t="shared" ca="1" si="246"/>
        <v>11781.915475295584</v>
      </c>
      <c r="N192" s="1">
        <f t="shared" si="247"/>
        <v>2908148.3484387333</v>
      </c>
      <c r="O192" s="1">
        <f t="shared" si="219"/>
        <v>0</v>
      </c>
      <c r="P192" s="1">
        <f t="shared" si="220"/>
        <v>-77441.670344359605</v>
      </c>
      <c r="Q192" s="1">
        <f t="shared" ca="1" si="221"/>
        <v>3988402.7724274234</v>
      </c>
    </row>
    <row r="193" spans="1:17">
      <c r="A193" s="7">
        <v>46722</v>
      </c>
      <c r="B193">
        <f t="shared" si="211"/>
        <v>2027</v>
      </c>
      <c r="C193">
        <f t="shared" si="212"/>
        <v>12</v>
      </c>
      <c r="E193" s="119">
        <f t="shared" ref="E193:F193" ca="1" si="254">E181</f>
        <v>461.6</v>
      </c>
      <c r="F193" s="119">
        <f t="shared" ca="1" si="254"/>
        <v>0</v>
      </c>
      <c r="G193" s="116">
        <f t="shared" si="239"/>
        <v>31</v>
      </c>
      <c r="H193" s="120">
        <f t="shared" si="214"/>
        <v>0</v>
      </c>
      <c r="I193" s="120">
        <f t="shared" si="241"/>
        <v>0</v>
      </c>
      <c r="J193">
        <f>'Residential Normalized'!L193</f>
        <v>0</v>
      </c>
      <c r="K193" s="8">
        <f t="shared" si="244"/>
        <v>492239.451756227</v>
      </c>
      <c r="L193" s="1">
        <f t="shared" ca="1" si="245"/>
        <v>979504.15202098642</v>
      </c>
      <c r="M193" s="1">
        <f t="shared" ca="1" si="246"/>
        <v>0</v>
      </c>
      <c r="N193" s="1">
        <f t="shared" si="247"/>
        <v>3005086.6267200243</v>
      </c>
      <c r="O193" s="1">
        <f t="shared" si="219"/>
        <v>0</v>
      </c>
      <c r="P193" s="1">
        <f t="shared" si="220"/>
        <v>0</v>
      </c>
      <c r="Q193" s="1">
        <f t="shared" ca="1" si="221"/>
        <v>4476830.2304972373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R13" workbookViewId="0">
      <selection activeCell="AL22" sqref="AL22"/>
    </sheetView>
  </sheetViews>
  <sheetFormatPr defaultRowHeight="12.75"/>
  <cols>
    <col min="4" max="4" width="14" bestFit="1" customWidth="1"/>
    <col min="5" max="9" width="9.28515625" bestFit="1" customWidth="1"/>
    <col min="11" max="11" width="12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4.28515625" customWidth="1"/>
    <col min="17" max="17" width="11.85546875" bestFit="1" customWidth="1"/>
    <col min="18" max="20" width="11.85546875" customWidth="1"/>
    <col min="21" max="21" width="13.42578125" bestFit="1" customWidth="1"/>
    <col min="25" max="25" width="13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9" t="str">
        <f>Dataset!BL1</f>
        <v>COVID2020</v>
      </c>
      <c r="I1" s="109" t="str">
        <f>Dataset!BF1</f>
        <v>Dec</v>
      </c>
      <c r="J1" s="109" t="str">
        <f>Dataset!BM1</f>
        <v>D_2012</v>
      </c>
      <c r="K1" s="109" t="str">
        <f>Dataset!AM1</f>
        <v>OntarioGDP</v>
      </c>
      <c r="L1" s="109"/>
      <c r="M1" t="str">
        <f>Y10</f>
        <v>const</v>
      </c>
      <c r="N1" t="str">
        <f>E1</f>
        <v>HDD16</v>
      </c>
      <c r="O1" t="str">
        <f>F1</f>
        <v>CDD18</v>
      </c>
      <c r="P1" t="str">
        <f>G1</f>
        <v>MonthDays</v>
      </c>
      <c r="Q1" t="str">
        <f>H1</f>
        <v>COVID2020</v>
      </c>
      <c r="R1" s="109" t="str">
        <f>I1</f>
        <v>Dec</v>
      </c>
      <c r="S1" s="109" t="str">
        <f t="shared" ref="S1:T1" si="0">J1</f>
        <v>D_2012</v>
      </c>
      <c r="T1" s="109" t="str">
        <f t="shared" si="0"/>
        <v>OntarioGDP</v>
      </c>
      <c r="U1" s="38" t="s">
        <v>138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>
        <f>Dataset!L2</f>
        <v>13028469.689601466</v>
      </c>
      <c r="E2" s="118">
        <f ca="1">Weather!BP61</f>
        <v>634.42999999999995</v>
      </c>
      <c r="F2" s="118">
        <f ca="1">Weather!BC61</f>
        <v>0</v>
      </c>
      <c r="G2" s="8">
        <f>Dataset!AR2</f>
        <v>31</v>
      </c>
      <c r="H2" s="109">
        <f>Dataset!BL2</f>
        <v>0</v>
      </c>
      <c r="I2" s="109">
        <f>Dataset!BL2</f>
        <v>0</v>
      </c>
      <c r="J2" s="109">
        <f>Dataset!BM2</f>
        <v>1</v>
      </c>
      <c r="K2" s="109">
        <f>Dataset!AM2</f>
        <v>634944.30000000005</v>
      </c>
      <c r="L2" s="109"/>
      <c r="M2" s="8">
        <f t="shared" ref="M2:M33" si="1">$Z$10</f>
        <v>-4934593.1922812499</v>
      </c>
      <c r="N2" s="1">
        <f t="shared" ref="N2:N33" ca="1" si="2">E2*$Z$11</f>
        <v>1120687.901938929</v>
      </c>
      <c r="O2" s="1">
        <f t="shared" ref="O2:O33" ca="1" si="3">F2*$Z$12</f>
        <v>0</v>
      </c>
      <c r="P2" s="1">
        <f>G2*$Z$13</f>
        <v>7637807.3998190295</v>
      </c>
      <c r="Q2" s="1">
        <f>H2*$Z$14</f>
        <v>0</v>
      </c>
      <c r="R2" s="1">
        <f>I2*$Z$15</f>
        <v>0</v>
      </c>
      <c r="S2" s="1">
        <f>J2*$Z$16</f>
        <v>2046599.52272436</v>
      </c>
      <c r="T2" s="1">
        <f>K2*$Z$17</f>
        <v>6909322.1276532635</v>
      </c>
      <c r="U2" s="1">
        <f ca="1">SUM(M2:T2)</f>
        <v>12779823.759854332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>
        <f>Dataset!L3</f>
        <v>12549495.03305329</v>
      </c>
      <c r="E3" s="118">
        <f ca="1">Weather!BP62</f>
        <v>582</v>
      </c>
      <c r="F3" s="118">
        <f ca="1">Weather!BC62</f>
        <v>0</v>
      </c>
      <c r="G3" s="8">
        <f>Dataset!AR3</f>
        <v>29</v>
      </c>
      <c r="H3" s="109">
        <f>Dataset!BL3</f>
        <v>0</v>
      </c>
      <c r="I3" s="109">
        <f>Dataset!BL3</f>
        <v>0</v>
      </c>
      <c r="J3" s="109">
        <f>Dataset!BM3</f>
        <v>1</v>
      </c>
      <c r="K3" s="109">
        <f>Dataset!AM3</f>
        <v>634944.30000000005</v>
      </c>
      <c r="L3" s="109"/>
      <c r="M3" s="8">
        <f t="shared" si="1"/>
        <v>-4934593.1922812499</v>
      </c>
      <c r="N3" s="1">
        <f t="shared" ca="1" si="2"/>
        <v>1028073.0087298153</v>
      </c>
      <c r="O3" s="1">
        <f t="shared" ca="1" si="3"/>
        <v>0</v>
      </c>
      <c r="P3" s="1">
        <f t="shared" ref="P3:P66" si="4">G3*$Z$13</f>
        <v>7145045.6320887692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2046599.52272436</v>
      </c>
      <c r="T3" s="1">
        <f t="shared" ref="T3:T66" si="8">K3*$Z$17</f>
        <v>6909322.1276532635</v>
      </c>
      <c r="U3" s="1">
        <f t="shared" ref="U3:U66" ca="1" si="9">SUM(M3:T3)</f>
        <v>12194447.098914959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>
        <f>Dataset!L4</f>
        <v>12553135.643534489</v>
      </c>
      <c r="E4" s="118">
        <f ca="1">Weather!BP63</f>
        <v>498.31000000000006</v>
      </c>
      <c r="F4" s="118">
        <f ca="1">Weather!BC63</f>
        <v>0.27999999999999997</v>
      </c>
      <c r="G4" s="8">
        <f>Dataset!AR4</f>
        <v>31</v>
      </c>
      <c r="H4" s="109">
        <f>Dataset!BL4</f>
        <v>0</v>
      </c>
      <c r="I4" s="109">
        <f>Dataset!BF4</f>
        <v>0</v>
      </c>
      <c r="J4" s="109">
        <f>Dataset!BM4</f>
        <v>1</v>
      </c>
      <c r="K4" s="109">
        <f>Dataset!AM4</f>
        <v>634944.30000000005</v>
      </c>
      <c r="M4" s="8">
        <f t="shared" si="1"/>
        <v>-4934593.1922812499</v>
      </c>
      <c r="N4" s="1">
        <f t="shared" ca="1" si="2"/>
        <v>880238.93639201764</v>
      </c>
      <c r="O4" s="1">
        <f t="shared" ca="1" si="3"/>
        <v>1401.306864139518</v>
      </c>
      <c r="P4" s="1">
        <f t="shared" si="4"/>
        <v>7637807.3998190295</v>
      </c>
      <c r="Q4" s="1">
        <f t="shared" si="5"/>
        <v>0</v>
      </c>
      <c r="R4" s="1">
        <f t="shared" si="6"/>
        <v>0</v>
      </c>
      <c r="S4" s="1">
        <f t="shared" si="7"/>
        <v>2046599.52272436</v>
      </c>
      <c r="T4" s="1">
        <f t="shared" si="8"/>
        <v>6909322.1276532635</v>
      </c>
      <c r="U4" s="1">
        <f t="shared" ca="1" si="9"/>
        <v>12540776.101171561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>
        <f>Dataset!L5</f>
        <v>11619067.604390627</v>
      </c>
      <c r="E5" s="118">
        <f ca="1">Weather!BP64</f>
        <v>322.59999999999997</v>
      </c>
      <c r="F5" s="118">
        <f ca="1">Weather!BC64</f>
        <v>0.08</v>
      </c>
      <c r="G5" s="8">
        <f>Dataset!AR5</f>
        <v>30</v>
      </c>
      <c r="H5" s="109">
        <f>Dataset!BL5</f>
        <v>0</v>
      </c>
      <c r="I5" s="109">
        <f>Dataset!BF5</f>
        <v>0</v>
      </c>
      <c r="J5" s="109">
        <f>Dataset!BM5</f>
        <v>1</v>
      </c>
      <c r="K5" s="109">
        <f>Dataset!AM5</f>
        <v>634944.30000000005</v>
      </c>
      <c r="M5" s="8">
        <f t="shared" si="1"/>
        <v>-4934593.1922812499</v>
      </c>
      <c r="N5" s="1">
        <f t="shared" ca="1" si="2"/>
        <v>569856.27597291814</v>
      </c>
      <c r="O5" s="1">
        <f t="shared" ca="1" si="3"/>
        <v>400.37338975414804</v>
      </c>
      <c r="P5" s="1">
        <f t="shared" si="4"/>
        <v>7391426.5159538994</v>
      </c>
      <c r="Q5" s="1">
        <f t="shared" si="5"/>
        <v>0</v>
      </c>
      <c r="R5" s="1">
        <f t="shared" si="6"/>
        <v>0</v>
      </c>
      <c r="S5" s="1">
        <f t="shared" si="7"/>
        <v>2046599.52272436</v>
      </c>
      <c r="T5" s="1">
        <f t="shared" si="8"/>
        <v>6909322.1276532635</v>
      </c>
      <c r="U5" s="1">
        <f t="shared" ca="1" si="9"/>
        <v>11983011.623412944</v>
      </c>
      <c r="Y5" t="s">
        <v>350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>
        <f>Dataset!L6</f>
        <v>12288524.703281093</v>
      </c>
      <c r="E6" s="118">
        <f ca="1">Weather!BP65</f>
        <v>139.78</v>
      </c>
      <c r="F6" s="118">
        <f ca="1">Weather!BC65</f>
        <v>16.149999999999999</v>
      </c>
      <c r="G6" s="8">
        <f>Dataset!AR6</f>
        <v>31</v>
      </c>
      <c r="H6" s="109">
        <f>Dataset!BL6</f>
        <v>0</v>
      </c>
      <c r="I6" s="109">
        <f>Dataset!BF6</f>
        <v>0</v>
      </c>
      <c r="J6" s="109">
        <f>Dataset!BM6</f>
        <v>1</v>
      </c>
      <c r="K6" s="109">
        <f>Dataset!AM6</f>
        <v>634944.30000000005</v>
      </c>
      <c r="M6" s="8">
        <f t="shared" si="1"/>
        <v>-4934593.1922812499</v>
      </c>
      <c r="N6" s="1">
        <f t="shared" ca="1" si="2"/>
        <v>246914.16694201645</v>
      </c>
      <c r="O6" s="1">
        <f t="shared" ca="1" si="3"/>
        <v>80825.378056618618</v>
      </c>
      <c r="P6" s="1">
        <f t="shared" si="4"/>
        <v>7637807.3998190295</v>
      </c>
      <c r="Q6" s="1">
        <f t="shared" si="5"/>
        <v>0</v>
      </c>
      <c r="R6" s="1">
        <f t="shared" si="6"/>
        <v>0</v>
      </c>
      <c r="S6" s="1">
        <f t="shared" si="7"/>
        <v>2046599.52272436</v>
      </c>
      <c r="T6" s="1">
        <f t="shared" si="8"/>
        <v>6909322.1276532635</v>
      </c>
      <c r="U6" s="1">
        <f t="shared" ca="1" si="9"/>
        <v>11986875.402914038</v>
      </c>
      <c r="Y6" t="s">
        <v>247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>
        <f>Dataset!L7</f>
        <v>12347535.242569415</v>
      </c>
      <c r="E7" s="118">
        <f ca="1">Weather!BP66</f>
        <v>29.85</v>
      </c>
      <c r="F7" s="118">
        <f ca="1">Weather!BC66</f>
        <v>42.1</v>
      </c>
      <c r="G7" s="8">
        <f>Dataset!AR7</f>
        <v>30</v>
      </c>
      <c r="H7" s="109">
        <f>Dataset!BL7</f>
        <v>0</v>
      </c>
      <c r="I7" s="109">
        <f>Dataset!BF7</f>
        <v>0</v>
      </c>
      <c r="J7" s="109">
        <f>Dataset!BM7</f>
        <v>1</v>
      </c>
      <c r="K7" s="109">
        <f>Dataset!AM7</f>
        <v>634944.30000000005</v>
      </c>
      <c r="M7" s="8">
        <f t="shared" si="1"/>
        <v>-4934593.1922812499</v>
      </c>
      <c r="N7" s="1">
        <f t="shared" ca="1" si="2"/>
        <v>52728.486787946713</v>
      </c>
      <c r="O7" s="1">
        <f t="shared" ca="1" si="3"/>
        <v>210696.49635812041</v>
      </c>
      <c r="P7" s="1">
        <f t="shared" si="4"/>
        <v>7391426.5159538994</v>
      </c>
      <c r="Q7" s="1">
        <f t="shared" si="5"/>
        <v>0</v>
      </c>
      <c r="R7" s="1">
        <f t="shared" si="6"/>
        <v>0</v>
      </c>
      <c r="S7" s="1">
        <f t="shared" si="7"/>
        <v>2046599.52272436</v>
      </c>
      <c r="T7" s="1">
        <f t="shared" si="8"/>
        <v>6909322.1276532635</v>
      </c>
      <c r="U7" s="1">
        <f t="shared" ca="1" si="9"/>
        <v>11676179.95719634</v>
      </c>
      <c r="Y7" t="s">
        <v>351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>
        <f>Dataset!L8</f>
        <v>11338223.008228127</v>
      </c>
      <c r="E8" s="118">
        <f ca="1">Weather!BP67</f>
        <v>1.36</v>
      </c>
      <c r="F8" s="118">
        <f ca="1">Weather!BC67</f>
        <v>95.609999999999985</v>
      </c>
      <c r="G8" s="8">
        <f>Dataset!AR8</f>
        <v>31</v>
      </c>
      <c r="H8" s="109">
        <f>Dataset!BL8</f>
        <v>0</v>
      </c>
      <c r="I8" s="109">
        <f>Dataset!BF8</f>
        <v>0</v>
      </c>
      <c r="J8" s="109">
        <f>Dataset!BM8</f>
        <v>1</v>
      </c>
      <c r="K8" s="109">
        <f>Dataset!AM8</f>
        <v>634944.30000000005</v>
      </c>
      <c r="M8" s="8">
        <f t="shared" si="1"/>
        <v>-4934593.1922812499</v>
      </c>
      <c r="N8" s="1">
        <f t="shared" ca="1" si="2"/>
        <v>2402.3699173067848</v>
      </c>
      <c r="O8" s="1">
        <f t="shared" ca="1" si="3"/>
        <v>478496.24742992606</v>
      </c>
      <c r="P8" s="1">
        <f t="shared" si="4"/>
        <v>7637807.3998190295</v>
      </c>
      <c r="Q8" s="1">
        <f t="shared" si="5"/>
        <v>0</v>
      </c>
      <c r="R8" s="1">
        <f t="shared" si="6"/>
        <v>0</v>
      </c>
      <c r="S8" s="1">
        <f t="shared" si="7"/>
        <v>2046599.52272436</v>
      </c>
      <c r="T8" s="1">
        <f t="shared" si="8"/>
        <v>6909322.1276532635</v>
      </c>
      <c r="U8" s="1">
        <f t="shared" ca="1" si="9"/>
        <v>12140034.475262636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>
        <f>Dataset!L9</f>
        <v>10258982.614362882</v>
      </c>
      <c r="E9" s="118">
        <f ca="1">Weather!BP68</f>
        <v>1.77</v>
      </c>
      <c r="F9" s="118">
        <f ca="1">Weather!BC68</f>
        <v>83.75</v>
      </c>
      <c r="G9" s="8">
        <f>Dataset!AR9</f>
        <v>31</v>
      </c>
      <c r="H9" s="109">
        <f>Dataset!BL9</f>
        <v>0</v>
      </c>
      <c r="I9" s="109">
        <f>Dataset!BF9</f>
        <v>0</v>
      </c>
      <c r="J9" s="109">
        <f>Dataset!BM9</f>
        <v>0</v>
      </c>
      <c r="K9" s="109">
        <f>Dataset!AM9</f>
        <v>634944.30000000005</v>
      </c>
      <c r="M9" s="8">
        <f t="shared" si="1"/>
        <v>-4934593.1922812499</v>
      </c>
      <c r="N9" s="1">
        <f t="shared" ca="1" si="2"/>
        <v>3126.6137894360359</v>
      </c>
      <c r="O9" s="1">
        <f t="shared" ca="1" si="3"/>
        <v>419140.89239887369</v>
      </c>
      <c r="P9" s="1">
        <f t="shared" si="4"/>
        <v>7637807.3998190295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6909322.1276532635</v>
      </c>
      <c r="U9" s="1">
        <f t="shared" ca="1" si="9"/>
        <v>10034803.841379352</v>
      </c>
      <c r="Z9" t="s">
        <v>120</v>
      </c>
      <c r="AA9" t="s">
        <v>121</v>
      </c>
      <c r="AB9" t="s">
        <v>122</v>
      </c>
      <c r="AC9" t="s">
        <v>123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>
        <f>Dataset!L10</f>
        <v>9533281.1343470141</v>
      </c>
      <c r="E10" s="118">
        <f ca="1">Weather!BP69</f>
        <v>37.33</v>
      </c>
      <c r="F10" s="118">
        <f ca="1">Weather!BC69</f>
        <v>34.480000000000004</v>
      </c>
      <c r="G10" s="8">
        <f>Dataset!AR10</f>
        <v>30</v>
      </c>
      <c r="H10" s="109">
        <f>Dataset!BL10</f>
        <v>0</v>
      </c>
      <c r="I10" s="109">
        <f>Dataset!BF10</f>
        <v>0</v>
      </c>
      <c r="J10" s="109">
        <f>Dataset!BM10</f>
        <v>0</v>
      </c>
      <c r="K10" s="109">
        <f>Dataset!AM10</f>
        <v>634944.30000000005</v>
      </c>
      <c r="M10" s="8">
        <f t="shared" si="1"/>
        <v>-4934593.1922812499</v>
      </c>
      <c r="N10" s="1">
        <f t="shared" ca="1" si="2"/>
        <v>65941.52133313402</v>
      </c>
      <c r="O10" s="1">
        <f t="shared" ca="1" si="3"/>
        <v>172560.93098403781</v>
      </c>
      <c r="P10" s="1">
        <f t="shared" si="4"/>
        <v>7391426.5159538994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6909322.1276532635</v>
      </c>
      <c r="U10" s="1">
        <f t="shared" ca="1" si="9"/>
        <v>9604657.9036430847</v>
      </c>
      <c r="Y10" t="s">
        <v>124</v>
      </c>
      <c r="Z10" s="8">
        <v>-4934593.1922812499</v>
      </c>
      <c r="AA10">
        <v>1456199.8553989599</v>
      </c>
      <c r="AB10">
        <v>-3.3886785347395101</v>
      </c>
      <c r="AC10">
        <v>9.7022093541121695E-4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>
        <f>Dataset!L11</f>
        <v>10106751.698481917</v>
      </c>
      <c r="E11" s="118">
        <f ca="1">Weather!BP70</f>
        <v>173.75</v>
      </c>
      <c r="F11" s="118">
        <f ca="1">Weather!BC70</f>
        <v>4.62</v>
      </c>
      <c r="G11" s="8">
        <f>Dataset!AR11</f>
        <v>31</v>
      </c>
      <c r="H11" s="109">
        <f>Dataset!BL11</f>
        <v>0</v>
      </c>
      <c r="I11" s="109">
        <f>Dataset!BF11</f>
        <v>0</v>
      </c>
      <c r="J11" s="109">
        <f>Dataset!BM11</f>
        <v>0</v>
      </c>
      <c r="K11" s="109">
        <f>Dataset!AM11</f>
        <v>634944.30000000005</v>
      </c>
      <c r="M11" s="8">
        <f t="shared" si="1"/>
        <v>-4934593.1922812499</v>
      </c>
      <c r="N11" s="1">
        <f t="shared" ca="1" si="2"/>
        <v>306920.42142062786</v>
      </c>
      <c r="O11" s="1">
        <f t="shared" ca="1" si="3"/>
        <v>23121.563258302049</v>
      </c>
      <c r="P11" s="1">
        <f t="shared" si="4"/>
        <v>7637807.3998190295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6909322.1276532635</v>
      </c>
      <c r="U11" s="1">
        <f t="shared" ca="1" si="9"/>
        <v>9942578.3198699728</v>
      </c>
      <c r="Y11" t="s">
        <v>28</v>
      </c>
      <c r="Z11" s="8">
        <v>1766.44846860793</v>
      </c>
      <c r="AA11">
        <v>230.277581003542</v>
      </c>
      <c r="AB11">
        <v>7.67095286006482</v>
      </c>
      <c r="AC11" s="99">
        <v>6.78467082744975E-12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>
        <f>Dataset!L12</f>
        <v>9917339.5889235586</v>
      </c>
      <c r="E12" s="118">
        <f ca="1">Weather!BP71</f>
        <v>366.25</v>
      </c>
      <c r="F12" s="118">
        <f ca="1">Weather!BC71</f>
        <v>0.69000000000000006</v>
      </c>
      <c r="G12" s="8">
        <f>Dataset!AR12</f>
        <v>30</v>
      </c>
      <c r="H12" s="109">
        <f>Dataset!BL12</f>
        <v>0</v>
      </c>
      <c r="I12" s="109">
        <f>Dataset!BF12</f>
        <v>0</v>
      </c>
      <c r="J12" s="109">
        <f>Dataset!BM12</f>
        <v>0</v>
      </c>
      <c r="K12" s="109">
        <f>Dataset!AM12</f>
        <v>634944.30000000005</v>
      </c>
      <c r="M12" s="8">
        <f t="shared" si="1"/>
        <v>-4934593.1922812499</v>
      </c>
      <c r="N12" s="1">
        <f t="shared" ca="1" si="2"/>
        <v>646961.7516276543</v>
      </c>
      <c r="O12" s="1">
        <f t="shared" ca="1" si="3"/>
        <v>3453.2204866295269</v>
      </c>
      <c r="P12" s="1">
        <f t="shared" si="4"/>
        <v>7391426.5159538994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6909322.1276532635</v>
      </c>
      <c r="U12" s="1">
        <f t="shared" ca="1" si="9"/>
        <v>10016570.423440196</v>
      </c>
      <c r="Y12" t="s">
        <v>27</v>
      </c>
      <c r="Z12" s="8">
        <v>5004.6673719268501</v>
      </c>
      <c r="AA12">
        <v>1340.89876375213</v>
      </c>
      <c r="AB12">
        <v>3.7323230561587502</v>
      </c>
      <c r="AC12" s="99">
        <v>2.9978145476582899E-4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>
        <f>Dataset!L13</f>
        <v>9958867.7395599764</v>
      </c>
      <c r="E13" s="118">
        <f ca="1">Weather!BP72</f>
        <v>523.60000000000014</v>
      </c>
      <c r="F13" s="118">
        <f ca="1">Weather!BC72</f>
        <v>0</v>
      </c>
      <c r="G13" s="8">
        <f>Dataset!AR13</f>
        <v>31</v>
      </c>
      <c r="H13" s="109">
        <f>Dataset!BL13</f>
        <v>0</v>
      </c>
      <c r="I13" s="109">
        <f>Dataset!BF13</f>
        <v>1</v>
      </c>
      <c r="J13" s="109">
        <f>Dataset!BM13</f>
        <v>0</v>
      </c>
      <c r="K13" s="109">
        <f>Dataset!AM13</f>
        <v>634944.30000000005</v>
      </c>
      <c r="M13" s="8">
        <f t="shared" si="1"/>
        <v>-4934593.1922812499</v>
      </c>
      <c r="N13" s="1">
        <f t="shared" ca="1" si="2"/>
        <v>924912.41816311236</v>
      </c>
      <c r="O13" s="1">
        <f t="shared" ca="1" si="3"/>
        <v>0</v>
      </c>
      <c r="P13" s="1">
        <f t="shared" si="4"/>
        <v>7637807.3998190295</v>
      </c>
      <c r="Q13" s="1">
        <f t="shared" si="5"/>
        <v>0</v>
      </c>
      <c r="R13" s="1">
        <f t="shared" si="6"/>
        <v>-586242.38490532804</v>
      </c>
      <c r="S13" s="1">
        <f t="shared" si="7"/>
        <v>0</v>
      </c>
      <c r="T13" s="1">
        <f t="shared" si="8"/>
        <v>6909322.1276532635</v>
      </c>
      <c r="U13" s="1">
        <f t="shared" ca="1" si="9"/>
        <v>9951206.3684488274</v>
      </c>
      <c r="Y13" t="s">
        <v>74</v>
      </c>
      <c r="Z13" s="8">
        <v>246380.88386512999</v>
      </c>
      <c r="AA13">
        <v>34967.8976375036</v>
      </c>
      <c r="AB13">
        <v>7.04591641222612</v>
      </c>
      <c r="AC13" s="99">
        <v>1.58936489920821E-10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>
        <f>Dataset!L14</f>
        <v>10692657.034107799</v>
      </c>
      <c r="E14" s="118">
        <f t="shared" ref="E14:F14" ca="1" si="10">E2</f>
        <v>634.42999999999995</v>
      </c>
      <c r="F14" s="118">
        <f t="shared" ca="1" si="10"/>
        <v>0</v>
      </c>
      <c r="G14" s="8">
        <f>Dataset!AR14</f>
        <v>31</v>
      </c>
      <c r="H14" s="109">
        <f>Dataset!BL14</f>
        <v>0</v>
      </c>
      <c r="I14" s="109">
        <f>Dataset!BF14</f>
        <v>0</v>
      </c>
      <c r="J14" s="109">
        <f>Dataset!BM14</f>
        <v>0</v>
      </c>
      <c r="K14" s="109">
        <f>Dataset!AM14</f>
        <v>643937</v>
      </c>
      <c r="M14" s="8">
        <f t="shared" si="1"/>
        <v>-4934593.1922812499</v>
      </c>
      <c r="N14" s="1">
        <f t="shared" ca="1" si="2"/>
        <v>1120687.901938929</v>
      </c>
      <c r="O14" s="1">
        <f t="shared" ca="1" si="3"/>
        <v>0</v>
      </c>
      <c r="P14" s="1">
        <f t="shared" si="4"/>
        <v>7637807.3998190295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7007178.6815231806</v>
      </c>
      <c r="U14" s="1">
        <f t="shared" ca="1" si="9"/>
        <v>10831080.790999889</v>
      </c>
      <c r="Y14" t="s">
        <v>194</v>
      </c>
      <c r="Z14" s="8">
        <v>-2546222.7753532701</v>
      </c>
      <c r="AA14">
        <v>310952.63538920297</v>
      </c>
      <c r="AB14">
        <v>-8.1884585804082306</v>
      </c>
      <c r="AC14" s="99">
        <v>4.7100888308440103E-13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>
        <f>Dataset!L15</f>
        <v>10166752.947911724</v>
      </c>
      <c r="E15" s="118">
        <f t="shared" ref="E15:F15" ca="1" si="11">E3</f>
        <v>582</v>
      </c>
      <c r="F15" s="118">
        <f t="shared" ca="1" si="11"/>
        <v>0</v>
      </c>
      <c r="G15" s="8">
        <f>Dataset!AR15</f>
        <v>28</v>
      </c>
      <c r="H15" s="109">
        <f>Dataset!BL15</f>
        <v>0</v>
      </c>
      <c r="I15" s="109">
        <f>Dataset!BF15</f>
        <v>0</v>
      </c>
      <c r="J15" s="109">
        <f>Dataset!BM15</f>
        <v>0</v>
      </c>
      <c r="K15" s="109">
        <f>Dataset!AM15</f>
        <v>643937</v>
      </c>
      <c r="M15" s="8">
        <f t="shared" si="1"/>
        <v>-4934593.1922812499</v>
      </c>
      <c r="N15" s="1">
        <f t="shared" ca="1" si="2"/>
        <v>1028073.0087298153</v>
      </c>
      <c r="O15" s="1">
        <f t="shared" ca="1" si="3"/>
        <v>0</v>
      </c>
      <c r="P15" s="1">
        <f t="shared" si="4"/>
        <v>6898664.74822364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7007178.6815231806</v>
      </c>
      <c r="U15" s="1">
        <f t="shared" ca="1" si="9"/>
        <v>9999323.2461953871</v>
      </c>
      <c r="Y15" t="s">
        <v>49</v>
      </c>
      <c r="Z15" s="8">
        <v>-586242.38490532804</v>
      </c>
      <c r="AA15">
        <v>115021.051785141</v>
      </c>
      <c r="AB15">
        <v>-5.0968268487096298</v>
      </c>
      <c r="AC15" s="99">
        <v>1.4150219611772401E-6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>
        <f>Dataset!L16</f>
        <v>10789213.093708768</v>
      </c>
      <c r="E16" s="118">
        <f t="shared" ref="E16:F16" ca="1" si="12">E4</f>
        <v>498.31000000000006</v>
      </c>
      <c r="F16" s="118">
        <f t="shared" ca="1" si="12"/>
        <v>0.27999999999999997</v>
      </c>
      <c r="G16" s="8">
        <f>Dataset!AR16</f>
        <v>31</v>
      </c>
      <c r="H16" s="109">
        <f>Dataset!BL16</f>
        <v>0</v>
      </c>
      <c r="I16" s="109">
        <f>Dataset!BF16</f>
        <v>0</v>
      </c>
      <c r="J16" s="109">
        <f>Dataset!BM16</f>
        <v>0</v>
      </c>
      <c r="K16" s="109">
        <f>Dataset!AM16</f>
        <v>643937</v>
      </c>
      <c r="M16" s="8">
        <f t="shared" si="1"/>
        <v>-4934593.1922812499</v>
      </c>
      <c r="N16" s="1">
        <f t="shared" ca="1" si="2"/>
        <v>880238.93639201764</v>
      </c>
      <c r="O16" s="1">
        <f t="shared" ca="1" si="3"/>
        <v>1401.306864139518</v>
      </c>
      <c r="P16" s="1">
        <f t="shared" si="4"/>
        <v>7637807.3998190295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7007178.6815231806</v>
      </c>
      <c r="U16" s="1">
        <f t="shared" ca="1" si="9"/>
        <v>10592033.132317118</v>
      </c>
      <c r="Y16" t="s">
        <v>349</v>
      </c>
      <c r="Z16" s="8">
        <v>2046599.52272436</v>
      </c>
      <c r="AA16">
        <v>215125.60210690601</v>
      </c>
      <c r="AB16">
        <v>9.5135097946515401</v>
      </c>
      <c r="AC16" s="99">
        <v>4.3876154311514301E-16</v>
      </c>
    </row>
    <row r="17" spans="1:29">
      <c r="A17" s="7">
        <f>Dataset!A17</f>
        <v>41365</v>
      </c>
      <c r="B17">
        <f>Dataset!B17</f>
        <v>2013</v>
      </c>
      <c r="C17">
        <f>Dataset!C17</f>
        <v>4</v>
      </c>
      <c r="D17">
        <f>Dataset!L17</f>
        <v>9903437.9647538438</v>
      </c>
      <c r="E17" s="118">
        <f t="shared" ref="E17:F17" ca="1" si="13">E5</f>
        <v>322.59999999999997</v>
      </c>
      <c r="F17" s="118">
        <f t="shared" ca="1" si="13"/>
        <v>0.08</v>
      </c>
      <c r="G17" s="8">
        <f>Dataset!AR17</f>
        <v>30</v>
      </c>
      <c r="H17" s="109">
        <f>Dataset!BL17</f>
        <v>0</v>
      </c>
      <c r="I17" s="109">
        <f>Dataset!BF17</f>
        <v>0</v>
      </c>
      <c r="J17" s="109">
        <f>Dataset!BM17</f>
        <v>0</v>
      </c>
      <c r="K17" s="109">
        <f>Dataset!AM17</f>
        <v>643937</v>
      </c>
      <c r="M17" s="8">
        <f t="shared" si="1"/>
        <v>-4934593.1922812499</v>
      </c>
      <c r="N17" s="1">
        <f t="shared" ca="1" si="2"/>
        <v>569856.27597291814</v>
      </c>
      <c r="O17" s="1">
        <f t="shared" ca="1" si="3"/>
        <v>400.37338975414804</v>
      </c>
      <c r="P17" s="1">
        <f t="shared" si="4"/>
        <v>7391426.5159538994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7007178.6815231806</v>
      </c>
      <c r="U17" s="1">
        <f t="shared" ca="1" si="9"/>
        <v>10034268.654558502</v>
      </c>
      <c r="Y17" t="s">
        <v>61</v>
      </c>
      <c r="Z17" s="8">
        <v>10.8817767600296</v>
      </c>
      <c r="AA17">
        <v>1.4214772002123299</v>
      </c>
      <c r="AB17">
        <v>7.6552594430668304</v>
      </c>
      <c r="AC17" s="99">
        <v>7.3510302502071903E-12</v>
      </c>
    </row>
    <row r="18" spans="1:29">
      <c r="A18" s="7">
        <f>Dataset!A18</f>
        <v>41395</v>
      </c>
      <c r="B18">
        <f>Dataset!B18</f>
        <v>2013</v>
      </c>
      <c r="C18">
        <f>Dataset!C18</f>
        <v>5</v>
      </c>
      <c r="D18">
        <f>Dataset!L18</f>
        <v>9646901.7420816738</v>
      </c>
      <c r="E18" s="118">
        <f t="shared" ref="E18:F18" ca="1" si="14">E6</f>
        <v>139.78</v>
      </c>
      <c r="F18" s="118">
        <f t="shared" ca="1" si="14"/>
        <v>16.149999999999999</v>
      </c>
      <c r="G18" s="8">
        <f>Dataset!AR18</f>
        <v>31</v>
      </c>
      <c r="H18" s="109">
        <f>Dataset!BL18</f>
        <v>0</v>
      </c>
      <c r="I18" s="109">
        <f>Dataset!BF18</f>
        <v>0</v>
      </c>
      <c r="J18" s="109">
        <f>Dataset!BM18</f>
        <v>0</v>
      </c>
      <c r="K18" s="109">
        <f>Dataset!AM18</f>
        <v>643937</v>
      </c>
      <c r="M18" s="8">
        <f t="shared" si="1"/>
        <v>-4934593.1922812499</v>
      </c>
      <c r="N18" s="1">
        <f t="shared" ca="1" si="2"/>
        <v>246914.16694201645</v>
      </c>
      <c r="O18" s="1">
        <f t="shared" ca="1" si="3"/>
        <v>80825.378056618618</v>
      </c>
      <c r="P18" s="1">
        <f t="shared" si="4"/>
        <v>7637807.3998190295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7007178.6815231806</v>
      </c>
      <c r="U18" s="1">
        <f t="shared" ca="1" si="9"/>
        <v>10038132.434059594</v>
      </c>
      <c r="Z18" s="8"/>
    </row>
    <row r="19" spans="1:29">
      <c r="A19" s="7">
        <f>Dataset!A19</f>
        <v>41426</v>
      </c>
      <c r="B19">
        <f>Dataset!B19</f>
        <v>2013</v>
      </c>
      <c r="C19">
        <f>Dataset!C19</f>
        <v>6</v>
      </c>
      <c r="D19">
        <f>Dataset!L19</f>
        <v>9701178.3267219234</v>
      </c>
      <c r="E19" s="118">
        <f t="shared" ref="E19:F19" ca="1" si="15">E7</f>
        <v>29.85</v>
      </c>
      <c r="F19" s="118">
        <f t="shared" ca="1" si="15"/>
        <v>42.1</v>
      </c>
      <c r="G19" s="8">
        <f>Dataset!AR19</f>
        <v>30</v>
      </c>
      <c r="H19" s="109">
        <f>Dataset!BL19</f>
        <v>0</v>
      </c>
      <c r="I19" s="109">
        <f>Dataset!BF19</f>
        <v>0</v>
      </c>
      <c r="J19" s="109">
        <f>Dataset!BM19</f>
        <v>0</v>
      </c>
      <c r="K19" s="109">
        <f>Dataset!AM19</f>
        <v>643937</v>
      </c>
      <c r="M19" s="8">
        <f t="shared" si="1"/>
        <v>-4934593.1922812499</v>
      </c>
      <c r="N19" s="1">
        <f t="shared" ca="1" si="2"/>
        <v>52728.486787946713</v>
      </c>
      <c r="O19" s="1">
        <f t="shared" ca="1" si="3"/>
        <v>210696.49635812041</v>
      </c>
      <c r="P19" s="1">
        <f t="shared" si="4"/>
        <v>7391426.5159538994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7007178.6815231806</v>
      </c>
      <c r="U19" s="1">
        <f t="shared" ca="1" si="9"/>
        <v>9727436.9883418977</v>
      </c>
      <c r="Y19" t="s">
        <v>128</v>
      </c>
    </row>
    <row r="20" spans="1:29">
      <c r="A20" s="7">
        <f>Dataset!A20</f>
        <v>41456</v>
      </c>
      <c r="B20">
        <f>Dataset!B20</f>
        <v>2013</v>
      </c>
      <c r="C20">
        <f>Dataset!C20</f>
        <v>7</v>
      </c>
      <c r="D20">
        <f>Dataset!L20</f>
        <v>9800609.7680537496</v>
      </c>
      <c r="E20" s="118">
        <f t="shared" ref="E20:F20" ca="1" si="16">E8</f>
        <v>1.36</v>
      </c>
      <c r="F20" s="118">
        <f t="shared" ca="1" si="16"/>
        <v>95.609999999999985</v>
      </c>
      <c r="G20" s="8">
        <f>Dataset!AR20</f>
        <v>31</v>
      </c>
      <c r="H20" s="109">
        <f>Dataset!BL20</f>
        <v>0</v>
      </c>
      <c r="I20" s="109">
        <f>Dataset!BF20</f>
        <v>0</v>
      </c>
      <c r="J20" s="109">
        <f>Dataset!BM20</f>
        <v>0</v>
      </c>
      <c r="K20" s="109">
        <f>Dataset!AM20</f>
        <v>643937</v>
      </c>
      <c r="M20" s="8">
        <f t="shared" si="1"/>
        <v>-4934593.1922812499</v>
      </c>
      <c r="N20" s="1">
        <f t="shared" ca="1" si="2"/>
        <v>2402.3699173067848</v>
      </c>
      <c r="O20" s="1">
        <f t="shared" ca="1" si="3"/>
        <v>478496.24742992606</v>
      </c>
      <c r="P20" s="1">
        <f t="shared" si="4"/>
        <v>7637807.3998190295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7007178.6815231806</v>
      </c>
      <c r="U20" s="1">
        <f t="shared" ca="1" si="9"/>
        <v>10191291.506408192</v>
      </c>
      <c r="Y20" t="s">
        <v>129</v>
      </c>
      <c r="Z20">
        <v>10738489.793337399</v>
      </c>
      <c r="AA20" t="s">
        <v>130</v>
      </c>
      <c r="AB20">
        <v>817690.09081182198</v>
      </c>
    </row>
    <row r="21" spans="1:29">
      <c r="A21" s="7">
        <f>Dataset!A21</f>
        <v>41487</v>
      </c>
      <c r="B21">
        <f>Dataset!B21</f>
        <v>2013</v>
      </c>
      <c r="C21">
        <f>Dataset!C21</f>
        <v>8</v>
      </c>
      <c r="D21">
        <f>Dataset!L21</f>
        <v>9744716.6250400878</v>
      </c>
      <c r="E21" s="118">
        <f t="shared" ref="E21:F21" ca="1" si="17">E9</f>
        <v>1.77</v>
      </c>
      <c r="F21" s="118">
        <f t="shared" ca="1" si="17"/>
        <v>83.75</v>
      </c>
      <c r="G21" s="8">
        <f>Dataset!AR21</f>
        <v>31</v>
      </c>
      <c r="H21" s="109">
        <f>Dataset!BL21</f>
        <v>0</v>
      </c>
      <c r="I21" s="109">
        <f>Dataset!BF21</f>
        <v>0</v>
      </c>
      <c r="J21" s="109">
        <f>Dataset!BM21</f>
        <v>0</v>
      </c>
      <c r="K21" s="109">
        <f>Dataset!AM21</f>
        <v>643937</v>
      </c>
      <c r="M21" s="8">
        <f t="shared" si="1"/>
        <v>-4934593.1922812499</v>
      </c>
      <c r="N21" s="1">
        <f t="shared" ca="1" si="2"/>
        <v>3126.6137894360359</v>
      </c>
      <c r="O21" s="1">
        <f t="shared" ca="1" si="3"/>
        <v>419140.89239887369</v>
      </c>
      <c r="P21" s="1">
        <f t="shared" si="4"/>
        <v>7637807.3998190295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7007178.6815231806</v>
      </c>
      <c r="U21" s="1">
        <f t="shared" ca="1" si="9"/>
        <v>10132660.39524927</v>
      </c>
      <c r="Y21" t="s">
        <v>131</v>
      </c>
      <c r="Z21">
        <v>14587504623653</v>
      </c>
      <c r="AA21" t="s">
        <v>132</v>
      </c>
      <c r="AB21" s="99">
        <v>360895.52088783501</v>
      </c>
    </row>
    <row r="22" spans="1:29">
      <c r="A22" s="7">
        <f>Dataset!A22</f>
        <v>41518</v>
      </c>
      <c r="B22">
        <f>Dataset!B22</f>
        <v>2013</v>
      </c>
      <c r="C22">
        <f>Dataset!C22</f>
        <v>9</v>
      </c>
      <c r="D22">
        <f>Dataset!L22</f>
        <v>9457538.2541290503</v>
      </c>
      <c r="E22" s="118">
        <f t="shared" ref="E22:F22" ca="1" si="18">E10</f>
        <v>37.33</v>
      </c>
      <c r="F22" s="118">
        <f t="shared" ca="1" si="18"/>
        <v>34.480000000000004</v>
      </c>
      <c r="G22" s="8">
        <f>Dataset!AR22</f>
        <v>30</v>
      </c>
      <c r="H22" s="109">
        <f>Dataset!BL22</f>
        <v>0</v>
      </c>
      <c r="I22" s="109">
        <f>Dataset!BF22</f>
        <v>0</v>
      </c>
      <c r="J22" s="109">
        <f>Dataset!BM22</f>
        <v>0</v>
      </c>
      <c r="K22" s="109">
        <f>Dataset!AM22</f>
        <v>643937</v>
      </c>
      <c r="M22" s="8">
        <f t="shared" si="1"/>
        <v>-4934593.1922812499</v>
      </c>
      <c r="N22" s="1">
        <f t="shared" ca="1" si="2"/>
        <v>65941.52133313402</v>
      </c>
      <c r="O22" s="1">
        <f t="shared" ca="1" si="3"/>
        <v>172560.93098403781</v>
      </c>
      <c r="P22" s="1">
        <f t="shared" si="4"/>
        <v>7391426.5159538994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7007178.6815231806</v>
      </c>
      <c r="U22" s="1">
        <f t="shared" ca="1" si="9"/>
        <v>9702514.4575130008</v>
      </c>
      <c r="Y22" t="s">
        <v>133</v>
      </c>
      <c r="Z22">
        <v>0.81666286349393002</v>
      </c>
      <c r="AA22" t="s">
        <v>134</v>
      </c>
      <c r="AB22" s="99">
        <v>0.80520429246230096</v>
      </c>
    </row>
    <row r="23" spans="1:29">
      <c r="A23" s="7">
        <f>Dataset!A23</f>
        <v>41548</v>
      </c>
      <c r="B23">
        <f>Dataset!B23</f>
        <v>2013</v>
      </c>
      <c r="C23">
        <f>Dataset!C23</f>
        <v>10</v>
      </c>
      <c r="D23">
        <f>Dataset!L23</f>
        <v>9497829.763316147</v>
      </c>
      <c r="E23" s="118">
        <f t="shared" ref="E23:F23" ca="1" si="19">E11</f>
        <v>173.75</v>
      </c>
      <c r="F23" s="118">
        <f t="shared" ca="1" si="19"/>
        <v>4.62</v>
      </c>
      <c r="G23" s="8">
        <f>Dataset!AR23</f>
        <v>31</v>
      </c>
      <c r="H23" s="109">
        <f>Dataset!BL23</f>
        <v>0</v>
      </c>
      <c r="I23" s="109">
        <f>Dataset!BF23</f>
        <v>0</v>
      </c>
      <c r="J23" s="109">
        <f>Dataset!BM23</f>
        <v>0</v>
      </c>
      <c r="K23" s="109">
        <f>Dataset!AM23</f>
        <v>643937</v>
      </c>
      <c r="M23" s="8">
        <f t="shared" si="1"/>
        <v>-4934593.1922812499</v>
      </c>
      <c r="N23" s="1">
        <f t="shared" ca="1" si="2"/>
        <v>306920.42142062786</v>
      </c>
      <c r="O23" s="1">
        <f t="shared" ca="1" si="3"/>
        <v>23121.563258302049</v>
      </c>
      <c r="P23" s="1">
        <f t="shared" si="4"/>
        <v>7637807.3998190295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7007178.6815231806</v>
      </c>
      <c r="U23" s="1">
        <f t="shared" ca="1" si="9"/>
        <v>10040434.873739891</v>
      </c>
      <c r="Y23" t="s">
        <v>345</v>
      </c>
      <c r="Z23">
        <v>69.088902228250305</v>
      </c>
      <c r="AA23" t="s">
        <v>135</v>
      </c>
      <c r="AB23" s="99">
        <v>1.0430896593432201E-37</v>
      </c>
    </row>
    <row r="24" spans="1:29">
      <c r="A24" s="7">
        <f>Dataset!A24</f>
        <v>41579</v>
      </c>
      <c r="B24">
        <f>Dataset!B24</f>
        <v>2013</v>
      </c>
      <c r="C24">
        <f>Dataset!C24</f>
        <v>11</v>
      </c>
      <c r="D24">
        <f>Dataset!L24</f>
        <v>9966500.9934218135</v>
      </c>
      <c r="E24" s="118">
        <f t="shared" ref="E24:F24" ca="1" si="20">E12</f>
        <v>366.25</v>
      </c>
      <c r="F24" s="118">
        <f t="shared" ca="1" si="20"/>
        <v>0.69000000000000006</v>
      </c>
      <c r="G24" s="8">
        <f>Dataset!AR24</f>
        <v>30</v>
      </c>
      <c r="H24" s="109">
        <f>Dataset!BL24</f>
        <v>0</v>
      </c>
      <c r="I24" s="109">
        <f>Dataset!BF24</f>
        <v>0</v>
      </c>
      <c r="J24" s="109">
        <f>Dataset!BM24</f>
        <v>0</v>
      </c>
      <c r="K24" s="109">
        <f>Dataset!AM24</f>
        <v>643937</v>
      </c>
      <c r="M24" s="8">
        <f t="shared" si="1"/>
        <v>-4934593.1922812499</v>
      </c>
      <c r="N24" s="1">
        <f t="shared" ca="1" si="2"/>
        <v>646961.7516276543</v>
      </c>
      <c r="O24" s="1">
        <f t="shared" ca="1" si="3"/>
        <v>3453.2204866295269</v>
      </c>
      <c r="P24" s="1">
        <f t="shared" si="4"/>
        <v>7391426.5159538994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7007178.6815231806</v>
      </c>
      <c r="U24" s="1">
        <f t="shared" ca="1" si="9"/>
        <v>10114426.977310114</v>
      </c>
      <c r="Y24" t="s">
        <v>136</v>
      </c>
      <c r="Z24">
        <v>-7.0189541028378294E-2</v>
      </c>
      <c r="AA24" t="s">
        <v>137</v>
      </c>
      <c r="AB24" s="99">
        <v>2.1316261434952199</v>
      </c>
    </row>
    <row r="25" spans="1:29">
      <c r="A25" s="7">
        <f>Dataset!A25</f>
        <v>41609</v>
      </c>
      <c r="B25">
        <f>Dataset!B25</f>
        <v>2013</v>
      </c>
      <c r="C25">
        <f>Dataset!C25</f>
        <v>12</v>
      </c>
      <c r="D25">
        <f>Dataset!L25</f>
        <v>9693221.2935160697</v>
      </c>
      <c r="E25" s="118">
        <f t="shared" ref="E25:F25" ca="1" si="21">E13</f>
        <v>523.60000000000014</v>
      </c>
      <c r="F25" s="118">
        <f t="shared" ca="1" si="21"/>
        <v>0</v>
      </c>
      <c r="G25" s="8">
        <f>Dataset!AR25</f>
        <v>31</v>
      </c>
      <c r="H25" s="109">
        <f>Dataset!BL25</f>
        <v>0</v>
      </c>
      <c r="I25" s="109">
        <f>Dataset!BF25</f>
        <v>1</v>
      </c>
      <c r="J25" s="109">
        <f>Dataset!BM25</f>
        <v>0</v>
      </c>
      <c r="K25" s="109">
        <f>Dataset!AM25</f>
        <v>643937</v>
      </c>
      <c r="M25" s="8">
        <f t="shared" si="1"/>
        <v>-4934593.1922812499</v>
      </c>
      <c r="N25" s="1">
        <f t="shared" ca="1" si="2"/>
        <v>924912.41816311236</v>
      </c>
      <c r="O25" s="1">
        <f t="shared" ca="1" si="3"/>
        <v>0</v>
      </c>
      <c r="P25" s="1">
        <f t="shared" si="4"/>
        <v>7637807.3998190295</v>
      </c>
      <c r="Q25" s="1">
        <f t="shared" si="5"/>
        <v>0</v>
      </c>
      <c r="R25" s="1">
        <f t="shared" si="6"/>
        <v>-586242.38490532804</v>
      </c>
      <c r="S25" s="1">
        <f t="shared" si="7"/>
        <v>0</v>
      </c>
      <c r="T25" s="1">
        <f t="shared" si="8"/>
        <v>7007178.6815231806</v>
      </c>
      <c r="U25" s="1">
        <f t="shared" ca="1" si="9"/>
        <v>10049062.922318745</v>
      </c>
    </row>
    <row r="26" spans="1:29">
      <c r="A26" s="7">
        <f>Dataset!A26</f>
        <v>41640</v>
      </c>
      <c r="B26">
        <f>Dataset!B26</f>
        <v>2014</v>
      </c>
      <c r="C26">
        <f>Dataset!C26</f>
        <v>1</v>
      </c>
      <c r="D26">
        <f>Dataset!L26</f>
        <v>10829684.906666959</v>
      </c>
      <c r="E26" s="118">
        <f t="shared" ref="E26:F26" ca="1" si="22">E14</f>
        <v>634.42999999999995</v>
      </c>
      <c r="F26" s="118">
        <f t="shared" ca="1" si="22"/>
        <v>0</v>
      </c>
      <c r="G26" s="8">
        <f>Dataset!AR26</f>
        <v>31</v>
      </c>
      <c r="H26" s="109">
        <f>Dataset!BL26</f>
        <v>0</v>
      </c>
      <c r="I26" s="109">
        <f>Dataset!BF26</f>
        <v>0</v>
      </c>
      <c r="J26" s="109">
        <f>Dataset!BM26</f>
        <v>0</v>
      </c>
      <c r="K26" s="109">
        <f>Dataset!AM26</f>
        <v>659861.19999999995</v>
      </c>
      <c r="M26" s="8">
        <f t="shared" si="1"/>
        <v>-4934593.1922812499</v>
      </c>
      <c r="N26" s="1">
        <f t="shared" ca="1" si="2"/>
        <v>1120687.901938929</v>
      </c>
      <c r="O26" s="1">
        <f t="shared" ca="1" si="3"/>
        <v>0</v>
      </c>
      <c r="P26" s="1">
        <f t="shared" si="4"/>
        <v>7637807.3998190295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7180462.271005244</v>
      </c>
      <c r="U26" s="1">
        <f t="shared" ca="1" si="9"/>
        <v>11004364.380481953</v>
      </c>
    </row>
    <row r="27" spans="1:29">
      <c r="A27" s="7">
        <f>Dataset!A27</f>
        <v>41671</v>
      </c>
      <c r="B27">
        <f>Dataset!B27</f>
        <v>2014</v>
      </c>
      <c r="C27">
        <f>Dataset!C27</f>
        <v>2</v>
      </c>
      <c r="D27">
        <f>Dataset!L27</f>
        <v>9803563.8315219805</v>
      </c>
      <c r="E27" s="118">
        <f t="shared" ref="E27:F27" ca="1" si="23">E15</f>
        <v>582</v>
      </c>
      <c r="F27" s="118">
        <f t="shared" ca="1" si="23"/>
        <v>0</v>
      </c>
      <c r="G27" s="8">
        <f>Dataset!AR27</f>
        <v>28</v>
      </c>
      <c r="H27" s="109">
        <f>Dataset!BL27</f>
        <v>0</v>
      </c>
      <c r="I27" s="109">
        <f>Dataset!BF27</f>
        <v>0</v>
      </c>
      <c r="J27" s="109">
        <f>Dataset!BM27</f>
        <v>0</v>
      </c>
      <c r="K27" s="109">
        <f>Dataset!AM27</f>
        <v>659861.19999999995</v>
      </c>
      <c r="M27" s="8">
        <f t="shared" si="1"/>
        <v>-4934593.1922812499</v>
      </c>
      <c r="N27" s="1">
        <f t="shared" ca="1" si="2"/>
        <v>1028073.0087298153</v>
      </c>
      <c r="O27" s="1">
        <f t="shared" ca="1" si="3"/>
        <v>0</v>
      </c>
      <c r="P27" s="1">
        <f t="shared" si="4"/>
        <v>6898664.74822364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7180462.271005244</v>
      </c>
      <c r="U27" s="1">
        <f t="shared" ca="1" si="9"/>
        <v>10172606.835677449</v>
      </c>
    </row>
    <row r="28" spans="1:29">
      <c r="A28" s="7">
        <f>Dataset!A28</f>
        <v>41699</v>
      </c>
      <c r="B28">
        <f>Dataset!B28</f>
        <v>2014</v>
      </c>
      <c r="C28">
        <f>Dataset!C28</f>
        <v>3</v>
      </c>
      <c r="D28">
        <f>Dataset!L28</f>
        <v>10617032.797877969</v>
      </c>
      <c r="E28" s="118">
        <f t="shared" ref="E28:F28" ca="1" si="24">E16</f>
        <v>498.31000000000006</v>
      </c>
      <c r="F28" s="118">
        <f t="shared" ca="1" si="24"/>
        <v>0.27999999999999997</v>
      </c>
      <c r="G28" s="8">
        <f>Dataset!AR28</f>
        <v>31</v>
      </c>
      <c r="H28" s="109">
        <f>Dataset!BL28</f>
        <v>0</v>
      </c>
      <c r="I28" s="109">
        <f>Dataset!BF28</f>
        <v>0</v>
      </c>
      <c r="J28" s="109">
        <f>Dataset!BM28</f>
        <v>0</v>
      </c>
      <c r="K28" s="109">
        <f>Dataset!AM28</f>
        <v>659861.19999999995</v>
      </c>
      <c r="M28" s="8">
        <f t="shared" si="1"/>
        <v>-4934593.1922812499</v>
      </c>
      <c r="N28" s="1">
        <f t="shared" ca="1" si="2"/>
        <v>880238.93639201764</v>
      </c>
      <c r="O28" s="1">
        <f t="shared" ca="1" si="3"/>
        <v>1401.306864139518</v>
      </c>
      <c r="P28" s="1">
        <f t="shared" si="4"/>
        <v>7637807.3998190295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7180462.271005244</v>
      </c>
      <c r="U28" s="1">
        <f t="shared" ca="1" si="9"/>
        <v>10765316.72179918</v>
      </c>
    </row>
    <row r="29" spans="1:29">
      <c r="A29" s="7">
        <f>Dataset!A29</f>
        <v>41730</v>
      </c>
      <c r="B29">
        <f>Dataset!B29</f>
        <v>2014</v>
      </c>
      <c r="C29">
        <f>Dataset!C29</f>
        <v>4</v>
      </c>
      <c r="D29">
        <f>Dataset!L29</f>
        <v>9754865.5506930631</v>
      </c>
      <c r="E29" s="118">
        <f t="shared" ref="E29:F29" ca="1" si="25">E17</f>
        <v>322.59999999999997</v>
      </c>
      <c r="F29" s="118">
        <f t="shared" ca="1" si="25"/>
        <v>0.08</v>
      </c>
      <c r="G29" s="8">
        <f>Dataset!AR29</f>
        <v>30</v>
      </c>
      <c r="H29" s="109">
        <f>Dataset!BL29</f>
        <v>0</v>
      </c>
      <c r="I29" s="109">
        <f>Dataset!BF29</f>
        <v>0</v>
      </c>
      <c r="J29" s="109">
        <f>Dataset!BM29</f>
        <v>0</v>
      </c>
      <c r="K29" s="109">
        <f>Dataset!AM29</f>
        <v>659861.19999999995</v>
      </c>
      <c r="M29" s="8">
        <f t="shared" si="1"/>
        <v>-4934593.1922812499</v>
      </c>
      <c r="N29" s="1">
        <f t="shared" ca="1" si="2"/>
        <v>569856.27597291814</v>
      </c>
      <c r="O29" s="1">
        <f t="shared" ca="1" si="3"/>
        <v>400.37338975414804</v>
      </c>
      <c r="P29" s="1">
        <f t="shared" si="4"/>
        <v>7391426.5159538994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7180462.271005244</v>
      </c>
      <c r="U29" s="1">
        <f t="shared" ca="1" si="9"/>
        <v>10207552.244040566</v>
      </c>
    </row>
    <row r="30" spans="1:29">
      <c r="A30" s="7">
        <f>Dataset!A30</f>
        <v>41760</v>
      </c>
      <c r="B30">
        <f>Dataset!B30</f>
        <v>2014</v>
      </c>
      <c r="C30">
        <f>Dataset!C30</f>
        <v>5</v>
      </c>
      <c r="D30">
        <f>Dataset!L30</f>
        <v>9689042.1030413341</v>
      </c>
      <c r="E30" s="118">
        <f t="shared" ref="E30:F30" ca="1" si="26">E18</f>
        <v>139.78</v>
      </c>
      <c r="F30" s="118">
        <f t="shared" ca="1" si="26"/>
        <v>16.149999999999999</v>
      </c>
      <c r="G30" s="8">
        <f>Dataset!AR30</f>
        <v>31</v>
      </c>
      <c r="H30" s="109">
        <f>Dataset!BL30</f>
        <v>0</v>
      </c>
      <c r="I30" s="109">
        <f>Dataset!BF30</f>
        <v>0</v>
      </c>
      <c r="J30" s="109">
        <f>Dataset!BM30</f>
        <v>0</v>
      </c>
      <c r="K30" s="109">
        <f>Dataset!AM30</f>
        <v>659861.19999999995</v>
      </c>
      <c r="M30" s="8">
        <f t="shared" si="1"/>
        <v>-4934593.1922812499</v>
      </c>
      <c r="N30" s="1">
        <f t="shared" ca="1" si="2"/>
        <v>246914.16694201645</v>
      </c>
      <c r="O30" s="1">
        <f t="shared" ca="1" si="3"/>
        <v>80825.378056618618</v>
      </c>
      <c r="P30" s="1">
        <f t="shared" si="4"/>
        <v>7637807.3998190295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7180462.271005244</v>
      </c>
      <c r="U30" s="1">
        <f t="shared" ca="1" si="9"/>
        <v>10211416.023541659</v>
      </c>
    </row>
    <row r="31" spans="1:29">
      <c r="A31" s="7">
        <f>Dataset!A31</f>
        <v>41791</v>
      </c>
      <c r="B31">
        <f>Dataset!B31</f>
        <v>2014</v>
      </c>
      <c r="C31">
        <f>Dataset!C31</f>
        <v>6</v>
      </c>
      <c r="D31">
        <f>Dataset!L31</f>
        <v>9790616.2826926522</v>
      </c>
      <c r="E31" s="118">
        <f t="shared" ref="E31:F31" ca="1" si="27">E19</f>
        <v>29.85</v>
      </c>
      <c r="F31" s="118">
        <f t="shared" ca="1" si="27"/>
        <v>42.1</v>
      </c>
      <c r="G31" s="8">
        <f>Dataset!AR31</f>
        <v>30</v>
      </c>
      <c r="H31" s="109">
        <f>Dataset!BL31</f>
        <v>0</v>
      </c>
      <c r="I31" s="109">
        <f>Dataset!BF31</f>
        <v>0</v>
      </c>
      <c r="J31" s="109">
        <f>Dataset!BM31</f>
        <v>0</v>
      </c>
      <c r="K31" s="109">
        <f>Dataset!AM31</f>
        <v>659861.19999999995</v>
      </c>
      <c r="M31" s="8">
        <f t="shared" si="1"/>
        <v>-4934593.1922812499</v>
      </c>
      <c r="N31" s="1">
        <f t="shared" ca="1" si="2"/>
        <v>52728.486787946713</v>
      </c>
      <c r="O31" s="1">
        <f t="shared" ca="1" si="3"/>
        <v>210696.49635812041</v>
      </c>
      <c r="P31" s="1">
        <f t="shared" si="4"/>
        <v>7391426.5159538994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7180462.271005244</v>
      </c>
      <c r="U31" s="1">
        <f t="shared" ca="1" si="9"/>
        <v>9900720.5778239612</v>
      </c>
    </row>
    <row r="32" spans="1:29">
      <c r="A32" s="7">
        <f>Dataset!A32</f>
        <v>41821</v>
      </c>
      <c r="B32">
        <f>Dataset!B32</f>
        <v>2014</v>
      </c>
      <c r="C32">
        <f>Dataset!C32</f>
        <v>7</v>
      </c>
      <c r="D32">
        <f>Dataset!L32</f>
        <v>9552500.4181358665</v>
      </c>
      <c r="E32" s="118">
        <f t="shared" ref="E32:F32" ca="1" si="28">E20</f>
        <v>1.36</v>
      </c>
      <c r="F32" s="118">
        <f t="shared" ca="1" si="28"/>
        <v>95.609999999999985</v>
      </c>
      <c r="G32" s="8">
        <f>Dataset!AR32</f>
        <v>31</v>
      </c>
      <c r="H32" s="109">
        <f>Dataset!BL32</f>
        <v>0</v>
      </c>
      <c r="I32" s="109">
        <f>Dataset!BF32</f>
        <v>0</v>
      </c>
      <c r="J32" s="109">
        <f>Dataset!BM32</f>
        <v>0</v>
      </c>
      <c r="K32" s="109">
        <f>Dataset!AM32</f>
        <v>659861.19999999995</v>
      </c>
      <c r="M32" s="8">
        <f t="shared" si="1"/>
        <v>-4934593.1922812499</v>
      </c>
      <c r="N32" s="1">
        <f t="shared" ca="1" si="2"/>
        <v>2402.3699173067848</v>
      </c>
      <c r="O32" s="1">
        <f t="shared" ca="1" si="3"/>
        <v>478496.24742992606</v>
      </c>
      <c r="P32" s="1">
        <f t="shared" si="4"/>
        <v>7637807.3998190295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7180462.271005244</v>
      </c>
      <c r="U32" s="1">
        <f t="shared" ca="1" si="9"/>
        <v>10364575.095890258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>
        <f>Dataset!L33</f>
        <v>9591226.5870101005</v>
      </c>
      <c r="E33" s="118">
        <f t="shared" ref="E33:F33" ca="1" si="29">E21</f>
        <v>1.77</v>
      </c>
      <c r="F33" s="118">
        <f t="shared" ca="1" si="29"/>
        <v>83.75</v>
      </c>
      <c r="G33" s="8">
        <f>Dataset!AR33</f>
        <v>31</v>
      </c>
      <c r="H33" s="109">
        <f>Dataset!BL33</f>
        <v>0</v>
      </c>
      <c r="I33" s="109">
        <f>Dataset!BF33</f>
        <v>0</v>
      </c>
      <c r="J33" s="109">
        <f>Dataset!BM33</f>
        <v>0</v>
      </c>
      <c r="K33" s="109">
        <f>Dataset!AM33</f>
        <v>659861.19999999995</v>
      </c>
      <c r="M33" s="8">
        <f t="shared" si="1"/>
        <v>-4934593.1922812499</v>
      </c>
      <c r="N33" s="1">
        <f t="shared" ca="1" si="2"/>
        <v>3126.6137894360359</v>
      </c>
      <c r="O33" s="1">
        <f t="shared" ca="1" si="3"/>
        <v>419140.89239887369</v>
      </c>
      <c r="P33" s="1">
        <f t="shared" si="4"/>
        <v>7637807.3998190295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7180462.271005244</v>
      </c>
      <c r="U33" s="1">
        <f t="shared" ca="1" si="9"/>
        <v>10305943.984731333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>
        <f>Dataset!L34</f>
        <v>9667433.871043684</v>
      </c>
      <c r="E34" s="118">
        <f t="shared" ref="E34:F34" ca="1" si="30">E22</f>
        <v>37.33</v>
      </c>
      <c r="F34" s="118">
        <f t="shared" ca="1" si="30"/>
        <v>34.480000000000004</v>
      </c>
      <c r="G34" s="8">
        <f>Dataset!AR34</f>
        <v>30</v>
      </c>
      <c r="H34" s="109">
        <f>Dataset!BL34</f>
        <v>0</v>
      </c>
      <c r="I34" s="109">
        <f>Dataset!BF34</f>
        <v>0</v>
      </c>
      <c r="J34" s="109">
        <f>Dataset!BM34</f>
        <v>0</v>
      </c>
      <c r="K34" s="109">
        <f>Dataset!AM34</f>
        <v>659861.19999999995</v>
      </c>
      <c r="M34" s="8">
        <f t="shared" ref="M34:M65" si="31">$Z$10</f>
        <v>-4934593.1922812499</v>
      </c>
      <c r="N34" s="1">
        <f t="shared" ref="N34:N65" ca="1" si="32">E34*$Z$11</f>
        <v>65941.52133313402</v>
      </c>
      <c r="O34" s="1">
        <f t="shared" ref="O34:O65" ca="1" si="33">F34*$Z$12</f>
        <v>172560.93098403781</v>
      </c>
      <c r="P34" s="1">
        <f t="shared" si="4"/>
        <v>7391426.5159538994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7180462.271005244</v>
      </c>
      <c r="U34" s="1">
        <f t="shared" ca="1" si="9"/>
        <v>9875798.0469950661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>
        <f>Dataset!L35</f>
        <v>10055225.090383133</v>
      </c>
      <c r="E35" s="118">
        <f t="shared" ref="E35:F35" ca="1" si="34">E23</f>
        <v>173.75</v>
      </c>
      <c r="F35" s="118">
        <f t="shared" ca="1" si="34"/>
        <v>4.62</v>
      </c>
      <c r="G35" s="8">
        <f>Dataset!AR35</f>
        <v>31</v>
      </c>
      <c r="H35" s="109">
        <f>Dataset!BL35</f>
        <v>0</v>
      </c>
      <c r="I35" s="109">
        <f>Dataset!BF35</f>
        <v>0</v>
      </c>
      <c r="J35" s="109">
        <f>Dataset!BM35</f>
        <v>0</v>
      </c>
      <c r="K35" s="109">
        <f>Dataset!AM35</f>
        <v>659861.19999999995</v>
      </c>
      <c r="M35" s="8">
        <f t="shared" si="31"/>
        <v>-4934593.1922812499</v>
      </c>
      <c r="N35" s="1">
        <f t="shared" ca="1" si="32"/>
        <v>306920.42142062786</v>
      </c>
      <c r="O35" s="1">
        <f t="shared" ca="1" si="33"/>
        <v>23121.563258302049</v>
      </c>
      <c r="P35" s="1">
        <f t="shared" si="4"/>
        <v>7637807.3998190295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7180462.271005244</v>
      </c>
      <c r="U35" s="1">
        <f t="shared" ca="1" si="9"/>
        <v>10213718.463221954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>
        <f>Dataset!L36</f>
        <v>10132226.276524026</v>
      </c>
      <c r="E36" s="118">
        <f t="shared" ref="E36:F36" ca="1" si="35">E24</f>
        <v>366.25</v>
      </c>
      <c r="F36" s="118">
        <f t="shared" ca="1" si="35"/>
        <v>0.69000000000000006</v>
      </c>
      <c r="G36" s="8">
        <f>Dataset!AR36</f>
        <v>30</v>
      </c>
      <c r="H36" s="109">
        <f>Dataset!BL36</f>
        <v>0</v>
      </c>
      <c r="I36" s="109">
        <f>Dataset!BF36</f>
        <v>0</v>
      </c>
      <c r="J36" s="109">
        <f>Dataset!BM36</f>
        <v>0</v>
      </c>
      <c r="K36" s="109">
        <f>Dataset!AM36</f>
        <v>659861.19999999995</v>
      </c>
      <c r="M36" s="8">
        <f t="shared" si="31"/>
        <v>-4934593.1922812499</v>
      </c>
      <c r="N36" s="1">
        <f t="shared" ca="1" si="32"/>
        <v>646961.7516276543</v>
      </c>
      <c r="O36" s="1">
        <f t="shared" ca="1" si="33"/>
        <v>3453.2204866295269</v>
      </c>
      <c r="P36" s="1">
        <f t="shared" si="4"/>
        <v>7391426.5159538994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7180462.271005244</v>
      </c>
      <c r="U36" s="1">
        <f t="shared" ca="1" si="9"/>
        <v>10287710.566792177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>
        <f>Dataset!L37</f>
        <v>10783625.008786412</v>
      </c>
      <c r="E37" s="118">
        <f t="shared" ref="E37:F37" ca="1" si="36">E25</f>
        <v>523.60000000000014</v>
      </c>
      <c r="F37" s="118">
        <f t="shared" ca="1" si="36"/>
        <v>0</v>
      </c>
      <c r="G37" s="8">
        <f>Dataset!AR37</f>
        <v>31</v>
      </c>
      <c r="H37" s="109">
        <f>Dataset!BL37</f>
        <v>0</v>
      </c>
      <c r="I37" s="109">
        <f>Dataset!BF37</f>
        <v>1</v>
      </c>
      <c r="J37" s="109">
        <f>Dataset!BM37</f>
        <v>0</v>
      </c>
      <c r="K37" s="109">
        <f>Dataset!AM37</f>
        <v>659861.19999999995</v>
      </c>
      <c r="M37" s="8">
        <f t="shared" si="31"/>
        <v>-4934593.1922812499</v>
      </c>
      <c r="N37" s="1">
        <f t="shared" ca="1" si="32"/>
        <v>924912.41816311236</v>
      </c>
      <c r="O37" s="1">
        <f t="shared" ca="1" si="33"/>
        <v>0</v>
      </c>
      <c r="P37" s="1">
        <f t="shared" si="4"/>
        <v>7637807.3998190295</v>
      </c>
      <c r="Q37" s="1">
        <f t="shared" si="5"/>
        <v>0</v>
      </c>
      <c r="R37" s="1">
        <f t="shared" si="6"/>
        <v>-586242.38490532804</v>
      </c>
      <c r="S37" s="1">
        <f t="shared" si="7"/>
        <v>0</v>
      </c>
      <c r="T37" s="1">
        <f t="shared" si="8"/>
        <v>7180462.271005244</v>
      </c>
      <c r="U37" s="1">
        <f t="shared" ca="1" si="9"/>
        <v>10222346.511800807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>
        <f>Dataset!L38</f>
        <v>11370092.636571625</v>
      </c>
      <c r="E38" s="118">
        <f t="shared" ref="E38:F38" ca="1" si="37">E26</f>
        <v>634.42999999999995</v>
      </c>
      <c r="F38" s="118">
        <f t="shared" ca="1" si="37"/>
        <v>0</v>
      </c>
      <c r="G38" s="8">
        <f>Dataset!AR38</f>
        <v>31</v>
      </c>
      <c r="H38" s="109">
        <f>Dataset!BL38</f>
        <v>0</v>
      </c>
      <c r="I38" s="109">
        <f>Dataset!BF38</f>
        <v>0</v>
      </c>
      <c r="J38" s="109">
        <f>Dataset!BM38</f>
        <v>0</v>
      </c>
      <c r="K38" s="109">
        <f>Dataset!AM38</f>
        <v>677384</v>
      </c>
      <c r="M38" s="8">
        <f t="shared" si="31"/>
        <v>-4934593.1922812499</v>
      </c>
      <c r="N38" s="1">
        <f t="shared" ca="1" si="32"/>
        <v>1120687.901938929</v>
      </c>
      <c r="O38" s="1">
        <f t="shared" ca="1" si="33"/>
        <v>0</v>
      </c>
      <c r="P38" s="1">
        <f t="shared" si="4"/>
        <v>7637807.3998190295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7371141.4688158911</v>
      </c>
      <c r="U38" s="1">
        <f t="shared" ca="1" si="9"/>
        <v>11195043.578292601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>
        <f>Dataset!L39</f>
        <v>10850281.984755067</v>
      </c>
      <c r="E39" s="118">
        <f t="shared" ref="E39:F39" ca="1" si="38">E27</f>
        <v>582</v>
      </c>
      <c r="F39" s="118">
        <f t="shared" ca="1" si="38"/>
        <v>0</v>
      </c>
      <c r="G39" s="8">
        <f>Dataset!AR39</f>
        <v>28</v>
      </c>
      <c r="H39" s="109">
        <f>Dataset!BL39</f>
        <v>0</v>
      </c>
      <c r="I39" s="109">
        <f>Dataset!BF39</f>
        <v>0</v>
      </c>
      <c r="J39" s="109">
        <f>Dataset!BM39</f>
        <v>0</v>
      </c>
      <c r="K39" s="109">
        <f>Dataset!AM39</f>
        <v>677384</v>
      </c>
      <c r="M39" s="8">
        <f t="shared" si="31"/>
        <v>-4934593.1922812499</v>
      </c>
      <c r="N39" s="1">
        <f t="shared" ca="1" si="32"/>
        <v>1028073.0087298153</v>
      </c>
      <c r="O39" s="1">
        <f t="shared" ca="1" si="33"/>
        <v>0</v>
      </c>
      <c r="P39" s="1">
        <f t="shared" si="4"/>
        <v>6898664.74822364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7371141.4688158911</v>
      </c>
      <c r="U39" s="1">
        <f t="shared" ca="1" si="9"/>
        <v>10363286.033488097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>
        <f>Dataset!L40</f>
        <v>11491955.372585705</v>
      </c>
      <c r="E40" s="118">
        <f t="shared" ref="E40:F40" ca="1" si="39">E28</f>
        <v>498.31000000000006</v>
      </c>
      <c r="F40" s="118">
        <f t="shared" ca="1" si="39"/>
        <v>0.27999999999999997</v>
      </c>
      <c r="G40" s="8">
        <f>Dataset!AR40</f>
        <v>31</v>
      </c>
      <c r="H40" s="109">
        <f>Dataset!BL40</f>
        <v>0</v>
      </c>
      <c r="I40" s="109">
        <f>Dataset!BF40</f>
        <v>0</v>
      </c>
      <c r="J40" s="109">
        <f>Dataset!BM40</f>
        <v>0</v>
      </c>
      <c r="K40" s="109">
        <f>Dataset!AM40</f>
        <v>677384</v>
      </c>
      <c r="M40" s="8">
        <f t="shared" si="31"/>
        <v>-4934593.1922812499</v>
      </c>
      <c r="N40" s="1">
        <f t="shared" ca="1" si="32"/>
        <v>880238.93639201764</v>
      </c>
      <c r="O40" s="1">
        <f t="shared" ca="1" si="33"/>
        <v>1401.306864139518</v>
      </c>
      <c r="P40" s="1">
        <f t="shared" si="4"/>
        <v>7637807.3998190295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7371141.4688158911</v>
      </c>
      <c r="U40" s="1">
        <f t="shared" ca="1" si="9"/>
        <v>10955995.919609828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>
        <f>Dataset!L41</f>
        <v>10292324.925510194</v>
      </c>
      <c r="E41" s="118">
        <f t="shared" ref="E41:F41" ca="1" si="40">E29</f>
        <v>322.59999999999997</v>
      </c>
      <c r="F41" s="118">
        <f t="shared" ca="1" si="40"/>
        <v>0.08</v>
      </c>
      <c r="G41" s="8">
        <f>Dataset!AR41</f>
        <v>30</v>
      </c>
      <c r="H41" s="109">
        <f>Dataset!BL41</f>
        <v>0</v>
      </c>
      <c r="I41" s="109">
        <f>Dataset!BF41</f>
        <v>0</v>
      </c>
      <c r="J41" s="109">
        <f>Dataset!BM41</f>
        <v>0</v>
      </c>
      <c r="K41" s="109">
        <f>Dataset!AM41</f>
        <v>677384</v>
      </c>
      <c r="M41" s="8">
        <f t="shared" si="31"/>
        <v>-4934593.1922812499</v>
      </c>
      <c r="N41" s="1">
        <f t="shared" ca="1" si="32"/>
        <v>569856.27597291814</v>
      </c>
      <c r="O41" s="1">
        <f t="shared" ca="1" si="33"/>
        <v>400.37338975414804</v>
      </c>
      <c r="P41" s="1">
        <f t="shared" si="4"/>
        <v>7391426.5159538994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7371141.4688158911</v>
      </c>
      <c r="U41" s="1">
        <f t="shared" ca="1" si="9"/>
        <v>10398231.441851214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>
        <f>Dataset!L42</f>
        <v>10383319.270265797</v>
      </c>
      <c r="E42" s="118">
        <f t="shared" ref="E42:F42" ca="1" si="41">E30</f>
        <v>139.78</v>
      </c>
      <c r="F42" s="118">
        <f t="shared" ca="1" si="41"/>
        <v>16.149999999999999</v>
      </c>
      <c r="G42" s="8">
        <f>Dataset!AR42</f>
        <v>31</v>
      </c>
      <c r="H42" s="109">
        <f>Dataset!BL42</f>
        <v>0</v>
      </c>
      <c r="I42" s="109">
        <f>Dataset!BF42</f>
        <v>0</v>
      </c>
      <c r="J42" s="109">
        <f>Dataset!BM42</f>
        <v>0</v>
      </c>
      <c r="K42" s="109">
        <f>Dataset!AM42</f>
        <v>677384</v>
      </c>
      <c r="M42" s="8">
        <f t="shared" si="31"/>
        <v>-4934593.1922812499</v>
      </c>
      <c r="N42" s="1">
        <f t="shared" ca="1" si="32"/>
        <v>246914.16694201645</v>
      </c>
      <c r="O42" s="1">
        <f t="shared" ca="1" si="33"/>
        <v>80825.378056618618</v>
      </c>
      <c r="P42" s="1">
        <f t="shared" si="4"/>
        <v>7637807.3998190295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7371141.4688158911</v>
      </c>
      <c r="U42" s="1">
        <f t="shared" ca="1" si="9"/>
        <v>10402095.221352305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>
        <f>Dataset!L43</f>
        <v>10281781.957636029</v>
      </c>
      <c r="E43" s="118">
        <f t="shared" ref="E43:F43" ca="1" si="42">E31</f>
        <v>29.85</v>
      </c>
      <c r="F43" s="118">
        <f t="shared" ca="1" si="42"/>
        <v>42.1</v>
      </c>
      <c r="G43" s="8">
        <f>Dataset!AR43</f>
        <v>30</v>
      </c>
      <c r="H43" s="109">
        <f>Dataset!BL43</f>
        <v>0</v>
      </c>
      <c r="I43" s="109">
        <f>Dataset!BF43</f>
        <v>0</v>
      </c>
      <c r="J43" s="109">
        <f>Dataset!BM43</f>
        <v>0</v>
      </c>
      <c r="K43" s="109">
        <f>Dataset!AM43</f>
        <v>677384</v>
      </c>
      <c r="M43" s="8">
        <f t="shared" si="31"/>
        <v>-4934593.1922812499</v>
      </c>
      <c r="N43" s="1">
        <f t="shared" ca="1" si="32"/>
        <v>52728.486787946713</v>
      </c>
      <c r="O43" s="1">
        <f t="shared" ca="1" si="33"/>
        <v>210696.49635812041</v>
      </c>
      <c r="P43" s="1">
        <f t="shared" si="4"/>
        <v>7391426.5159538994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7371141.4688158911</v>
      </c>
      <c r="U43" s="1">
        <f t="shared" ca="1" si="9"/>
        <v>10091399.775634609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>
        <f>Dataset!L44</f>
        <v>10517589.231742615</v>
      </c>
      <c r="E44" s="118">
        <f t="shared" ref="E44:F44" ca="1" si="43">E32</f>
        <v>1.36</v>
      </c>
      <c r="F44" s="118">
        <f t="shared" ca="1" si="43"/>
        <v>95.609999999999985</v>
      </c>
      <c r="G44" s="8">
        <f>Dataset!AR44</f>
        <v>31</v>
      </c>
      <c r="H44" s="109">
        <f>Dataset!BL44</f>
        <v>0</v>
      </c>
      <c r="I44" s="109">
        <f>Dataset!BF44</f>
        <v>0</v>
      </c>
      <c r="J44" s="109">
        <f>Dataset!BM44</f>
        <v>0</v>
      </c>
      <c r="K44" s="109">
        <f>Dataset!AM44</f>
        <v>677384</v>
      </c>
      <c r="M44" s="8">
        <f t="shared" si="31"/>
        <v>-4934593.1922812499</v>
      </c>
      <c r="N44" s="1">
        <f t="shared" ca="1" si="32"/>
        <v>2402.3699173067848</v>
      </c>
      <c r="O44" s="1">
        <f t="shared" ca="1" si="33"/>
        <v>478496.24742992606</v>
      </c>
      <c r="P44" s="1">
        <f t="shared" si="4"/>
        <v>7637807.3998190295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7371141.4688158911</v>
      </c>
      <c r="U44" s="1">
        <f t="shared" ca="1" si="9"/>
        <v>10555254.293700904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>
        <f>Dataset!L45</f>
        <v>10446595.793682598</v>
      </c>
      <c r="E45" s="118">
        <f t="shared" ref="E45:F45" ca="1" si="44">E33</f>
        <v>1.77</v>
      </c>
      <c r="F45" s="118">
        <f t="shared" ca="1" si="44"/>
        <v>83.75</v>
      </c>
      <c r="G45" s="8">
        <f>Dataset!AR45</f>
        <v>31</v>
      </c>
      <c r="H45" s="109">
        <f>Dataset!BL45</f>
        <v>0</v>
      </c>
      <c r="I45" s="109">
        <f>Dataset!BF45</f>
        <v>0</v>
      </c>
      <c r="J45" s="109">
        <f>Dataset!BM45</f>
        <v>0</v>
      </c>
      <c r="K45" s="109">
        <f>Dataset!AM45</f>
        <v>677384</v>
      </c>
      <c r="M45" s="8">
        <f t="shared" si="31"/>
        <v>-4934593.1922812499</v>
      </c>
      <c r="N45" s="1">
        <f t="shared" ca="1" si="32"/>
        <v>3126.6137894360359</v>
      </c>
      <c r="O45" s="1">
        <f t="shared" ca="1" si="33"/>
        <v>419140.89239887369</v>
      </c>
      <c r="P45" s="1">
        <f t="shared" si="4"/>
        <v>7637807.3998190295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7371141.4688158911</v>
      </c>
      <c r="U45" s="1">
        <f t="shared" ca="1" si="9"/>
        <v>10496623.182541981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>
        <f>Dataset!L46</f>
        <v>10746820.170378376</v>
      </c>
      <c r="E46" s="118">
        <f t="shared" ref="E46:F46" ca="1" si="45">E34</f>
        <v>37.33</v>
      </c>
      <c r="F46" s="118">
        <f t="shared" ca="1" si="45"/>
        <v>34.480000000000004</v>
      </c>
      <c r="G46" s="8">
        <f>Dataset!AR46</f>
        <v>30</v>
      </c>
      <c r="H46" s="109">
        <f>Dataset!BL46</f>
        <v>0</v>
      </c>
      <c r="I46" s="109">
        <f>Dataset!BF46</f>
        <v>0</v>
      </c>
      <c r="J46" s="109">
        <f>Dataset!BM46</f>
        <v>0</v>
      </c>
      <c r="K46" s="109">
        <f>Dataset!AM46</f>
        <v>677384</v>
      </c>
      <c r="M46" s="8">
        <f t="shared" si="31"/>
        <v>-4934593.1922812499</v>
      </c>
      <c r="N46" s="1">
        <f t="shared" ca="1" si="32"/>
        <v>65941.52133313402</v>
      </c>
      <c r="O46" s="1">
        <f t="shared" ca="1" si="33"/>
        <v>172560.93098403781</v>
      </c>
      <c r="P46" s="1">
        <f t="shared" si="4"/>
        <v>7391426.5159538994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7371141.4688158911</v>
      </c>
      <c r="U46" s="1">
        <f t="shared" ca="1" si="9"/>
        <v>10066477.244805712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>
        <f>Dataset!L47</f>
        <v>10680720.742169244</v>
      </c>
      <c r="E47" s="118">
        <f t="shared" ref="E47:F47" ca="1" si="46">E35</f>
        <v>173.75</v>
      </c>
      <c r="F47" s="118">
        <f t="shared" ca="1" si="46"/>
        <v>4.62</v>
      </c>
      <c r="G47" s="8">
        <f>Dataset!AR47</f>
        <v>31</v>
      </c>
      <c r="H47" s="109">
        <f>Dataset!BL47</f>
        <v>0</v>
      </c>
      <c r="I47" s="109">
        <f>Dataset!BF47</f>
        <v>0</v>
      </c>
      <c r="J47" s="109">
        <f>Dataset!BM47</f>
        <v>0</v>
      </c>
      <c r="K47" s="109">
        <f>Dataset!AM47</f>
        <v>677384</v>
      </c>
      <c r="M47" s="8">
        <f t="shared" si="31"/>
        <v>-4934593.1922812499</v>
      </c>
      <c r="N47" s="1">
        <f t="shared" ca="1" si="32"/>
        <v>306920.42142062786</v>
      </c>
      <c r="O47" s="1">
        <f t="shared" ca="1" si="33"/>
        <v>23121.563258302049</v>
      </c>
      <c r="P47" s="1">
        <f t="shared" si="4"/>
        <v>7637807.3998190295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7371141.4688158911</v>
      </c>
      <c r="U47" s="1">
        <f t="shared" ca="1" si="9"/>
        <v>10404397.661032602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>
        <f>Dataset!L48</f>
        <v>10331734.796576479</v>
      </c>
      <c r="E48" s="118">
        <f t="shared" ref="E48:F48" ca="1" si="47">E36</f>
        <v>366.25</v>
      </c>
      <c r="F48" s="118">
        <f t="shared" ca="1" si="47"/>
        <v>0.69000000000000006</v>
      </c>
      <c r="G48" s="8">
        <f>Dataset!AR48</f>
        <v>30</v>
      </c>
      <c r="H48" s="109">
        <f>Dataset!BL48</f>
        <v>0</v>
      </c>
      <c r="I48" s="109">
        <f>Dataset!BF48</f>
        <v>0</v>
      </c>
      <c r="J48" s="109">
        <f>Dataset!BM48</f>
        <v>0</v>
      </c>
      <c r="K48" s="109">
        <f>Dataset!AM48</f>
        <v>677384</v>
      </c>
      <c r="M48" s="8">
        <f t="shared" si="31"/>
        <v>-4934593.1922812499</v>
      </c>
      <c r="N48" s="1">
        <f t="shared" ca="1" si="32"/>
        <v>646961.7516276543</v>
      </c>
      <c r="O48" s="1">
        <f t="shared" ca="1" si="33"/>
        <v>3453.2204866295269</v>
      </c>
      <c r="P48" s="1">
        <f t="shared" si="4"/>
        <v>7391426.5159538994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7371141.4688158911</v>
      </c>
      <c r="U48" s="1">
        <f t="shared" ca="1" si="9"/>
        <v>10478389.764602825</v>
      </c>
    </row>
    <row r="49" spans="1:21">
      <c r="A49" s="7">
        <f>Dataset!A49</f>
        <v>42339</v>
      </c>
      <c r="B49">
        <f>Dataset!B49</f>
        <v>2015</v>
      </c>
      <c r="C49">
        <f>Dataset!C49</f>
        <v>12</v>
      </c>
      <c r="D49">
        <f>Dataset!L49</f>
        <v>10384820.161549082</v>
      </c>
      <c r="E49" s="118">
        <f t="shared" ref="E49:F49" ca="1" si="48">E37</f>
        <v>523.60000000000014</v>
      </c>
      <c r="F49" s="118">
        <f t="shared" ca="1" si="48"/>
        <v>0</v>
      </c>
      <c r="G49" s="8">
        <f>Dataset!AR49</f>
        <v>31</v>
      </c>
      <c r="H49" s="109">
        <f>Dataset!BL49</f>
        <v>0</v>
      </c>
      <c r="I49" s="109">
        <f>Dataset!BF49</f>
        <v>1</v>
      </c>
      <c r="J49" s="109">
        <f>Dataset!BM49</f>
        <v>0</v>
      </c>
      <c r="K49" s="109">
        <f>Dataset!AM49</f>
        <v>677384</v>
      </c>
      <c r="M49" s="8">
        <f t="shared" si="31"/>
        <v>-4934593.1922812499</v>
      </c>
      <c r="N49" s="1">
        <f t="shared" ca="1" si="32"/>
        <v>924912.41816311236</v>
      </c>
      <c r="O49" s="1">
        <f t="shared" ca="1" si="33"/>
        <v>0</v>
      </c>
      <c r="P49" s="1">
        <f t="shared" si="4"/>
        <v>7637807.3998190295</v>
      </c>
      <c r="Q49" s="1">
        <f t="shared" si="5"/>
        <v>0</v>
      </c>
      <c r="R49" s="1">
        <f t="shared" si="6"/>
        <v>-586242.38490532804</v>
      </c>
      <c r="S49" s="1">
        <f t="shared" si="7"/>
        <v>0</v>
      </c>
      <c r="T49" s="1">
        <f t="shared" si="8"/>
        <v>7371141.4688158911</v>
      </c>
      <c r="U49" s="1">
        <f t="shared" ca="1" si="9"/>
        <v>10413025.709611455</v>
      </c>
    </row>
    <row r="50" spans="1:21">
      <c r="A50" s="7">
        <f>Dataset!A50</f>
        <v>42370</v>
      </c>
      <c r="B50">
        <f>Dataset!B50</f>
        <v>2016</v>
      </c>
      <c r="C50">
        <f>Dataset!C50</f>
        <v>1</v>
      </c>
      <c r="D50">
        <f>Dataset!L50</f>
        <v>11522349.908221055</v>
      </c>
      <c r="E50" s="118">
        <f t="shared" ref="E50:F50" ca="1" si="49">E38</f>
        <v>634.42999999999995</v>
      </c>
      <c r="F50" s="118">
        <f t="shared" ca="1" si="49"/>
        <v>0</v>
      </c>
      <c r="G50" s="8">
        <f>Dataset!AR50</f>
        <v>31</v>
      </c>
      <c r="H50" s="109">
        <f>Dataset!BL50</f>
        <v>0</v>
      </c>
      <c r="I50" s="109">
        <f>Dataset!BF50</f>
        <v>0</v>
      </c>
      <c r="J50" s="109">
        <f>Dataset!BM50</f>
        <v>0</v>
      </c>
      <c r="K50" s="109">
        <f>Dataset!AM50</f>
        <v>692620.80000000005</v>
      </c>
      <c r="M50" s="8">
        <f t="shared" si="31"/>
        <v>-4934593.1922812499</v>
      </c>
      <c r="N50" s="1">
        <f t="shared" ca="1" si="32"/>
        <v>1120687.901938929</v>
      </c>
      <c r="O50" s="1">
        <f t="shared" ca="1" si="33"/>
        <v>0</v>
      </c>
      <c r="P50" s="1">
        <f t="shared" si="4"/>
        <v>7637807.3998190295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7536944.9249531105</v>
      </c>
      <c r="U50" s="1">
        <f t="shared" ca="1" si="9"/>
        <v>11360847.034429818</v>
      </c>
    </row>
    <row r="51" spans="1:21">
      <c r="A51" s="7">
        <f>Dataset!A51</f>
        <v>42401</v>
      </c>
      <c r="B51">
        <f>Dataset!B51</f>
        <v>2016</v>
      </c>
      <c r="C51">
        <f>Dataset!C51</f>
        <v>2</v>
      </c>
      <c r="D51">
        <f>Dataset!L51</f>
        <v>11362355.364163456</v>
      </c>
      <c r="E51" s="118">
        <f t="shared" ref="E51:F51" ca="1" si="50">E39</f>
        <v>582</v>
      </c>
      <c r="F51" s="118">
        <f t="shared" ca="1" si="50"/>
        <v>0</v>
      </c>
      <c r="G51" s="8">
        <f>Dataset!AR51</f>
        <v>29</v>
      </c>
      <c r="H51" s="109">
        <f>Dataset!BL51</f>
        <v>0</v>
      </c>
      <c r="I51" s="109">
        <f>Dataset!BF51</f>
        <v>0</v>
      </c>
      <c r="J51" s="109">
        <f>Dataset!BM51</f>
        <v>0</v>
      </c>
      <c r="K51" s="109">
        <f>Dataset!AM51</f>
        <v>692620.80000000005</v>
      </c>
      <c r="M51" s="8">
        <f t="shared" si="31"/>
        <v>-4934593.1922812499</v>
      </c>
      <c r="N51" s="1">
        <f t="shared" ca="1" si="32"/>
        <v>1028073.0087298153</v>
      </c>
      <c r="O51" s="1">
        <f t="shared" ca="1" si="33"/>
        <v>0</v>
      </c>
      <c r="P51" s="1">
        <f t="shared" si="4"/>
        <v>7145045.6320887692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7536944.9249531105</v>
      </c>
      <c r="U51" s="1">
        <f t="shared" ca="1" si="9"/>
        <v>10775470.373490445</v>
      </c>
    </row>
    <row r="52" spans="1:21">
      <c r="A52" s="7">
        <f>Dataset!A52</f>
        <v>42430</v>
      </c>
      <c r="B52">
        <f>Dataset!B52</f>
        <v>2016</v>
      </c>
      <c r="C52">
        <f>Dataset!C52</f>
        <v>3</v>
      </c>
      <c r="D52">
        <f>Dataset!L52</f>
        <v>11443549.347929325</v>
      </c>
      <c r="E52" s="118">
        <f t="shared" ref="E52:F52" ca="1" si="51">E40</f>
        <v>498.31000000000006</v>
      </c>
      <c r="F52" s="118">
        <f t="shared" ca="1" si="51"/>
        <v>0.27999999999999997</v>
      </c>
      <c r="G52" s="8">
        <f>Dataset!AR52</f>
        <v>31</v>
      </c>
      <c r="H52" s="109">
        <f>Dataset!BL52</f>
        <v>0</v>
      </c>
      <c r="I52" s="109">
        <f>Dataset!BF52</f>
        <v>0</v>
      </c>
      <c r="J52" s="109">
        <f>Dataset!BM52</f>
        <v>0</v>
      </c>
      <c r="K52" s="109">
        <f>Dataset!AM52</f>
        <v>692620.80000000005</v>
      </c>
      <c r="M52" s="8">
        <f t="shared" si="31"/>
        <v>-4934593.1922812499</v>
      </c>
      <c r="N52" s="1">
        <f t="shared" ca="1" si="32"/>
        <v>880238.93639201764</v>
      </c>
      <c r="O52" s="1">
        <f t="shared" ca="1" si="33"/>
        <v>1401.306864139518</v>
      </c>
      <c r="P52" s="1">
        <f t="shared" si="4"/>
        <v>7637807.3998190295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7536944.9249531105</v>
      </c>
      <c r="U52" s="1">
        <f t="shared" ca="1" si="9"/>
        <v>11121799.375747047</v>
      </c>
    </row>
    <row r="53" spans="1:21">
      <c r="A53" s="7">
        <f>Dataset!A53</f>
        <v>42461</v>
      </c>
      <c r="B53">
        <f>Dataset!B53</f>
        <v>2016</v>
      </c>
      <c r="C53">
        <f>Dataset!C53</f>
        <v>4</v>
      </c>
      <c r="D53">
        <f>Dataset!L53</f>
        <v>10326762.677839415</v>
      </c>
      <c r="E53" s="118">
        <f t="shared" ref="E53:F53" ca="1" si="52">E41</f>
        <v>322.59999999999997</v>
      </c>
      <c r="F53" s="118">
        <f t="shared" ca="1" si="52"/>
        <v>0.08</v>
      </c>
      <c r="G53" s="8">
        <f>Dataset!AR53</f>
        <v>30</v>
      </c>
      <c r="H53" s="109">
        <f>Dataset!BL53</f>
        <v>0</v>
      </c>
      <c r="I53" s="109">
        <f>Dataset!BF53</f>
        <v>0</v>
      </c>
      <c r="J53" s="109">
        <f>Dataset!BM53</f>
        <v>0</v>
      </c>
      <c r="K53" s="109">
        <f>Dataset!AM53</f>
        <v>692620.80000000005</v>
      </c>
      <c r="M53" s="8">
        <f t="shared" si="31"/>
        <v>-4934593.1922812499</v>
      </c>
      <c r="N53" s="1">
        <f t="shared" ca="1" si="32"/>
        <v>569856.27597291814</v>
      </c>
      <c r="O53" s="1">
        <f t="shared" ca="1" si="33"/>
        <v>400.37338975414804</v>
      </c>
      <c r="P53" s="1">
        <f t="shared" si="4"/>
        <v>7391426.5159538994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7536944.9249531105</v>
      </c>
      <c r="U53" s="1">
        <f t="shared" ca="1" si="9"/>
        <v>10564034.897988431</v>
      </c>
    </row>
    <row r="54" spans="1:21">
      <c r="A54" s="7">
        <f>Dataset!A54</f>
        <v>42491</v>
      </c>
      <c r="B54">
        <f>Dataset!B54</f>
        <v>2016</v>
      </c>
      <c r="C54">
        <f>Dataset!C54</f>
        <v>5</v>
      </c>
      <c r="D54">
        <f>Dataset!L54</f>
        <v>10989936.556001863</v>
      </c>
      <c r="E54" s="118">
        <f t="shared" ref="E54:F54" ca="1" si="53">E42</f>
        <v>139.78</v>
      </c>
      <c r="F54" s="118">
        <f t="shared" ca="1" si="53"/>
        <v>16.149999999999999</v>
      </c>
      <c r="G54" s="8">
        <f>Dataset!AR54</f>
        <v>31</v>
      </c>
      <c r="H54" s="109">
        <f>Dataset!BL54</f>
        <v>0</v>
      </c>
      <c r="I54" s="109">
        <f>Dataset!BF54</f>
        <v>0</v>
      </c>
      <c r="J54" s="109">
        <f>Dataset!BM54</f>
        <v>0</v>
      </c>
      <c r="K54" s="109">
        <f>Dataset!AM54</f>
        <v>692620.80000000005</v>
      </c>
      <c r="M54" s="8">
        <f t="shared" si="31"/>
        <v>-4934593.1922812499</v>
      </c>
      <c r="N54" s="1">
        <f t="shared" ca="1" si="32"/>
        <v>246914.16694201645</v>
      </c>
      <c r="O54" s="1">
        <f t="shared" ca="1" si="33"/>
        <v>80825.378056618618</v>
      </c>
      <c r="P54" s="1">
        <f t="shared" si="4"/>
        <v>7637807.3998190295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7536944.9249531105</v>
      </c>
      <c r="U54" s="1">
        <f t="shared" ca="1" si="9"/>
        <v>10567898.677489525</v>
      </c>
    </row>
    <row r="55" spans="1:21">
      <c r="A55" s="7">
        <f>Dataset!A55</f>
        <v>42522</v>
      </c>
      <c r="B55">
        <f>Dataset!B55</f>
        <v>2016</v>
      </c>
      <c r="C55">
        <f>Dataset!C55</f>
        <v>6</v>
      </c>
      <c r="D55">
        <f>Dataset!L55</f>
        <v>10938490.763634181</v>
      </c>
      <c r="E55" s="118">
        <f t="shared" ref="E55:F55" ca="1" si="54">E43</f>
        <v>29.85</v>
      </c>
      <c r="F55" s="118">
        <f t="shared" ca="1" si="54"/>
        <v>42.1</v>
      </c>
      <c r="G55" s="8">
        <f>Dataset!AR55</f>
        <v>30</v>
      </c>
      <c r="H55" s="109">
        <f>Dataset!BL55</f>
        <v>0</v>
      </c>
      <c r="I55" s="109">
        <f>Dataset!BF55</f>
        <v>0</v>
      </c>
      <c r="J55" s="109">
        <f>Dataset!BM55</f>
        <v>0</v>
      </c>
      <c r="K55" s="109">
        <f>Dataset!AM55</f>
        <v>692620.80000000005</v>
      </c>
      <c r="M55" s="8">
        <f t="shared" si="31"/>
        <v>-4934593.1922812499</v>
      </c>
      <c r="N55" s="1">
        <f t="shared" ca="1" si="32"/>
        <v>52728.486787946713</v>
      </c>
      <c r="O55" s="1">
        <f t="shared" ca="1" si="33"/>
        <v>210696.49635812041</v>
      </c>
      <c r="P55" s="1">
        <f t="shared" si="4"/>
        <v>7391426.5159538994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7536944.9249531105</v>
      </c>
      <c r="U55" s="1">
        <f t="shared" ca="1" si="9"/>
        <v>10257203.231771827</v>
      </c>
    </row>
    <row r="56" spans="1:21">
      <c r="A56" s="7">
        <f>Dataset!A56</f>
        <v>42552</v>
      </c>
      <c r="B56">
        <f>Dataset!B56</f>
        <v>2016</v>
      </c>
      <c r="C56">
        <f>Dataset!C56</f>
        <v>7</v>
      </c>
      <c r="D56">
        <f>Dataset!L56</f>
        <v>11041565.465770569</v>
      </c>
      <c r="E56" s="118">
        <f t="shared" ref="E56:F56" ca="1" si="55">E44</f>
        <v>1.36</v>
      </c>
      <c r="F56" s="118">
        <f t="shared" ca="1" si="55"/>
        <v>95.609999999999985</v>
      </c>
      <c r="G56" s="8">
        <f>Dataset!AR56</f>
        <v>31</v>
      </c>
      <c r="H56" s="109">
        <f>Dataset!BL56</f>
        <v>0</v>
      </c>
      <c r="I56" s="109">
        <f>Dataset!BF56</f>
        <v>0</v>
      </c>
      <c r="J56" s="109">
        <f>Dataset!BM56</f>
        <v>0</v>
      </c>
      <c r="K56" s="109">
        <f>Dataset!AM56</f>
        <v>692620.80000000005</v>
      </c>
      <c r="M56" s="8">
        <f t="shared" si="31"/>
        <v>-4934593.1922812499</v>
      </c>
      <c r="N56" s="1">
        <f t="shared" ca="1" si="32"/>
        <v>2402.3699173067848</v>
      </c>
      <c r="O56" s="1">
        <f t="shared" ca="1" si="33"/>
        <v>478496.24742992606</v>
      </c>
      <c r="P56" s="1">
        <f t="shared" si="4"/>
        <v>7637807.3998190295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7536944.9249531105</v>
      </c>
      <c r="U56" s="1">
        <f t="shared" ca="1" si="9"/>
        <v>10721057.749838123</v>
      </c>
    </row>
    <row r="57" spans="1:21">
      <c r="A57" s="7">
        <f>Dataset!A57</f>
        <v>42583</v>
      </c>
      <c r="B57">
        <f>Dataset!B57</f>
        <v>2016</v>
      </c>
      <c r="C57">
        <f>Dataset!C57</f>
        <v>8</v>
      </c>
      <c r="D57">
        <f>Dataset!L57</f>
        <v>11481801.456296286</v>
      </c>
      <c r="E57" s="118">
        <f t="shared" ref="E57:F57" ca="1" si="56">E45</f>
        <v>1.77</v>
      </c>
      <c r="F57" s="118">
        <f t="shared" ca="1" si="56"/>
        <v>83.75</v>
      </c>
      <c r="G57" s="8">
        <f>Dataset!AR57</f>
        <v>31</v>
      </c>
      <c r="H57" s="109">
        <f>Dataset!BL57</f>
        <v>0</v>
      </c>
      <c r="I57" s="109">
        <f>Dataset!BF57</f>
        <v>0</v>
      </c>
      <c r="J57" s="109">
        <f>Dataset!BM57</f>
        <v>0</v>
      </c>
      <c r="K57" s="109">
        <f>Dataset!AM57</f>
        <v>692620.80000000005</v>
      </c>
      <c r="M57" s="8">
        <f t="shared" si="31"/>
        <v>-4934593.1922812499</v>
      </c>
      <c r="N57" s="1">
        <f t="shared" ca="1" si="32"/>
        <v>3126.6137894360359</v>
      </c>
      <c r="O57" s="1">
        <f t="shared" ca="1" si="33"/>
        <v>419140.89239887369</v>
      </c>
      <c r="P57" s="1">
        <f t="shared" si="4"/>
        <v>7637807.3998190295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7536944.9249531105</v>
      </c>
      <c r="U57" s="1">
        <f t="shared" ca="1" si="9"/>
        <v>10662426.638679199</v>
      </c>
    </row>
    <row r="58" spans="1:21">
      <c r="A58" s="7">
        <f>Dataset!A58</f>
        <v>42614</v>
      </c>
      <c r="B58">
        <f>Dataset!B58</f>
        <v>2016</v>
      </c>
      <c r="C58">
        <f>Dataset!C58</f>
        <v>9</v>
      </c>
      <c r="D58">
        <f>Dataset!L58</f>
        <v>10829491.170907196</v>
      </c>
      <c r="E58" s="118">
        <f t="shared" ref="E58:F58" ca="1" si="57">E46</f>
        <v>37.33</v>
      </c>
      <c r="F58" s="118">
        <f t="shared" ca="1" si="57"/>
        <v>34.480000000000004</v>
      </c>
      <c r="G58" s="8">
        <f>Dataset!AR58</f>
        <v>30</v>
      </c>
      <c r="H58" s="109">
        <f>Dataset!BL58</f>
        <v>0</v>
      </c>
      <c r="I58" s="109">
        <f>Dataset!BF58</f>
        <v>0</v>
      </c>
      <c r="J58" s="109">
        <f>Dataset!BM58</f>
        <v>0</v>
      </c>
      <c r="K58" s="109">
        <f>Dataset!AM58</f>
        <v>692620.80000000005</v>
      </c>
      <c r="M58" s="8">
        <f t="shared" si="31"/>
        <v>-4934593.1922812499</v>
      </c>
      <c r="N58" s="1">
        <f t="shared" ca="1" si="32"/>
        <v>65941.52133313402</v>
      </c>
      <c r="O58" s="1">
        <f t="shared" ca="1" si="33"/>
        <v>172560.93098403781</v>
      </c>
      <c r="P58" s="1">
        <f t="shared" si="4"/>
        <v>7391426.5159538994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7536944.9249531105</v>
      </c>
      <c r="U58" s="1">
        <f t="shared" ca="1" si="9"/>
        <v>10232280.700942932</v>
      </c>
    </row>
    <row r="59" spans="1:21">
      <c r="A59" s="7">
        <f>Dataset!A59</f>
        <v>42644</v>
      </c>
      <c r="B59">
        <f>Dataset!B59</f>
        <v>2016</v>
      </c>
      <c r="C59">
        <f>Dataset!C59</f>
        <v>10</v>
      </c>
      <c r="D59">
        <f>Dataset!L59</f>
        <v>11116512.222493669</v>
      </c>
      <c r="E59" s="118">
        <f t="shared" ref="E59:F59" ca="1" si="58">E47</f>
        <v>173.75</v>
      </c>
      <c r="F59" s="118">
        <f t="shared" ca="1" si="58"/>
        <v>4.62</v>
      </c>
      <c r="G59" s="8">
        <f>Dataset!AR59</f>
        <v>31</v>
      </c>
      <c r="H59" s="109">
        <f>Dataset!BL59</f>
        <v>0</v>
      </c>
      <c r="I59" s="109">
        <f>Dataset!BF59</f>
        <v>0</v>
      </c>
      <c r="J59" s="109">
        <f>Dataset!BM59</f>
        <v>0</v>
      </c>
      <c r="K59" s="109">
        <f>Dataset!AM59</f>
        <v>692620.80000000005</v>
      </c>
      <c r="M59" s="8">
        <f t="shared" si="31"/>
        <v>-4934593.1922812499</v>
      </c>
      <c r="N59" s="1">
        <f t="shared" ca="1" si="32"/>
        <v>306920.42142062786</v>
      </c>
      <c r="O59" s="1">
        <f t="shared" ca="1" si="33"/>
        <v>23121.563258302049</v>
      </c>
      <c r="P59" s="1">
        <f t="shared" si="4"/>
        <v>7637807.3998190295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7536944.9249531105</v>
      </c>
      <c r="U59" s="1">
        <f t="shared" ca="1" si="9"/>
        <v>10570201.11716982</v>
      </c>
    </row>
    <row r="60" spans="1:21">
      <c r="A60" s="7">
        <f>Dataset!A60</f>
        <v>42675</v>
      </c>
      <c r="B60">
        <f>Dataset!B60</f>
        <v>2016</v>
      </c>
      <c r="C60">
        <f>Dataset!C60</f>
        <v>11</v>
      </c>
      <c r="D60">
        <f>Dataset!L60</f>
        <v>10974336.167164927</v>
      </c>
      <c r="E60" s="118">
        <f t="shared" ref="E60:F60" ca="1" si="59">E48</f>
        <v>366.25</v>
      </c>
      <c r="F60" s="118">
        <f t="shared" ca="1" si="59"/>
        <v>0.69000000000000006</v>
      </c>
      <c r="G60" s="8">
        <f>Dataset!AR60</f>
        <v>30</v>
      </c>
      <c r="H60" s="109">
        <f>Dataset!BL60</f>
        <v>0</v>
      </c>
      <c r="I60" s="109">
        <f>Dataset!BF60</f>
        <v>0</v>
      </c>
      <c r="J60" s="109">
        <f>Dataset!BM60</f>
        <v>0</v>
      </c>
      <c r="K60" s="109">
        <f>Dataset!AM60</f>
        <v>692620.80000000005</v>
      </c>
      <c r="M60" s="8">
        <f t="shared" si="31"/>
        <v>-4934593.1922812499</v>
      </c>
      <c r="N60" s="1">
        <f t="shared" ca="1" si="32"/>
        <v>646961.7516276543</v>
      </c>
      <c r="O60" s="1">
        <f t="shared" ca="1" si="33"/>
        <v>3453.2204866295269</v>
      </c>
      <c r="P60" s="1">
        <f t="shared" si="4"/>
        <v>7391426.5159538994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7536944.9249531105</v>
      </c>
      <c r="U60" s="1">
        <f t="shared" ca="1" si="9"/>
        <v>10644193.220740043</v>
      </c>
    </row>
    <row r="61" spans="1:21">
      <c r="A61" s="7">
        <f>Dataset!A61</f>
        <v>42705</v>
      </c>
      <c r="B61">
        <f>Dataset!B61</f>
        <v>2016</v>
      </c>
      <c r="C61">
        <f>Dataset!C61</f>
        <v>12</v>
      </c>
      <c r="D61">
        <f>Dataset!L61</f>
        <v>10477480.747742252</v>
      </c>
      <c r="E61" s="118">
        <f t="shared" ref="E61:F61" ca="1" si="60">E49</f>
        <v>523.60000000000014</v>
      </c>
      <c r="F61" s="118">
        <f t="shared" ca="1" si="60"/>
        <v>0</v>
      </c>
      <c r="G61" s="8">
        <f>Dataset!AR61</f>
        <v>31</v>
      </c>
      <c r="H61" s="109">
        <f>Dataset!BL61</f>
        <v>0</v>
      </c>
      <c r="I61" s="109">
        <f>Dataset!BF61</f>
        <v>1</v>
      </c>
      <c r="J61" s="109">
        <f>Dataset!BM61</f>
        <v>0</v>
      </c>
      <c r="K61" s="109">
        <f>Dataset!AM61</f>
        <v>692620.80000000005</v>
      </c>
      <c r="M61" s="8">
        <f t="shared" si="31"/>
        <v>-4934593.1922812499</v>
      </c>
      <c r="N61" s="1">
        <f t="shared" ca="1" si="32"/>
        <v>924912.41816311236</v>
      </c>
      <c r="O61" s="1">
        <f t="shared" ca="1" si="33"/>
        <v>0</v>
      </c>
      <c r="P61" s="1">
        <f t="shared" si="4"/>
        <v>7637807.3998190295</v>
      </c>
      <c r="Q61" s="1">
        <f t="shared" si="5"/>
        <v>0</v>
      </c>
      <c r="R61" s="1">
        <f t="shared" si="6"/>
        <v>-586242.38490532804</v>
      </c>
      <c r="S61" s="1">
        <f t="shared" si="7"/>
        <v>0</v>
      </c>
      <c r="T61" s="1">
        <f t="shared" si="8"/>
        <v>7536944.9249531105</v>
      </c>
      <c r="U61" s="1">
        <f t="shared" ca="1" si="9"/>
        <v>10578829.165748674</v>
      </c>
    </row>
    <row r="62" spans="1:21">
      <c r="A62" s="7">
        <f>Dataset!A62</f>
        <v>42736</v>
      </c>
      <c r="B62">
        <f>Dataset!B62</f>
        <v>2017</v>
      </c>
      <c r="C62">
        <f>Dataset!C62</f>
        <v>1</v>
      </c>
      <c r="D62">
        <f>Dataset!L62</f>
        <v>11624581.712659625</v>
      </c>
      <c r="E62" s="118">
        <f t="shared" ref="E62:F62" ca="1" si="61">E50</f>
        <v>634.42999999999995</v>
      </c>
      <c r="F62" s="118">
        <f t="shared" ca="1" si="61"/>
        <v>0</v>
      </c>
      <c r="G62" s="8">
        <f>Dataset!AR62</f>
        <v>31</v>
      </c>
      <c r="H62" s="109">
        <f>Dataset!BL62</f>
        <v>0</v>
      </c>
      <c r="I62" s="109">
        <f>Dataset!BF62</f>
        <v>0</v>
      </c>
      <c r="J62" s="109">
        <f>Dataset!BM62</f>
        <v>0</v>
      </c>
      <c r="K62" s="109">
        <f>Dataset!AM62</f>
        <v>711695.1</v>
      </c>
      <c r="M62" s="8">
        <f t="shared" si="31"/>
        <v>-4934593.1922812499</v>
      </c>
      <c r="N62" s="1">
        <f t="shared" ca="1" si="32"/>
        <v>1120687.901938929</v>
      </c>
      <c r="O62" s="1">
        <f t="shared" ca="1" si="33"/>
        <v>0</v>
      </c>
      <c r="P62" s="1">
        <f t="shared" si="4"/>
        <v>7637807.3998190295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7744507.1994069424</v>
      </c>
      <c r="U62" s="1">
        <f t="shared" ca="1" si="9"/>
        <v>11568409.308883652</v>
      </c>
    </row>
    <row r="63" spans="1:21">
      <c r="A63" s="7">
        <f>Dataset!A63</f>
        <v>42767</v>
      </c>
      <c r="B63">
        <f>Dataset!B63</f>
        <v>2017</v>
      </c>
      <c r="C63">
        <f>Dataset!C63</f>
        <v>2</v>
      </c>
      <c r="D63">
        <f>Dataset!L63</f>
        <v>10638201.885609536</v>
      </c>
      <c r="E63" s="118">
        <f t="shared" ref="E63:F63" ca="1" si="62">E51</f>
        <v>582</v>
      </c>
      <c r="F63" s="118">
        <f t="shared" ca="1" si="62"/>
        <v>0</v>
      </c>
      <c r="G63" s="8">
        <f>Dataset!AR63</f>
        <v>28</v>
      </c>
      <c r="H63" s="109">
        <f>Dataset!BL63</f>
        <v>0</v>
      </c>
      <c r="I63" s="109">
        <f>Dataset!BF63</f>
        <v>0</v>
      </c>
      <c r="J63" s="109">
        <f>Dataset!BM63</f>
        <v>0</v>
      </c>
      <c r="K63" s="109">
        <f>Dataset!AM63</f>
        <v>711695.1</v>
      </c>
      <c r="M63" s="8">
        <f t="shared" si="31"/>
        <v>-4934593.1922812499</v>
      </c>
      <c r="N63" s="1">
        <f t="shared" ca="1" si="32"/>
        <v>1028073.0087298153</v>
      </c>
      <c r="O63" s="1">
        <f t="shared" ca="1" si="33"/>
        <v>0</v>
      </c>
      <c r="P63" s="1">
        <f t="shared" si="4"/>
        <v>6898664.74822364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7744507.1994069424</v>
      </c>
      <c r="U63" s="1">
        <f t="shared" ca="1" si="9"/>
        <v>10736651.764079148</v>
      </c>
    </row>
    <row r="64" spans="1:21">
      <c r="A64" s="7">
        <f>Dataset!A64</f>
        <v>42795</v>
      </c>
      <c r="B64">
        <f>Dataset!B64</f>
        <v>2017</v>
      </c>
      <c r="C64">
        <f>Dataset!C64</f>
        <v>3</v>
      </c>
      <c r="D64">
        <f>Dataset!L64</f>
        <v>11697306.266582021</v>
      </c>
      <c r="E64" s="118">
        <f t="shared" ref="E64:F64" ca="1" si="63">E52</f>
        <v>498.31000000000006</v>
      </c>
      <c r="F64" s="118">
        <f t="shared" ca="1" si="63"/>
        <v>0.27999999999999997</v>
      </c>
      <c r="G64" s="8">
        <f>Dataset!AR64</f>
        <v>31</v>
      </c>
      <c r="H64" s="109">
        <f>Dataset!BL64</f>
        <v>0</v>
      </c>
      <c r="I64" s="109">
        <f>Dataset!BF64</f>
        <v>0</v>
      </c>
      <c r="J64" s="109">
        <f>Dataset!BM64</f>
        <v>0</v>
      </c>
      <c r="K64" s="109">
        <f>Dataset!AM64</f>
        <v>711695.1</v>
      </c>
      <c r="M64" s="8">
        <f t="shared" si="31"/>
        <v>-4934593.1922812499</v>
      </c>
      <c r="N64" s="1">
        <f t="shared" ca="1" si="32"/>
        <v>880238.93639201764</v>
      </c>
      <c r="O64" s="1">
        <f t="shared" ca="1" si="33"/>
        <v>1401.306864139518</v>
      </c>
      <c r="P64" s="1">
        <f t="shared" si="4"/>
        <v>7637807.3998190295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7744507.1994069424</v>
      </c>
      <c r="U64" s="1">
        <f t="shared" ca="1" si="9"/>
        <v>11329361.650200879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>
        <f>Dataset!L65</f>
        <v>9856283.4458161946</v>
      </c>
      <c r="E65" s="118">
        <f t="shared" ref="E65:F65" ca="1" si="64">E53</f>
        <v>322.59999999999997</v>
      </c>
      <c r="F65" s="118">
        <f t="shared" ca="1" si="64"/>
        <v>0.08</v>
      </c>
      <c r="G65" s="8">
        <f>Dataset!AR65</f>
        <v>30</v>
      </c>
      <c r="H65" s="109">
        <f>Dataset!BL65</f>
        <v>0</v>
      </c>
      <c r="I65" s="109">
        <f>Dataset!BF65</f>
        <v>0</v>
      </c>
      <c r="J65" s="109">
        <f>Dataset!BM65</f>
        <v>0</v>
      </c>
      <c r="K65" s="109">
        <f>Dataset!AM65</f>
        <v>711695.1</v>
      </c>
      <c r="M65" s="8">
        <f t="shared" si="31"/>
        <v>-4934593.1922812499</v>
      </c>
      <c r="N65" s="1">
        <f t="shared" ca="1" si="32"/>
        <v>569856.27597291814</v>
      </c>
      <c r="O65" s="1">
        <f t="shared" ca="1" si="33"/>
        <v>400.37338975414804</v>
      </c>
      <c r="P65" s="1">
        <f t="shared" si="4"/>
        <v>7391426.5159538994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7744507.1994069424</v>
      </c>
      <c r="U65" s="1">
        <f t="shared" ca="1" si="9"/>
        <v>10771597.172442265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>
        <f>Dataset!L66</f>
        <v>10617108.286173008</v>
      </c>
      <c r="E66" s="118">
        <f t="shared" ref="E66:F66" ca="1" si="65">E54</f>
        <v>139.78</v>
      </c>
      <c r="F66" s="118">
        <f t="shared" ca="1" si="65"/>
        <v>16.149999999999999</v>
      </c>
      <c r="G66" s="8">
        <f>Dataset!AR66</f>
        <v>31</v>
      </c>
      <c r="H66" s="109">
        <f>Dataset!BL66</f>
        <v>0</v>
      </c>
      <c r="I66" s="109">
        <f>Dataset!BF66</f>
        <v>0</v>
      </c>
      <c r="J66" s="109">
        <f>Dataset!BM66</f>
        <v>0</v>
      </c>
      <c r="K66" s="109">
        <f>Dataset!AM66</f>
        <v>711695.1</v>
      </c>
      <c r="M66" s="8">
        <f t="shared" ref="M66:M97" si="66">$Z$10</f>
        <v>-4934593.1922812499</v>
      </c>
      <c r="N66" s="1">
        <f t="shared" ref="N66:N97" ca="1" si="67">E66*$Z$11</f>
        <v>246914.16694201645</v>
      </c>
      <c r="O66" s="1">
        <f t="shared" ref="O66:O97" ca="1" si="68">F66*$Z$12</f>
        <v>80825.378056618618</v>
      </c>
      <c r="P66" s="1">
        <f t="shared" si="4"/>
        <v>7637807.3998190295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7744507.1994069424</v>
      </c>
      <c r="U66" s="1">
        <f t="shared" ca="1" si="9"/>
        <v>10775460.951943357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>
        <f>Dataset!L67</f>
        <v>10524821.658453234</v>
      </c>
      <c r="E67" s="118">
        <f t="shared" ref="E67:F67" ca="1" si="69">E55</f>
        <v>29.85</v>
      </c>
      <c r="F67" s="118">
        <f t="shared" ca="1" si="69"/>
        <v>42.1</v>
      </c>
      <c r="G67" s="8">
        <f>Dataset!AR67</f>
        <v>30</v>
      </c>
      <c r="H67" s="109">
        <f>Dataset!BL67</f>
        <v>0</v>
      </c>
      <c r="I67" s="109">
        <f>Dataset!BF67</f>
        <v>0</v>
      </c>
      <c r="J67" s="109">
        <f>Dataset!BM67</f>
        <v>0</v>
      </c>
      <c r="K67" s="109">
        <f>Dataset!AM67</f>
        <v>711695.1</v>
      </c>
      <c r="M67" s="8">
        <f t="shared" si="66"/>
        <v>-4934593.1922812499</v>
      </c>
      <c r="N67" s="1">
        <f t="shared" ca="1" si="67"/>
        <v>52728.486787946713</v>
      </c>
      <c r="O67" s="1">
        <f t="shared" ca="1" si="68"/>
        <v>210696.49635812041</v>
      </c>
      <c r="P67" s="1">
        <f t="shared" ref="P67:P98" si="70">G67*$Z$13</f>
        <v>7391426.5159538994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7744507.1994069424</v>
      </c>
      <c r="U67" s="1">
        <f t="shared" ref="U67:U130" ca="1" si="75">SUM(M67:T67)</f>
        <v>10464765.50622566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>
        <f>Dataset!L68</f>
        <v>9893170.2734729256</v>
      </c>
      <c r="E68" s="118">
        <f t="shared" ref="E68:F68" ca="1" si="76">E56</f>
        <v>1.36</v>
      </c>
      <c r="F68" s="118">
        <f t="shared" ca="1" si="76"/>
        <v>95.609999999999985</v>
      </c>
      <c r="G68" s="8">
        <f>Dataset!AR68</f>
        <v>31</v>
      </c>
      <c r="H68" s="109">
        <f>Dataset!BL68</f>
        <v>0</v>
      </c>
      <c r="I68" s="109">
        <f>Dataset!BF68</f>
        <v>0</v>
      </c>
      <c r="J68" s="109">
        <f>Dataset!BM68</f>
        <v>0</v>
      </c>
      <c r="K68" s="109">
        <f>Dataset!AM68</f>
        <v>711695.1</v>
      </c>
      <c r="M68" s="8">
        <f t="shared" si="66"/>
        <v>-4934593.1922812499</v>
      </c>
      <c r="N68" s="1">
        <f t="shared" ca="1" si="67"/>
        <v>2402.3699173067848</v>
      </c>
      <c r="O68" s="1">
        <f t="shared" ca="1" si="68"/>
        <v>478496.24742992606</v>
      </c>
      <c r="P68" s="1">
        <f t="shared" si="70"/>
        <v>7637807.3998190295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7744507.1994069424</v>
      </c>
      <c r="U68" s="1">
        <f t="shared" ca="1" si="75"/>
        <v>10928620.024291955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>
        <f>Dataset!L69</f>
        <v>10494250.710027773</v>
      </c>
      <c r="E69" s="118">
        <f t="shared" ref="E69:F69" ca="1" si="77">E57</f>
        <v>1.77</v>
      </c>
      <c r="F69" s="118">
        <f t="shared" ca="1" si="77"/>
        <v>83.75</v>
      </c>
      <c r="G69" s="8">
        <f>Dataset!AR69</f>
        <v>31</v>
      </c>
      <c r="H69" s="109">
        <f>Dataset!BL69</f>
        <v>0</v>
      </c>
      <c r="I69" s="109">
        <f>Dataset!BF69</f>
        <v>0</v>
      </c>
      <c r="J69" s="109">
        <f>Dataset!BM69</f>
        <v>0</v>
      </c>
      <c r="K69" s="109">
        <f>Dataset!AM69</f>
        <v>711695.1</v>
      </c>
      <c r="M69" s="8">
        <f t="shared" si="66"/>
        <v>-4934593.1922812499</v>
      </c>
      <c r="N69" s="1">
        <f t="shared" ca="1" si="67"/>
        <v>3126.6137894360359</v>
      </c>
      <c r="O69" s="1">
        <f t="shared" ca="1" si="68"/>
        <v>419140.89239887369</v>
      </c>
      <c r="P69" s="1">
        <f t="shared" si="70"/>
        <v>7637807.3998190295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7744507.1994069424</v>
      </c>
      <c r="U69" s="1">
        <f t="shared" ca="1" si="75"/>
        <v>10869988.913133033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>
        <f>Dataset!L70</f>
        <v>10794718.500559</v>
      </c>
      <c r="E70" s="118">
        <f t="shared" ref="E70:F70" ca="1" si="78">E58</f>
        <v>37.33</v>
      </c>
      <c r="F70" s="118">
        <f t="shared" ca="1" si="78"/>
        <v>34.480000000000004</v>
      </c>
      <c r="G70" s="8">
        <f>Dataset!AR70</f>
        <v>30</v>
      </c>
      <c r="H70" s="109">
        <f>Dataset!BL70</f>
        <v>0</v>
      </c>
      <c r="I70" s="109">
        <f>Dataset!BF70</f>
        <v>0</v>
      </c>
      <c r="J70" s="109">
        <f>Dataset!BM70</f>
        <v>0</v>
      </c>
      <c r="K70" s="109">
        <f>Dataset!AM70</f>
        <v>711695.1</v>
      </c>
      <c r="M70" s="8">
        <f t="shared" si="66"/>
        <v>-4934593.1922812499</v>
      </c>
      <c r="N70" s="1">
        <f t="shared" ca="1" si="67"/>
        <v>65941.52133313402</v>
      </c>
      <c r="O70" s="1">
        <f t="shared" ca="1" si="68"/>
        <v>172560.93098403781</v>
      </c>
      <c r="P70" s="1">
        <f t="shared" si="70"/>
        <v>7391426.5159538994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7744507.1994069424</v>
      </c>
      <c r="U70" s="1">
        <f t="shared" ca="1" si="75"/>
        <v>10439842.975396764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>
        <f>Dataset!L71</f>
        <v>11272386.319090182</v>
      </c>
      <c r="E71" s="118">
        <f t="shared" ref="E71:F71" ca="1" si="79">E59</f>
        <v>173.75</v>
      </c>
      <c r="F71" s="118">
        <f t="shared" ca="1" si="79"/>
        <v>4.62</v>
      </c>
      <c r="G71" s="8">
        <f>Dataset!AR71</f>
        <v>31</v>
      </c>
      <c r="H71" s="109">
        <f>Dataset!BL71</f>
        <v>0</v>
      </c>
      <c r="I71" s="109">
        <f>Dataset!BF71</f>
        <v>0</v>
      </c>
      <c r="J71" s="109">
        <f>Dataset!BM71</f>
        <v>0</v>
      </c>
      <c r="K71" s="109">
        <f>Dataset!AM71</f>
        <v>711695.1</v>
      </c>
      <c r="M71" s="8">
        <f t="shared" si="66"/>
        <v>-4934593.1922812499</v>
      </c>
      <c r="N71" s="1">
        <f t="shared" ca="1" si="67"/>
        <v>306920.42142062786</v>
      </c>
      <c r="O71" s="1">
        <f t="shared" ca="1" si="68"/>
        <v>23121.563258302049</v>
      </c>
      <c r="P71" s="1">
        <f t="shared" si="70"/>
        <v>7637807.3998190295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7744507.1994069424</v>
      </c>
      <c r="U71" s="1">
        <f t="shared" ca="1" si="75"/>
        <v>10777763.391623653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>
        <f>Dataset!L72</f>
        <v>11216996.214449819</v>
      </c>
      <c r="E72" s="118">
        <f t="shared" ref="E72:F72" ca="1" si="80">E60</f>
        <v>366.25</v>
      </c>
      <c r="F72" s="118">
        <f t="shared" ca="1" si="80"/>
        <v>0.69000000000000006</v>
      </c>
      <c r="G72" s="8">
        <f>Dataset!AR72</f>
        <v>30</v>
      </c>
      <c r="H72" s="109">
        <f>Dataset!BL72</f>
        <v>0</v>
      </c>
      <c r="I72" s="109">
        <f>Dataset!BF72</f>
        <v>0</v>
      </c>
      <c r="J72" s="109">
        <f>Dataset!BM72</f>
        <v>0</v>
      </c>
      <c r="K72" s="109">
        <f>Dataset!AM72</f>
        <v>711695.1</v>
      </c>
      <c r="M72" s="8">
        <f t="shared" si="66"/>
        <v>-4934593.1922812499</v>
      </c>
      <c r="N72" s="1">
        <f t="shared" ca="1" si="67"/>
        <v>646961.7516276543</v>
      </c>
      <c r="O72" s="1">
        <f t="shared" ca="1" si="68"/>
        <v>3453.2204866295269</v>
      </c>
      <c r="P72" s="1">
        <f t="shared" si="70"/>
        <v>7391426.5159538994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7744507.1994069424</v>
      </c>
      <c r="U72" s="1">
        <f t="shared" ca="1" si="75"/>
        <v>10851755.495193876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>
        <f>Dataset!L73</f>
        <v>11074275.177085051</v>
      </c>
      <c r="E73" s="118">
        <f t="shared" ref="E73:F73" ca="1" si="81">E61</f>
        <v>523.60000000000014</v>
      </c>
      <c r="F73" s="118">
        <f t="shared" ca="1" si="81"/>
        <v>0</v>
      </c>
      <c r="G73" s="8">
        <f>Dataset!AR73</f>
        <v>31</v>
      </c>
      <c r="H73" s="109">
        <f>Dataset!BL73</f>
        <v>0</v>
      </c>
      <c r="I73" s="109">
        <f>Dataset!BF73</f>
        <v>1</v>
      </c>
      <c r="J73" s="109">
        <f>Dataset!BM73</f>
        <v>0</v>
      </c>
      <c r="K73" s="109">
        <f>Dataset!AM73</f>
        <v>711695.1</v>
      </c>
      <c r="M73" s="8">
        <f t="shared" si="66"/>
        <v>-4934593.1922812499</v>
      </c>
      <c r="N73" s="1">
        <f t="shared" ca="1" si="67"/>
        <v>924912.41816311236</v>
      </c>
      <c r="O73" s="1">
        <f t="shared" ca="1" si="68"/>
        <v>0</v>
      </c>
      <c r="P73" s="1">
        <f t="shared" si="70"/>
        <v>7637807.3998190295</v>
      </c>
      <c r="Q73" s="1">
        <f t="shared" si="71"/>
        <v>0</v>
      </c>
      <c r="R73" s="1">
        <f t="shared" si="72"/>
        <v>-586242.38490532804</v>
      </c>
      <c r="S73" s="1">
        <f t="shared" si="73"/>
        <v>0</v>
      </c>
      <c r="T73" s="1">
        <f t="shared" si="74"/>
        <v>7744507.1994069424</v>
      </c>
      <c r="U73" s="1">
        <f t="shared" ca="1" si="75"/>
        <v>10786391.440202506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>
        <f>Dataset!L74</f>
        <v>12542863.601587992</v>
      </c>
      <c r="E74" s="118">
        <f t="shared" ref="E74:F74" ca="1" si="82">E62</f>
        <v>634.42999999999995</v>
      </c>
      <c r="F74" s="118">
        <f t="shared" ca="1" si="82"/>
        <v>0</v>
      </c>
      <c r="G74" s="8">
        <f>Dataset!AR74</f>
        <v>31</v>
      </c>
      <c r="H74" s="109">
        <f>Dataset!BL74</f>
        <v>0</v>
      </c>
      <c r="I74" s="109">
        <f>Dataset!BF74</f>
        <v>0</v>
      </c>
      <c r="J74" s="109">
        <f>Dataset!BM74</f>
        <v>0</v>
      </c>
      <c r="K74" s="109">
        <f>Dataset!AM74</f>
        <v>732426.3</v>
      </c>
      <c r="M74" s="8">
        <f t="shared" si="66"/>
        <v>-4934593.1922812499</v>
      </c>
      <c r="N74" s="1">
        <f t="shared" ca="1" si="67"/>
        <v>1120687.901938929</v>
      </c>
      <c r="O74" s="1">
        <f t="shared" ca="1" si="68"/>
        <v>0</v>
      </c>
      <c r="P74" s="1">
        <f t="shared" si="70"/>
        <v>7637807.3998190295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7970099.4897744684</v>
      </c>
      <c r="U74" s="1">
        <f t="shared" ca="1" si="75"/>
        <v>11794001.599251177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>
        <f>Dataset!L75</f>
        <v>11050955.098477909</v>
      </c>
      <c r="E75" s="118">
        <f t="shared" ref="E75:F75" ca="1" si="83">E63</f>
        <v>582</v>
      </c>
      <c r="F75" s="118">
        <f t="shared" ca="1" si="83"/>
        <v>0</v>
      </c>
      <c r="G75" s="8">
        <f>Dataset!AR75</f>
        <v>28</v>
      </c>
      <c r="H75" s="109">
        <f>Dataset!BL75</f>
        <v>0</v>
      </c>
      <c r="I75" s="109">
        <f>Dataset!BF75</f>
        <v>0</v>
      </c>
      <c r="J75" s="109">
        <f>Dataset!BM75</f>
        <v>0</v>
      </c>
      <c r="K75" s="109">
        <f>Dataset!AM75</f>
        <v>732426.3</v>
      </c>
      <c r="M75" s="8">
        <f t="shared" si="66"/>
        <v>-4934593.1922812499</v>
      </c>
      <c r="N75" s="1">
        <f t="shared" ca="1" si="67"/>
        <v>1028073.0087298153</v>
      </c>
      <c r="O75" s="1">
        <f t="shared" ca="1" si="68"/>
        <v>0</v>
      </c>
      <c r="P75" s="1">
        <f t="shared" si="70"/>
        <v>6898664.74822364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7970099.4897744684</v>
      </c>
      <c r="U75" s="1">
        <f t="shared" ca="1" si="75"/>
        <v>10962244.054446675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>
        <f>Dataset!L76</f>
        <v>11850736.069767384</v>
      </c>
      <c r="E76" s="118">
        <f t="shared" ref="E76:F76" ca="1" si="84">E64</f>
        <v>498.31000000000006</v>
      </c>
      <c r="F76" s="118">
        <f t="shared" ca="1" si="84"/>
        <v>0.27999999999999997</v>
      </c>
      <c r="G76" s="8">
        <f>Dataset!AR76</f>
        <v>31</v>
      </c>
      <c r="H76" s="109">
        <f>Dataset!BL76</f>
        <v>0</v>
      </c>
      <c r="I76" s="109">
        <f>Dataset!BF76</f>
        <v>0</v>
      </c>
      <c r="J76" s="109">
        <f>Dataset!BM76</f>
        <v>0</v>
      </c>
      <c r="K76" s="109">
        <f>Dataset!AM76</f>
        <v>732426.3</v>
      </c>
      <c r="M76" s="8">
        <f t="shared" si="66"/>
        <v>-4934593.1922812499</v>
      </c>
      <c r="N76" s="1">
        <f t="shared" ca="1" si="67"/>
        <v>880238.93639201764</v>
      </c>
      <c r="O76" s="1">
        <f t="shared" ca="1" si="68"/>
        <v>1401.306864139518</v>
      </c>
      <c r="P76" s="1">
        <f t="shared" si="70"/>
        <v>7637807.3998190295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7970099.4897744684</v>
      </c>
      <c r="U76" s="1">
        <f t="shared" ca="1" si="75"/>
        <v>11554953.940568406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>
        <f>Dataset!L77</f>
        <v>10837691.800263498</v>
      </c>
      <c r="E77" s="118">
        <f t="shared" ref="E77:F77" ca="1" si="85">E65</f>
        <v>322.59999999999997</v>
      </c>
      <c r="F77" s="118">
        <f t="shared" ca="1" si="85"/>
        <v>0.08</v>
      </c>
      <c r="G77" s="8">
        <f>Dataset!AR77</f>
        <v>30</v>
      </c>
      <c r="H77" s="109">
        <f>Dataset!BL77</f>
        <v>0</v>
      </c>
      <c r="I77" s="109">
        <f>Dataset!BF77</f>
        <v>0</v>
      </c>
      <c r="J77" s="109">
        <f>Dataset!BM77</f>
        <v>0</v>
      </c>
      <c r="K77" s="109">
        <f>Dataset!AM77</f>
        <v>732426.3</v>
      </c>
      <c r="M77" s="8">
        <f t="shared" si="66"/>
        <v>-4934593.1922812499</v>
      </c>
      <c r="N77" s="1">
        <f t="shared" ca="1" si="67"/>
        <v>569856.27597291814</v>
      </c>
      <c r="O77" s="1">
        <f t="shared" ca="1" si="68"/>
        <v>400.37338975414804</v>
      </c>
      <c r="P77" s="1">
        <f t="shared" si="70"/>
        <v>7391426.5159538994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7970099.4897744684</v>
      </c>
      <c r="U77" s="1">
        <f t="shared" ca="1" si="75"/>
        <v>10997189.46280979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>
        <f>Dataset!L78</f>
        <v>10950893.372869276</v>
      </c>
      <c r="E78" s="118">
        <f t="shared" ref="E78:F78" ca="1" si="86">E66</f>
        <v>139.78</v>
      </c>
      <c r="F78" s="118">
        <f t="shared" ca="1" si="86"/>
        <v>16.149999999999999</v>
      </c>
      <c r="G78" s="8">
        <f>Dataset!AR78</f>
        <v>31</v>
      </c>
      <c r="H78" s="109">
        <f>Dataset!BL78</f>
        <v>0</v>
      </c>
      <c r="I78" s="109">
        <f>Dataset!BF78</f>
        <v>0</v>
      </c>
      <c r="J78" s="109">
        <f>Dataset!BM78</f>
        <v>0</v>
      </c>
      <c r="K78" s="109">
        <f>Dataset!AM78</f>
        <v>732426.3</v>
      </c>
      <c r="M78" s="8">
        <f t="shared" si="66"/>
        <v>-4934593.1922812499</v>
      </c>
      <c r="N78" s="1">
        <f t="shared" ca="1" si="67"/>
        <v>246914.16694201645</v>
      </c>
      <c r="O78" s="1">
        <f t="shared" ca="1" si="68"/>
        <v>80825.378056618618</v>
      </c>
      <c r="P78" s="1">
        <f t="shared" si="70"/>
        <v>7637807.3998190295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7970099.4897744684</v>
      </c>
      <c r="U78" s="1">
        <f t="shared" ca="1" si="75"/>
        <v>11001053.242310882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>
        <f>Dataset!L79</f>
        <v>11001753.986700915</v>
      </c>
      <c r="E79" s="118">
        <f t="shared" ref="E79:F79" ca="1" si="87">E67</f>
        <v>29.85</v>
      </c>
      <c r="F79" s="118">
        <f t="shared" ca="1" si="87"/>
        <v>42.1</v>
      </c>
      <c r="G79" s="8">
        <f>Dataset!AR79</f>
        <v>30</v>
      </c>
      <c r="H79" s="109">
        <f>Dataset!BL79</f>
        <v>0</v>
      </c>
      <c r="I79" s="109">
        <f>Dataset!BF79</f>
        <v>0</v>
      </c>
      <c r="J79" s="109">
        <f>Dataset!BM79</f>
        <v>0</v>
      </c>
      <c r="K79" s="109">
        <f>Dataset!AM79</f>
        <v>732426.3</v>
      </c>
      <c r="M79" s="8">
        <f t="shared" si="66"/>
        <v>-4934593.1922812499</v>
      </c>
      <c r="N79" s="1">
        <f t="shared" ca="1" si="67"/>
        <v>52728.486787946713</v>
      </c>
      <c r="O79" s="1">
        <f t="shared" ca="1" si="68"/>
        <v>210696.49635812041</v>
      </c>
      <c r="P79" s="1">
        <f t="shared" si="70"/>
        <v>7391426.5159538994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7970099.4897744684</v>
      </c>
      <c r="U79" s="1">
        <f t="shared" ca="1" si="75"/>
        <v>10690357.796593186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>
        <f>Dataset!L80</f>
        <v>11787918.63296452</v>
      </c>
      <c r="E80" s="118">
        <f t="shared" ref="E80:F80" ca="1" si="88">E68</f>
        <v>1.36</v>
      </c>
      <c r="F80" s="118">
        <f t="shared" ca="1" si="88"/>
        <v>95.609999999999985</v>
      </c>
      <c r="G80" s="8">
        <f>Dataset!AR80</f>
        <v>31</v>
      </c>
      <c r="H80" s="109">
        <f>Dataset!BL80</f>
        <v>0</v>
      </c>
      <c r="I80" s="109">
        <f>Dataset!BF80</f>
        <v>0</v>
      </c>
      <c r="J80" s="109">
        <f>Dataset!BM80</f>
        <v>0</v>
      </c>
      <c r="K80" s="109">
        <f>Dataset!AM80</f>
        <v>732426.3</v>
      </c>
      <c r="M80" s="8">
        <f t="shared" si="66"/>
        <v>-4934593.1922812499</v>
      </c>
      <c r="N80" s="1">
        <f t="shared" ca="1" si="67"/>
        <v>2402.3699173067848</v>
      </c>
      <c r="O80" s="1">
        <f t="shared" ca="1" si="68"/>
        <v>478496.24742992606</v>
      </c>
      <c r="P80" s="1">
        <f t="shared" si="70"/>
        <v>7637807.3998190295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7970099.4897744684</v>
      </c>
      <c r="U80" s="1">
        <f t="shared" ca="1" si="75"/>
        <v>11154212.31465948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>
        <f>Dataset!L81</f>
        <v>11534674.649010466</v>
      </c>
      <c r="E81" s="118">
        <f t="shared" ref="E81:F81" ca="1" si="89">E69</f>
        <v>1.77</v>
      </c>
      <c r="F81" s="118">
        <f t="shared" ca="1" si="89"/>
        <v>83.75</v>
      </c>
      <c r="G81" s="8">
        <f>Dataset!AR81</f>
        <v>31</v>
      </c>
      <c r="H81" s="109">
        <f>Dataset!BL81</f>
        <v>0</v>
      </c>
      <c r="I81" s="109">
        <f>Dataset!BF81</f>
        <v>0</v>
      </c>
      <c r="J81" s="109">
        <f>Dataset!BM81</f>
        <v>0</v>
      </c>
      <c r="K81" s="109">
        <f>Dataset!AM81</f>
        <v>732426.3</v>
      </c>
      <c r="M81" s="8">
        <f t="shared" si="66"/>
        <v>-4934593.1922812499</v>
      </c>
      <c r="N81" s="1">
        <f t="shared" ca="1" si="67"/>
        <v>3126.6137894360359</v>
      </c>
      <c r="O81" s="1">
        <f t="shared" ca="1" si="68"/>
        <v>419140.89239887369</v>
      </c>
      <c r="P81" s="1">
        <f t="shared" si="70"/>
        <v>7637807.3998190295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7970099.4897744684</v>
      </c>
      <c r="U81" s="1">
        <f t="shared" ca="1" si="75"/>
        <v>11095581.203500558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>
        <f>Dataset!L82</f>
        <v>11087573.79965483</v>
      </c>
      <c r="E82" s="118">
        <f t="shared" ref="E82:F82" ca="1" si="90">E70</f>
        <v>37.33</v>
      </c>
      <c r="F82" s="118">
        <f t="shared" ca="1" si="90"/>
        <v>34.480000000000004</v>
      </c>
      <c r="G82" s="8">
        <f>Dataset!AR82</f>
        <v>30</v>
      </c>
      <c r="H82" s="109">
        <f>Dataset!BL82</f>
        <v>0</v>
      </c>
      <c r="I82" s="109">
        <f>Dataset!BF82</f>
        <v>0</v>
      </c>
      <c r="J82" s="109">
        <f>Dataset!BM82</f>
        <v>0</v>
      </c>
      <c r="K82" s="109">
        <f>Dataset!AM82</f>
        <v>732426.3</v>
      </c>
      <c r="M82" s="8">
        <f t="shared" si="66"/>
        <v>-4934593.1922812499</v>
      </c>
      <c r="N82" s="1">
        <f t="shared" ca="1" si="67"/>
        <v>65941.52133313402</v>
      </c>
      <c r="O82" s="1">
        <f t="shared" ca="1" si="68"/>
        <v>172560.93098403781</v>
      </c>
      <c r="P82" s="1">
        <f t="shared" si="70"/>
        <v>7391426.5159538994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7970099.4897744684</v>
      </c>
      <c r="U82" s="1">
        <f t="shared" ca="1" si="75"/>
        <v>10665435.265764289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>
        <f>Dataset!L83</f>
        <v>11325573.944869054</v>
      </c>
      <c r="E83" s="118">
        <f t="shared" ref="E83:F83" ca="1" si="91">E71</f>
        <v>173.75</v>
      </c>
      <c r="F83" s="118">
        <f t="shared" ca="1" si="91"/>
        <v>4.62</v>
      </c>
      <c r="G83" s="8">
        <f>Dataset!AR83</f>
        <v>31</v>
      </c>
      <c r="H83" s="109">
        <f>Dataset!BL83</f>
        <v>0</v>
      </c>
      <c r="I83" s="109">
        <f>Dataset!BF83</f>
        <v>0</v>
      </c>
      <c r="J83" s="109">
        <f>Dataset!BM83</f>
        <v>0</v>
      </c>
      <c r="K83" s="109">
        <f>Dataset!AM83</f>
        <v>732426.3</v>
      </c>
      <c r="M83" s="8">
        <f t="shared" si="66"/>
        <v>-4934593.1922812499</v>
      </c>
      <c r="N83" s="1">
        <f t="shared" ca="1" si="67"/>
        <v>306920.42142062786</v>
      </c>
      <c r="O83" s="1">
        <f t="shared" ca="1" si="68"/>
        <v>23121.563258302049</v>
      </c>
      <c r="P83" s="1">
        <f t="shared" si="70"/>
        <v>7637807.3998190295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7970099.4897744684</v>
      </c>
      <c r="U83" s="1">
        <f t="shared" ca="1" si="75"/>
        <v>11003355.681991179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>
        <f>Dataset!L84</f>
        <v>11461644.885273611</v>
      </c>
      <c r="E84" s="118">
        <f t="shared" ref="E84:F84" ca="1" si="92">E72</f>
        <v>366.25</v>
      </c>
      <c r="F84" s="118">
        <f t="shared" ca="1" si="92"/>
        <v>0.69000000000000006</v>
      </c>
      <c r="G84" s="8">
        <f>Dataset!AR84</f>
        <v>30</v>
      </c>
      <c r="H84" s="109">
        <f>Dataset!BL84</f>
        <v>0</v>
      </c>
      <c r="I84" s="109">
        <f>Dataset!BF84</f>
        <v>0</v>
      </c>
      <c r="J84" s="109">
        <f>Dataset!BM84</f>
        <v>0</v>
      </c>
      <c r="K84" s="109">
        <f>Dataset!AM84</f>
        <v>732426.3</v>
      </c>
      <c r="M84" s="8">
        <f t="shared" si="66"/>
        <v>-4934593.1922812499</v>
      </c>
      <c r="N84" s="1">
        <f t="shared" ca="1" si="67"/>
        <v>646961.7516276543</v>
      </c>
      <c r="O84" s="1">
        <f t="shared" ca="1" si="68"/>
        <v>3453.2204866295269</v>
      </c>
      <c r="P84" s="1">
        <f t="shared" si="70"/>
        <v>7391426.5159538994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7970099.4897744684</v>
      </c>
      <c r="U84" s="1">
        <f t="shared" ca="1" si="75"/>
        <v>11077347.785561401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>
        <f>Dataset!L85</f>
        <v>11332893.378963728</v>
      </c>
      <c r="E85" s="118">
        <f t="shared" ref="E85:F85" ca="1" si="93">E73</f>
        <v>523.60000000000014</v>
      </c>
      <c r="F85" s="118">
        <f t="shared" ca="1" si="93"/>
        <v>0</v>
      </c>
      <c r="G85" s="8">
        <f>Dataset!AR85</f>
        <v>31</v>
      </c>
      <c r="H85" s="109">
        <f>Dataset!BL85</f>
        <v>0</v>
      </c>
      <c r="I85" s="109">
        <f>Dataset!BF85</f>
        <v>1</v>
      </c>
      <c r="J85" s="109">
        <f>Dataset!BM85</f>
        <v>0</v>
      </c>
      <c r="K85" s="109">
        <f>Dataset!AM85</f>
        <v>732426.3</v>
      </c>
      <c r="M85" s="8">
        <f t="shared" si="66"/>
        <v>-4934593.1922812499</v>
      </c>
      <c r="N85" s="1">
        <f t="shared" ca="1" si="67"/>
        <v>924912.41816311236</v>
      </c>
      <c r="O85" s="1">
        <f t="shared" ca="1" si="68"/>
        <v>0</v>
      </c>
      <c r="P85" s="1">
        <f t="shared" si="70"/>
        <v>7637807.3998190295</v>
      </c>
      <c r="Q85" s="1">
        <f t="shared" si="71"/>
        <v>0</v>
      </c>
      <c r="R85" s="1">
        <f t="shared" si="72"/>
        <v>-586242.38490532804</v>
      </c>
      <c r="S85" s="1">
        <f t="shared" si="73"/>
        <v>0</v>
      </c>
      <c r="T85" s="1">
        <f t="shared" si="74"/>
        <v>7970099.4897744684</v>
      </c>
      <c r="U85" s="1">
        <f t="shared" ca="1" si="75"/>
        <v>11011983.730570033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>
        <f>Dataset!L86</f>
        <v>12195954.312040666</v>
      </c>
      <c r="E86" s="118">
        <f t="shared" ref="E86:F86" ca="1" si="94">E74</f>
        <v>634.42999999999995</v>
      </c>
      <c r="F86" s="118">
        <f t="shared" ca="1" si="94"/>
        <v>0</v>
      </c>
      <c r="G86" s="8">
        <f>Dataset!AR86</f>
        <v>31</v>
      </c>
      <c r="H86" s="109">
        <f>Dataset!BL86</f>
        <v>0</v>
      </c>
      <c r="I86" s="109">
        <f>Dataset!BF86</f>
        <v>0</v>
      </c>
      <c r="J86" s="109">
        <f>Dataset!BM86</f>
        <v>0</v>
      </c>
      <c r="K86" s="109">
        <f>Dataset!AM86</f>
        <v>747589.4</v>
      </c>
      <c r="M86" s="8">
        <f t="shared" si="66"/>
        <v>-4934593.1922812499</v>
      </c>
      <c r="N86" s="1">
        <f t="shared" ca="1" si="67"/>
        <v>1120687.901938929</v>
      </c>
      <c r="O86" s="1">
        <f t="shared" ca="1" si="68"/>
        <v>0</v>
      </c>
      <c r="P86" s="1">
        <f t="shared" si="70"/>
        <v>7637807.3998190295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8135100.9589644736</v>
      </c>
      <c r="U86" s="1">
        <f t="shared" ca="1" si="75"/>
        <v>11959003.068441182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>
        <f>Dataset!L87</f>
        <v>11087116.796586558</v>
      </c>
      <c r="E87" s="118">
        <f t="shared" ref="E87:F87" ca="1" si="95">E75</f>
        <v>582</v>
      </c>
      <c r="F87" s="118">
        <f t="shared" ca="1" si="95"/>
        <v>0</v>
      </c>
      <c r="G87" s="8">
        <f>Dataset!AR87</f>
        <v>28</v>
      </c>
      <c r="H87" s="109">
        <f>Dataset!BL87</f>
        <v>0</v>
      </c>
      <c r="I87" s="109">
        <f>Dataset!BF87</f>
        <v>0</v>
      </c>
      <c r="J87" s="109">
        <f>Dataset!BM87</f>
        <v>0</v>
      </c>
      <c r="K87" s="109">
        <f>Dataset!AM87</f>
        <v>747589.4</v>
      </c>
      <c r="M87" s="8">
        <f t="shared" si="66"/>
        <v>-4934593.1922812499</v>
      </c>
      <c r="N87" s="1">
        <f t="shared" ca="1" si="67"/>
        <v>1028073.0087298153</v>
      </c>
      <c r="O87" s="1">
        <f t="shared" ca="1" si="68"/>
        <v>0</v>
      </c>
      <c r="P87" s="1">
        <f t="shared" si="70"/>
        <v>6898664.74822364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8135100.9589644736</v>
      </c>
      <c r="U87" s="1">
        <f t="shared" ca="1" si="75"/>
        <v>11127245.52363668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>
        <f>Dataset!L88</f>
        <v>11679613.511286888</v>
      </c>
      <c r="E88" s="118">
        <f t="shared" ref="E88:F88" ca="1" si="96">E76</f>
        <v>498.31000000000006</v>
      </c>
      <c r="F88" s="118">
        <f t="shared" ca="1" si="96"/>
        <v>0.27999999999999997</v>
      </c>
      <c r="G88" s="8">
        <f>Dataset!AR88</f>
        <v>31</v>
      </c>
      <c r="H88" s="109">
        <f>Dataset!BL88</f>
        <v>0</v>
      </c>
      <c r="I88" s="109">
        <f>Dataset!BF88</f>
        <v>0</v>
      </c>
      <c r="J88" s="109">
        <f>Dataset!BM88</f>
        <v>0</v>
      </c>
      <c r="K88" s="109">
        <f>Dataset!AM88</f>
        <v>747589.4</v>
      </c>
      <c r="M88" s="8">
        <f t="shared" si="66"/>
        <v>-4934593.1922812499</v>
      </c>
      <c r="N88" s="1">
        <f t="shared" ca="1" si="67"/>
        <v>880238.93639201764</v>
      </c>
      <c r="O88" s="1">
        <f t="shared" ca="1" si="68"/>
        <v>1401.306864139518</v>
      </c>
      <c r="P88" s="1">
        <f t="shared" si="70"/>
        <v>7637807.3998190295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8135100.9589644736</v>
      </c>
      <c r="U88" s="1">
        <f t="shared" ca="1" si="75"/>
        <v>11719955.409758411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>
        <f>Dataset!L89</f>
        <v>10720964.13390266</v>
      </c>
      <c r="E89" s="118">
        <f t="shared" ref="E89:F89" ca="1" si="97">E77</f>
        <v>322.59999999999997</v>
      </c>
      <c r="F89" s="118">
        <f t="shared" ca="1" si="97"/>
        <v>0.08</v>
      </c>
      <c r="G89" s="8">
        <f>Dataset!AR89</f>
        <v>30</v>
      </c>
      <c r="H89" s="109">
        <f>Dataset!BL89</f>
        <v>0</v>
      </c>
      <c r="I89" s="109">
        <f>Dataset!BF89</f>
        <v>0</v>
      </c>
      <c r="J89" s="109">
        <f>Dataset!BM89</f>
        <v>0</v>
      </c>
      <c r="K89" s="109">
        <f>Dataset!AM89</f>
        <v>747589.4</v>
      </c>
      <c r="M89" s="8">
        <f t="shared" si="66"/>
        <v>-4934593.1922812499</v>
      </c>
      <c r="N89" s="1">
        <f t="shared" ca="1" si="67"/>
        <v>569856.27597291814</v>
      </c>
      <c r="O89" s="1">
        <f t="shared" ca="1" si="68"/>
        <v>400.37338975414804</v>
      </c>
      <c r="P89" s="1">
        <f t="shared" si="70"/>
        <v>7391426.5159538994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8135100.9589644736</v>
      </c>
      <c r="U89" s="1">
        <f t="shared" ca="1" si="75"/>
        <v>11162190.931999795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>
        <f>Dataset!L90</f>
        <v>10786296.238970635</v>
      </c>
      <c r="E90" s="118">
        <f t="shared" ref="E90:F90" ca="1" si="98">E78</f>
        <v>139.78</v>
      </c>
      <c r="F90" s="118">
        <f t="shared" ca="1" si="98"/>
        <v>16.149999999999999</v>
      </c>
      <c r="G90" s="8">
        <f>Dataset!AR90</f>
        <v>31</v>
      </c>
      <c r="H90" s="109">
        <f>Dataset!BL90</f>
        <v>0</v>
      </c>
      <c r="I90" s="109">
        <f>Dataset!BF90</f>
        <v>0</v>
      </c>
      <c r="J90" s="109">
        <f>Dataset!BM90</f>
        <v>0</v>
      </c>
      <c r="K90" s="109">
        <f>Dataset!AM90</f>
        <v>747589.4</v>
      </c>
      <c r="M90" s="8">
        <f t="shared" si="66"/>
        <v>-4934593.1922812499</v>
      </c>
      <c r="N90" s="1">
        <f t="shared" ca="1" si="67"/>
        <v>246914.16694201645</v>
      </c>
      <c r="O90" s="1">
        <f t="shared" ca="1" si="68"/>
        <v>80825.378056618618</v>
      </c>
      <c r="P90" s="1">
        <f t="shared" si="70"/>
        <v>7637807.3998190295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8135100.9589644736</v>
      </c>
      <c r="U90" s="1">
        <f t="shared" ca="1" si="75"/>
        <v>11166054.711500887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>
        <f>Dataset!L91</f>
        <v>10639508.043809848</v>
      </c>
      <c r="E91" s="118">
        <f t="shared" ref="E91:F91" ca="1" si="99">E79</f>
        <v>29.85</v>
      </c>
      <c r="F91" s="118">
        <f t="shared" ca="1" si="99"/>
        <v>42.1</v>
      </c>
      <c r="G91" s="8">
        <f>Dataset!AR91</f>
        <v>30</v>
      </c>
      <c r="H91" s="109">
        <f>Dataset!BL91</f>
        <v>0</v>
      </c>
      <c r="I91" s="109">
        <f>Dataset!BF91</f>
        <v>0</v>
      </c>
      <c r="J91" s="109">
        <f>Dataset!BM91</f>
        <v>0</v>
      </c>
      <c r="K91" s="109">
        <f>Dataset!AM91</f>
        <v>747589.4</v>
      </c>
      <c r="M91" s="8">
        <f t="shared" si="66"/>
        <v>-4934593.1922812499</v>
      </c>
      <c r="N91" s="1">
        <f t="shared" ca="1" si="67"/>
        <v>52728.486787946713</v>
      </c>
      <c r="O91" s="1">
        <f t="shared" ca="1" si="68"/>
        <v>210696.49635812041</v>
      </c>
      <c r="P91" s="1">
        <f t="shared" si="70"/>
        <v>7391426.5159538994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8135100.9589644736</v>
      </c>
      <c r="U91" s="1">
        <f t="shared" ca="1" si="75"/>
        <v>10855359.265783191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>
        <f>Dataset!L92</f>
        <v>10989939.253596883</v>
      </c>
      <c r="E92" s="118">
        <f t="shared" ref="E92:F92" ca="1" si="100">E80</f>
        <v>1.36</v>
      </c>
      <c r="F92" s="118">
        <f t="shared" ca="1" si="100"/>
        <v>95.609999999999985</v>
      </c>
      <c r="G92" s="8">
        <f>Dataset!AR92</f>
        <v>31</v>
      </c>
      <c r="H92" s="109">
        <f>Dataset!BL92</f>
        <v>0</v>
      </c>
      <c r="I92" s="109">
        <f>Dataset!BF92</f>
        <v>0</v>
      </c>
      <c r="J92" s="109">
        <f>Dataset!BM92</f>
        <v>0</v>
      </c>
      <c r="K92" s="109">
        <f>Dataset!AM92</f>
        <v>747589.4</v>
      </c>
      <c r="M92" s="8">
        <f t="shared" si="66"/>
        <v>-4934593.1922812499</v>
      </c>
      <c r="N92" s="1">
        <f t="shared" ca="1" si="67"/>
        <v>2402.3699173067848</v>
      </c>
      <c r="O92" s="1">
        <f t="shared" ca="1" si="68"/>
        <v>478496.24742992606</v>
      </c>
      <c r="P92" s="1">
        <f t="shared" si="70"/>
        <v>7637807.3998190295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8135100.9589644736</v>
      </c>
      <c r="U92" s="1">
        <f t="shared" ca="1" si="75"/>
        <v>11319213.783849485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>
        <f>Dataset!L93</f>
        <v>11287851.541658398</v>
      </c>
      <c r="E93" s="118">
        <f t="shared" ref="E93:F93" ca="1" si="101">E81</f>
        <v>1.77</v>
      </c>
      <c r="F93" s="118">
        <f t="shared" ca="1" si="101"/>
        <v>83.75</v>
      </c>
      <c r="G93" s="8">
        <f>Dataset!AR93</f>
        <v>31</v>
      </c>
      <c r="H93" s="109">
        <f>Dataset!BL93</f>
        <v>0</v>
      </c>
      <c r="I93" s="109">
        <f>Dataset!BF93</f>
        <v>0</v>
      </c>
      <c r="J93" s="109">
        <f>Dataset!BM93</f>
        <v>0</v>
      </c>
      <c r="K93" s="109">
        <f>Dataset!AM93</f>
        <v>747589.4</v>
      </c>
      <c r="M93" s="8">
        <f t="shared" si="66"/>
        <v>-4934593.1922812499</v>
      </c>
      <c r="N93" s="1">
        <f t="shared" ca="1" si="67"/>
        <v>3126.6137894360359</v>
      </c>
      <c r="O93" s="1">
        <f t="shared" ca="1" si="68"/>
        <v>419140.89239887369</v>
      </c>
      <c r="P93" s="1">
        <f t="shared" si="70"/>
        <v>7637807.3998190295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8135100.9589644736</v>
      </c>
      <c r="U93" s="1">
        <f t="shared" ca="1" si="75"/>
        <v>11260582.672690563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>
        <f>Dataset!L94</f>
        <v>10973801.691083513</v>
      </c>
      <c r="E94" s="118">
        <f t="shared" ref="E94:F94" ca="1" si="102">E82</f>
        <v>37.33</v>
      </c>
      <c r="F94" s="118">
        <f t="shared" ca="1" si="102"/>
        <v>34.480000000000004</v>
      </c>
      <c r="G94" s="8">
        <f>Dataset!AR94</f>
        <v>30</v>
      </c>
      <c r="H94" s="109">
        <f>Dataset!BL94</f>
        <v>0</v>
      </c>
      <c r="I94" s="109">
        <f>Dataset!BF94</f>
        <v>0</v>
      </c>
      <c r="J94" s="109">
        <f>Dataset!BM94</f>
        <v>0</v>
      </c>
      <c r="K94" s="109">
        <f>Dataset!AM94</f>
        <v>747589.4</v>
      </c>
      <c r="M94" s="8">
        <f t="shared" si="66"/>
        <v>-4934593.1922812499</v>
      </c>
      <c r="N94" s="1">
        <f t="shared" ca="1" si="67"/>
        <v>65941.52133313402</v>
      </c>
      <c r="O94" s="1">
        <f t="shared" ca="1" si="68"/>
        <v>172560.93098403781</v>
      </c>
      <c r="P94" s="1">
        <f t="shared" si="70"/>
        <v>7391426.5159538994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8135100.9589644736</v>
      </c>
      <c r="U94" s="1">
        <f t="shared" ca="1" si="75"/>
        <v>10830436.734954294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>
        <f>Dataset!L95</f>
        <v>10994810.099256229</v>
      </c>
      <c r="E95" s="118">
        <f t="shared" ref="E95:F95" ca="1" si="103">E83</f>
        <v>173.75</v>
      </c>
      <c r="F95" s="118">
        <f t="shared" ca="1" si="103"/>
        <v>4.62</v>
      </c>
      <c r="G95" s="8">
        <f>Dataset!AR95</f>
        <v>31</v>
      </c>
      <c r="H95" s="109">
        <f>Dataset!BL95</f>
        <v>0</v>
      </c>
      <c r="I95" s="109">
        <f>Dataset!BF95</f>
        <v>0</v>
      </c>
      <c r="J95" s="109">
        <f>Dataset!BM95</f>
        <v>0</v>
      </c>
      <c r="K95" s="109">
        <f>Dataset!AM95</f>
        <v>747589.4</v>
      </c>
      <c r="M95" s="8">
        <f t="shared" si="66"/>
        <v>-4934593.1922812499</v>
      </c>
      <c r="N95" s="1">
        <f t="shared" ca="1" si="67"/>
        <v>306920.42142062786</v>
      </c>
      <c r="O95" s="1">
        <f t="shared" ca="1" si="68"/>
        <v>23121.563258302049</v>
      </c>
      <c r="P95" s="1">
        <f t="shared" si="70"/>
        <v>7637807.3998190295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8135100.9589644736</v>
      </c>
      <c r="U95" s="1">
        <f t="shared" ca="1" si="75"/>
        <v>11168357.151181184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>
        <f>Dataset!L96</f>
        <v>11425926.788960053</v>
      </c>
      <c r="E96" s="118">
        <f t="shared" ref="E96:F96" ca="1" si="104">E84</f>
        <v>366.25</v>
      </c>
      <c r="F96" s="118">
        <f t="shared" ca="1" si="104"/>
        <v>0.69000000000000006</v>
      </c>
      <c r="G96" s="8">
        <f>Dataset!AR96</f>
        <v>30</v>
      </c>
      <c r="H96" s="109">
        <f>Dataset!BL96</f>
        <v>0</v>
      </c>
      <c r="I96" s="109">
        <f>Dataset!BF96</f>
        <v>0</v>
      </c>
      <c r="J96" s="109">
        <f>Dataset!BM96</f>
        <v>0</v>
      </c>
      <c r="K96" s="109">
        <f>Dataset!AM96</f>
        <v>747589.4</v>
      </c>
      <c r="M96" s="8">
        <f t="shared" si="66"/>
        <v>-4934593.1922812499</v>
      </c>
      <c r="N96" s="1">
        <f t="shared" ca="1" si="67"/>
        <v>646961.7516276543</v>
      </c>
      <c r="O96" s="1">
        <f t="shared" ca="1" si="68"/>
        <v>3453.2204866295269</v>
      </c>
      <c r="P96" s="1">
        <f t="shared" si="70"/>
        <v>7391426.5159538994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8135100.9589644736</v>
      </c>
      <c r="U96" s="1">
        <f t="shared" ca="1" si="75"/>
        <v>11242349.254751407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>
        <f>Dataset!L97</f>
        <v>10940368.208733564</v>
      </c>
      <c r="E97" s="118">
        <f t="shared" ref="E97:F97" ca="1" si="105">E85</f>
        <v>523.60000000000014</v>
      </c>
      <c r="F97" s="118">
        <f t="shared" ca="1" si="105"/>
        <v>0</v>
      </c>
      <c r="G97" s="8">
        <f>Dataset!AR97</f>
        <v>31</v>
      </c>
      <c r="H97" s="109">
        <f>Dataset!BL97</f>
        <v>0</v>
      </c>
      <c r="I97" s="109">
        <f>Dataset!BF97</f>
        <v>1</v>
      </c>
      <c r="J97" s="109">
        <f>Dataset!BM97</f>
        <v>0</v>
      </c>
      <c r="K97" s="109">
        <f>Dataset!AM97</f>
        <v>747589.4</v>
      </c>
      <c r="M97" s="8">
        <f t="shared" si="66"/>
        <v>-4934593.1922812499</v>
      </c>
      <c r="N97" s="1">
        <f t="shared" ca="1" si="67"/>
        <v>924912.41816311236</v>
      </c>
      <c r="O97" s="1">
        <f t="shared" ca="1" si="68"/>
        <v>0</v>
      </c>
      <c r="P97" s="1">
        <f t="shared" si="70"/>
        <v>7637807.3998190295</v>
      </c>
      <c r="Q97" s="1">
        <f t="shared" si="71"/>
        <v>0</v>
      </c>
      <c r="R97" s="1">
        <f t="shared" si="72"/>
        <v>-586242.38490532804</v>
      </c>
      <c r="S97" s="1">
        <f t="shared" si="73"/>
        <v>0</v>
      </c>
      <c r="T97" s="1">
        <f t="shared" si="74"/>
        <v>8135100.9589644736</v>
      </c>
      <c r="U97" s="1">
        <f t="shared" ca="1" si="75"/>
        <v>11176985.199760038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>
        <f>Dataset!L98</f>
        <v>11445865.90152505</v>
      </c>
      <c r="E98" s="118">
        <f t="shared" ref="E98:F98" ca="1" si="106">E86</f>
        <v>634.42999999999995</v>
      </c>
      <c r="F98" s="118">
        <f t="shared" ca="1" si="106"/>
        <v>0</v>
      </c>
      <c r="G98" s="8">
        <f>Dataset!AR98</f>
        <v>31</v>
      </c>
      <c r="H98" s="109">
        <f>Dataset!BL98</f>
        <v>0</v>
      </c>
      <c r="I98" s="109">
        <f>Dataset!BF98</f>
        <v>0</v>
      </c>
      <c r="J98" s="109">
        <f>Dataset!BM98</f>
        <v>0</v>
      </c>
      <c r="K98" s="109">
        <f>Dataset!AM98</f>
        <v>710048.9</v>
      </c>
      <c r="M98" s="8">
        <f t="shared" ref="M98:M129" si="107">$Z$10</f>
        <v>-4934593.1922812499</v>
      </c>
      <c r="N98" s="1">
        <f t="shared" ref="N98:N117" ca="1" si="108">E98*$Z$11</f>
        <v>1120687.901938929</v>
      </c>
      <c r="O98" s="1">
        <f t="shared" ref="O98:O117" ca="1" si="109">F98*$Z$12</f>
        <v>0</v>
      </c>
      <c r="P98" s="1">
        <f t="shared" si="70"/>
        <v>7637807.3998190295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7726593.618504582</v>
      </c>
      <c r="U98" s="1">
        <f t="shared" ca="1" si="75"/>
        <v>11550495.727981292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>
        <f>Dataset!L99</f>
        <v>11045406.32920384</v>
      </c>
      <c r="E99" s="118">
        <f t="shared" ref="E99:F99" ca="1" si="110">E87</f>
        <v>582</v>
      </c>
      <c r="F99" s="118">
        <f t="shared" ca="1" si="110"/>
        <v>0</v>
      </c>
      <c r="G99" s="8">
        <f>Dataset!AR99</f>
        <v>29</v>
      </c>
      <c r="H99" s="109">
        <f>Dataset!BL99</f>
        <v>0</v>
      </c>
      <c r="I99" s="109">
        <f>Dataset!BF99</f>
        <v>0</v>
      </c>
      <c r="J99" s="109">
        <f>Dataset!BM99</f>
        <v>0</v>
      </c>
      <c r="K99" s="109">
        <f>Dataset!AM99</f>
        <v>710048.9</v>
      </c>
      <c r="M99" s="8">
        <f t="shared" si="107"/>
        <v>-4934593.1922812499</v>
      </c>
      <c r="N99" s="1">
        <f t="shared" ca="1" si="108"/>
        <v>1028073.0087298153</v>
      </c>
      <c r="O99" s="1">
        <f t="shared" ca="1" si="109"/>
        <v>0</v>
      </c>
      <c r="P99" s="1">
        <f t="shared" ref="P99:P117" si="111">G99*$Z$13</f>
        <v>7145045.6320887692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7726593.618504582</v>
      </c>
      <c r="U99" s="1">
        <f t="shared" ca="1" si="75"/>
        <v>10965119.067041917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>
        <f>Dataset!L100</f>
        <v>10552288.107463375</v>
      </c>
      <c r="E100" s="118">
        <f t="shared" ref="E100:F100" ca="1" si="114">E88</f>
        <v>498.31000000000006</v>
      </c>
      <c r="F100" s="118">
        <f t="shared" ca="1" si="114"/>
        <v>0.27999999999999997</v>
      </c>
      <c r="G100" s="8">
        <f>Dataset!AR100</f>
        <v>31</v>
      </c>
      <c r="H100" s="109">
        <f>Dataset!BL100</f>
        <v>0.5</v>
      </c>
      <c r="I100" s="109">
        <f>Dataset!BF100</f>
        <v>0</v>
      </c>
      <c r="J100" s="109">
        <f>Dataset!BM100</f>
        <v>0</v>
      </c>
      <c r="K100" s="109">
        <f>Dataset!AM100</f>
        <v>710048.9</v>
      </c>
      <c r="M100" s="8">
        <f t="shared" si="107"/>
        <v>-4934593.1922812499</v>
      </c>
      <c r="N100" s="1">
        <f t="shared" ca="1" si="108"/>
        <v>880238.93639201764</v>
      </c>
      <c r="O100" s="1">
        <f t="shared" ca="1" si="109"/>
        <v>1401.306864139518</v>
      </c>
      <c r="P100" s="1">
        <f t="shared" si="111"/>
        <v>7637807.3998190295</v>
      </c>
      <c r="Q100" s="1">
        <f t="shared" si="112"/>
        <v>-1273111.3876766351</v>
      </c>
      <c r="R100" s="1">
        <f t="shared" si="113"/>
        <v>0</v>
      </c>
      <c r="S100" s="1">
        <f t="shared" si="73"/>
        <v>0</v>
      </c>
      <c r="T100" s="1">
        <f t="shared" si="74"/>
        <v>7726593.618504582</v>
      </c>
      <c r="U100" s="1">
        <f t="shared" ca="1" si="75"/>
        <v>10038336.681621883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>
        <f>Dataset!L101</f>
        <v>7673641.7246768596</v>
      </c>
      <c r="E101" s="118">
        <f t="shared" ref="E101:F101" ca="1" si="115">E89</f>
        <v>322.59999999999997</v>
      </c>
      <c r="F101" s="118">
        <f t="shared" ca="1" si="115"/>
        <v>0.08</v>
      </c>
      <c r="G101" s="8">
        <f>Dataset!AR101</f>
        <v>30</v>
      </c>
      <c r="H101" s="109">
        <f>Dataset!BL101</f>
        <v>1</v>
      </c>
      <c r="I101" s="109">
        <f>Dataset!BF101</f>
        <v>0</v>
      </c>
      <c r="J101" s="109">
        <f>Dataset!BM101</f>
        <v>0</v>
      </c>
      <c r="K101" s="109">
        <f>Dataset!AM101</f>
        <v>710048.9</v>
      </c>
      <c r="M101" s="8">
        <f t="shared" si="107"/>
        <v>-4934593.1922812499</v>
      </c>
      <c r="N101" s="1">
        <f t="shared" ca="1" si="108"/>
        <v>569856.27597291814</v>
      </c>
      <c r="O101" s="1">
        <f t="shared" ca="1" si="109"/>
        <v>400.37338975414804</v>
      </c>
      <c r="P101" s="1">
        <f t="shared" si="111"/>
        <v>7391426.5159538994</v>
      </c>
      <c r="Q101" s="1">
        <f t="shared" si="112"/>
        <v>-2546222.7753532701</v>
      </c>
      <c r="R101" s="1">
        <f t="shared" si="113"/>
        <v>0</v>
      </c>
      <c r="S101" s="1">
        <f t="shared" si="73"/>
        <v>0</v>
      </c>
      <c r="T101" s="1">
        <f t="shared" si="74"/>
        <v>7726593.618504582</v>
      </c>
      <c r="U101" s="1">
        <f t="shared" ca="1" si="75"/>
        <v>8207460.816186633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>
        <f>Dataset!L102</f>
        <v>8486801.760934066</v>
      </c>
      <c r="E102" s="118">
        <f t="shared" ref="E102:F102" ca="1" si="116">E90</f>
        <v>139.78</v>
      </c>
      <c r="F102" s="118">
        <f t="shared" ca="1" si="116"/>
        <v>16.149999999999999</v>
      </c>
      <c r="G102" s="8">
        <f>Dataset!AR102</f>
        <v>31</v>
      </c>
      <c r="H102" s="109">
        <f>Dataset!BL102</f>
        <v>1</v>
      </c>
      <c r="I102" s="109">
        <f>Dataset!BF102</f>
        <v>0</v>
      </c>
      <c r="J102" s="109">
        <f>Dataset!BM102</f>
        <v>0</v>
      </c>
      <c r="K102" s="109">
        <f>Dataset!AM102</f>
        <v>710048.9</v>
      </c>
      <c r="M102" s="8">
        <f t="shared" si="107"/>
        <v>-4934593.1922812499</v>
      </c>
      <c r="N102" s="1">
        <f t="shared" ca="1" si="108"/>
        <v>246914.16694201645</v>
      </c>
      <c r="O102" s="1">
        <f t="shared" ca="1" si="109"/>
        <v>80825.378056618618</v>
      </c>
      <c r="P102" s="1">
        <f t="shared" si="111"/>
        <v>7637807.3998190295</v>
      </c>
      <c r="Q102" s="1">
        <f t="shared" si="112"/>
        <v>-2546222.7753532701</v>
      </c>
      <c r="R102" s="1">
        <f t="shared" si="113"/>
        <v>0</v>
      </c>
      <c r="S102" s="1">
        <f t="shared" si="73"/>
        <v>0</v>
      </c>
      <c r="T102" s="1">
        <f t="shared" si="74"/>
        <v>7726593.618504582</v>
      </c>
      <c r="U102" s="1">
        <f t="shared" ca="1" si="75"/>
        <v>8211324.5956877265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>
        <f>Dataset!L103</f>
        <v>9728759.0373805277</v>
      </c>
      <c r="E103" s="118">
        <f t="shared" ref="E103:F103" ca="1" si="117">E91</f>
        <v>29.85</v>
      </c>
      <c r="F103" s="118">
        <f t="shared" ca="1" si="117"/>
        <v>42.1</v>
      </c>
      <c r="G103" s="8">
        <f>Dataset!AR103</f>
        <v>30</v>
      </c>
      <c r="H103" s="109">
        <f>Dataset!BL103</f>
        <v>0.5</v>
      </c>
      <c r="I103" s="109">
        <f>Dataset!BF103</f>
        <v>0</v>
      </c>
      <c r="J103" s="109">
        <f>Dataset!BM103</f>
        <v>0</v>
      </c>
      <c r="K103" s="109">
        <f>Dataset!AM103</f>
        <v>710048.9</v>
      </c>
      <c r="M103" s="8">
        <f t="shared" si="107"/>
        <v>-4934593.1922812499</v>
      </c>
      <c r="N103" s="1">
        <f t="shared" ca="1" si="108"/>
        <v>52728.486787946713</v>
      </c>
      <c r="O103" s="1">
        <f t="shared" ca="1" si="109"/>
        <v>210696.49635812041</v>
      </c>
      <c r="P103" s="1">
        <f t="shared" si="111"/>
        <v>7391426.5159538994</v>
      </c>
      <c r="Q103" s="1">
        <f t="shared" si="112"/>
        <v>-1273111.3876766351</v>
      </c>
      <c r="R103" s="1">
        <f t="shared" si="113"/>
        <v>0</v>
      </c>
      <c r="S103" s="1">
        <f t="shared" si="73"/>
        <v>0</v>
      </c>
      <c r="T103" s="1">
        <f t="shared" si="74"/>
        <v>7726593.618504582</v>
      </c>
      <c r="U103" s="1">
        <f t="shared" ca="1" si="75"/>
        <v>9173740.5376466643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>
        <f>Dataset!L104</f>
        <v>11057667.660557464</v>
      </c>
      <c r="E104" s="118">
        <f t="shared" ref="E104:F104" ca="1" si="118">E92</f>
        <v>1.36</v>
      </c>
      <c r="F104" s="118">
        <f t="shared" ca="1" si="118"/>
        <v>95.609999999999985</v>
      </c>
      <c r="G104" s="8">
        <f>Dataset!AR104</f>
        <v>31</v>
      </c>
      <c r="H104" s="109">
        <f>Dataset!BL104</f>
        <v>0</v>
      </c>
      <c r="I104" s="109">
        <f>Dataset!BF104</f>
        <v>0</v>
      </c>
      <c r="J104" s="109">
        <f>Dataset!BM104</f>
        <v>0</v>
      </c>
      <c r="K104" s="109">
        <f>Dataset!AM104</f>
        <v>710048.9</v>
      </c>
      <c r="M104" s="8">
        <f t="shared" si="107"/>
        <v>-4934593.1922812499</v>
      </c>
      <c r="N104" s="1">
        <f t="shared" ca="1" si="108"/>
        <v>2402.3699173067848</v>
      </c>
      <c r="O104" s="1">
        <f t="shared" ca="1" si="109"/>
        <v>478496.24742992606</v>
      </c>
      <c r="P104" s="1">
        <f t="shared" si="111"/>
        <v>7637807.3998190295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7726593.618504582</v>
      </c>
      <c r="U104" s="1">
        <f t="shared" ca="1" si="75"/>
        <v>10910706.443389595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>
        <f>Dataset!L105</f>
        <v>10827539.665122569</v>
      </c>
      <c r="E105" s="118">
        <f t="shared" ref="E105:F105" ca="1" si="119">E93</f>
        <v>1.77</v>
      </c>
      <c r="F105" s="118">
        <f t="shared" ca="1" si="119"/>
        <v>83.75</v>
      </c>
      <c r="G105" s="8">
        <f>Dataset!AR105</f>
        <v>31</v>
      </c>
      <c r="H105" s="109">
        <f>Dataset!BL105</f>
        <v>0</v>
      </c>
      <c r="I105" s="109">
        <f>Dataset!BF105</f>
        <v>0</v>
      </c>
      <c r="J105" s="109">
        <f>Dataset!BM105</f>
        <v>0</v>
      </c>
      <c r="K105" s="109">
        <f>Dataset!AM105</f>
        <v>710048.9</v>
      </c>
      <c r="M105" s="8">
        <f t="shared" si="107"/>
        <v>-4934593.1922812499</v>
      </c>
      <c r="N105" s="1">
        <f t="shared" ca="1" si="108"/>
        <v>3126.6137894360359</v>
      </c>
      <c r="O105" s="1">
        <f t="shared" ca="1" si="109"/>
        <v>419140.89239887369</v>
      </c>
      <c r="P105" s="1">
        <f t="shared" si="111"/>
        <v>7637807.3998190295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7726593.618504582</v>
      </c>
      <c r="U105" s="1">
        <f t="shared" ca="1" si="75"/>
        <v>10852075.332230672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>
        <f>Dataset!L106</f>
        <v>10281994.178883392</v>
      </c>
      <c r="E106" s="118">
        <f t="shared" ref="E106:F106" ca="1" si="120">E94</f>
        <v>37.33</v>
      </c>
      <c r="F106" s="118">
        <f t="shared" ca="1" si="120"/>
        <v>34.480000000000004</v>
      </c>
      <c r="G106" s="8">
        <f>Dataset!AR106</f>
        <v>30</v>
      </c>
      <c r="H106" s="109">
        <f>Dataset!BL106</f>
        <v>0</v>
      </c>
      <c r="I106" s="109">
        <f>Dataset!BF106</f>
        <v>0</v>
      </c>
      <c r="J106" s="109">
        <f>Dataset!BM106</f>
        <v>0</v>
      </c>
      <c r="K106" s="109">
        <f>Dataset!AM106</f>
        <v>710048.9</v>
      </c>
      <c r="M106" s="8">
        <f t="shared" si="107"/>
        <v>-4934593.1922812499</v>
      </c>
      <c r="N106" s="1">
        <f t="shared" ca="1" si="108"/>
        <v>65941.52133313402</v>
      </c>
      <c r="O106" s="1">
        <f t="shared" ca="1" si="109"/>
        <v>172560.93098403781</v>
      </c>
      <c r="P106" s="1">
        <f t="shared" si="111"/>
        <v>7391426.5159538994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7726593.618504582</v>
      </c>
      <c r="U106" s="1">
        <f t="shared" ca="1" si="75"/>
        <v>10421929.394494403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Dataset!L107</f>
        <v>10755351.277068432</v>
      </c>
      <c r="E107" s="118">
        <f t="shared" ref="E107:F107" ca="1" si="121">E95</f>
        <v>173.75</v>
      </c>
      <c r="F107" s="118">
        <f t="shared" ca="1" si="121"/>
        <v>4.62</v>
      </c>
      <c r="G107" s="8">
        <f>Dataset!AR107</f>
        <v>31</v>
      </c>
      <c r="H107" s="109">
        <f>Dataset!BL107</f>
        <v>0</v>
      </c>
      <c r="I107" s="109">
        <f>Dataset!BF107</f>
        <v>0</v>
      </c>
      <c r="J107" s="109">
        <f>Dataset!BM107</f>
        <v>0</v>
      </c>
      <c r="K107" s="109">
        <f>Dataset!AM107</f>
        <v>710048.9</v>
      </c>
      <c r="M107" s="8">
        <f t="shared" si="107"/>
        <v>-4934593.1922812499</v>
      </c>
      <c r="N107" s="1">
        <f t="shared" ca="1" si="108"/>
        <v>306920.42142062786</v>
      </c>
      <c r="O107" s="1">
        <f t="shared" ca="1" si="109"/>
        <v>23121.563258302049</v>
      </c>
      <c r="P107" s="1">
        <f t="shared" si="111"/>
        <v>7637807.3998190295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7726593.618504582</v>
      </c>
      <c r="U107" s="1">
        <f t="shared" ca="1" si="75"/>
        <v>10759849.810721293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Dataset!L108</f>
        <v>10843983.6726791</v>
      </c>
      <c r="E108" s="118">
        <f t="shared" ref="E108:F108" ca="1" si="122">E96</f>
        <v>366.25</v>
      </c>
      <c r="F108" s="118">
        <f t="shared" ca="1" si="122"/>
        <v>0.69000000000000006</v>
      </c>
      <c r="G108" s="8">
        <f>Dataset!AR108</f>
        <v>30</v>
      </c>
      <c r="H108" s="109">
        <f>Dataset!BL108</f>
        <v>0</v>
      </c>
      <c r="I108" s="109">
        <f>Dataset!BF108</f>
        <v>0</v>
      </c>
      <c r="J108" s="109">
        <f>Dataset!BM108</f>
        <v>0</v>
      </c>
      <c r="K108" s="109">
        <f>Dataset!AM108</f>
        <v>710048.9</v>
      </c>
      <c r="M108" s="8">
        <f t="shared" si="107"/>
        <v>-4934593.1922812499</v>
      </c>
      <c r="N108" s="1">
        <f t="shared" ca="1" si="108"/>
        <v>646961.7516276543</v>
      </c>
      <c r="O108" s="1">
        <f t="shared" ca="1" si="109"/>
        <v>3453.2204866295269</v>
      </c>
      <c r="P108" s="1">
        <f t="shared" si="111"/>
        <v>7391426.5159538994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7726593.618504582</v>
      </c>
      <c r="U108" s="1">
        <f t="shared" ca="1" si="75"/>
        <v>10833841.914291516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Dataset!L109</f>
        <v>10858827.53470121</v>
      </c>
      <c r="E109" s="118">
        <f t="shared" ref="E109:F109" ca="1" si="123">E97</f>
        <v>523.60000000000014</v>
      </c>
      <c r="F109" s="118">
        <f t="shared" ca="1" si="123"/>
        <v>0</v>
      </c>
      <c r="G109" s="8">
        <f>Dataset!AR109</f>
        <v>31</v>
      </c>
      <c r="H109" s="109">
        <f>Dataset!BL109</f>
        <v>0</v>
      </c>
      <c r="I109" s="109">
        <f>Dataset!BF109</f>
        <v>1</v>
      </c>
      <c r="J109" s="109">
        <f>Dataset!BM109</f>
        <v>0</v>
      </c>
      <c r="K109" s="109">
        <f>Dataset!AM109</f>
        <v>710048.9</v>
      </c>
      <c r="M109" s="8">
        <f t="shared" si="107"/>
        <v>-4934593.1922812499</v>
      </c>
      <c r="N109" s="1">
        <f t="shared" ca="1" si="108"/>
        <v>924912.41816311236</v>
      </c>
      <c r="O109" s="1">
        <f t="shared" ca="1" si="109"/>
        <v>0</v>
      </c>
      <c r="P109" s="1">
        <f t="shared" si="111"/>
        <v>7637807.3998190295</v>
      </c>
      <c r="Q109" s="1">
        <f t="shared" si="112"/>
        <v>0</v>
      </c>
      <c r="R109" s="1">
        <f t="shared" si="113"/>
        <v>-586242.38490532804</v>
      </c>
      <c r="S109" s="1">
        <f t="shared" si="73"/>
        <v>0</v>
      </c>
      <c r="T109" s="1">
        <f t="shared" si="74"/>
        <v>7726593.618504582</v>
      </c>
      <c r="U109" s="1">
        <f t="shared" ca="1" si="75"/>
        <v>10768477.859300146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>
        <f>Dataset!L110</f>
        <v>11438528.201895148</v>
      </c>
      <c r="E110" s="118">
        <f t="shared" ref="E110:F110" ca="1" si="124">E98</f>
        <v>634.42999999999995</v>
      </c>
      <c r="F110" s="118">
        <f t="shared" ca="1" si="124"/>
        <v>0</v>
      </c>
      <c r="G110" s="8">
        <f>Dataset!AR110</f>
        <v>31</v>
      </c>
      <c r="H110" s="109">
        <f>Dataset!BL110</f>
        <v>0</v>
      </c>
      <c r="I110" s="109">
        <f>Dataset!BF110</f>
        <v>0</v>
      </c>
      <c r="J110" s="109">
        <f>Dataset!BM110</f>
        <v>0</v>
      </c>
      <c r="K110" s="109">
        <f>Dataset!AM110</f>
        <v>740225.97825000004</v>
      </c>
      <c r="M110" s="8">
        <f t="shared" si="107"/>
        <v>-4934593.1922812499</v>
      </c>
      <c r="N110" s="1">
        <f t="shared" ca="1" si="108"/>
        <v>1120687.901938929</v>
      </c>
      <c r="O110" s="1">
        <f t="shared" ca="1" si="109"/>
        <v>0</v>
      </c>
      <c r="P110" s="1">
        <f t="shared" si="111"/>
        <v>7637807.3998190295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8054973.8472910272</v>
      </c>
      <c r="U110" s="1">
        <f t="shared" ca="1" si="75"/>
        <v>11878875.956767736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>
        <f>Dataset!L111</f>
        <v>10765514.674237575</v>
      </c>
      <c r="E111" s="118">
        <f t="shared" ref="E111:F111" ca="1" si="125">E99</f>
        <v>582</v>
      </c>
      <c r="F111" s="118">
        <f t="shared" ca="1" si="125"/>
        <v>0</v>
      </c>
      <c r="G111" s="8">
        <f>Dataset!AR111</f>
        <v>28</v>
      </c>
      <c r="H111" s="109">
        <f>Dataset!BL111</f>
        <v>0</v>
      </c>
      <c r="I111" s="109">
        <f>Dataset!BF111</f>
        <v>0</v>
      </c>
      <c r="J111" s="109">
        <f>Dataset!BM111</f>
        <v>0</v>
      </c>
      <c r="K111" s="109">
        <f>Dataset!AM111</f>
        <v>740225.97825000004</v>
      </c>
      <c r="M111" s="8">
        <f t="shared" si="107"/>
        <v>-4934593.1922812499</v>
      </c>
      <c r="N111" s="1">
        <f t="shared" ca="1" si="108"/>
        <v>1028073.0087298153</v>
      </c>
      <c r="O111" s="1">
        <f t="shared" ca="1" si="109"/>
        <v>0</v>
      </c>
      <c r="P111" s="1">
        <f t="shared" si="111"/>
        <v>6898664.74822364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8054973.8472910272</v>
      </c>
      <c r="U111" s="1">
        <f t="shared" ca="1" si="75"/>
        <v>11047118.411963232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>
        <f>Dataset!L112</f>
        <v>11294872.138339821</v>
      </c>
      <c r="E112" s="118">
        <f t="shared" ref="E112:F112" ca="1" si="126">E100</f>
        <v>498.31000000000006</v>
      </c>
      <c r="F112" s="118">
        <f t="shared" ca="1" si="126"/>
        <v>0.27999999999999997</v>
      </c>
      <c r="G112" s="8">
        <f>Dataset!AR112</f>
        <v>31</v>
      </c>
      <c r="H112" s="109">
        <f>Dataset!BL112</f>
        <v>0</v>
      </c>
      <c r="I112" s="109">
        <f>Dataset!BF112</f>
        <v>0</v>
      </c>
      <c r="J112" s="109">
        <f>Dataset!BM112</f>
        <v>0</v>
      </c>
      <c r="K112" s="109">
        <f>Dataset!AM112</f>
        <v>740225.97825000004</v>
      </c>
      <c r="M112" s="8">
        <f t="shared" si="107"/>
        <v>-4934593.1922812499</v>
      </c>
      <c r="N112" s="1">
        <f t="shared" ca="1" si="108"/>
        <v>880238.93639201764</v>
      </c>
      <c r="O112" s="1">
        <f t="shared" ca="1" si="109"/>
        <v>1401.306864139518</v>
      </c>
      <c r="P112" s="1">
        <f t="shared" si="111"/>
        <v>7637807.3998190295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8054973.8472910272</v>
      </c>
      <c r="U112" s="1">
        <f t="shared" ca="1" si="75"/>
        <v>11639828.298084963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>
        <f>Dataset!L113</f>
        <v>10228699.670555416</v>
      </c>
      <c r="E113" s="118">
        <f t="shared" ref="E113:F113" ca="1" si="127">E101</f>
        <v>322.59999999999997</v>
      </c>
      <c r="F113" s="118">
        <f t="shared" ca="1" si="127"/>
        <v>0.08</v>
      </c>
      <c r="G113" s="8">
        <f>Dataset!AR113</f>
        <v>30</v>
      </c>
      <c r="H113" s="109">
        <f>Dataset!BL113</f>
        <v>0</v>
      </c>
      <c r="I113" s="109">
        <f>Dataset!BF113</f>
        <v>0</v>
      </c>
      <c r="J113" s="109">
        <f>Dataset!BM113</f>
        <v>0</v>
      </c>
      <c r="K113" s="109">
        <f>Dataset!AM113</f>
        <v>740225.97825000004</v>
      </c>
      <c r="M113" s="8">
        <f t="shared" si="107"/>
        <v>-4934593.1922812499</v>
      </c>
      <c r="N113" s="1">
        <f t="shared" ca="1" si="108"/>
        <v>569856.27597291814</v>
      </c>
      <c r="O113" s="1">
        <f t="shared" ca="1" si="109"/>
        <v>400.37338975414804</v>
      </c>
      <c r="P113" s="1">
        <f t="shared" si="111"/>
        <v>7391426.5159538994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8054973.8472910272</v>
      </c>
      <c r="U113" s="1">
        <f t="shared" ca="1" si="75"/>
        <v>11082063.820326349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>
        <f>Dataset!L114</f>
        <v>10129882.667198729</v>
      </c>
      <c r="E114" s="118">
        <f t="shared" ref="E114:F114" ca="1" si="128">E102</f>
        <v>139.78</v>
      </c>
      <c r="F114" s="118">
        <f t="shared" ca="1" si="128"/>
        <v>16.149999999999999</v>
      </c>
      <c r="G114" s="8">
        <f>Dataset!AR114</f>
        <v>31</v>
      </c>
      <c r="H114" s="109">
        <f>Dataset!BL114</f>
        <v>0</v>
      </c>
      <c r="I114" s="109">
        <f>Dataset!BF114</f>
        <v>0</v>
      </c>
      <c r="J114" s="109">
        <f>Dataset!BM114</f>
        <v>0</v>
      </c>
      <c r="K114" s="109">
        <f>Dataset!AM114</f>
        <v>740225.97825000004</v>
      </c>
      <c r="M114" s="8">
        <f t="shared" si="107"/>
        <v>-4934593.1922812499</v>
      </c>
      <c r="N114" s="1">
        <f t="shared" ca="1" si="108"/>
        <v>246914.16694201645</v>
      </c>
      <c r="O114" s="1">
        <f t="shared" ca="1" si="109"/>
        <v>80825.378056618618</v>
      </c>
      <c r="P114" s="1">
        <f t="shared" si="111"/>
        <v>7637807.3998190295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8054973.8472910272</v>
      </c>
      <c r="U114" s="1">
        <f t="shared" ca="1" si="75"/>
        <v>11085927.599827442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>
        <f>Dataset!L115</f>
        <v>10673883.279096492</v>
      </c>
      <c r="E115" s="118">
        <f t="shared" ref="E115:F115" ca="1" si="129">E103</f>
        <v>29.85</v>
      </c>
      <c r="F115" s="118">
        <f t="shared" ca="1" si="129"/>
        <v>42.1</v>
      </c>
      <c r="G115" s="8">
        <f>Dataset!AR115</f>
        <v>30</v>
      </c>
      <c r="H115" s="109">
        <f>Dataset!BL115</f>
        <v>0</v>
      </c>
      <c r="I115" s="109">
        <f>Dataset!BF115</f>
        <v>0</v>
      </c>
      <c r="J115" s="109">
        <f>Dataset!BM115</f>
        <v>0</v>
      </c>
      <c r="K115" s="109">
        <f>Dataset!AM115</f>
        <v>740225.97825000004</v>
      </c>
      <c r="M115" s="8">
        <f t="shared" si="107"/>
        <v>-4934593.1922812499</v>
      </c>
      <c r="N115" s="1">
        <f t="shared" ca="1" si="108"/>
        <v>52728.486787946713</v>
      </c>
      <c r="O115" s="1">
        <f t="shared" ca="1" si="109"/>
        <v>210696.49635812041</v>
      </c>
      <c r="P115" s="1">
        <f t="shared" si="111"/>
        <v>7391426.5159538994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8054973.8472910272</v>
      </c>
      <c r="U115" s="1">
        <f t="shared" ca="1" si="75"/>
        <v>10775232.154109744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>
        <f>Dataset!L116</f>
        <v>10507497.309913272</v>
      </c>
      <c r="E116" s="118">
        <f t="shared" ref="E116:F116" ca="1" si="130">E104</f>
        <v>1.36</v>
      </c>
      <c r="F116" s="118">
        <f t="shared" ca="1" si="130"/>
        <v>95.609999999999985</v>
      </c>
      <c r="G116" s="8">
        <f>Dataset!AR116</f>
        <v>31</v>
      </c>
      <c r="H116" s="109">
        <f>Dataset!BL116</f>
        <v>0</v>
      </c>
      <c r="I116" s="109">
        <f>Dataset!BF116</f>
        <v>0</v>
      </c>
      <c r="J116" s="109">
        <f>Dataset!BM116</f>
        <v>0</v>
      </c>
      <c r="K116" s="109">
        <f>Dataset!AM116</f>
        <v>740225.97825000004</v>
      </c>
      <c r="M116" s="8">
        <f t="shared" si="107"/>
        <v>-4934593.1922812499</v>
      </c>
      <c r="N116" s="1">
        <f t="shared" ca="1" si="108"/>
        <v>2402.3699173067848</v>
      </c>
      <c r="O116" s="1">
        <f t="shared" ca="1" si="109"/>
        <v>478496.24742992606</v>
      </c>
      <c r="P116" s="1">
        <f t="shared" si="111"/>
        <v>7637807.3998190295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8054973.8472910272</v>
      </c>
      <c r="U116" s="1">
        <f t="shared" ca="1" si="75"/>
        <v>11239086.672176041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>
        <f>Dataset!L117</f>
        <v>11658260.80223448</v>
      </c>
      <c r="E117" s="118">
        <f t="shared" ref="E117:F117" ca="1" si="131">E105</f>
        <v>1.77</v>
      </c>
      <c r="F117" s="118">
        <f t="shared" ca="1" si="131"/>
        <v>83.75</v>
      </c>
      <c r="G117" s="8">
        <f>Dataset!AR117</f>
        <v>31</v>
      </c>
      <c r="H117" s="109">
        <f>Dataset!BL117</f>
        <v>0</v>
      </c>
      <c r="I117" s="109">
        <f>Dataset!BF117</f>
        <v>0</v>
      </c>
      <c r="J117" s="109">
        <f>Dataset!BM117</f>
        <v>0</v>
      </c>
      <c r="K117" s="109">
        <f>Dataset!AM117</f>
        <v>740225.97825000004</v>
      </c>
      <c r="M117" s="8">
        <f t="shared" si="107"/>
        <v>-4934593.1922812499</v>
      </c>
      <c r="N117" s="1">
        <f t="shared" ca="1" si="108"/>
        <v>3126.6137894360359</v>
      </c>
      <c r="O117" s="1">
        <f t="shared" ca="1" si="109"/>
        <v>419140.89239887369</v>
      </c>
      <c r="P117" s="1">
        <f t="shared" si="111"/>
        <v>7637807.3998190295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8054973.8472910272</v>
      </c>
      <c r="U117" s="1">
        <f t="shared" ca="1" si="75"/>
        <v>11180455.561017117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>
        <f>Dataset!L118</f>
        <v>10318152.519291902</v>
      </c>
      <c r="E118" s="118">
        <f t="shared" ref="E118:F118" ca="1" si="132">E106</f>
        <v>37.33</v>
      </c>
      <c r="F118" s="118">
        <f t="shared" ca="1" si="132"/>
        <v>34.480000000000004</v>
      </c>
      <c r="G118" s="8">
        <f>Dataset!AR118</f>
        <v>30</v>
      </c>
      <c r="H118" s="109">
        <f>Dataset!BL118</f>
        <v>0</v>
      </c>
      <c r="I118" s="109">
        <f>Dataset!BF118</f>
        <v>0</v>
      </c>
      <c r="J118" s="109">
        <f>Dataset!BM118</f>
        <v>0</v>
      </c>
      <c r="K118" s="109">
        <f>Dataset!AM118</f>
        <v>740225.97825000004</v>
      </c>
      <c r="M118" s="8">
        <f t="shared" si="107"/>
        <v>-4934593.1922812499</v>
      </c>
      <c r="N118" s="1">
        <f t="shared" ref="N118:N121" ca="1" si="133">E118*$Z$11</f>
        <v>65941.52133313402</v>
      </c>
      <c r="O118" s="1">
        <f t="shared" ref="O118:O121" ca="1" si="134">F118*$Z$12</f>
        <v>172560.93098403781</v>
      </c>
      <c r="P118" s="1">
        <f t="shared" ref="P118:P121" si="135">G118*$Z$13</f>
        <v>7391426.5159538994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8054973.8472910272</v>
      </c>
      <c r="U118" s="1">
        <f t="shared" ca="1" si="75"/>
        <v>10750309.623280849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Dataset!L119</f>
        <v>11053578.323806679</v>
      </c>
      <c r="E119" s="118">
        <f t="shared" ref="E119:F119" ca="1" si="138">E107</f>
        <v>173.75</v>
      </c>
      <c r="F119" s="118">
        <f t="shared" ca="1" si="138"/>
        <v>4.62</v>
      </c>
      <c r="G119" s="8">
        <f>Dataset!AR119</f>
        <v>31</v>
      </c>
      <c r="H119" s="109">
        <f>Dataset!BL119</f>
        <v>0</v>
      </c>
      <c r="I119" s="109">
        <f>Dataset!BF119</f>
        <v>0</v>
      </c>
      <c r="J119" s="109">
        <f>Dataset!BM119</f>
        <v>0</v>
      </c>
      <c r="K119" s="109">
        <f>Dataset!AM119</f>
        <v>740225.97825000004</v>
      </c>
      <c r="M119" s="8">
        <f t="shared" si="107"/>
        <v>-4934593.1922812499</v>
      </c>
      <c r="N119" s="1">
        <f t="shared" ca="1" si="133"/>
        <v>306920.42142062786</v>
      </c>
      <c r="O119" s="1">
        <f t="shared" ca="1" si="134"/>
        <v>23121.563258302049</v>
      </c>
      <c r="P119" s="1">
        <f t="shared" si="135"/>
        <v>7637807.3998190295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8054973.8472910272</v>
      </c>
      <c r="U119" s="1">
        <f t="shared" ca="1" si="75"/>
        <v>11088230.039507737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Dataset!L120</f>
        <v>11019198.930448858</v>
      </c>
      <c r="E120" s="118">
        <f t="shared" ref="E120:F120" ca="1" si="139">E108</f>
        <v>366.25</v>
      </c>
      <c r="F120" s="118">
        <f t="shared" ca="1" si="139"/>
        <v>0.69000000000000006</v>
      </c>
      <c r="G120" s="8">
        <f>Dataset!AR120</f>
        <v>30</v>
      </c>
      <c r="H120" s="109">
        <f>Dataset!BL120</f>
        <v>0</v>
      </c>
      <c r="I120" s="109">
        <f>Dataset!BF120</f>
        <v>0</v>
      </c>
      <c r="J120" s="109">
        <f>Dataset!BM120</f>
        <v>0</v>
      </c>
      <c r="K120" s="109">
        <f>Dataset!AM120</f>
        <v>740225.97825000004</v>
      </c>
      <c r="M120" s="8">
        <f t="shared" si="107"/>
        <v>-4934593.1922812499</v>
      </c>
      <c r="N120" s="1">
        <f t="shared" ca="1" si="133"/>
        <v>646961.7516276543</v>
      </c>
      <c r="O120" s="1">
        <f t="shared" ca="1" si="134"/>
        <v>3453.2204866295269</v>
      </c>
      <c r="P120" s="1">
        <f t="shared" si="135"/>
        <v>7391426.5159538994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8054973.8472910272</v>
      </c>
      <c r="U120" s="1">
        <f t="shared" ca="1" si="75"/>
        <v>11162222.14307796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Dataset!L121</f>
        <v>10848758.697127184</v>
      </c>
      <c r="E121" s="118">
        <f t="shared" ref="E121:F121" ca="1" si="140">E109</f>
        <v>523.60000000000014</v>
      </c>
      <c r="F121" s="118">
        <f t="shared" ca="1" si="140"/>
        <v>0</v>
      </c>
      <c r="G121" s="8">
        <f>Dataset!AR121</f>
        <v>31</v>
      </c>
      <c r="H121" s="109">
        <f>Dataset!BL121</f>
        <v>0</v>
      </c>
      <c r="I121" s="109">
        <f>Dataset!BF121</f>
        <v>1</v>
      </c>
      <c r="J121" s="109">
        <f>Dataset!BM121</f>
        <v>0</v>
      </c>
      <c r="K121" s="109">
        <f>Dataset!AM121</f>
        <v>740225.97825000004</v>
      </c>
      <c r="L121" s="38"/>
      <c r="M121" s="8">
        <f t="shared" si="107"/>
        <v>-4934593.1922812499</v>
      </c>
      <c r="N121" s="1">
        <f t="shared" ca="1" si="133"/>
        <v>924912.41816311236</v>
      </c>
      <c r="O121" s="1">
        <f t="shared" ca="1" si="134"/>
        <v>0</v>
      </c>
      <c r="P121" s="1">
        <f t="shared" si="135"/>
        <v>7637807.3998190295</v>
      </c>
      <c r="Q121" s="1">
        <f t="shared" si="136"/>
        <v>0</v>
      </c>
      <c r="R121" s="1">
        <f t="shared" si="137"/>
        <v>-586242.38490532804</v>
      </c>
      <c r="S121" s="1">
        <f t="shared" si="73"/>
        <v>0</v>
      </c>
      <c r="T121" s="1">
        <f t="shared" si="74"/>
        <v>8054973.8472910272</v>
      </c>
      <c r="U121" s="1">
        <f t="shared" ca="1" si="75"/>
        <v>11096858.08808659</v>
      </c>
    </row>
    <row r="122" spans="1:21">
      <c r="A122" s="7">
        <v>44562</v>
      </c>
      <c r="B122">
        <f t="shared" ref="B122:B145" si="141">YEAR(A122)</f>
        <v>2022</v>
      </c>
      <c r="C122">
        <f t="shared" ref="C122:C145" si="142">MONTH(A122)</f>
        <v>1</v>
      </c>
      <c r="E122" s="119">
        <f t="shared" ref="E122:F122" ca="1" si="143">E110</f>
        <v>634.42999999999995</v>
      </c>
      <c r="F122" s="119">
        <f t="shared" ca="1" si="143"/>
        <v>0</v>
      </c>
      <c r="G122" s="116">
        <f t="shared" ref="G122:G182" si="144">G74</f>
        <v>31</v>
      </c>
      <c r="H122" s="109"/>
      <c r="I122" s="109">
        <f t="shared" ref="I122:I183" si="145">I110</f>
        <v>0</v>
      </c>
      <c r="J122" s="109">
        <f>Dataset!BM122</f>
        <v>0</v>
      </c>
      <c r="K122" s="119">
        <f>Economic!C122</f>
        <v>769649.96088543755</v>
      </c>
      <c r="M122" s="8">
        <f t="shared" si="107"/>
        <v>-4934593.1922812499</v>
      </c>
      <c r="N122" s="1">
        <f t="shared" ref="N122:N129" ca="1" si="146">E122*$Z$11</f>
        <v>1120687.901938929</v>
      </c>
      <c r="O122" s="1">
        <f t="shared" ref="O122:O129" ca="1" si="147">F122*$Z$12</f>
        <v>0</v>
      </c>
      <c r="P122" s="1">
        <f t="shared" ref="P122:P130" si="148">G122*$Z$13</f>
        <v>7637807.3998190295</v>
      </c>
      <c r="Q122" s="1">
        <f t="shared" ref="Q122:Q130" si="149">H122*$Z$14</f>
        <v>0</v>
      </c>
      <c r="R122" s="1">
        <f t="shared" ref="R122:R130" si="150">I122*$Z$15</f>
        <v>0</v>
      </c>
      <c r="S122" s="1">
        <f t="shared" si="73"/>
        <v>0</v>
      </c>
      <c r="T122" s="1">
        <f t="shared" si="74"/>
        <v>8375159.0577208456</v>
      </c>
      <c r="U122" s="1">
        <f t="shared" ca="1" si="75"/>
        <v>12199061.167197555</v>
      </c>
    </row>
    <row r="123" spans="1:21">
      <c r="A123" s="7">
        <v>44593</v>
      </c>
      <c r="B123">
        <f t="shared" si="141"/>
        <v>2022</v>
      </c>
      <c r="C123">
        <f t="shared" si="142"/>
        <v>2</v>
      </c>
      <c r="E123" s="119">
        <f t="shared" ref="E123:F123" ca="1" si="151">E111</f>
        <v>582</v>
      </c>
      <c r="F123" s="119">
        <f t="shared" ca="1" si="151"/>
        <v>0</v>
      </c>
      <c r="G123" s="116">
        <f t="shared" si="144"/>
        <v>28</v>
      </c>
      <c r="H123" s="109"/>
      <c r="I123" s="109">
        <f t="shared" si="145"/>
        <v>0</v>
      </c>
      <c r="J123" s="109">
        <f>Dataset!BM123</f>
        <v>0</v>
      </c>
      <c r="K123" s="119">
        <f>Economic!C123</f>
        <v>769649.96088543755</v>
      </c>
      <c r="M123" s="8">
        <f t="shared" si="107"/>
        <v>-4934593.1922812499</v>
      </c>
      <c r="N123" s="1">
        <f t="shared" ca="1" si="146"/>
        <v>1028073.0087298153</v>
      </c>
      <c r="O123" s="1">
        <f t="shared" ca="1" si="147"/>
        <v>0</v>
      </c>
      <c r="P123" s="1">
        <f t="shared" si="148"/>
        <v>6898664.74822364</v>
      </c>
      <c r="Q123" s="1">
        <f t="shared" si="149"/>
        <v>0</v>
      </c>
      <c r="R123" s="1">
        <f t="shared" si="150"/>
        <v>0</v>
      </c>
      <c r="S123" s="1">
        <f t="shared" si="73"/>
        <v>0</v>
      </c>
      <c r="T123" s="1">
        <f t="shared" si="74"/>
        <v>8375159.0577208456</v>
      </c>
      <c r="U123" s="1">
        <f t="shared" ca="1" si="75"/>
        <v>11367303.622393051</v>
      </c>
    </row>
    <row r="124" spans="1:21">
      <c r="A124" s="7">
        <v>44621</v>
      </c>
      <c r="B124">
        <f t="shared" si="141"/>
        <v>2022</v>
      </c>
      <c r="C124">
        <f t="shared" si="142"/>
        <v>3</v>
      </c>
      <c r="E124" s="119">
        <f t="shared" ref="E124:F124" ca="1" si="152">E112</f>
        <v>498.31000000000006</v>
      </c>
      <c r="F124" s="119">
        <f t="shared" ca="1" si="152"/>
        <v>0.27999999999999997</v>
      </c>
      <c r="G124" s="116">
        <f t="shared" si="144"/>
        <v>31</v>
      </c>
      <c r="H124" s="109"/>
      <c r="I124" s="109">
        <f t="shared" si="145"/>
        <v>0</v>
      </c>
      <c r="J124" s="109">
        <f>Dataset!BM124</f>
        <v>0</v>
      </c>
      <c r="K124" s="119">
        <f>Economic!C124</f>
        <v>769649.96088543755</v>
      </c>
      <c r="M124" s="8">
        <f t="shared" si="107"/>
        <v>-4934593.1922812499</v>
      </c>
      <c r="N124" s="1">
        <f t="shared" ca="1" si="146"/>
        <v>880238.93639201764</v>
      </c>
      <c r="O124" s="1">
        <f t="shared" ca="1" si="147"/>
        <v>1401.306864139518</v>
      </c>
      <c r="P124" s="1">
        <f t="shared" si="148"/>
        <v>7637807.3998190295</v>
      </c>
      <c r="Q124" s="1">
        <f t="shared" si="149"/>
        <v>0</v>
      </c>
      <c r="R124" s="1">
        <f t="shared" si="150"/>
        <v>0</v>
      </c>
      <c r="S124" s="1">
        <f t="shared" si="73"/>
        <v>0</v>
      </c>
      <c r="T124" s="1">
        <f t="shared" si="74"/>
        <v>8375159.0577208456</v>
      </c>
      <c r="U124" s="1">
        <f t="shared" ca="1" si="75"/>
        <v>11960013.508514782</v>
      </c>
    </row>
    <row r="125" spans="1:21">
      <c r="A125" s="7">
        <v>44652</v>
      </c>
      <c r="B125">
        <f t="shared" si="141"/>
        <v>2022</v>
      </c>
      <c r="C125">
        <f t="shared" si="142"/>
        <v>4</v>
      </c>
      <c r="E125" s="119">
        <f t="shared" ref="E125:F125" ca="1" si="153">E113</f>
        <v>322.59999999999997</v>
      </c>
      <c r="F125" s="119">
        <f t="shared" ca="1" si="153"/>
        <v>0.08</v>
      </c>
      <c r="G125" s="116">
        <f t="shared" si="144"/>
        <v>30</v>
      </c>
      <c r="H125" s="109"/>
      <c r="I125" s="109">
        <f t="shared" si="145"/>
        <v>0</v>
      </c>
      <c r="J125" s="109">
        <f>Dataset!BM125</f>
        <v>0</v>
      </c>
      <c r="K125" s="119">
        <f>Economic!C125</f>
        <v>769649.96088543755</v>
      </c>
      <c r="M125" s="8">
        <f t="shared" si="107"/>
        <v>-4934593.1922812499</v>
      </c>
      <c r="N125" s="1">
        <f t="shared" ca="1" si="146"/>
        <v>569856.27597291814</v>
      </c>
      <c r="O125" s="1">
        <f t="shared" ca="1" si="147"/>
        <v>400.37338975414804</v>
      </c>
      <c r="P125" s="1">
        <f t="shared" si="148"/>
        <v>7391426.5159538994</v>
      </c>
      <c r="Q125" s="1">
        <f t="shared" si="149"/>
        <v>0</v>
      </c>
      <c r="R125" s="1">
        <f t="shared" si="150"/>
        <v>0</v>
      </c>
      <c r="S125" s="1">
        <f t="shared" si="73"/>
        <v>0</v>
      </c>
      <c r="T125" s="1">
        <f t="shared" si="74"/>
        <v>8375159.0577208456</v>
      </c>
      <c r="U125" s="1">
        <f t="shared" ca="1" si="75"/>
        <v>11402249.030756168</v>
      </c>
    </row>
    <row r="126" spans="1:21">
      <c r="A126" s="7">
        <v>44682</v>
      </c>
      <c r="B126">
        <f t="shared" si="141"/>
        <v>2022</v>
      </c>
      <c r="C126">
        <f t="shared" si="142"/>
        <v>5</v>
      </c>
      <c r="E126" s="119">
        <f t="shared" ref="E126:F126" ca="1" si="154">E114</f>
        <v>139.78</v>
      </c>
      <c r="F126" s="119">
        <f t="shared" ca="1" si="154"/>
        <v>16.149999999999999</v>
      </c>
      <c r="G126" s="116">
        <f t="shared" si="144"/>
        <v>31</v>
      </c>
      <c r="H126" s="109"/>
      <c r="I126" s="109">
        <f t="shared" si="145"/>
        <v>0</v>
      </c>
      <c r="J126" s="109">
        <f>Dataset!BM126</f>
        <v>0</v>
      </c>
      <c r="K126" s="119">
        <f>Economic!C126</f>
        <v>769649.96088543755</v>
      </c>
      <c r="M126" s="8">
        <f t="shared" si="107"/>
        <v>-4934593.1922812499</v>
      </c>
      <c r="N126" s="1">
        <f t="shared" ca="1" si="146"/>
        <v>246914.16694201645</v>
      </c>
      <c r="O126" s="1">
        <f t="shared" ca="1" si="147"/>
        <v>80825.378056618618</v>
      </c>
      <c r="P126" s="1">
        <f t="shared" si="148"/>
        <v>7637807.3998190295</v>
      </c>
      <c r="Q126" s="1">
        <f t="shared" si="149"/>
        <v>0</v>
      </c>
      <c r="R126" s="1">
        <f t="shared" si="150"/>
        <v>0</v>
      </c>
      <c r="S126" s="1">
        <f t="shared" si="73"/>
        <v>0</v>
      </c>
      <c r="T126" s="1">
        <f t="shared" si="74"/>
        <v>8375159.0577208456</v>
      </c>
      <c r="U126" s="1">
        <f t="shared" ca="1" si="75"/>
        <v>11406112.81025726</v>
      </c>
    </row>
    <row r="127" spans="1:21">
      <c r="A127" s="7">
        <v>44713</v>
      </c>
      <c r="B127">
        <f t="shared" si="141"/>
        <v>2022</v>
      </c>
      <c r="C127">
        <f t="shared" si="142"/>
        <v>6</v>
      </c>
      <c r="E127" s="119">
        <f t="shared" ref="E127:F127" ca="1" si="155">E115</f>
        <v>29.85</v>
      </c>
      <c r="F127" s="119">
        <f t="shared" ca="1" si="155"/>
        <v>42.1</v>
      </c>
      <c r="G127" s="116">
        <f t="shared" si="144"/>
        <v>30</v>
      </c>
      <c r="H127" s="109"/>
      <c r="I127" s="109">
        <f t="shared" si="145"/>
        <v>0</v>
      </c>
      <c r="J127" s="109">
        <f>Dataset!BM127</f>
        <v>0</v>
      </c>
      <c r="K127" s="119">
        <f>Economic!C127</f>
        <v>769649.96088543755</v>
      </c>
      <c r="M127" s="8">
        <f t="shared" si="107"/>
        <v>-4934593.1922812499</v>
      </c>
      <c r="N127" s="1">
        <f t="shared" ca="1" si="146"/>
        <v>52728.486787946713</v>
      </c>
      <c r="O127" s="1">
        <f t="shared" ca="1" si="147"/>
        <v>210696.49635812041</v>
      </c>
      <c r="P127" s="1">
        <f t="shared" si="148"/>
        <v>7391426.5159538994</v>
      </c>
      <c r="Q127" s="1">
        <f t="shared" si="149"/>
        <v>0</v>
      </c>
      <c r="R127" s="1">
        <f t="shared" si="150"/>
        <v>0</v>
      </c>
      <c r="S127" s="1">
        <f t="shared" si="73"/>
        <v>0</v>
      </c>
      <c r="T127" s="1">
        <f t="shared" si="74"/>
        <v>8375159.0577208456</v>
      </c>
      <c r="U127" s="1">
        <f t="shared" ca="1" si="75"/>
        <v>11095417.364539564</v>
      </c>
    </row>
    <row r="128" spans="1:21">
      <c r="A128" s="7">
        <v>44743</v>
      </c>
      <c r="B128">
        <f t="shared" si="141"/>
        <v>2022</v>
      </c>
      <c r="C128">
        <f t="shared" si="142"/>
        <v>7</v>
      </c>
      <c r="E128" s="119">
        <f t="shared" ref="E128:F128" ca="1" si="156">E116</f>
        <v>1.36</v>
      </c>
      <c r="F128" s="119">
        <f t="shared" ca="1" si="156"/>
        <v>95.609999999999985</v>
      </c>
      <c r="G128" s="116">
        <f t="shared" si="144"/>
        <v>31</v>
      </c>
      <c r="H128" s="109"/>
      <c r="I128" s="109">
        <f t="shared" si="145"/>
        <v>0</v>
      </c>
      <c r="J128" s="109">
        <f>Dataset!BM128</f>
        <v>0</v>
      </c>
      <c r="K128" s="119">
        <f>Economic!C128</f>
        <v>769649.96088543755</v>
      </c>
      <c r="M128" s="8">
        <f t="shared" si="107"/>
        <v>-4934593.1922812499</v>
      </c>
      <c r="N128" s="1">
        <f t="shared" ca="1" si="146"/>
        <v>2402.3699173067848</v>
      </c>
      <c r="O128" s="1">
        <f t="shared" ca="1" si="147"/>
        <v>478496.24742992606</v>
      </c>
      <c r="P128" s="1">
        <f t="shared" si="148"/>
        <v>7637807.3998190295</v>
      </c>
      <c r="Q128" s="1">
        <f t="shared" si="149"/>
        <v>0</v>
      </c>
      <c r="R128" s="1">
        <f t="shared" si="150"/>
        <v>0</v>
      </c>
      <c r="S128" s="1">
        <f t="shared" si="73"/>
        <v>0</v>
      </c>
      <c r="T128" s="1">
        <f t="shared" si="74"/>
        <v>8375159.0577208456</v>
      </c>
      <c r="U128" s="1">
        <f t="shared" ca="1" si="75"/>
        <v>11559271.882605858</v>
      </c>
    </row>
    <row r="129" spans="1:21">
      <c r="A129" s="7">
        <v>44774</v>
      </c>
      <c r="B129">
        <f t="shared" si="141"/>
        <v>2022</v>
      </c>
      <c r="C129">
        <f t="shared" si="142"/>
        <v>8</v>
      </c>
      <c r="E129" s="119">
        <f t="shared" ref="E129:F129" ca="1" si="157">E117</f>
        <v>1.77</v>
      </c>
      <c r="F129" s="119">
        <f t="shared" ca="1" si="157"/>
        <v>83.75</v>
      </c>
      <c r="G129" s="116">
        <f t="shared" si="144"/>
        <v>31</v>
      </c>
      <c r="H129" s="109"/>
      <c r="I129" s="109">
        <f t="shared" si="145"/>
        <v>0</v>
      </c>
      <c r="J129" s="109">
        <f>Dataset!BM129</f>
        <v>0</v>
      </c>
      <c r="K129" s="119">
        <f>Economic!C129</f>
        <v>769649.96088543755</v>
      </c>
      <c r="M129" s="8">
        <f t="shared" si="107"/>
        <v>-4934593.1922812499</v>
      </c>
      <c r="N129" s="1">
        <f t="shared" ca="1" si="146"/>
        <v>3126.6137894360359</v>
      </c>
      <c r="O129" s="1">
        <f t="shared" ca="1" si="147"/>
        <v>419140.89239887369</v>
      </c>
      <c r="P129" s="1">
        <f t="shared" si="148"/>
        <v>7637807.3998190295</v>
      </c>
      <c r="Q129" s="1">
        <f t="shared" si="149"/>
        <v>0</v>
      </c>
      <c r="R129" s="1">
        <f t="shared" si="150"/>
        <v>0</v>
      </c>
      <c r="S129" s="1">
        <f t="shared" si="73"/>
        <v>0</v>
      </c>
      <c r="T129" s="1">
        <f t="shared" si="74"/>
        <v>8375159.0577208456</v>
      </c>
      <c r="U129" s="1">
        <f t="shared" ca="1" si="75"/>
        <v>11500640.771446936</v>
      </c>
    </row>
    <row r="130" spans="1:21">
      <c r="A130" s="7">
        <v>44805</v>
      </c>
      <c r="B130">
        <f t="shared" si="141"/>
        <v>2022</v>
      </c>
      <c r="C130">
        <f t="shared" si="142"/>
        <v>9</v>
      </c>
      <c r="E130" s="119">
        <f t="shared" ref="E130:F130" ca="1" si="158">E118</f>
        <v>37.33</v>
      </c>
      <c r="F130" s="119">
        <f t="shared" ca="1" si="158"/>
        <v>34.480000000000004</v>
      </c>
      <c r="G130" s="116">
        <f t="shared" si="144"/>
        <v>30</v>
      </c>
      <c r="H130" s="109"/>
      <c r="I130" s="109">
        <f t="shared" si="145"/>
        <v>0</v>
      </c>
      <c r="J130" s="109">
        <f>Dataset!BM130</f>
        <v>0</v>
      </c>
      <c r="K130" s="119">
        <f>Economic!C130</f>
        <v>769649.96088543755</v>
      </c>
      <c r="M130" s="8">
        <f t="shared" ref="M130:M145" si="159">$Z$10</f>
        <v>-4934593.1922812499</v>
      </c>
      <c r="N130" s="1">
        <f t="shared" ref="N130:N145" ca="1" si="160">E130*$Z$11</f>
        <v>65941.52133313402</v>
      </c>
      <c r="O130" s="1">
        <f t="shared" ref="O130:O145" ca="1" si="161">F130*$Z$12</f>
        <v>172560.93098403781</v>
      </c>
      <c r="P130" s="1">
        <f t="shared" si="148"/>
        <v>7391426.5159538994</v>
      </c>
      <c r="Q130" s="1">
        <f t="shared" si="149"/>
        <v>0</v>
      </c>
      <c r="R130" s="1">
        <f t="shared" si="150"/>
        <v>0</v>
      </c>
      <c r="S130" s="1">
        <f t="shared" si="73"/>
        <v>0</v>
      </c>
      <c r="T130" s="1">
        <f t="shared" si="74"/>
        <v>8375159.0577208456</v>
      </c>
      <c r="U130" s="1">
        <f t="shared" ca="1" si="75"/>
        <v>11070494.833710667</v>
      </c>
    </row>
    <row r="131" spans="1:21">
      <c r="A131" s="7">
        <v>44835</v>
      </c>
      <c r="B131">
        <f t="shared" si="141"/>
        <v>2022</v>
      </c>
      <c r="C131">
        <f t="shared" si="142"/>
        <v>10</v>
      </c>
      <c r="E131" s="119">
        <f t="shared" ref="E131:F131" ca="1" si="162">E119</f>
        <v>173.75</v>
      </c>
      <c r="F131" s="119">
        <f t="shared" ca="1" si="162"/>
        <v>4.62</v>
      </c>
      <c r="G131" s="116">
        <f t="shared" si="144"/>
        <v>31</v>
      </c>
      <c r="H131" s="109"/>
      <c r="I131" s="109">
        <f t="shared" si="145"/>
        <v>0</v>
      </c>
      <c r="J131" s="109">
        <f>Dataset!BM131</f>
        <v>0</v>
      </c>
      <c r="K131" s="119">
        <f>Economic!C131</f>
        <v>769649.96088543755</v>
      </c>
      <c r="M131" s="8">
        <f t="shared" si="159"/>
        <v>-4934593.1922812499</v>
      </c>
      <c r="N131" s="1">
        <f t="shared" ca="1" si="160"/>
        <v>306920.42142062786</v>
      </c>
      <c r="O131" s="1">
        <f t="shared" ca="1" si="161"/>
        <v>23121.563258302049</v>
      </c>
      <c r="P131" s="1">
        <f t="shared" ref="P131:P145" si="163">G131*$Z$13</f>
        <v>7637807.3998190295</v>
      </c>
      <c r="Q131" s="1">
        <f t="shared" ref="Q131:Q145" si="164">H131*$Z$14</f>
        <v>0</v>
      </c>
      <c r="R131" s="1">
        <f t="shared" ref="R131:R145" si="165">I131*$Z$15</f>
        <v>0</v>
      </c>
      <c r="S131" s="1">
        <f t="shared" ref="S131:S193" si="166">J131*$Z$16</f>
        <v>0</v>
      </c>
      <c r="T131" s="1">
        <f t="shared" ref="T131:T193" si="167">K131*$Z$17</f>
        <v>8375159.0577208456</v>
      </c>
      <c r="U131" s="1">
        <f t="shared" ref="U131:U193" ca="1" si="168">SUM(M131:T131)</f>
        <v>11408415.249937557</v>
      </c>
    </row>
    <row r="132" spans="1:21">
      <c r="A132" s="7">
        <v>44866</v>
      </c>
      <c r="B132">
        <f t="shared" si="141"/>
        <v>2022</v>
      </c>
      <c r="C132">
        <f t="shared" si="142"/>
        <v>11</v>
      </c>
      <c r="E132" s="119">
        <f t="shared" ref="E132:F132" ca="1" si="169">E120</f>
        <v>366.25</v>
      </c>
      <c r="F132" s="119">
        <f t="shared" ca="1" si="169"/>
        <v>0.69000000000000006</v>
      </c>
      <c r="G132" s="116">
        <f t="shared" si="144"/>
        <v>30</v>
      </c>
      <c r="H132" s="109"/>
      <c r="I132" s="109">
        <f t="shared" si="145"/>
        <v>0</v>
      </c>
      <c r="J132" s="109">
        <f>Dataset!BM132</f>
        <v>0</v>
      </c>
      <c r="K132" s="119">
        <f>Economic!C132</f>
        <v>769649.96088543755</v>
      </c>
      <c r="M132" s="8">
        <f t="shared" si="159"/>
        <v>-4934593.1922812499</v>
      </c>
      <c r="N132" s="1">
        <f t="shared" ca="1" si="160"/>
        <v>646961.7516276543</v>
      </c>
      <c r="O132" s="1">
        <f t="shared" ca="1" si="161"/>
        <v>3453.2204866295269</v>
      </c>
      <c r="P132" s="1">
        <f t="shared" si="163"/>
        <v>7391426.5159538994</v>
      </c>
      <c r="Q132" s="1">
        <f t="shared" si="164"/>
        <v>0</v>
      </c>
      <c r="R132" s="1">
        <f t="shared" si="165"/>
        <v>0</v>
      </c>
      <c r="S132" s="1">
        <f t="shared" si="166"/>
        <v>0</v>
      </c>
      <c r="T132" s="1">
        <f t="shared" si="167"/>
        <v>8375159.0577208456</v>
      </c>
      <c r="U132" s="1">
        <f t="shared" ca="1" si="168"/>
        <v>11482407.35350778</v>
      </c>
    </row>
    <row r="133" spans="1:21">
      <c r="A133" s="7">
        <v>44896</v>
      </c>
      <c r="B133">
        <f t="shared" si="141"/>
        <v>2022</v>
      </c>
      <c r="C133">
        <f t="shared" si="142"/>
        <v>12</v>
      </c>
      <c r="E133" s="119">
        <f t="shared" ref="E133:F133" ca="1" si="170">E121</f>
        <v>523.60000000000014</v>
      </c>
      <c r="F133" s="119">
        <f t="shared" ca="1" si="170"/>
        <v>0</v>
      </c>
      <c r="G133" s="116">
        <f t="shared" si="144"/>
        <v>31</v>
      </c>
      <c r="H133" s="109"/>
      <c r="I133" s="109">
        <f t="shared" si="145"/>
        <v>1</v>
      </c>
      <c r="J133" s="109">
        <f>Dataset!BM133</f>
        <v>0</v>
      </c>
      <c r="K133" s="119">
        <f>Economic!C133</f>
        <v>769649.96088543755</v>
      </c>
      <c r="M133" s="8">
        <f t="shared" si="159"/>
        <v>-4934593.1922812499</v>
      </c>
      <c r="N133" s="1">
        <f t="shared" ca="1" si="160"/>
        <v>924912.41816311236</v>
      </c>
      <c r="O133" s="1">
        <f t="shared" ca="1" si="161"/>
        <v>0</v>
      </c>
      <c r="P133" s="1">
        <f t="shared" si="163"/>
        <v>7637807.3998190295</v>
      </c>
      <c r="Q133" s="1">
        <f t="shared" si="164"/>
        <v>0</v>
      </c>
      <c r="R133" s="1">
        <f t="shared" si="165"/>
        <v>-586242.38490532804</v>
      </c>
      <c r="S133" s="1">
        <f t="shared" si="166"/>
        <v>0</v>
      </c>
      <c r="T133" s="1">
        <f t="shared" si="167"/>
        <v>8375159.0577208456</v>
      </c>
      <c r="U133" s="1">
        <f t="shared" ca="1" si="168"/>
        <v>11417043.298516409</v>
      </c>
    </row>
    <row r="134" spans="1:21">
      <c r="A134" s="7">
        <v>44927</v>
      </c>
      <c r="B134">
        <f t="shared" si="141"/>
        <v>2023</v>
      </c>
      <c r="C134">
        <f t="shared" si="142"/>
        <v>1</v>
      </c>
      <c r="E134" s="119">
        <f t="shared" ref="E134:F134" ca="1" si="171">E122</f>
        <v>634.42999999999995</v>
      </c>
      <c r="F134" s="119">
        <f t="shared" ca="1" si="171"/>
        <v>0</v>
      </c>
      <c r="G134" s="116">
        <f t="shared" si="144"/>
        <v>31</v>
      </c>
      <c r="H134" s="109"/>
      <c r="I134" s="109">
        <f t="shared" si="145"/>
        <v>0</v>
      </c>
      <c r="J134" s="109">
        <f>Dataset!BM134</f>
        <v>0</v>
      </c>
      <c r="K134" s="119">
        <f>Economic!C134</f>
        <v>792739.45971200068</v>
      </c>
      <c r="M134" s="8">
        <f t="shared" si="159"/>
        <v>-4934593.1922812499</v>
      </c>
      <c r="N134" s="1">
        <f t="shared" ca="1" si="160"/>
        <v>1120687.901938929</v>
      </c>
      <c r="O134" s="1">
        <f t="shared" ca="1" si="161"/>
        <v>0</v>
      </c>
      <c r="P134" s="1">
        <f t="shared" si="163"/>
        <v>7637807.3998190295</v>
      </c>
      <c r="Q134" s="1">
        <f t="shared" si="164"/>
        <v>0</v>
      </c>
      <c r="R134" s="1">
        <f t="shared" si="165"/>
        <v>0</v>
      </c>
      <c r="S134" s="1">
        <f t="shared" si="166"/>
        <v>0</v>
      </c>
      <c r="T134" s="1">
        <f t="shared" si="167"/>
        <v>8626413.8294524699</v>
      </c>
      <c r="U134" s="1">
        <f t="shared" ca="1" si="168"/>
        <v>12450315.938929178</v>
      </c>
    </row>
    <row r="135" spans="1:21">
      <c r="A135" s="7">
        <v>44958</v>
      </c>
      <c r="B135">
        <f t="shared" si="141"/>
        <v>2023</v>
      </c>
      <c r="C135">
        <f t="shared" si="142"/>
        <v>2</v>
      </c>
      <c r="E135" s="119">
        <f t="shared" ref="E135:F135" ca="1" si="172">E123</f>
        <v>582</v>
      </c>
      <c r="F135" s="119">
        <f t="shared" ca="1" si="172"/>
        <v>0</v>
      </c>
      <c r="G135" s="116">
        <f t="shared" si="144"/>
        <v>28</v>
      </c>
      <c r="H135" s="109"/>
      <c r="I135" s="109">
        <f t="shared" si="145"/>
        <v>0</v>
      </c>
      <c r="J135" s="109">
        <f>Dataset!BM135</f>
        <v>0</v>
      </c>
      <c r="K135" s="119">
        <f>Economic!C135</f>
        <v>792739.45971200068</v>
      </c>
      <c r="M135" s="8">
        <f t="shared" si="159"/>
        <v>-4934593.1922812499</v>
      </c>
      <c r="N135" s="1">
        <f t="shared" ca="1" si="160"/>
        <v>1028073.0087298153</v>
      </c>
      <c r="O135" s="1">
        <f t="shared" ca="1" si="161"/>
        <v>0</v>
      </c>
      <c r="P135" s="1">
        <f t="shared" si="163"/>
        <v>6898664.74822364</v>
      </c>
      <c r="Q135" s="1">
        <f t="shared" si="164"/>
        <v>0</v>
      </c>
      <c r="R135" s="1">
        <f t="shared" si="165"/>
        <v>0</v>
      </c>
      <c r="S135" s="1">
        <f t="shared" si="166"/>
        <v>0</v>
      </c>
      <c r="T135" s="1">
        <f t="shared" si="167"/>
        <v>8626413.8294524699</v>
      </c>
      <c r="U135" s="1">
        <f t="shared" ca="1" si="168"/>
        <v>11618558.394124676</v>
      </c>
    </row>
    <row r="136" spans="1:21">
      <c r="A136" s="7">
        <v>44986</v>
      </c>
      <c r="B136">
        <f t="shared" si="141"/>
        <v>2023</v>
      </c>
      <c r="C136">
        <f t="shared" si="142"/>
        <v>3</v>
      </c>
      <c r="E136" s="119">
        <f t="shared" ref="E136:F136" ca="1" si="173">E124</f>
        <v>498.31000000000006</v>
      </c>
      <c r="F136" s="119">
        <f t="shared" ca="1" si="173"/>
        <v>0.27999999999999997</v>
      </c>
      <c r="G136" s="116">
        <f t="shared" si="144"/>
        <v>31</v>
      </c>
      <c r="H136" s="109"/>
      <c r="I136" s="109">
        <f t="shared" si="145"/>
        <v>0</v>
      </c>
      <c r="J136" s="109">
        <f>Dataset!BM136</f>
        <v>0</v>
      </c>
      <c r="K136" s="119">
        <f>Economic!C136</f>
        <v>792739.45971200068</v>
      </c>
      <c r="M136" s="8">
        <f t="shared" si="159"/>
        <v>-4934593.1922812499</v>
      </c>
      <c r="N136" s="1">
        <f t="shared" ca="1" si="160"/>
        <v>880238.93639201764</v>
      </c>
      <c r="O136" s="1">
        <f t="shared" ca="1" si="161"/>
        <v>1401.306864139518</v>
      </c>
      <c r="P136" s="1">
        <f t="shared" si="163"/>
        <v>7637807.3998190295</v>
      </c>
      <c r="Q136" s="1">
        <f t="shared" si="164"/>
        <v>0</v>
      </c>
      <c r="R136" s="1">
        <f t="shared" si="165"/>
        <v>0</v>
      </c>
      <c r="S136" s="1">
        <f t="shared" si="166"/>
        <v>0</v>
      </c>
      <c r="T136" s="1">
        <f t="shared" si="167"/>
        <v>8626413.8294524699</v>
      </c>
      <c r="U136" s="1">
        <f t="shared" ca="1" si="168"/>
        <v>12211268.280246407</v>
      </c>
    </row>
    <row r="137" spans="1:21">
      <c r="A137" s="7">
        <v>45017</v>
      </c>
      <c r="B137">
        <f t="shared" si="141"/>
        <v>2023</v>
      </c>
      <c r="C137">
        <f t="shared" si="142"/>
        <v>4</v>
      </c>
      <c r="E137" s="119">
        <f t="shared" ref="E137:F137" ca="1" si="174">E125</f>
        <v>322.59999999999997</v>
      </c>
      <c r="F137" s="119">
        <f t="shared" ca="1" si="174"/>
        <v>0.08</v>
      </c>
      <c r="G137" s="116">
        <f t="shared" si="144"/>
        <v>30</v>
      </c>
      <c r="H137" s="109"/>
      <c r="I137" s="109">
        <f t="shared" si="145"/>
        <v>0</v>
      </c>
      <c r="J137" s="109">
        <f>Dataset!BM137</f>
        <v>0</v>
      </c>
      <c r="K137" s="119">
        <f>Economic!C137</f>
        <v>792739.45971200068</v>
      </c>
      <c r="M137" s="8">
        <f t="shared" si="159"/>
        <v>-4934593.1922812499</v>
      </c>
      <c r="N137" s="1">
        <f t="shared" ca="1" si="160"/>
        <v>569856.27597291814</v>
      </c>
      <c r="O137" s="1">
        <f t="shared" ca="1" si="161"/>
        <v>400.37338975414804</v>
      </c>
      <c r="P137" s="1">
        <f t="shared" si="163"/>
        <v>7391426.5159538994</v>
      </c>
      <c r="Q137" s="1">
        <f t="shared" si="164"/>
        <v>0</v>
      </c>
      <c r="R137" s="1">
        <f t="shared" si="165"/>
        <v>0</v>
      </c>
      <c r="S137" s="1">
        <f t="shared" si="166"/>
        <v>0</v>
      </c>
      <c r="T137" s="1">
        <f t="shared" si="167"/>
        <v>8626413.8294524699</v>
      </c>
      <c r="U137" s="1">
        <f t="shared" ca="1" si="168"/>
        <v>11653503.802487791</v>
      </c>
    </row>
    <row r="138" spans="1:21">
      <c r="A138" s="7">
        <v>45047</v>
      </c>
      <c r="B138">
        <f t="shared" si="141"/>
        <v>2023</v>
      </c>
      <c r="C138">
        <f t="shared" si="142"/>
        <v>5</v>
      </c>
      <c r="E138" s="119">
        <f t="shared" ref="E138:F138" ca="1" si="175">E126</f>
        <v>139.78</v>
      </c>
      <c r="F138" s="119">
        <f t="shared" ca="1" si="175"/>
        <v>16.149999999999999</v>
      </c>
      <c r="G138" s="116">
        <f t="shared" si="144"/>
        <v>31</v>
      </c>
      <c r="H138" s="109"/>
      <c r="I138" s="109">
        <f t="shared" si="145"/>
        <v>0</v>
      </c>
      <c r="J138" s="109">
        <f>Dataset!BM138</f>
        <v>0</v>
      </c>
      <c r="K138" s="119">
        <f>Economic!C138</f>
        <v>792739.45971200068</v>
      </c>
      <c r="M138" s="8">
        <f t="shared" si="159"/>
        <v>-4934593.1922812499</v>
      </c>
      <c r="N138" s="1">
        <f t="shared" ca="1" si="160"/>
        <v>246914.16694201645</v>
      </c>
      <c r="O138" s="1">
        <f t="shared" ca="1" si="161"/>
        <v>80825.378056618618</v>
      </c>
      <c r="P138" s="1">
        <f t="shared" si="163"/>
        <v>7637807.3998190295</v>
      </c>
      <c r="Q138" s="1">
        <f t="shared" si="164"/>
        <v>0</v>
      </c>
      <c r="R138" s="1">
        <f t="shared" si="165"/>
        <v>0</v>
      </c>
      <c r="S138" s="1">
        <f t="shared" si="166"/>
        <v>0</v>
      </c>
      <c r="T138" s="1">
        <f t="shared" si="167"/>
        <v>8626413.8294524699</v>
      </c>
      <c r="U138" s="1">
        <f t="shared" ca="1" si="168"/>
        <v>11657367.581988884</v>
      </c>
    </row>
    <row r="139" spans="1:21">
      <c r="A139" s="7">
        <v>45078</v>
      </c>
      <c r="B139">
        <f t="shared" si="141"/>
        <v>2023</v>
      </c>
      <c r="C139">
        <f t="shared" si="142"/>
        <v>6</v>
      </c>
      <c r="E139" s="119">
        <f t="shared" ref="E139:F139" ca="1" si="176">E127</f>
        <v>29.85</v>
      </c>
      <c r="F139" s="119">
        <f t="shared" ca="1" si="176"/>
        <v>42.1</v>
      </c>
      <c r="G139" s="116">
        <f t="shared" si="144"/>
        <v>30</v>
      </c>
      <c r="H139" s="109"/>
      <c r="I139" s="109">
        <f t="shared" si="145"/>
        <v>0</v>
      </c>
      <c r="J139" s="109">
        <f>Dataset!BM139</f>
        <v>0</v>
      </c>
      <c r="K139" s="119">
        <f>Economic!C139</f>
        <v>792739.45971200068</v>
      </c>
      <c r="M139" s="8">
        <f t="shared" si="159"/>
        <v>-4934593.1922812499</v>
      </c>
      <c r="N139" s="1">
        <f t="shared" ca="1" si="160"/>
        <v>52728.486787946713</v>
      </c>
      <c r="O139" s="1">
        <f t="shared" ca="1" si="161"/>
        <v>210696.49635812041</v>
      </c>
      <c r="P139" s="1">
        <f t="shared" si="163"/>
        <v>7391426.5159538994</v>
      </c>
      <c r="Q139" s="1">
        <f t="shared" si="164"/>
        <v>0</v>
      </c>
      <c r="R139" s="1">
        <f t="shared" si="165"/>
        <v>0</v>
      </c>
      <c r="S139" s="1">
        <f t="shared" si="166"/>
        <v>0</v>
      </c>
      <c r="T139" s="1">
        <f t="shared" si="167"/>
        <v>8626413.8294524699</v>
      </c>
      <c r="U139" s="1">
        <f t="shared" ca="1" si="168"/>
        <v>11346672.136271186</v>
      </c>
    </row>
    <row r="140" spans="1:21">
      <c r="A140" s="7">
        <v>45108</v>
      </c>
      <c r="B140">
        <f t="shared" si="141"/>
        <v>2023</v>
      </c>
      <c r="C140">
        <f t="shared" si="142"/>
        <v>7</v>
      </c>
      <c r="E140" s="119">
        <f t="shared" ref="E140:F140" ca="1" si="177">E128</f>
        <v>1.36</v>
      </c>
      <c r="F140" s="119">
        <f t="shared" ca="1" si="177"/>
        <v>95.609999999999985</v>
      </c>
      <c r="G140" s="116">
        <f t="shared" si="144"/>
        <v>31</v>
      </c>
      <c r="H140" s="109"/>
      <c r="I140" s="109">
        <f t="shared" si="145"/>
        <v>0</v>
      </c>
      <c r="J140" s="109">
        <f>Dataset!BM140</f>
        <v>0</v>
      </c>
      <c r="K140" s="119">
        <f>Economic!C140</f>
        <v>792739.45971200068</v>
      </c>
      <c r="M140" s="8">
        <f t="shared" si="159"/>
        <v>-4934593.1922812499</v>
      </c>
      <c r="N140" s="1">
        <f t="shared" ca="1" si="160"/>
        <v>2402.3699173067848</v>
      </c>
      <c r="O140" s="1">
        <f t="shared" ca="1" si="161"/>
        <v>478496.24742992606</v>
      </c>
      <c r="P140" s="1">
        <f t="shared" si="163"/>
        <v>7637807.3998190295</v>
      </c>
      <c r="Q140" s="1">
        <f t="shared" si="164"/>
        <v>0</v>
      </c>
      <c r="R140" s="1">
        <f t="shared" si="165"/>
        <v>0</v>
      </c>
      <c r="S140" s="1">
        <f t="shared" si="166"/>
        <v>0</v>
      </c>
      <c r="T140" s="1">
        <f t="shared" si="167"/>
        <v>8626413.8294524699</v>
      </c>
      <c r="U140" s="1">
        <f t="shared" ca="1" si="168"/>
        <v>11810526.654337483</v>
      </c>
    </row>
    <row r="141" spans="1:21">
      <c r="A141" s="7">
        <v>45139</v>
      </c>
      <c r="B141">
        <f t="shared" si="141"/>
        <v>2023</v>
      </c>
      <c r="C141">
        <f t="shared" si="142"/>
        <v>8</v>
      </c>
      <c r="E141" s="119">
        <f t="shared" ref="E141:F141" ca="1" si="178">E129</f>
        <v>1.77</v>
      </c>
      <c r="F141" s="119">
        <f t="shared" ca="1" si="178"/>
        <v>83.75</v>
      </c>
      <c r="G141" s="116">
        <f t="shared" si="144"/>
        <v>31</v>
      </c>
      <c r="H141" s="109"/>
      <c r="I141" s="109">
        <f t="shared" si="145"/>
        <v>0</v>
      </c>
      <c r="J141" s="109">
        <f>Dataset!BM141</f>
        <v>0</v>
      </c>
      <c r="K141" s="119">
        <f>Economic!C141</f>
        <v>792739.45971200068</v>
      </c>
      <c r="M141" s="8">
        <f t="shared" si="159"/>
        <v>-4934593.1922812499</v>
      </c>
      <c r="N141" s="1">
        <f t="shared" ca="1" si="160"/>
        <v>3126.6137894360359</v>
      </c>
      <c r="O141" s="1">
        <f t="shared" ca="1" si="161"/>
        <v>419140.89239887369</v>
      </c>
      <c r="P141" s="1">
        <f t="shared" si="163"/>
        <v>7637807.3998190295</v>
      </c>
      <c r="Q141" s="1">
        <f t="shared" si="164"/>
        <v>0</v>
      </c>
      <c r="R141" s="1">
        <f t="shared" si="165"/>
        <v>0</v>
      </c>
      <c r="S141" s="1">
        <f t="shared" si="166"/>
        <v>0</v>
      </c>
      <c r="T141" s="1">
        <f t="shared" si="167"/>
        <v>8626413.8294524699</v>
      </c>
      <c r="U141" s="1">
        <f t="shared" ca="1" si="168"/>
        <v>11751895.543178558</v>
      </c>
    </row>
    <row r="142" spans="1:21">
      <c r="A142" s="7">
        <v>45170</v>
      </c>
      <c r="B142">
        <f t="shared" si="141"/>
        <v>2023</v>
      </c>
      <c r="C142">
        <f t="shared" si="142"/>
        <v>9</v>
      </c>
      <c r="E142" s="119">
        <f t="shared" ref="E142:F142" ca="1" si="179">E130</f>
        <v>37.33</v>
      </c>
      <c r="F142" s="119">
        <f t="shared" ca="1" si="179"/>
        <v>34.480000000000004</v>
      </c>
      <c r="G142" s="116">
        <f t="shared" si="144"/>
        <v>30</v>
      </c>
      <c r="H142" s="109"/>
      <c r="I142" s="109">
        <f t="shared" si="145"/>
        <v>0</v>
      </c>
      <c r="J142" s="109">
        <f>Dataset!BM142</f>
        <v>0</v>
      </c>
      <c r="K142" s="119">
        <f>Economic!C142</f>
        <v>792739.45971200068</v>
      </c>
      <c r="M142" s="8">
        <f t="shared" si="159"/>
        <v>-4934593.1922812499</v>
      </c>
      <c r="N142" s="1">
        <f t="shared" ca="1" si="160"/>
        <v>65941.52133313402</v>
      </c>
      <c r="O142" s="1">
        <f t="shared" ca="1" si="161"/>
        <v>172560.93098403781</v>
      </c>
      <c r="P142" s="1">
        <f t="shared" si="163"/>
        <v>7391426.5159538994</v>
      </c>
      <c r="Q142" s="1">
        <f t="shared" si="164"/>
        <v>0</v>
      </c>
      <c r="R142" s="1">
        <f t="shared" si="165"/>
        <v>0</v>
      </c>
      <c r="S142" s="1">
        <f t="shared" si="166"/>
        <v>0</v>
      </c>
      <c r="T142" s="1">
        <f t="shared" si="167"/>
        <v>8626413.8294524699</v>
      </c>
      <c r="U142" s="1">
        <f t="shared" ca="1" si="168"/>
        <v>11321749.605442291</v>
      </c>
    </row>
    <row r="143" spans="1:21">
      <c r="A143" s="7">
        <v>45200</v>
      </c>
      <c r="B143">
        <f t="shared" si="141"/>
        <v>2023</v>
      </c>
      <c r="C143">
        <f t="shared" si="142"/>
        <v>10</v>
      </c>
      <c r="E143" s="119">
        <f t="shared" ref="E143:F143" ca="1" si="180">E131</f>
        <v>173.75</v>
      </c>
      <c r="F143" s="119">
        <f t="shared" ca="1" si="180"/>
        <v>4.62</v>
      </c>
      <c r="G143" s="116">
        <f t="shared" si="144"/>
        <v>31</v>
      </c>
      <c r="H143" s="109"/>
      <c r="I143" s="109">
        <f t="shared" si="145"/>
        <v>0</v>
      </c>
      <c r="J143" s="109">
        <f>Dataset!BM143</f>
        <v>0</v>
      </c>
      <c r="K143" s="119">
        <f>Economic!C143</f>
        <v>792739.45971200068</v>
      </c>
      <c r="M143" s="8">
        <f t="shared" si="159"/>
        <v>-4934593.1922812499</v>
      </c>
      <c r="N143" s="1">
        <f t="shared" ca="1" si="160"/>
        <v>306920.42142062786</v>
      </c>
      <c r="O143" s="1">
        <f t="shared" ca="1" si="161"/>
        <v>23121.563258302049</v>
      </c>
      <c r="P143" s="1">
        <f t="shared" si="163"/>
        <v>7637807.3998190295</v>
      </c>
      <c r="Q143" s="1">
        <f t="shared" si="164"/>
        <v>0</v>
      </c>
      <c r="R143" s="1">
        <f t="shared" si="165"/>
        <v>0</v>
      </c>
      <c r="S143" s="1">
        <f t="shared" si="166"/>
        <v>0</v>
      </c>
      <c r="T143" s="1">
        <f t="shared" si="167"/>
        <v>8626413.8294524699</v>
      </c>
      <c r="U143" s="1">
        <f t="shared" ca="1" si="168"/>
        <v>11659670.021669179</v>
      </c>
    </row>
    <row r="144" spans="1:21">
      <c r="A144" s="7">
        <v>45231</v>
      </c>
      <c r="B144">
        <f t="shared" si="141"/>
        <v>2023</v>
      </c>
      <c r="C144">
        <f t="shared" si="142"/>
        <v>11</v>
      </c>
      <c r="E144" s="119">
        <f t="shared" ref="E144:F144" ca="1" si="181">E132</f>
        <v>366.25</v>
      </c>
      <c r="F144" s="119">
        <f t="shared" ca="1" si="181"/>
        <v>0.69000000000000006</v>
      </c>
      <c r="G144" s="116">
        <f t="shared" si="144"/>
        <v>30</v>
      </c>
      <c r="H144" s="109"/>
      <c r="I144" s="109">
        <f t="shared" si="145"/>
        <v>0</v>
      </c>
      <c r="J144" s="109">
        <f>Dataset!BM144</f>
        <v>0</v>
      </c>
      <c r="K144" s="119">
        <f>Economic!C144</f>
        <v>792739.45971200068</v>
      </c>
      <c r="M144" s="8">
        <f t="shared" si="159"/>
        <v>-4934593.1922812499</v>
      </c>
      <c r="N144" s="1">
        <f t="shared" ca="1" si="160"/>
        <v>646961.7516276543</v>
      </c>
      <c r="O144" s="1">
        <f t="shared" ca="1" si="161"/>
        <v>3453.2204866295269</v>
      </c>
      <c r="P144" s="1">
        <f t="shared" si="163"/>
        <v>7391426.5159538994</v>
      </c>
      <c r="Q144" s="1">
        <f t="shared" si="164"/>
        <v>0</v>
      </c>
      <c r="R144" s="1">
        <f t="shared" si="165"/>
        <v>0</v>
      </c>
      <c r="S144" s="1">
        <f t="shared" si="166"/>
        <v>0</v>
      </c>
      <c r="T144" s="1">
        <f t="shared" si="167"/>
        <v>8626413.8294524699</v>
      </c>
      <c r="U144" s="1">
        <f t="shared" ca="1" si="168"/>
        <v>11733662.125239402</v>
      </c>
    </row>
    <row r="145" spans="1:21">
      <c r="A145" s="7">
        <v>45261</v>
      </c>
      <c r="B145">
        <f t="shared" si="141"/>
        <v>2023</v>
      </c>
      <c r="C145">
        <f t="shared" si="142"/>
        <v>12</v>
      </c>
      <c r="E145" s="119">
        <f t="shared" ref="E145:F145" ca="1" si="182">E133</f>
        <v>523.60000000000014</v>
      </c>
      <c r="F145" s="119">
        <f t="shared" ca="1" si="182"/>
        <v>0</v>
      </c>
      <c r="G145" s="116">
        <f t="shared" si="144"/>
        <v>31</v>
      </c>
      <c r="H145" s="109"/>
      <c r="I145" s="109">
        <f t="shared" si="145"/>
        <v>1</v>
      </c>
      <c r="J145" s="109">
        <f>Dataset!BM145</f>
        <v>0</v>
      </c>
      <c r="K145" s="119">
        <f>Economic!C145</f>
        <v>792739.45971200068</v>
      </c>
      <c r="M145" s="8">
        <f t="shared" si="159"/>
        <v>-4934593.1922812499</v>
      </c>
      <c r="N145" s="1">
        <f t="shared" ca="1" si="160"/>
        <v>924912.41816311236</v>
      </c>
      <c r="O145" s="1">
        <f t="shared" ca="1" si="161"/>
        <v>0</v>
      </c>
      <c r="P145" s="1">
        <f t="shared" si="163"/>
        <v>7637807.3998190295</v>
      </c>
      <c r="Q145" s="1">
        <f t="shared" si="164"/>
        <v>0</v>
      </c>
      <c r="R145" s="1">
        <f t="shared" si="165"/>
        <v>-586242.38490532804</v>
      </c>
      <c r="S145" s="1">
        <f t="shared" si="166"/>
        <v>0</v>
      </c>
      <c r="T145" s="1">
        <f t="shared" si="167"/>
        <v>8626413.8294524699</v>
      </c>
      <c r="U145" s="1">
        <f t="shared" ca="1" si="168"/>
        <v>11668298.070248034</v>
      </c>
    </row>
    <row r="146" spans="1:21">
      <c r="A146" s="7">
        <v>45292</v>
      </c>
      <c r="B146">
        <f t="shared" ref="B146:B193" si="183">YEAR(A146)</f>
        <v>2024</v>
      </c>
      <c r="C146">
        <f t="shared" ref="C146:C193" si="184">MONTH(A146)</f>
        <v>1</v>
      </c>
      <c r="E146" s="119">
        <f t="shared" ref="E146:F146" ca="1" si="185">E134</f>
        <v>634.42999999999995</v>
      </c>
      <c r="F146" s="119">
        <f t="shared" ca="1" si="185"/>
        <v>0</v>
      </c>
      <c r="G146" s="116">
        <f t="shared" si="144"/>
        <v>31</v>
      </c>
      <c r="H146" s="109"/>
      <c r="I146" s="109">
        <f t="shared" si="145"/>
        <v>0</v>
      </c>
      <c r="J146" s="109">
        <f>Dataset!BM146</f>
        <v>0</v>
      </c>
      <c r="K146" s="119">
        <f>K134*(1+Economic!$Q$16)</f>
        <v>816521.64350336068</v>
      </c>
      <c r="M146" s="8">
        <f t="shared" ref="M146:M193" si="186">$Z$10</f>
        <v>-4934593.1922812499</v>
      </c>
      <c r="N146" s="1">
        <f t="shared" ref="N146:N193" ca="1" si="187">E146*$Z$11</f>
        <v>1120687.901938929</v>
      </c>
      <c r="O146" s="1">
        <f t="shared" ref="O146:O193" ca="1" si="188">F146*$Z$12</f>
        <v>0</v>
      </c>
      <c r="P146" s="1">
        <f t="shared" ref="P146:P193" si="189">G146*$Z$13</f>
        <v>7637807.3998190295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6"/>
        <v>0</v>
      </c>
      <c r="T146" s="1">
        <f t="shared" si="167"/>
        <v>8885206.2443360444</v>
      </c>
      <c r="U146" s="1">
        <f t="shared" ca="1" si="168"/>
        <v>12709108.353812754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19">
        <f t="shared" ref="E147:F147" ca="1" si="192">E135</f>
        <v>582</v>
      </c>
      <c r="F147" s="119">
        <f t="shared" ca="1" si="192"/>
        <v>0</v>
      </c>
      <c r="G147" s="116">
        <f t="shared" si="144"/>
        <v>29</v>
      </c>
      <c r="H147" s="109"/>
      <c r="I147" s="109">
        <f t="shared" si="145"/>
        <v>0</v>
      </c>
      <c r="J147" s="109">
        <f>Dataset!BM147</f>
        <v>0</v>
      </c>
      <c r="K147" s="119">
        <f>K135*(1+Economic!$Q$16)</f>
        <v>816521.64350336068</v>
      </c>
      <c r="M147" s="8">
        <f t="shared" si="186"/>
        <v>-4934593.1922812499</v>
      </c>
      <c r="N147" s="1">
        <f t="shared" ca="1" si="187"/>
        <v>1028073.0087298153</v>
      </c>
      <c r="O147" s="1">
        <f t="shared" ca="1" si="188"/>
        <v>0</v>
      </c>
      <c r="P147" s="1">
        <f t="shared" si="189"/>
        <v>7145045.6320887692</v>
      </c>
      <c r="Q147" s="1">
        <f t="shared" si="190"/>
        <v>0</v>
      </c>
      <c r="R147" s="1">
        <f t="shared" si="191"/>
        <v>0</v>
      </c>
      <c r="S147" s="1">
        <f t="shared" si="166"/>
        <v>0</v>
      </c>
      <c r="T147" s="1">
        <f t="shared" si="167"/>
        <v>8885206.2443360444</v>
      </c>
      <c r="U147" s="1">
        <f t="shared" ca="1" si="168"/>
        <v>12123731.692873379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19">
        <f t="shared" ref="E148:F148" ca="1" si="193">E136</f>
        <v>498.31000000000006</v>
      </c>
      <c r="F148" s="119">
        <f t="shared" ca="1" si="193"/>
        <v>0.27999999999999997</v>
      </c>
      <c r="G148" s="116">
        <f t="shared" si="144"/>
        <v>31</v>
      </c>
      <c r="H148" s="109"/>
      <c r="I148" s="109">
        <f t="shared" si="145"/>
        <v>0</v>
      </c>
      <c r="J148" s="109">
        <f>Dataset!BM148</f>
        <v>0</v>
      </c>
      <c r="K148" s="119">
        <f>K136*(1+Economic!$Q$16)</f>
        <v>816521.64350336068</v>
      </c>
      <c r="M148" s="8">
        <f t="shared" si="186"/>
        <v>-4934593.1922812499</v>
      </c>
      <c r="N148" s="1">
        <f t="shared" ca="1" si="187"/>
        <v>880238.93639201764</v>
      </c>
      <c r="O148" s="1">
        <f t="shared" ca="1" si="188"/>
        <v>1401.306864139518</v>
      </c>
      <c r="P148" s="1">
        <f t="shared" si="189"/>
        <v>7637807.3998190295</v>
      </c>
      <c r="Q148" s="1">
        <f t="shared" si="190"/>
        <v>0</v>
      </c>
      <c r="R148" s="1">
        <f t="shared" si="191"/>
        <v>0</v>
      </c>
      <c r="S148" s="1">
        <f t="shared" si="166"/>
        <v>0</v>
      </c>
      <c r="T148" s="1">
        <f t="shared" si="167"/>
        <v>8885206.2443360444</v>
      </c>
      <c r="U148" s="1">
        <f t="shared" ca="1" si="168"/>
        <v>12470060.695129981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19">
        <f t="shared" ref="E149:F149" ca="1" si="194">E137</f>
        <v>322.59999999999997</v>
      </c>
      <c r="F149" s="119">
        <f t="shared" ca="1" si="194"/>
        <v>0.08</v>
      </c>
      <c r="G149" s="116">
        <f t="shared" si="144"/>
        <v>30</v>
      </c>
      <c r="H149" s="109"/>
      <c r="I149" s="109">
        <f t="shared" si="145"/>
        <v>0</v>
      </c>
      <c r="J149" s="109">
        <f>Dataset!BM149</f>
        <v>0</v>
      </c>
      <c r="K149" s="119">
        <f>K137*(1+Economic!$Q$16)</f>
        <v>816521.64350336068</v>
      </c>
      <c r="M149" s="8">
        <f t="shared" si="186"/>
        <v>-4934593.1922812499</v>
      </c>
      <c r="N149" s="1">
        <f t="shared" ca="1" si="187"/>
        <v>569856.27597291814</v>
      </c>
      <c r="O149" s="1">
        <f t="shared" ca="1" si="188"/>
        <v>400.37338975414804</v>
      </c>
      <c r="P149" s="1">
        <f t="shared" si="189"/>
        <v>7391426.5159538994</v>
      </c>
      <c r="Q149" s="1">
        <f t="shared" si="190"/>
        <v>0</v>
      </c>
      <c r="R149" s="1">
        <f t="shared" si="191"/>
        <v>0</v>
      </c>
      <c r="S149" s="1">
        <f t="shared" si="166"/>
        <v>0</v>
      </c>
      <c r="T149" s="1">
        <f t="shared" si="167"/>
        <v>8885206.2443360444</v>
      </c>
      <c r="U149" s="1">
        <f t="shared" ca="1" si="168"/>
        <v>11912296.217371367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19">
        <f t="shared" ref="E150:F150" ca="1" si="195">E138</f>
        <v>139.78</v>
      </c>
      <c r="F150" s="119">
        <f t="shared" ca="1" si="195"/>
        <v>16.149999999999999</v>
      </c>
      <c r="G150" s="116">
        <f t="shared" si="144"/>
        <v>31</v>
      </c>
      <c r="H150" s="109"/>
      <c r="I150" s="109">
        <f t="shared" si="145"/>
        <v>0</v>
      </c>
      <c r="J150" s="109">
        <f>Dataset!BM150</f>
        <v>0</v>
      </c>
      <c r="K150" s="119">
        <f>K138*(1+Economic!$Q$16)</f>
        <v>816521.64350336068</v>
      </c>
      <c r="M150" s="8">
        <f t="shared" si="186"/>
        <v>-4934593.1922812499</v>
      </c>
      <c r="N150" s="1">
        <f t="shared" ca="1" si="187"/>
        <v>246914.16694201645</v>
      </c>
      <c r="O150" s="1">
        <f t="shared" ca="1" si="188"/>
        <v>80825.378056618618</v>
      </c>
      <c r="P150" s="1">
        <f t="shared" si="189"/>
        <v>7637807.3998190295</v>
      </c>
      <c r="Q150" s="1">
        <f t="shared" si="190"/>
        <v>0</v>
      </c>
      <c r="R150" s="1">
        <f t="shared" si="191"/>
        <v>0</v>
      </c>
      <c r="S150" s="1">
        <f t="shared" si="166"/>
        <v>0</v>
      </c>
      <c r="T150" s="1">
        <f t="shared" si="167"/>
        <v>8885206.2443360444</v>
      </c>
      <c r="U150" s="1">
        <f t="shared" ca="1" si="168"/>
        <v>11916159.996872459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19">
        <f t="shared" ref="E151:F151" ca="1" si="196">E139</f>
        <v>29.85</v>
      </c>
      <c r="F151" s="119">
        <f t="shared" ca="1" si="196"/>
        <v>42.1</v>
      </c>
      <c r="G151" s="116">
        <f t="shared" si="144"/>
        <v>30</v>
      </c>
      <c r="H151" s="109"/>
      <c r="I151" s="109">
        <f t="shared" si="145"/>
        <v>0</v>
      </c>
      <c r="J151" s="109">
        <f>Dataset!BM151</f>
        <v>0</v>
      </c>
      <c r="K151" s="119">
        <f>K139*(1+Economic!$Q$16)</f>
        <v>816521.64350336068</v>
      </c>
      <c r="M151" s="8">
        <f t="shared" si="186"/>
        <v>-4934593.1922812499</v>
      </c>
      <c r="N151" s="1">
        <f t="shared" ca="1" si="187"/>
        <v>52728.486787946713</v>
      </c>
      <c r="O151" s="1">
        <f t="shared" ca="1" si="188"/>
        <v>210696.49635812041</v>
      </c>
      <c r="P151" s="1">
        <f t="shared" si="189"/>
        <v>7391426.5159538994</v>
      </c>
      <c r="Q151" s="1">
        <f t="shared" si="190"/>
        <v>0</v>
      </c>
      <c r="R151" s="1">
        <f t="shared" si="191"/>
        <v>0</v>
      </c>
      <c r="S151" s="1">
        <f t="shared" si="166"/>
        <v>0</v>
      </c>
      <c r="T151" s="1">
        <f t="shared" si="167"/>
        <v>8885206.2443360444</v>
      </c>
      <c r="U151" s="1">
        <f t="shared" ca="1" si="168"/>
        <v>11605464.551154763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19">
        <f t="shared" ref="E152:F152" ca="1" si="197">E140</f>
        <v>1.36</v>
      </c>
      <c r="F152" s="119">
        <f t="shared" ca="1" si="197"/>
        <v>95.609999999999985</v>
      </c>
      <c r="G152" s="116">
        <f t="shared" si="144"/>
        <v>31</v>
      </c>
      <c r="H152" s="109"/>
      <c r="I152" s="109">
        <f t="shared" si="145"/>
        <v>0</v>
      </c>
      <c r="J152" s="109">
        <f>Dataset!BM152</f>
        <v>0</v>
      </c>
      <c r="K152" s="119">
        <f>K140*(1+Economic!$Q$16)</f>
        <v>816521.64350336068</v>
      </c>
      <c r="M152" s="8">
        <f t="shared" si="186"/>
        <v>-4934593.1922812499</v>
      </c>
      <c r="N152" s="1">
        <f t="shared" ca="1" si="187"/>
        <v>2402.3699173067848</v>
      </c>
      <c r="O152" s="1">
        <f t="shared" ca="1" si="188"/>
        <v>478496.24742992606</v>
      </c>
      <c r="P152" s="1">
        <f t="shared" si="189"/>
        <v>7637807.3998190295</v>
      </c>
      <c r="Q152" s="1">
        <f t="shared" si="190"/>
        <v>0</v>
      </c>
      <c r="R152" s="1">
        <f t="shared" si="191"/>
        <v>0</v>
      </c>
      <c r="S152" s="1">
        <f t="shared" si="166"/>
        <v>0</v>
      </c>
      <c r="T152" s="1">
        <f t="shared" si="167"/>
        <v>8885206.2443360444</v>
      </c>
      <c r="U152" s="1">
        <f t="shared" ca="1" si="168"/>
        <v>12069319.069221057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19">
        <f t="shared" ref="E153:F153" ca="1" si="198">E141</f>
        <v>1.77</v>
      </c>
      <c r="F153" s="119">
        <f t="shared" ca="1" si="198"/>
        <v>83.75</v>
      </c>
      <c r="G153" s="116">
        <f t="shared" si="144"/>
        <v>31</v>
      </c>
      <c r="H153" s="109"/>
      <c r="I153" s="109">
        <f t="shared" si="145"/>
        <v>0</v>
      </c>
      <c r="J153" s="109">
        <f>Dataset!BM153</f>
        <v>0</v>
      </c>
      <c r="K153" s="119">
        <f>K141*(1+Economic!$Q$16)</f>
        <v>816521.64350336068</v>
      </c>
      <c r="M153" s="8">
        <f t="shared" si="186"/>
        <v>-4934593.1922812499</v>
      </c>
      <c r="N153" s="1">
        <f t="shared" ca="1" si="187"/>
        <v>3126.6137894360359</v>
      </c>
      <c r="O153" s="1">
        <f t="shared" ca="1" si="188"/>
        <v>419140.89239887369</v>
      </c>
      <c r="P153" s="1">
        <f t="shared" si="189"/>
        <v>7637807.3998190295</v>
      </c>
      <c r="Q153" s="1">
        <f t="shared" si="190"/>
        <v>0</v>
      </c>
      <c r="R153" s="1">
        <f t="shared" si="191"/>
        <v>0</v>
      </c>
      <c r="S153" s="1">
        <f t="shared" si="166"/>
        <v>0</v>
      </c>
      <c r="T153" s="1">
        <f t="shared" si="167"/>
        <v>8885206.2443360444</v>
      </c>
      <c r="U153" s="1">
        <f t="shared" ca="1" si="168"/>
        <v>12010687.958062135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19">
        <f t="shared" ref="E154:F154" ca="1" si="199">E142</f>
        <v>37.33</v>
      </c>
      <c r="F154" s="119">
        <f t="shared" ca="1" si="199"/>
        <v>34.480000000000004</v>
      </c>
      <c r="G154" s="116">
        <f t="shared" si="144"/>
        <v>30</v>
      </c>
      <c r="H154" s="109"/>
      <c r="I154" s="109">
        <f t="shared" si="145"/>
        <v>0</v>
      </c>
      <c r="J154" s="109">
        <f>Dataset!BM154</f>
        <v>0</v>
      </c>
      <c r="K154" s="119">
        <f>K142*(1+Economic!$Q$16)</f>
        <v>816521.64350336068</v>
      </c>
      <c r="M154" s="8">
        <f t="shared" si="186"/>
        <v>-4934593.1922812499</v>
      </c>
      <c r="N154" s="1">
        <f t="shared" ca="1" si="187"/>
        <v>65941.52133313402</v>
      </c>
      <c r="O154" s="1">
        <f t="shared" ca="1" si="188"/>
        <v>172560.93098403781</v>
      </c>
      <c r="P154" s="1">
        <f t="shared" si="189"/>
        <v>7391426.5159538994</v>
      </c>
      <c r="Q154" s="1">
        <f t="shared" si="190"/>
        <v>0</v>
      </c>
      <c r="R154" s="1">
        <f t="shared" si="191"/>
        <v>0</v>
      </c>
      <c r="S154" s="1">
        <f t="shared" si="166"/>
        <v>0</v>
      </c>
      <c r="T154" s="1">
        <f t="shared" si="167"/>
        <v>8885206.2443360444</v>
      </c>
      <c r="U154" s="1">
        <f t="shared" ca="1" si="168"/>
        <v>11580542.020325866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19">
        <f t="shared" ref="E155:F155" ca="1" si="200">E143</f>
        <v>173.75</v>
      </c>
      <c r="F155" s="119">
        <f t="shared" ca="1" si="200"/>
        <v>4.62</v>
      </c>
      <c r="G155" s="116">
        <f t="shared" si="144"/>
        <v>31</v>
      </c>
      <c r="H155" s="109"/>
      <c r="I155" s="109">
        <f t="shared" si="145"/>
        <v>0</v>
      </c>
      <c r="J155" s="109">
        <f>Dataset!BM155</f>
        <v>0</v>
      </c>
      <c r="K155" s="119">
        <f>K143*(1+Economic!$Q$16)</f>
        <v>816521.64350336068</v>
      </c>
      <c r="M155" s="8">
        <f t="shared" si="186"/>
        <v>-4934593.1922812499</v>
      </c>
      <c r="N155" s="1">
        <f t="shared" ca="1" si="187"/>
        <v>306920.42142062786</v>
      </c>
      <c r="O155" s="1">
        <f t="shared" ca="1" si="188"/>
        <v>23121.563258302049</v>
      </c>
      <c r="P155" s="1">
        <f t="shared" si="189"/>
        <v>7637807.3998190295</v>
      </c>
      <c r="Q155" s="1">
        <f t="shared" si="190"/>
        <v>0</v>
      </c>
      <c r="R155" s="1">
        <f t="shared" si="191"/>
        <v>0</v>
      </c>
      <c r="S155" s="1">
        <f t="shared" si="166"/>
        <v>0</v>
      </c>
      <c r="T155" s="1">
        <f t="shared" si="167"/>
        <v>8885206.2443360444</v>
      </c>
      <c r="U155" s="1">
        <f t="shared" ca="1" si="168"/>
        <v>11918462.436552756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19">
        <f t="shared" ref="E156:F156" ca="1" si="201">E144</f>
        <v>366.25</v>
      </c>
      <c r="F156" s="119">
        <f t="shared" ca="1" si="201"/>
        <v>0.69000000000000006</v>
      </c>
      <c r="G156" s="116">
        <f t="shared" si="144"/>
        <v>30</v>
      </c>
      <c r="H156" s="109"/>
      <c r="I156" s="109">
        <f t="shared" si="145"/>
        <v>0</v>
      </c>
      <c r="J156" s="109">
        <f>Dataset!BM156</f>
        <v>0</v>
      </c>
      <c r="K156" s="119">
        <f>K144*(1+Economic!$Q$16)</f>
        <v>816521.64350336068</v>
      </c>
      <c r="M156" s="8">
        <f t="shared" si="186"/>
        <v>-4934593.1922812499</v>
      </c>
      <c r="N156" s="1">
        <f t="shared" ca="1" si="187"/>
        <v>646961.7516276543</v>
      </c>
      <c r="O156" s="1">
        <f t="shared" ca="1" si="188"/>
        <v>3453.2204866295269</v>
      </c>
      <c r="P156" s="1">
        <f t="shared" si="189"/>
        <v>7391426.5159538994</v>
      </c>
      <c r="Q156" s="1">
        <f t="shared" si="190"/>
        <v>0</v>
      </c>
      <c r="R156" s="1">
        <f t="shared" si="191"/>
        <v>0</v>
      </c>
      <c r="S156" s="1">
        <f t="shared" si="166"/>
        <v>0</v>
      </c>
      <c r="T156" s="1">
        <f t="shared" si="167"/>
        <v>8885206.2443360444</v>
      </c>
      <c r="U156" s="1">
        <f t="shared" ca="1" si="168"/>
        <v>11992454.540122978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19">
        <f t="shared" ref="E157:F157" ca="1" si="202">E145</f>
        <v>523.60000000000014</v>
      </c>
      <c r="F157" s="119">
        <f t="shared" ca="1" si="202"/>
        <v>0</v>
      </c>
      <c r="G157" s="116">
        <f t="shared" si="144"/>
        <v>31</v>
      </c>
      <c r="H157" s="109"/>
      <c r="I157" s="109">
        <f t="shared" si="145"/>
        <v>1</v>
      </c>
      <c r="J157" s="109">
        <f>Dataset!BM157</f>
        <v>0</v>
      </c>
      <c r="K157" s="119">
        <f>K145*(1+Economic!$Q$16)</f>
        <v>816521.64350336068</v>
      </c>
      <c r="M157" s="8">
        <f t="shared" si="186"/>
        <v>-4934593.1922812499</v>
      </c>
      <c r="N157" s="1">
        <f t="shared" ca="1" si="187"/>
        <v>924912.41816311236</v>
      </c>
      <c r="O157" s="1">
        <f t="shared" ca="1" si="188"/>
        <v>0</v>
      </c>
      <c r="P157" s="1">
        <f t="shared" si="189"/>
        <v>7637807.3998190295</v>
      </c>
      <c r="Q157" s="1">
        <f t="shared" si="190"/>
        <v>0</v>
      </c>
      <c r="R157" s="1">
        <f t="shared" si="191"/>
        <v>-586242.38490532804</v>
      </c>
      <c r="S157" s="1">
        <f t="shared" si="166"/>
        <v>0</v>
      </c>
      <c r="T157" s="1">
        <f t="shared" si="167"/>
        <v>8885206.2443360444</v>
      </c>
      <c r="U157" s="1">
        <f t="shared" ca="1" si="168"/>
        <v>11927090.485131608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19">
        <f t="shared" ref="E158:F158" ca="1" si="203">E146</f>
        <v>634.42999999999995</v>
      </c>
      <c r="F158" s="119">
        <f t="shared" ca="1" si="203"/>
        <v>0</v>
      </c>
      <c r="G158" s="116">
        <f t="shared" si="144"/>
        <v>31</v>
      </c>
      <c r="H158" s="109"/>
      <c r="I158" s="109">
        <f t="shared" si="145"/>
        <v>0</v>
      </c>
      <c r="J158" s="109">
        <f>Dataset!BM158</f>
        <v>0</v>
      </c>
      <c r="K158" s="119">
        <f>K146*(1+Economic!$Q$16)</f>
        <v>841017.29280846147</v>
      </c>
      <c r="M158" s="8">
        <f t="shared" si="186"/>
        <v>-4934593.1922812499</v>
      </c>
      <c r="N158" s="1">
        <f t="shared" ca="1" si="187"/>
        <v>1120687.901938929</v>
      </c>
      <c r="O158" s="1">
        <f t="shared" ca="1" si="188"/>
        <v>0</v>
      </c>
      <c r="P158" s="1">
        <f t="shared" si="189"/>
        <v>7637807.3998190295</v>
      </c>
      <c r="Q158" s="1">
        <f t="shared" si="190"/>
        <v>0</v>
      </c>
      <c r="R158" s="1">
        <f t="shared" si="191"/>
        <v>0</v>
      </c>
      <c r="S158" s="1">
        <f t="shared" si="166"/>
        <v>0</v>
      </c>
      <c r="T158" s="1">
        <f t="shared" si="167"/>
        <v>9151762.4316661265</v>
      </c>
      <c r="U158" s="1">
        <f t="shared" ca="1" si="168"/>
        <v>12975664.541142836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19">
        <f t="shared" ref="E159:F159" ca="1" si="204">E147</f>
        <v>582</v>
      </c>
      <c r="F159" s="119">
        <f t="shared" ca="1" si="204"/>
        <v>0</v>
      </c>
      <c r="G159" s="116">
        <f t="shared" si="144"/>
        <v>28</v>
      </c>
      <c r="H159" s="109"/>
      <c r="I159" s="109">
        <f t="shared" si="145"/>
        <v>0</v>
      </c>
      <c r="J159" s="109">
        <f>Dataset!BM159</f>
        <v>0</v>
      </c>
      <c r="K159" s="119">
        <f>K147*(1+Economic!$Q$16)</f>
        <v>841017.29280846147</v>
      </c>
      <c r="M159" s="8">
        <f t="shared" si="186"/>
        <v>-4934593.1922812499</v>
      </c>
      <c r="N159" s="1">
        <f t="shared" ca="1" si="187"/>
        <v>1028073.0087298153</v>
      </c>
      <c r="O159" s="1">
        <f t="shared" ca="1" si="188"/>
        <v>0</v>
      </c>
      <c r="P159" s="1">
        <f t="shared" si="189"/>
        <v>6898664.74822364</v>
      </c>
      <c r="Q159" s="1">
        <f t="shared" si="190"/>
        <v>0</v>
      </c>
      <c r="R159" s="1">
        <f t="shared" si="191"/>
        <v>0</v>
      </c>
      <c r="S159" s="1">
        <f t="shared" si="166"/>
        <v>0</v>
      </c>
      <c r="T159" s="1">
        <f t="shared" si="167"/>
        <v>9151762.4316661265</v>
      </c>
      <c r="U159" s="1">
        <f t="shared" ca="1" si="168"/>
        <v>12143906.996338332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19">
        <f t="shared" ref="E160:F160" ca="1" si="205">E148</f>
        <v>498.31000000000006</v>
      </c>
      <c r="F160" s="119">
        <f t="shared" ca="1" si="205"/>
        <v>0.27999999999999997</v>
      </c>
      <c r="G160" s="116">
        <f t="shared" si="144"/>
        <v>31</v>
      </c>
      <c r="H160" s="109"/>
      <c r="I160" s="109">
        <f t="shared" si="145"/>
        <v>0</v>
      </c>
      <c r="J160" s="109">
        <f>Dataset!BM160</f>
        <v>0</v>
      </c>
      <c r="K160" s="119">
        <f>K148*(1+Economic!$Q$16)</f>
        <v>841017.29280846147</v>
      </c>
      <c r="M160" s="8">
        <f t="shared" si="186"/>
        <v>-4934593.1922812499</v>
      </c>
      <c r="N160" s="1">
        <f t="shared" ca="1" si="187"/>
        <v>880238.93639201764</v>
      </c>
      <c r="O160" s="1">
        <f t="shared" ca="1" si="188"/>
        <v>1401.306864139518</v>
      </c>
      <c r="P160" s="1">
        <f t="shared" si="189"/>
        <v>7637807.3998190295</v>
      </c>
      <c r="Q160" s="1">
        <f t="shared" si="190"/>
        <v>0</v>
      </c>
      <c r="R160" s="1">
        <f t="shared" si="191"/>
        <v>0</v>
      </c>
      <c r="S160" s="1">
        <f t="shared" si="166"/>
        <v>0</v>
      </c>
      <c r="T160" s="1">
        <f t="shared" si="167"/>
        <v>9151762.4316661265</v>
      </c>
      <c r="U160" s="1">
        <f t="shared" ca="1" si="168"/>
        <v>12736616.882460063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19">
        <f t="shared" ref="E161:F161" ca="1" si="206">E149</f>
        <v>322.59999999999997</v>
      </c>
      <c r="F161" s="119">
        <f t="shared" ca="1" si="206"/>
        <v>0.08</v>
      </c>
      <c r="G161" s="116">
        <f t="shared" si="144"/>
        <v>30</v>
      </c>
      <c r="H161" s="109"/>
      <c r="I161" s="109">
        <f t="shared" si="145"/>
        <v>0</v>
      </c>
      <c r="J161" s="109">
        <f>Dataset!BM161</f>
        <v>0</v>
      </c>
      <c r="K161" s="119">
        <f>K149*(1+Economic!$Q$16)</f>
        <v>841017.29280846147</v>
      </c>
      <c r="M161" s="8">
        <f t="shared" si="186"/>
        <v>-4934593.1922812499</v>
      </c>
      <c r="N161" s="1">
        <f t="shared" ca="1" si="187"/>
        <v>569856.27597291814</v>
      </c>
      <c r="O161" s="1">
        <f t="shared" ca="1" si="188"/>
        <v>400.37338975414804</v>
      </c>
      <c r="P161" s="1">
        <f t="shared" si="189"/>
        <v>7391426.5159538994</v>
      </c>
      <c r="Q161" s="1">
        <f t="shared" si="190"/>
        <v>0</v>
      </c>
      <c r="R161" s="1">
        <f t="shared" si="191"/>
        <v>0</v>
      </c>
      <c r="S161" s="1">
        <f t="shared" si="166"/>
        <v>0</v>
      </c>
      <c r="T161" s="1">
        <f t="shared" si="167"/>
        <v>9151762.4316661265</v>
      </c>
      <c r="U161" s="1">
        <f t="shared" ca="1" si="168"/>
        <v>12178852.404701449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19">
        <f t="shared" ref="E162:F162" ca="1" si="207">E150</f>
        <v>139.78</v>
      </c>
      <c r="F162" s="119">
        <f t="shared" ca="1" si="207"/>
        <v>16.149999999999999</v>
      </c>
      <c r="G162" s="116">
        <f t="shared" si="144"/>
        <v>31</v>
      </c>
      <c r="H162" s="109"/>
      <c r="I162" s="109">
        <f t="shared" si="145"/>
        <v>0</v>
      </c>
      <c r="J162" s="109">
        <f>Dataset!BM162</f>
        <v>0</v>
      </c>
      <c r="K162" s="119">
        <f>K150*(1+Economic!$Q$16)</f>
        <v>841017.29280846147</v>
      </c>
      <c r="M162" s="8">
        <f t="shared" si="186"/>
        <v>-4934593.1922812499</v>
      </c>
      <c r="N162" s="1">
        <f t="shared" ca="1" si="187"/>
        <v>246914.16694201645</v>
      </c>
      <c r="O162" s="1">
        <f t="shared" ca="1" si="188"/>
        <v>80825.378056618618</v>
      </c>
      <c r="P162" s="1">
        <f t="shared" si="189"/>
        <v>7637807.3998190295</v>
      </c>
      <c r="Q162" s="1">
        <f t="shared" si="190"/>
        <v>0</v>
      </c>
      <c r="R162" s="1">
        <f t="shared" si="191"/>
        <v>0</v>
      </c>
      <c r="S162" s="1">
        <f t="shared" si="166"/>
        <v>0</v>
      </c>
      <c r="T162" s="1">
        <f t="shared" si="167"/>
        <v>9151762.4316661265</v>
      </c>
      <c r="U162" s="1">
        <f t="shared" ca="1" si="168"/>
        <v>12182716.184202541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19">
        <f t="shared" ref="E163:F163" ca="1" si="208">E151</f>
        <v>29.85</v>
      </c>
      <c r="F163" s="119">
        <f t="shared" ca="1" si="208"/>
        <v>42.1</v>
      </c>
      <c r="G163" s="116">
        <f t="shared" si="144"/>
        <v>30</v>
      </c>
      <c r="H163" s="109"/>
      <c r="I163" s="109">
        <f t="shared" si="145"/>
        <v>0</v>
      </c>
      <c r="J163" s="109">
        <f>Dataset!BM163</f>
        <v>0</v>
      </c>
      <c r="K163" s="119">
        <f>K151*(1+Economic!$Q$16)</f>
        <v>841017.29280846147</v>
      </c>
      <c r="M163" s="8">
        <f t="shared" si="186"/>
        <v>-4934593.1922812499</v>
      </c>
      <c r="N163" s="1">
        <f t="shared" ca="1" si="187"/>
        <v>52728.486787946713</v>
      </c>
      <c r="O163" s="1">
        <f t="shared" ca="1" si="188"/>
        <v>210696.49635812041</v>
      </c>
      <c r="P163" s="1">
        <f t="shared" si="189"/>
        <v>7391426.5159538994</v>
      </c>
      <c r="Q163" s="1">
        <f t="shared" si="190"/>
        <v>0</v>
      </c>
      <c r="R163" s="1">
        <f t="shared" si="191"/>
        <v>0</v>
      </c>
      <c r="S163" s="1">
        <f t="shared" si="166"/>
        <v>0</v>
      </c>
      <c r="T163" s="1">
        <f t="shared" si="167"/>
        <v>9151762.4316661265</v>
      </c>
      <c r="U163" s="1">
        <f t="shared" ca="1" si="168"/>
        <v>11872020.738484845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19">
        <f t="shared" ref="E164:F164" ca="1" si="209">E152</f>
        <v>1.36</v>
      </c>
      <c r="F164" s="119">
        <f t="shared" ca="1" si="209"/>
        <v>95.609999999999985</v>
      </c>
      <c r="G164" s="116">
        <f t="shared" si="144"/>
        <v>31</v>
      </c>
      <c r="H164" s="109"/>
      <c r="I164" s="109">
        <f t="shared" si="145"/>
        <v>0</v>
      </c>
      <c r="J164" s="109">
        <f>Dataset!BM164</f>
        <v>0</v>
      </c>
      <c r="K164" s="119">
        <f>K152*(1+Economic!$Q$16)</f>
        <v>841017.29280846147</v>
      </c>
      <c r="M164" s="8">
        <f t="shared" si="186"/>
        <v>-4934593.1922812499</v>
      </c>
      <c r="N164" s="1">
        <f t="shared" ca="1" si="187"/>
        <v>2402.3699173067848</v>
      </c>
      <c r="O164" s="1">
        <f t="shared" ca="1" si="188"/>
        <v>478496.24742992606</v>
      </c>
      <c r="P164" s="1">
        <f t="shared" si="189"/>
        <v>7637807.3998190295</v>
      </c>
      <c r="Q164" s="1">
        <f t="shared" si="190"/>
        <v>0</v>
      </c>
      <c r="R164" s="1">
        <f t="shared" si="191"/>
        <v>0</v>
      </c>
      <c r="S164" s="1">
        <f t="shared" si="166"/>
        <v>0</v>
      </c>
      <c r="T164" s="1">
        <f t="shared" si="167"/>
        <v>9151762.4316661265</v>
      </c>
      <c r="U164" s="1">
        <f t="shared" ca="1" si="168"/>
        <v>12335875.256551139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19">
        <f t="shared" ref="E165:F165" ca="1" si="210">E153</f>
        <v>1.77</v>
      </c>
      <c r="F165" s="119">
        <f t="shared" ca="1" si="210"/>
        <v>83.75</v>
      </c>
      <c r="G165" s="116">
        <f t="shared" si="144"/>
        <v>31</v>
      </c>
      <c r="H165" s="109"/>
      <c r="I165" s="109">
        <f t="shared" si="145"/>
        <v>0</v>
      </c>
      <c r="J165" s="109">
        <f>Dataset!BM165</f>
        <v>0</v>
      </c>
      <c r="K165" s="119">
        <f>K153*(1+Economic!$Q$16)</f>
        <v>841017.29280846147</v>
      </c>
      <c r="M165" s="8">
        <f t="shared" si="186"/>
        <v>-4934593.1922812499</v>
      </c>
      <c r="N165" s="1">
        <f t="shared" ca="1" si="187"/>
        <v>3126.6137894360359</v>
      </c>
      <c r="O165" s="1">
        <f t="shared" ca="1" si="188"/>
        <v>419140.89239887369</v>
      </c>
      <c r="P165" s="1">
        <f t="shared" si="189"/>
        <v>7637807.3998190295</v>
      </c>
      <c r="Q165" s="1">
        <f t="shared" si="190"/>
        <v>0</v>
      </c>
      <c r="R165" s="1">
        <f t="shared" si="191"/>
        <v>0</v>
      </c>
      <c r="S165" s="1">
        <f t="shared" si="166"/>
        <v>0</v>
      </c>
      <c r="T165" s="1">
        <f t="shared" si="167"/>
        <v>9151762.4316661265</v>
      </c>
      <c r="U165" s="1">
        <f t="shared" ca="1" si="168"/>
        <v>12277244.145392217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19">
        <f t="shared" ref="E166:F166" ca="1" si="211">E154</f>
        <v>37.33</v>
      </c>
      <c r="F166" s="119">
        <f t="shared" ca="1" si="211"/>
        <v>34.480000000000004</v>
      </c>
      <c r="G166" s="116">
        <f t="shared" si="144"/>
        <v>30</v>
      </c>
      <c r="H166" s="109"/>
      <c r="I166" s="109">
        <f t="shared" si="145"/>
        <v>0</v>
      </c>
      <c r="J166" s="109">
        <f>Dataset!BM166</f>
        <v>0</v>
      </c>
      <c r="K166" s="119">
        <f>K154*(1+Economic!$Q$16)</f>
        <v>841017.29280846147</v>
      </c>
      <c r="M166" s="8">
        <f t="shared" si="186"/>
        <v>-4934593.1922812499</v>
      </c>
      <c r="N166" s="1">
        <f t="shared" ca="1" si="187"/>
        <v>65941.52133313402</v>
      </c>
      <c r="O166" s="1">
        <f t="shared" ca="1" si="188"/>
        <v>172560.93098403781</v>
      </c>
      <c r="P166" s="1">
        <f t="shared" si="189"/>
        <v>7391426.5159538994</v>
      </c>
      <c r="Q166" s="1">
        <f t="shared" si="190"/>
        <v>0</v>
      </c>
      <c r="R166" s="1">
        <f t="shared" si="191"/>
        <v>0</v>
      </c>
      <c r="S166" s="1">
        <f t="shared" si="166"/>
        <v>0</v>
      </c>
      <c r="T166" s="1">
        <f t="shared" si="167"/>
        <v>9151762.4316661265</v>
      </c>
      <c r="U166" s="1">
        <f t="shared" ca="1" si="168"/>
        <v>11847098.207655948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19">
        <f t="shared" ref="E167:F167" ca="1" si="212">E155</f>
        <v>173.75</v>
      </c>
      <c r="F167" s="119">
        <f t="shared" ca="1" si="212"/>
        <v>4.62</v>
      </c>
      <c r="G167" s="116">
        <f t="shared" si="144"/>
        <v>31</v>
      </c>
      <c r="H167" s="109"/>
      <c r="I167" s="109">
        <f t="shared" si="145"/>
        <v>0</v>
      </c>
      <c r="J167" s="109">
        <f>Dataset!BM167</f>
        <v>0</v>
      </c>
      <c r="K167" s="119">
        <f>K155*(1+Economic!$Q$16)</f>
        <v>841017.29280846147</v>
      </c>
      <c r="M167" s="8">
        <f t="shared" si="186"/>
        <v>-4934593.1922812499</v>
      </c>
      <c r="N167" s="1">
        <f t="shared" ca="1" si="187"/>
        <v>306920.42142062786</v>
      </c>
      <c r="O167" s="1">
        <f t="shared" ca="1" si="188"/>
        <v>23121.563258302049</v>
      </c>
      <c r="P167" s="1">
        <f t="shared" si="189"/>
        <v>7637807.3998190295</v>
      </c>
      <c r="Q167" s="1">
        <f t="shared" si="190"/>
        <v>0</v>
      </c>
      <c r="R167" s="1">
        <f t="shared" si="191"/>
        <v>0</v>
      </c>
      <c r="S167" s="1">
        <f t="shared" si="166"/>
        <v>0</v>
      </c>
      <c r="T167" s="1">
        <f t="shared" si="167"/>
        <v>9151762.4316661265</v>
      </c>
      <c r="U167" s="1">
        <f t="shared" ca="1" si="168"/>
        <v>12185018.623882838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19">
        <f t="shared" ref="E168:F168" ca="1" si="213">E156</f>
        <v>366.25</v>
      </c>
      <c r="F168" s="119">
        <f t="shared" ca="1" si="213"/>
        <v>0.69000000000000006</v>
      </c>
      <c r="G168" s="116">
        <f t="shared" si="144"/>
        <v>30</v>
      </c>
      <c r="H168" s="109"/>
      <c r="I168" s="109">
        <f t="shared" si="145"/>
        <v>0</v>
      </c>
      <c r="J168" s="109">
        <f>Dataset!BM168</f>
        <v>0</v>
      </c>
      <c r="K168" s="119">
        <f>K156*(1+Economic!$Q$16)</f>
        <v>841017.29280846147</v>
      </c>
      <c r="M168" s="8">
        <f t="shared" si="186"/>
        <v>-4934593.1922812499</v>
      </c>
      <c r="N168" s="1">
        <f t="shared" ca="1" si="187"/>
        <v>646961.7516276543</v>
      </c>
      <c r="O168" s="1">
        <f t="shared" ca="1" si="188"/>
        <v>3453.2204866295269</v>
      </c>
      <c r="P168" s="1">
        <f t="shared" si="189"/>
        <v>7391426.5159538994</v>
      </c>
      <c r="Q168" s="1">
        <f t="shared" si="190"/>
        <v>0</v>
      </c>
      <c r="R168" s="1">
        <f t="shared" si="191"/>
        <v>0</v>
      </c>
      <c r="S168" s="1">
        <f t="shared" si="166"/>
        <v>0</v>
      </c>
      <c r="T168" s="1">
        <f t="shared" si="167"/>
        <v>9151762.4316661265</v>
      </c>
      <c r="U168" s="1">
        <f t="shared" ca="1" si="168"/>
        <v>12259010.72745306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19">
        <f t="shared" ref="E169:F169" ca="1" si="214">E157</f>
        <v>523.60000000000014</v>
      </c>
      <c r="F169" s="119">
        <f t="shared" ca="1" si="214"/>
        <v>0</v>
      </c>
      <c r="G169" s="116">
        <f t="shared" si="144"/>
        <v>31</v>
      </c>
      <c r="H169" s="109"/>
      <c r="I169" s="109">
        <f t="shared" si="145"/>
        <v>1</v>
      </c>
      <c r="J169" s="109">
        <f>Dataset!BM169</f>
        <v>0</v>
      </c>
      <c r="K169" s="119">
        <f>K157*(1+Economic!$Q$16)</f>
        <v>841017.29280846147</v>
      </c>
      <c r="M169" s="8">
        <f t="shared" si="186"/>
        <v>-4934593.1922812499</v>
      </c>
      <c r="N169" s="1">
        <f t="shared" ca="1" si="187"/>
        <v>924912.41816311236</v>
      </c>
      <c r="O169" s="1">
        <f t="shared" ca="1" si="188"/>
        <v>0</v>
      </c>
      <c r="P169" s="1">
        <f t="shared" si="189"/>
        <v>7637807.3998190295</v>
      </c>
      <c r="Q169" s="1">
        <f t="shared" si="190"/>
        <v>0</v>
      </c>
      <c r="R169" s="1">
        <f t="shared" si="191"/>
        <v>-586242.38490532804</v>
      </c>
      <c r="S169" s="1">
        <f t="shared" si="166"/>
        <v>0</v>
      </c>
      <c r="T169" s="1">
        <f t="shared" si="167"/>
        <v>9151762.4316661265</v>
      </c>
      <c r="U169" s="1">
        <f t="shared" ca="1" si="168"/>
        <v>12193646.67246169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19">
        <f t="shared" ref="E170:F170" ca="1" si="215">E158</f>
        <v>634.42999999999995</v>
      </c>
      <c r="F170" s="119">
        <f t="shared" ca="1" si="215"/>
        <v>0</v>
      </c>
      <c r="G170" s="116">
        <f t="shared" si="144"/>
        <v>31</v>
      </c>
      <c r="H170" s="109"/>
      <c r="I170" s="109">
        <f t="shared" si="145"/>
        <v>0</v>
      </c>
      <c r="J170" s="109">
        <f>Dataset!BM170</f>
        <v>0</v>
      </c>
      <c r="K170" s="119">
        <f>K158*(1+Economic!$Q$16)</f>
        <v>866247.81159271533</v>
      </c>
      <c r="M170" s="8">
        <f t="shared" si="186"/>
        <v>-4934593.1922812499</v>
      </c>
      <c r="N170" s="1">
        <f t="shared" ca="1" si="187"/>
        <v>1120687.901938929</v>
      </c>
      <c r="O170" s="1">
        <f t="shared" ca="1" si="188"/>
        <v>0</v>
      </c>
      <c r="P170" s="1">
        <f t="shared" si="189"/>
        <v>7637807.3998190295</v>
      </c>
      <c r="Q170" s="1">
        <f t="shared" si="190"/>
        <v>0</v>
      </c>
      <c r="R170" s="1">
        <f t="shared" si="191"/>
        <v>0</v>
      </c>
      <c r="S170" s="1">
        <f t="shared" si="166"/>
        <v>0</v>
      </c>
      <c r="T170" s="1">
        <f t="shared" si="167"/>
        <v>9426315.3046161104</v>
      </c>
      <c r="U170" s="1">
        <f t="shared" ca="1" si="168"/>
        <v>13250217.41409282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19">
        <f t="shared" ref="E171:F171" ca="1" si="216">E159</f>
        <v>582</v>
      </c>
      <c r="F171" s="119">
        <f t="shared" ca="1" si="216"/>
        <v>0</v>
      </c>
      <c r="G171" s="116">
        <f t="shared" si="144"/>
        <v>28</v>
      </c>
      <c r="H171" s="109"/>
      <c r="I171" s="109">
        <f t="shared" si="145"/>
        <v>0</v>
      </c>
      <c r="J171" s="109">
        <f>Dataset!BM171</f>
        <v>0</v>
      </c>
      <c r="K171" s="119">
        <f>K159*(1+Economic!$Q$16)</f>
        <v>866247.81159271533</v>
      </c>
      <c r="M171" s="8">
        <f t="shared" si="186"/>
        <v>-4934593.1922812499</v>
      </c>
      <c r="N171" s="1">
        <f t="shared" ca="1" si="187"/>
        <v>1028073.0087298153</v>
      </c>
      <c r="O171" s="1">
        <f t="shared" ca="1" si="188"/>
        <v>0</v>
      </c>
      <c r="P171" s="1">
        <f t="shared" si="189"/>
        <v>6898664.74822364</v>
      </c>
      <c r="Q171" s="1">
        <f t="shared" si="190"/>
        <v>0</v>
      </c>
      <c r="R171" s="1">
        <f t="shared" si="191"/>
        <v>0</v>
      </c>
      <c r="S171" s="1">
        <f t="shared" si="166"/>
        <v>0</v>
      </c>
      <c r="T171" s="1">
        <f t="shared" si="167"/>
        <v>9426315.3046161104</v>
      </c>
      <c r="U171" s="1">
        <f t="shared" ca="1" si="168"/>
        <v>12418459.869288316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19">
        <f t="shared" ref="E172:F172" ca="1" si="217">E160</f>
        <v>498.31000000000006</v>
      </c>
      <c r="F172" s="119">
        <f t="shared" ca="1" si="217"/>
        <v>0.27999999999999997</v>
      </c>
      <c r="G172" s="116">
        <f t="shared" si="144"/>
        <v>31</v>
      </c>
      <c r="H172" s="109"/>
      <c r="I172" s="109">
        <f t="shared" si="145"/>
        <v>0</v>
      </c>
      <c r="J172" s="109">
        <f>Dataset!BM172</f>
        <v>0</v>
      </c>
      <c r="K172" s="119">
        <f>K160*(1+Economic!$Q$16)</f>
        <v>866247.81159271533</v>
      </c>
      <c r="M172" s="8">
        <f t="shared" si="186"/>
        <v>-4934593.1922812499</v>
      </c>
      <c r="N172" s="1">
        <f t="shared" ca="1" si="187"/>
        <v>880238.93639201764</v>
      </c>
      <c r="O172" s="1">
        <f t="shared" ca="1" si="188"/>
        <v>1401.306864139518</v>
      </c>
      <c r="P172" s="1">
        <f t="shared" si="189"/>
        <v>7637807.3998190295</v>
      </c>
      <c r="Q172" s="1">
        <f t="shared" si="190"/>
        <v>0</v>
      </c>
      <c r="R172" s="1">
        <f t="shared" si="191"/>
        <v>0</v>
      </c>
      <c r="S172" s="1">
        <f t="shared" si="166"/>
        <v>0</v>
      </c>
      <c r="T172" s="1">
        <f t="shared" si="167"/>
        <v>9426315.3046161104</v>
      </c>
      <c r="U172" s="1">
        <f t="shared" ca="1" si="168"/>
        <v>13011169.755410047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19">
        <f t="shared" ref="E173:F173" ca="1" si="218">E161</f>
        <v>322.59999999999997</v>
      </c>
      <c r="F173" s="119">
        <f t="shared" ca="1" si="218"/>
        <v>0.08</v>
      </c>
      <c r="G173" s="116">
        <f t="shared" si="144"/>
        <v>30</v>
      </c>
      <c r="H173" s="109"/>
      <c r="I173" s="109">
        <f t="shared" si="145"/>
        <v>0</v>
      </c>
      <c r="J173" s="109">
        <f>Dataset!BM173</f>
        <v>0</v>
      </c>
      <c r="K173" s="119">
        <f>K161*(1+Economic!$Q$16)</f>
        <v>866247.81159271533</v>
      </c>
      <c r="M173" s="8">
        <f t="shared" si="186"/>
        <v>-4934593.1922812499</v>
      </c>
      <c r="N173" s="1">
        <f t="shared" ca="1" si="187"/>
        <v>569856.27597291814</v>
      </c>
      <c r="O173" s="1">
        <f t="shared" ca="1" si="188"/>
        <v>400.37338975414804</v>
      </c>
      <c r="P173" s="1">
        <f t="shared" si="189"/>
        <v>7391426.5159538994</v>
      </c>
      <c r="Q173" s="1">
        <f t="shared" si="190"/>
        <v>0</v>
      </c>
      <c r="R173" s="1">
        <f t="shared" si="191"/>
        <v>0</v>
      </c>
      <c r="S173" s="1">
        <f t="shared" si="166"/>
        <v>0</v>
      </c>
      <c r="T173" s="1">
        <f t="shared" si="167"/>
        <v>9426315.3046161104</v>
      </c>
      <c r="U173" s="1">
        <f t="shared" ca="1" si="168"/>
        <v>12453405.277651433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19">
        <f t="shared" ref="E174:F174" ca="1" si="219">E162</f>
        <v>139.78</v>
      </c>
      <c r="F174" s="119">
        <f t="shared" ca="1" si="219"/>
        <v>16.149999999999999</v>
      </c>
      <c r="G174" s="116">
        <f t="shared" si="144"/>
        <v>31</v>
      </c>
      <c r="H174" s="109"/>
      <c r="I174" s="109">
        <f t="shared" si="145"/>
        <v>0</v>
      </c>
      <c r="J174" s="109">
        <f>Dataset!BM174</f>
        <v>0</v>
      </c>
      <c r="K174" s="119">
        <f>K162*(1+Economic!$Q$16)</f>
        <v>866247.81159271533</v>
      </c>
      <c r="M174" s="8">
        <f t="shared" si="186"/>
        <v>-4934593.1922812499</v>
      </c>
      <c r="N174" s="1">
        <f t="shared" ca="1" si="187"/>
        <v>246914.16694201645</v>
      </c>
      <c r="O174" s="1">
        <f t="shared" ca="1" si="188"/>
        <v>80825.378056618618</v>
      </c>
      <c r="P174" s="1">
        <f t="shared" si="189"/>
        <v>7637807.3998190295</v>
      </c>
      <c r="Q174" s="1">
        <f t="shared" si="190"/>
        <v>0</v>
      </c>
      <c r="R174" s="1">
        <f t="shared" si="191"/>
        <v>0</v>
      </c>
      <c r="S174" s="1">
        <f t="shared" si="166"/>
        <v>0</v>
      </c>
      <c r="T174" s="1">
        <f t="shared" si="167"/>
        <v>9426315.3046161104</v>
      </c>
      <c r="U174" s="1">
        <f t="shared" ca="1" si="168"/>
        <v>12457269.057152525</v>
      </c>
    </row>
    <row r="175" spans="1:21">
      <c r="A175" s="7">
        <v>46174</v>
      </c>
      <c r="B175">
        <f t="shared" si="183"/>
        <v>2026</v>
      </c>
      <c r="C175">
        <f t="shared" si="184"/>
        <v>6</v>
      </c>
      <c r="E175" s="119">
        <f t="shared" ref="E175:F175" ca="1" si="220">E163</f>
        <v>29.85</v>
      </c>
      <c r="F175" s="119">
        <f t="shared" ca="1" si="220"/>
        <v>42.1</v>
      </c>
      <c r="G175" s="116">
        <f t="shared" si="144"/>
        <v>30</v>
      </c>
      <c r="H175" s="109"/>
      <c r="I175" s="109">
        <f t="shared" si="145"/>
        <v>0</v>
      </c>
      <c r="J175" s="109">
        <f>Dataset!BM175</f>
        <v>0</v>
      </c>
      <c r="K175" s="119">
        <f>K163*(1+Economic!$Q$16)</f>
        <v>866247.81159271533</v>
      </c>
      <c r="M175" s="8">
        <f t="shared" si="186"/>
        <v>-4934593.1922812499</v>
      </c>
      <c r="N175" s="1">
        <f t="shared" ca="1" si="187"/>
        <v>52728.486787946713</v>
      </c>
      <c r="O175" s="1">
        <f t="shared" ca="1" si="188"/>
        <v>210696.49635812041</v>
      </c>
      <c r="P175" s="1">
        <f t="shared" si="189"/>
        <v>7391426.5159538994</v>
      </c>
      <c r="Q175" s="1">
        <f t="shared" si="190"/>
        <v>0</v>
      </c>
      <c r="R175" s="1">
        <f t="shared" si="191"/>
        <v>0</v>
      </c>
      <c r="S175" s="1">
        <f t="shared" si="166"/>
        <v>0</v>
      </c>
      <c r="T175" s="1">
        <f t="shared" si="167"/>
        <v>9426315.3046161104</v>
      </c>
      <c r="U175" s="1">
        <f t="shared" ca="1" si="168"/>
        <v>12146573.611434828</v>
      </c>
    </row>
    <row r="176" spans="1:21">
      <c r="A176" s="7">
        <v>46204</v>
      </c>
      <c r="B176">
        <f t="shared" si="183"/>
        <v>2026</v>
      </c>
      <c r="C176">
        <f t="shared" si="184"/>
        <v>7</v>
      </c>
      <c r="E176" s="119">
        <f t="shared" ref="E176:F176" ca="1" si="221">E164</f>
        <v>1.36</v>
      </c>
      <c r="F176" s="119">
        <f t="shared" ca="1" si="221"/>
        <v>95.609999999999985</v>
      </c>
      <c r="G176" s="116">
        <f t="shared" si="144"/>
        <v>31</v>
      </c>
      <c r="H176" s="109"/>
      <c r="I176" s="109">
        <f t="shared" si="145"/>
        <v>0</v>
      </c>
      <c r="J176" s="109">
        <f>Dataset!BM176</f>
        <v>0</v>
      </c>
      <c r="K176" s="119">
        <f>K164*(1+Economic!$Q$16)</f>
        <v>866247.81159271533</v>
      </c>
      <c r="M176" s="8">
        <f t="shared" si="186"/>
        <v>-4934593.1922812499</v>
      </c>
      <c r="N176" s="1">
        <f t="shared" ca="1" si="187"/>
        <v>2402.3699173067848</v>
      </c>
      <c r="O176" s="1">
        <f t="shared" ca="1" si="188"/>
        <v>478496.24742992606</v>
      </c>
      <c r="P176" s="1">
        <f t="shared" si="189"/>
        <v>7637807.3998190295</v>
      </c>
      <c r="Q176" s="1">
        <f t="shared" si="190"/>
        <v>0</v>
      </c>
      <c r="R176" s="1">
        <f t="shared" si="191"/>
        <v>0</v>
      </c>
      <c r="S176" s="1">
        <f t="shared" si="166"/>
        <v>0</v>
      </c>
      <c r="T176" s="1">
        <f t="shared" si="167"/>
        <v>9426315.3046161104</v>
      </c>
      <c r="U176" s="1">
        <f t="shared" ca="1" si="168"/>
        <v>12610428.129501123</v>
      </c>
    </row>
    <row r="177" spans="1:21">
      <c r="A177" s="7">
        <v>46235</v>
      </c>
      <c r="B177">
        <f t="shared" si="183"/>
        <v>2026</v>
      </c>
      <c r="C177">
        <f t="shared" si="184"/>
        <v>8</v>
      </c>
      <c r="E177" s="119">
        <f t="shared" ref="E177:F177" ca="1" si="222">E165</f>
        <v>1.77</v>
      </c>
      <c r="F177" s="119">
        <f t="shared" ca="1" si="222"/>
        <v>83.75</v>
      </c>
      <c r="G177" s="116">
        <f t="shared" si="144"/>
        <v>31</v>
      </c>
      <c r="H177" s="109"/>
      <c r="I177" s="109">
        <f t="shared" si="145"/>
        <v>0</v>
      </c>
      <c r="J177" s="109">
        <f>Dataset!BM177</f>
        <v>0</v>
      </c>
      <c r="K177" s="119">
        <f>K165*(1+Economic!$Q$16)</f>
        <v>866247.81159271533</v>
      </c>
      <c r="M177" s="8">
        <f t="shared" si="186"/>
        <v>-4934593.1922812499</v>
      </c>
      <c r="N177" s="1">
        <f t="shared" ca="1" si="187"/>
        <v>3126.6137894360359</v>
      </c>
      <c r="O177" s="1">
        <f t="shared" ca="1" si="188"/>
        <v>419140.89239887369</v>
      </c>
      <c r="P177" s="1">
        <f t="shared" si="189"/>
        <v>7637807.3998190295</v>
      </c>
      <c r="Q177" s="1">
        <f t="shared" si="190"/>
        <v>0</v>
      </c>
      <c r="R177" s="1">
        <f t="shared" si="191"/>
        <v>0</v>
      </c>
      <c r="S177" s="1">
        <f t="shared" si="166"/>
        <v>0</v>
      </c>
      <c r="T177" s="1">
        <f t="shared" si="167"/>
        <v>9426315.3046161104</v>
      </c>
      <c r="U177" s="1">
        <f t="shared" ca="1" si="168"/>
        <v>12551797.018342201</v>
      </c>
    </row>
    <row r="178" spans="1:21">
      <c r="A178" s="7">
        <v>46266</v>
      </c>
      <c r="B178">
        <f t="shared" si="183"/>
        <v>2026</v>
      </c>
      <c r="C178">
        <f t="shared" si="184"/>
        <v>9</v>
      </c>
      <c r="E178" s="119">
        <f t="shared" ref="E178:F178" ca="1" si="223">E166</f>
        <v>37.33</v>
      </c>
      <c r="F178" s="119">
        <f t="shared" ca="1" si="223"/>
        <v>34.480000000000004</v>
      </c>
      <c r="G178" s="116">
        <f t="shared" si="144"/>
        <v>30</v>
      </c>
      <c r="H178" s="109"/>
      <c r="I178" s="109">
        <f t="shared" si="145"/>
        <v>0</v>
      </c>
      <c r="J178" s="109">
        <f>Dataset!BM178</f>
        <v>0</v>
      </c>
      <c r="K178" s="119">
        <f>K166*(1+Economic!$Q$16)</f>
        <v>866247.81159271533</v>
      </c>
      <c r="M178" s="8">
        <f t="shared" si="186"/>
        <v>-4934593.1922812499</v>
      </c>
      <c r="N178" s="1">
        <f t="shared" ca="1" si="187"/>
        <v>65941.52133313402</v>
      </c>
      <c r="O178" s="1">
        <f t="shared" ca="1" si="188"/>
        <v>172560.93098403781</v>
      </c>
      <c r="P178" s="1">
        <f t="shared" si="189"/>
        <v>7391426.5159538994</v>
      </c>
      <c r="Q178" s="1">
        <f t="shared" si="190"/>
        <v>0</v>
      </c>
      <c r="R178" s="1">
        <f t="shared" si="191"/>
        <v>0</v>
      </c>
      <c r="S178" s="1">
        <f t="shared" si="166"/>
        <v>0</v>
      </c>
      <c r="T178" s="1">
        <f t="shared" si="167"/>
        <v>9426315.3046161104</v>
      </c>
      <c r="U178" s="1">
        <f t="shared" ca="1" si="168"/>
        <v>12121651.080605932</v>
      </c>
    </row>
    <row r="179" spans="1:21">
      <c r="A179" s="7">
        <v>46296</v>
      </c>
      <c r="B179">
        <f t="shared" si="183"/>
        <v>2026</v>
      </c>
      <c r="C179">
        <f t="shared" si="184"/>
        <v>10</v>
      </c>
      <c r="E179" s="119">
        <f t="shared" ref="E179:F179" ca="1" si="224">E167</f>
        <v>173.75</v>
      </c>
      <c r="F179" s="119">
        <f t="shared" ca="1" si="224"/>
        <v>4.62</v>
      </c>
      <c r="G179" s="116">
        <f t="shared" si="144"/>
        <v>31</v>
      </c>
      <c r="H179" s="109"/>
      <c r="I179" s="109">
        <f t="shared" si="145"/>
        <v>0</v>
      </c>
      <c r="J179" s="109">
        <f>Dataset!BM179</f>
        <v>0</v>
      </c>
      <c r="K179" s="119">
        <f>K167*(1+Economic!$Q$16)</f>
        <v>866247.81159271533</v>
      </c>
      <c r="M179" s="8">
        <f t="shared" si="186"/>
        <v>-4934593.1922812499</v>
      </c>
      <c r="N179" s="1">
        <f t="shared" ca="1" si="187"/>
        <v>306920.42142062786</v>
      </c>
      <c r="O179" s="1">
        <f t="shared" ca="1" si="188"/>
        <v>23121.563258302049</v>
      </c>
      <c r="P179" s="1">
        <f t="shared" si="189"/>
        <v>7637807.3998190295</v>
      </c>
      <c r="Q179" s="1">
        <f t="shared" si="190"/>
        <v>0</v>
      </c>
      <c r="R179" s="1">
        <f t="shared" si="191"/>
        <v>0</v>
      </c>
      <c r="S179" s="1">
        <f t="shared" si="166"/>
        <v>0</v>
      </c>
      <c r="T179" s="1">
        <f t="shared" si="167"/>
        <v>9426315.3046161104</v>
      </c>
      <c r="U179" s="1">
        <f t="shared" ca="1" si="168"/>
        <v>12459571.496832822</v>
      </c>
    </row>
    <row r="180" spans="1:21">
      <c r="A180" s="7">
        <v>46327</v>
      </c>
      <c r="B180">
        <f t="shared" si="183"/>
        <v>2026</v>
      </c>
      <c r="C180">
        <f t="shared" si="184"/>
        <v>11</v>
      </c>
      <c r="E180" s="119">
        <f t="shared" ref="E180:F180" ca="1" si="225">E168</f>
        <v>366.25</v>
      </c>
      <c r="F180" s="119">
        <f t="shared" ca="1" si="225"/>
        <v>0.69000000000000006</v>
      </c>
      <c r="G180" s="116">
        <f t="shared" si="144"/>
        <v>30</v>
      </c>
      <c r="H180" s="109"/>
      <c r="I180" s="109">
        <f t="shared" si="145"/>
        <v>0</v>
      </c>
      <c r="J180" s="109">
        <f>Dataset!BM180</f>
        <v>0</v>
      </c>
      <c r="K180" s="119">
        <f>K168*(1+Economic!$Q$16)</f>
        <v>866247.81159271533</v>
      </c>
      <c r="M180" s="8">
        <f t="shared" si="186"/>
        <v>-4934593.1922812499</v>
      </c>
      <c r="N180" s="1">
        <f t="shared" ca="1" si="187"/>
        <v>646961.7516276543</v>
      </c>
      <c r="O180" s="1">
        <f t="shared" ca="1" si="188"/>
        <v>3453.2204866295269</v>
      </c>
      <c r="P180" s="1">
        <f t="shared" si="189"/>
        <v>7391426.5159538994</v>
      </c>
      <c r="Q180" s="1">
        <f t="shared" si="190"/>
        <v>0</v>
      </c>
      <c r="R180" s="1">
        <f t="shared" si="191"/>
        <v>0</v>
      </c>
      <c r="S180" s="1">
        <f t="shared" si="166"/>
        <v>0</v>
      </c>
      <c r="T180" s="1">
        <f t="shared" si="167"/>
        <v>9426315.3046161104</v>
      </c>
      <c r="U180" s="1">
        <f t="shared" ca="1" si="168"/>
        <v>12533563.600403044</v>
      </c>
    </row>
    <row r="181" spans="1:21">
      <c r="A181" s="7">
        <v>46357</v>
      </c>
      <c r="B181">
        <f t="shared" si="183"/>
        <v>2026</v>
      </c>
      <c r="C181">
        <f t="shared" si="184"/>
        <v>12</v>
      </c>
      <c r="E181" s="119">
        <f t="shared" ref="E181:F181" ca="1" si="226">E169</f>
        <v>523.60000000000014</v>
      </c>
      <c r="F181" s="119">
        <f t="shared" ca="1" si="226"/>
        <v>0</v>
      </c>
      <c r="G181" s="116">
        <f t="shared" si="144"/>
        <v>31</v>
      </c>
      <c r="H181" s="109"/>
      <c r="I181" s="109">
        <f t="shared" si="145"/>
        <v>1</v>
      </c>
      <c r="J181" s="109">
        <f>Dataset!BM181</f>
        <v>0</v>
      </c>
      <c r="K181" s="119">
        <f>K169*(1+Economic!$Q$16)</f>
        <v>866247.81159271533</v>
      </c>
      <c r="M181" s="8">
        <f t="shared" si="186"/>
        <v>-4934593.1922812499</v>
      </c>
      <c r="N181" s="1">
        <f t="shared" ca="1" si="187"/>
        <v>924912.41816311236</v>
      </c>
      <c r="O181" s="1">
        <f t="shared" ca="1" si="188"/>
        <v>0</v>
      </c>
      <c r="P181" s="1">
        <f t="shared" si="189"/>
        <v>7637807.3998190295</v>
      </c>
      <c r="Q181" s="1">
        <f t="shared" si="190"/>
        <v>0</v>
      </c>
      <c r="R181" s="1">
        <f t="shared" si="191"/>
        <v>-586242.38490532804</v>
      </c>
      <c r="S181" s="1">
        <f t="shared" si="166"/>
        <v>0</v>
      </c>
      <c r="T181" s="1">
        <f t="shared" si="167"/>
        <v>9426315.3046161104</v>
      </c>
      <c r="U181" s="1">
        <f t="shared" ca="1" si="168"/>
        <v>12468199.545411674</v>
      </c>
    </row>
    <row r="182" spans="1:21">
      <c r="A182" s="7">
        <v>46388</v>
      </c>
      <c r="B182">
        <f t="shared" si="183"/>
        <v>2027</v>
      </c>
      <c r="C182">
        <f t="shared" si="184"/>
        <v>1</v>
      </c>
      <c r="E182" s="119">
        <f t="shared" ref="E182:F182" ca="1" si="227">E170</f>
        <v>634.42999999999995</v>
      </c>
      <c r="F182" s="119">
        <f t="shared" ca="1" si="227"/>
        <v>0</v>
      </c>
      <c r="G182" s="116">
        <f t="shared" si="144"/>
        <v>31</v>
      </c>
      <c r="H182" s="109"/>
      <c r="I182" s="109">
        <f t="shared" si="145"/>
        <v>0</v>
      </c>
      <c r="J182" s="109">
        <f>Dataset!BM182</f>
        <v>0</v>
      </c>
      <c r="K182" s="119">
        <f>K170*(1+Economic!$Q$16)</f>
        <v>892235.2459404968</v>
      </c>
      <c r="M182" s="8">
        <f t="shared" si="186"/>
        <v>-4934593.1922812499</v>
      </c>
      <c r="N182" s="1">
        <f t="shared" ca="1" si="187"/>
        <v>1120687.901938929</v>
      </c>
      <c r="O182" s="1">
        <f t="shared" ca="1" si="188"/>
        <v>0</v>
      </c>
      <c r="P182" s="1">
        <f t="shared" si="189"/>
        <v>7637807.3998190295</v>
      </c>
      <c r="Q182" s="1">
        <f t="shared" si="190"/>
        <v>0</v>
      </c>
      <c r="R182" s="1">
        <f t="shared" si="191"/>
        <v>0</v>
      </c>
      <c r="S182" s="1">
        <f t="shared" si="166"/>
        <v>0</v>
      </c>
      <c r="T182" s="1">
        <f t="shared" si="167"/>
        <v>9709104.7637545932</v>
      </c>
      <c r="U182" s="1">
        <f t="shared" ca="1" si="168"/>
        <v>13533006.873231303</v>
      </c>
    </row>
    <row r="183" spans="1:21">
      <c r="A183" s="7">
        <v>46419</v>
      </c>
      <c r="B183">
        <f t="shared" si="183"/>
        <v>2027</v>
      </c>
      <c r="C183">
        <f t="shared" si="184"/>
        <v>2</v>
      </c>
      <c r="E183" s="119">
        <f t="shared" ref="E183:F183" ca="1" si="228">E171</f>
        <v>582</v>
      </c>
      <c r="F183" s="119">
        <f t="shared" ca="1" si="228"/>
        <v>0</v>
      </c>
      <c r="G183" s="116">
        <f t="shared" ref="G183:G193" si="229">G135</f>
        <v>28</v>
      </c>
      <c r="H183" s="109"/>
      <c r="I183" s="109">
        <f t="shared" si="145"/>
        <v>0</v>
      </c>
      <c r="J183" s="109">
        <f>Dataset!BM183</f>
        <v>0</v>
      </c>
      <c r="K183" s="119">
        <f>K171*(1+Economic!$Q$16)</f>
        <v>892235.2459404968</v>
      </c>
      <c r="M183" s="8">
        <f t="shared" si="186"/>
        <v>-4934593.1922812499</v>
      </c>
      <c r="N183" s="1">
        <f t="shared" ca="1" si="187"/>
        <v>1028073.0087298153</v>
      </c>
      <c r="O183" s="1">
        <f t="shared" ca="1" si="188"/>
        <v>0</v>
      </c>
      <c r="P183" s="1">
        <f t="shared" si="189"/>
        <v>6898664.74822364</v>
      </c>
      <c r="Q183" s="1">
        <f t="shared" si="190"/>
        <v>0</v>
      </c>
      <c r="R183" s="1">
        <f t="shared" si="191"/>
        <v>0</v>
      </c>
      <c r="S183" s="1">
        <f t="shared" si="166"/>
        <v>0</v>
      </c>
      <c r="T183" s="1">
        <f t="shared" si="167"/>
        <v>9709104.7637545932</v>
      </c>
      <c r="U183" s="1">
        <f t="shared" ca="1" si="168"/>
        <v>12701249.328426799</v>
      </c>
    </row>
    <row r="184" spans="1:21">
      <c r="A184" s="7">
        <v>46447</v>
      </c>
      <c r="B184">
        <f t="shared" si="183"/>
        <v>2027</v>
      </c>
      <c r="C184">
        <f t="shared" si="184"/>
        <v>3</v>
      </c>
      <c r="E184" s="119">
        <f t="shared" ref="E184:F184" ca="1" si="230">E172</f>
        <v>498.31000000000006</v>
      </c>
      <c r="F184" s="119">
        <f t="shared" ca="1" si="230"/>
        <v>0.27999999999999997</v>
      </c>
      <c r="G184" s="116">
        <f t="shared" si="229"/>
        <v>31</v>
      </c>
      <c r="H184" s="109"/>
      <c r="I184" s="109">
        <f t="shared" ref="I184:I193" si="231">I172</f>
        <v>0</v>
      </c>
      <c r="J184" s="109">
        <f>Dataset!BM184</f>
        <v>0</v>
      </c>
      <c r="K184" s="119">
        <f>K172*(1+Economic!$Q$16)</f>
        <v>892235.2459404968</v>
      </c>
      <c r="M184" s="8">
        <f t="shared" si="186"/>
        <v>-4934593.1922812499</v>
      </c>
      <c r="N184" s="1">
        <f t="shared" ca="1" si="187"/>
        <v>880238.93639201764</v>
      </c>
      <c r="O184" s="1">
        <f t="shared" ca="1" si="188"/>
        <v>1401.306864139518</v>
      </c>
      <c r="P184" s="1">
        <f t="shared" si="189"/>
        <v>7637807.3998190295</v>
      </c>
      <c r="Q184" s="1">
        <f t="shared" si="190"/>
        <v>0</v>
      </c>
      <c r="R184" s="1">
        <f t="shared" si="191"/>
        <v>0</v>
      </c>
      <c r="S184" s="1">
        <f t="shared" si="166"/>
        <v>0</v>
      </c>
      <c r="T184" s="1">
        <f t="shared" si="167"/>
        <v>9709104.7637545932</v>
      </c>
      <c r="U184" s="1">
        <f t="shared" ca="1" si="168"/>
        <v>13293959.21454853</v>
      </c>
    </row>
    <row r="185" spans="1:21">
      <c r="A185" s="7">
        <v>46478</v>
      </c>
      <c r="B185">
        <f t="shared" si="183"/>
        <v>2027</v>
      </c>
      <c r="C185">
        <f t="shared" si="184"/>
        <v>4</v>
      </c>
      <c r="E185" s="119">
        <f t="shared" ref="E185:F185" ca="1" si="232">E173</f>
        <v>322.59999999999997</v>
      </c>
      <c r="F185" s="119">
        <f t="shared" ca="1" si="232"/>
        <v>0.08</v>
      </c>
      <c r="G185" s="116">
        <f t="shared" si="229"/>
        <v>30</v>
      </c>
      <c r="H185" s="109"/>
      <c r="I185" s="109">
        <f t="shared" si="231"/>
        <v>0</v>
      </c>
      <c r="J185" s="109">
        <f>Dataset!BM185</f>
        <v>0</v>
      </c>
      <c r="K185" s="119">
        <f>K173*(1+Economic!$Q$16)</f>
        <v>892235.2459404968</v>
      </c>
      <c r="M185" s="8">
        <f t="shared" si="186"/>
        <v>-4934593.1922812499</v>
      </c>
      <c r="N185" s="1">
        <f t="shared" ca="1" si="187"/>
        <v>569856.27597291814</v>
      </c>
      <c r="O185" s="1">
        <f t="shared" ca="1" si="188"/>
        <v>400.37338975414804</v>
      </c>
      <c r="P185" s="1">
        <f t="shared" si="189"/>
        <v>7391426.5159538994</v>
      </c>
      <c r="Q185" s="1">
        <f t="shared" si="190"/>
        <v>0</v>
      </c>
      <c r="R185" s="1">
        <f t="shared" si="191"/>
        <v>0</v>
      </c>
      <c r="S185" s="1">
        <f t="shared" si="166"/>
        <v>0</v>
      </c>
      <c r="T185" s="1">
        <f t="shared" si="167"/>
        <v>9709104.7637545932</v>
      </c>
      <c r="U185" s="1">
        <f t="shared" ca="1" si="168"/>
        <v>12736194.736789916</v>
      </c>
    </row>
    <row r="186" spans="1:21">
      <c r="A186" s="7">
        <v>46508</v>
      </c>
      <c r="B186">
        <f t="shared" si="183"/>
        <v>2027</v>
      </c>
      <c r="C186">
        <f t="shared" si="184"/>
        <v>5</v>
      </c>
      <c r="E186" s="119">
        <f t="shared" ref="E186:F186" ca="1" si="233">E174</f>
        <v>139.78</v>
      </c>
      <c r="F186" s="119">
        <f t="shared" ca="1" si="233"/>
        <v>16.149999999999999</v>
      </c>
      <c r="G186" s="116">
        <f t="shared" si="229"/>
        <v>31</v>
      </c>
      <c r="H186" s="109"/>
      <c r="I186" s="109">
        <f t="shared" si="231"/>
        <v>0</v>
      </c>
      <c r="J186" s="109">
        <f>Dataset!BM186</f>
        <v>0</v>
      </c>
      <c r="K186" s="119">
        <f>K174*(1+Economic!$Q$16)</f>
        <v>892235.2459404968</v>
      </c>
      <c r="M186" s="8">
        <f t="shared" si="186"/>
        <v>-4934593.1922812499</v>
      </c>
      <c r="N186" s="1">
        <f t="shared" ca="1" si="187"/>
        <v>246914.16694201645</v>
      </c>
      <c r="O186" s="1">
        <f t="shared" ca="1" si="188"/>
        <v>80825.378056618618</v>
      </c>
      <c r="P186" s="1">
        <f t="shared" si="189"/>
        <v>7637807.3998190295</v>
      </c>
      <c r="Q186" s="1">
        <f t="shared" si="190"/>
        <v>0</v>
      </c>
      <c r="R186" s="1">
        <f t="shared" si="191"/>
        <v>0</v>
      </c>
      <c r="S186" s="1">
        <f t="shared" si="166"/>
        <v>0</v>
      </c>
      <c r="T186" s="1">
        <f t="shared" si="167"/>
        <v>9709104.7637545932</v>
      </c>
      <c r="U186" s="1">
        <f t="shared" ca="1" si="168"/>
        <v>12740058.516291007</v>
      </c>
    </row>
    <row r="187" spans="1:21">
      <c r="A187" s="7">
        <v>46539</v>
      </c>
      <c r="B187">
        <f t="shared" si="183"/>
        <v>2027</v>
      </c>
      <c r="C187">
        <f t="shared" si="184"/>
        <v>6</v>
      </c>
      <c r="E187" s="119">
        <f t="shared" ref="E187:F187" ca="1" si="234">E175</f>
        <v>29.85</v>
      </c>
      <c r="F187" s="119">
        <f t="shared" ca="1" si="234"/>
        <v>42.1</v>
      </c>
      <c r="G187" s="116">
        <f t="shared" si="229"/>
        <v>30</v>
      </c>
      <c r="H187" s="109"/>
      <c r="I187" s="109">
        <f t="shared" si="231"/>
        <v>0</v>
      </c>
      <c r="J187" s="109">
        <f>Dataset!BM187</f>
        <v>0</v>
      </c>
      <c r="K187" s="119">
        <f>K175*(1+Economic!$Q$16)</f>
        <v>892235.2459404968</v>
      </c>
      <c r="M187" s="8">
        <f t="shared" si="186"/>
        <v>-4934593.1922812499</v>
      </c>
      <c r="N187" s="1">
        <f t="shared" ca="1" si="187"/>
        <v>52728.486787946713</v>
      </c>
      <c r="O187" s="1">
        <f t="shared" ca="1" si="188"/>
        <v>210696.49635812041</v>
      </c>
      <c r="P187" s="1">
        <f t="shared" si="189"/>
        <v>7391426.5159538994</v>
      </c>
      <c r="Q187" s="1">
        <f t="shared" si="190"/>
        <v>0</v>
      </c>
      <c r="R187" s="1">
        <f t="shared" si="191"/>
        <v>0</v>
      </c>
      <c r="S187" s="1">
        <f t="shared" si="166"/>
        <v>0</v>
      </c>
      <c r="T187" s="1">
        <f t="shared" si="167"/>
        <v>9709104.7637545932</v>
      </c>
      <c r="U187" s="1">
        <f t="shared" ca="1" si="168"/>
        <v>12429363.070573311</v>
      </c>
    </row>
    <row r="188" spans="1:21">
      <c r="A188" s="7">
        <v>46569</v>
      </c>
      <c r="B188">
        <f t="shared" si="183"/>
        <v>2027</v>
      </c>
      <c r="C188">
        <f t="shared" si="184"/>
        <v>7</v>
      </c>
      <c r="E188" s="119">
        <f t="shared" ref="E188:F188" ca="1" si="235">E176</f>
        <v>1.36</v>
      </c>
      <c r="F188" s="119">
        <f t="shared" ca="1" si="235"/>
        <v>95.609999999999985</v>
      </c>
      <c r="G188" s="116">
        <f t="shared" si="229"/>
        <v>31</v>
      </c>
      <c r="H188" s="109"/>
      <c r="I188" s="109">
        <f t="shared" si="231"/>
        <v>0</v>
      </c>
      <c r="J188" s="109">
        <f>Dataset!BM188</f>
        <v>0</v>
      </c>
      <c r="K188" s="119">
        <f>K176*(1+Economic!$Q$16)</f>
        <v>892235.2459404968</v>
      </c>
      <c r="M188" s="8">
        <f t="shared" si="186"/>
        <v>-4934593.1922812499</v>
      </c>
      <c r="N188" s="1">
        <f t="shared" ca="1" si="187"/>
        <v>2402.3699173067848</v>
      </c>
      <c r="O188" s="1">
        <f t="shared" ca="1" si="188"/>
        <v>478496.24742992606</v>
      </c>
      <c r="P188" s="1">
        <f t="shared" si="189"/>
        <v>7637807.3998190295</v>
      </c>
      <c r="Q188" s="1">
        <f t="shared" si="190"/>
        <v>0</v>
      </c>
      <c r="R188" s="1">
        <f t="shared" si="191"/>
        <v>0</v>
      </c>
      <c r="S188" s="1">
        <f t="shared" si="166"/>
        <v>0</v>
      </c>
      <c r="T188" s="1">
        <f t="shared" si="167"/>
        <v>9709104.7637545932</v>
      </c>
      <c r="U188" s="1">
        <f t="shared" ca="1" si="168"/>
        <v>12893217.588639606</v>
      </c>
    </row>
    <row r="189" spans="1:21">
      <c r="A189" s="7">
        <v>46600</v>
      </c>
      <c r="B189">
        <f t="shared" si="183"/>
        <v>2027</v>
      </c>
      <c r="C189">
        <f t="shared" si="184"/>
        <v>8</v>
      </c>
      <c r="E189" s="119">
        <f t="shared" ref="E189:F189" ca="1" si="236">E177</f>
        <v>1.77</v>
      </c>
      <c r="F189" s="119">
        <f t="shared" ca="1" si="236"/>
        <v>83.75</v>
      </c>
      <c r="G189" s="116">
        <f t="shared" si="229"/>
        <v>31</v>
      </c>
      <c r="H189" s="109"/>
      <c r="I189" s="109">
        <f t="shared" si="231"/>
        <v>0</v>
      </c>
      <c r="J189" s="109">
        <f>Dataset!BM189</f>
        <v>0</v>
      </c>
      <c r="K189" s="119">
        <f>K177*(1+Economic!$Q$16)</f>
        <v>892235.2459404968</v>
      </c>
      <c r="M189" s="8">
        <f t="shared" si="186"/>
        <v>-4934593.1922812499</v>
      </c>
      <c r="N189" s="1">
        <f t="shared" ca="1" si="187"/>
        <v>3126.6137894360359</v>
      </c>
      <c r="O189" s="1">
        <f t="shared" ca="1" si="188"/>
        <v>419140.89239887369</v>
      </c>
      <c r="P189" s="1">
        <f t="shared" si="189"/>
        <v>7637807.3998190295</v>
      </c>
      <c r="Q189" s="1">
        <f t="shared" si="190"/>
        <v>0</v>
      </c>
      <c r="R189" s="1">
        <f t="shared" si="191"/>
        <v>0</v>
      </c>
      <c r="S189" s="1">
        <f t="shared" si="166"/>
        <v>0</v>
      </c>
      <c r="T189" s="1">
        <f t="shared" si="167"/>
        <v>9709104.7637545932</v>
      </c>
      <c r="U189" s="1">
        <f t="shared" ca="1" si="168"/>
        <v>12834586.477480683</v>
      </c>
    </row>
    <row r="190" spans="1:21">
      <c r="A190" s="7">
        <v>46631</v>
      </c>
      <c r="B190">
        <f t="shared" si="183"/>
        <v>2027</v>
      </c>
      <c r="C190">
        <f t="shared" si="184"/>
        <v>9</v>
      </c>
      <c r="E190" s="119">
        <f t="shared" ref="E190:F190" ca="1" si="237">E178</f>
        <v>37.33</v>
      </c>
      <c r="F190" s="119">
        <f t="shared" ca="1" si="237"/>
        <v>34.480000000000004</v>
      </c>
      <c r="G190" s="116">
        <f t="shared" si="229"/>
        <v>30</v>
      </c>
      <c r="H190" s="109"/>
      <c r="I190" s="109">
        <f t="shared" si="231"/>
        <v>0</v>
      </c>
      <c r="J190" s="109">
        <f>Dataset!BM190</f>
        <v>0</v>
      </c>
      <c r="K190" s="119">
        <f>K178*(1+Economic!$Q$16)</f>
        <v>892235.2459404968</v>
      </c>
      <c r="M190" s="8">
        <f t="shared" si="186"/>
        <v>-4934593.1922812499</v>
      </c>
      <c r="N190" s="1">
        <f t="shared" ca="1" si="187"/>
        <v>65941.52133313402</v>
      </c>
      <c r="O190" s="1">
        <f t="shared" ca="1" si="188"/>
        <v>172560.93098403781</v>
      </c>
      <c r="P190" s="1">
        <f t="shared" si="189"/>
        <v>7391426.5159538994</v>
      </c>
      <c r="Q190" s="1">
        <f t="shared" si="190"/>
        <v>0</v>
      </c>
      <c r="R190" s="1">
        <f t="shared" si="191"/>
        <v>0</v>
      </c>
      <c r="S190" s="1">
        <f t="shared" si="166"/>
        <v>0</v>
      </c>
      <c r="T190" s="1">
        <f t="shared" si="167"/>
        <v>9709104.7637545932</v>
      </c>
      <c r="U190" s="1">
        <f t="shared" ca="1" si="168"/>
        <v>12404440.539744414</v>
      </c>
    </row>
    <row r="191" spans="1:21">
      <c r="A191" s="7">
        <v>46661</v>
      </c>
      <c r="B191">
        <f t="shared" si="183"/>
        <v>2027</v>
      </c>
      <c r="C191">
        <f t="shared" si="184"/>
        <v>10</v>
      </c>
      <c r="E191" s="119">
        <f t="shared" ref="E191:F191" ca="1" si="238">E179</f>
        <v>173.75</v>
      </c>
      <c r="F191" s="119">
        <f t="shared" ca="1" si="238"/>
        <v>4.62</v>
      </c>
      <c r="G191" s="116">
        <f t="shared" si="229"/>
        <v>31</v>
      </c>
      <c r="H191" s="109"/>
      <c r="I191" s="109">
        <f t="shared" si="231"/>
        <v>0</v>
      </c>
      <c r="J191" s="109">
        <f>Dataset!BM191</f>
        <v>0</v>
      </c>
      <c r="K191" s="119">
        <f>K179*(1+Economic!$Q$16)</f>
        <v>892235.2459404968</v>
      </c>
      <c r="M191" s="8">
        <f t="shared" si="186"/>
        <v>-4934593.1922812499</v>
      </c>
      <c r="N191" s="1">
        <f t="shared" ca="1" si="187"/>
        <v>306920.42142062786</v>
      </c>
      <c r="O191" s="1">
        <f t="shared" ca="1" si="188"/>
        <v>23121.563258302049</v>
      </c>
      <c r="P191" s="1">
        <f t="shared" si="189"/>
        <v>7637807.3998190295</v>
      </c>
      <c r="Q191" s="1">
        <f t="shared" si="190"/>
        <v>0</v>
      </c>
      <c r="R191" s="1">
        <f t="shared" si="191"/>
        <v>0</v>
      </c>
      <c r="S191" s="1">
        <f t="shared" si="166"/>
        <v>0</v>
      </c>
      <c r="T191" s="1">
        <f t="shared" si="167"/>
        <v>9709104.7637545932</v>
      </c>
      <c r="U191" s="1">
        <f t="shared" ca="1" si="168"/>
        <v>12742360.955971304</v>
      </c>
    </row>
    <row r="192" spans="1:21">
      <c r="A192" s="7">
        <v>46692</v>
      </c>
      <c r="B192">
        <f t="shared" si="183"/>
        <v>2027</v>
      </c>
      <c r="C192">
        <f t="shared" si="184"/>
        <v>11</v>
      </c>
      <c r="E192" s="119">
        <f t="shared" ref="E192:F192" ca="1" si="239">E180</f>
        <v>366.25</v>
      </c>
      <c r="F192" s="119">
        <f t="shared" ca="1" si="239"/>
        <v>0.69000000000000006</v>
      </c>
      <c r="G192" s="116">
        <f t="shared" si="229"/>
        <v>30</v>
      </c>
      <c r="H192" s="109"/>
      <c r="I192" s="109">
        <f t="shared" si="231"/>
        <v>0</v>
      </c>
      <c r="J192" s="109">
        <f>Dataset!BM192</f>
        <v>0</v>
      </c>
      <c r="K192" s="119">
        <f>K180*(1+Economic!$Q$16)</f>
        <v>892235.2459404968</v>
      </c>
      <c r="M192" s="8">
        <f t="shared" si="186"/>
        <v>-4934593.1922812499</v>
      </c>
      <c r="N192" s="1">
        <f t="shared" ca="1" si="187"/>
        <v>646961.7516276543</v>
      </c>
      <c r="O192" s="1">
        <f t="shared" ca="1" si="188"/>
        <v>3453.2204866295269</v>
      </c>
      <c r="P192" s="1">
        <f t="shared" si="189"/>
        <v>7391426.5159538994</v>
      </c>
      <c r="Q192" s="1">
        <f t="shared" si="190"/>
        <v>0</v>
      </c>
      <c r="R192" s="1">
        <f t="shared" si="191"/>
        <v>0</v>
      </c>
      <c r="S192" s="1">
        <f t="shared" si="166"/>
        <v>0</v>
      </c>
      <c r="T192" s="1">
        <f t="shared" si="167"/>
        <v>9709104.7637545932</v>
      </c>
      <c r="U192" s="1">
        <f t="shared" ca="1" si="168"/>
        <v>12816353.059541527</v>
      </c>
    </row>
    <row r="193" spans="1:21">
      <c r="A193" s="7">
        <v>46722</v>
      </c>
      <c r="B193">
        <f t="shared" si="183"/>
        <v>2027</v>
      </c>
      <c r="C193">
        <f t="shared" si="184"/>
        <v>12</v>
      </c>
      <c r="E193" s="119">
        <f t="shared" ref="E193:F193" ca="1" si="240">E181</f>
        <v>523.60000000000014</v>
      </c>
      <c r="F193" s="119">
        <f t="shared" ca="1" si="240"/>
        <v>0</v>
      </c>
      <c r="G193" s="116">
        <f t="shared" si="229"/>
        <v>31</v>
      </c>
      <c r="H193" s="109"/>
      <c r="I193" s="109">
        <f t="shared" si="231"/>
        <v>1</v>
      </c>
      <c r="J193" s="109">
        <f>Dataset!BM193</f>
        <v>0</v>
      </c>
      <c r="K193" s="119">
        <f>K181*(1+Economic!$Q$16)</f>
        <v>892235.2459404968</v>
      </c>
      <c r="M193" s="8">
        <f t="shared" si="186"/>
        <v>-4934593.1922812499</v>
      </c>
      <c r="N193" s="1">
        <f t="shared" ca="1" si="187"/>
        <v>924912.41816311236</v>
      </c>
      <c r="O193" s="1">
        <f t="shared" ca="1" si="188"/>
        <v>0</v>
      </c>
      <c r="P193" s="1">
        <f t="shared" si="189"/>
        <v>7637807.3998190295</v>
      </c>
      <c r="Q193" s="1">
        <f t="shared" si="190"/>
        <v>0</v>
      </c>
      <c r="R193" s="1">
        <f t="shared" si="191"/>
        <v>-586242.38490532804</v>
      </c>
      <c r="S193" s="1">
        <f t="shared" si="166"/>
        <v>0</v>
      </c>
      <c r="T193" s="1">
        <f t="shared" si="167"/>
        <v>9709104.7637545932</v>
      </c>
      <c r="U193" s="1">
        <f t="shared" ca="1" si="168"/>
        <v>12750989.004550157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2:AO22"/>
  <sheetViews>
    <sheetView topLeftCell="A7" workbookViewId="0">
      <selection activeCell="S40" sqref="S4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2" spans="2:41">
      <c r="B2" s="359" t="s">
        <v>155</v>
      </c>
      <c r="C2" s="359"/>
      <c r="D2" s="359"/>
      <c r="E2" s="359"/>
      <c r="F2" s="359"/>
      <c r="G2" s="359"/>
      <c r="H2" s="359"/>
      <c r="I2" s="359"/>
      <c r="K2" s="359" t="s">
        <v>162</v>
      </c>
      <c r="L2" s="359"/>
      <c r="M2" s="359"/>
      <c r="N2" s="359"/>
      <c r="O2" s="359"/>
      <c r="P2" s="359"/>
      <c r="Q2" s="359"/>
      <c r="R2" s="359"/>
      <c r="T2" s="359" t="s">
        <v>163</v>
      </c>
      <c r="U2" s="359"/>
      <c r="V2" s="359"/>
      <c r="W2" s="359"/>
      <c r="X2" s="359"/>
      <c r="Y2" s="359"/>
      <c r="Z2" s="359"/>
      <c r="AA2" s="359"/>
      <c r="AC2" s="359" t="s">
        <v>164</v>
      </c>
      <c r="AD2" s="359"/>
      <c r="AE2" s="359"/>
      <c r="AF2" s="359"/>
      <c r="AG2" s="359"/>
      <c r="AK2" s="359" t="s">
        <v>166</v>
      </c>
      <c r="AL2" s="359"/>
      <c r="AM2" s="359"/>
      <c r="AN2" s="359"/>
      <c r="AO2" s="359"/>
    </row>
    <row r="3" spans="2:41" ht="38.25">
      <c r="B3" s="121" t="s">
        <v>10</v>
      </c>
      <c r="C3" s="121" t="s">
        <v>151</v>
      </c>
      <c r="D3" s="121" t="s">
        <v>156</v>
      </c>
      <c r="E3" s="121" t="s">
        <v>157</v>
      </c>
      <c r="F3" s="121"/>
      <c r="G3" s="121" t="s">
        <v>158</v>
      </c>
      <c r="H3" s="121" t="s">
        <v>156</v>
      </c>
      <c r="I3" s="121" t="s">
        <v>154</v>
      </c>
      <c r="K3" s="121" t="s">
        <v>10</v>
      </c>
      <c r="L3" s="121" t="s">
        <v>151</v>
      </c>
      <c r="M3" s="121" t="s">
        <v>156</v>
      </c>
      <c r="N3" s="121" t="s">
        <v>157</v>
      </c>
      <c r="O3" s="121"/>
      <c r="P3" s="121" t="s">
        <v>158</v>
      </c>
      <c r="Q3" s="121" t="s">
        <v>156</v>
      </c>
      <c r="R3" s="121" t="s">
        <v>154</v>
      </c>
      <c r="T3" s="121" t="s">
        <v>10</v>
      </c>
      <c r="U3" s="121" t="s">
        <v>151</v>
      </c>
      <c r="V3" s="121" t="s">
        <v>156</v>
      </c>
      <c r="W3" s="121" t="s">
        <v>157</v>
      </c>
      <c r="X3" s="121"/>
      <c r="Y3" s="121" t="s">
        <v>158</v>
      </c>
      <c r="Z3" s="121" t="s">
        <v>156</v>
      </c>
      <c r="AA3" s="121" t="s">
        <v>154</v>
      </c>
      <c r="AC3" s="121" t="s">
        <v>10</v>
      </c>
      <c r="AD3" s="121" t="s">
        <v>151</v>
      </c>
      <c r="AE3" s="121" t="s">
        <v>165</v>
      </c>
      <c r="AF3" s="121" t="s">
        <v>181</v>
      </c>
      <c r="AG3" s="121" t="s">
        <v>154</v>
      </c>
      <c r="AK3" s="121" t="s">
        <v>10</v>
      </c>
      <c r="AL3" s="121" t="s">
        <v>151</v>
      </c>
      <c r="AM3" s="121" t="s">
        <v>165</v>
      </c>
      <c r="AN3" s="121" t="s">
        <v>181</v>
      </c>
      <c r="AO3" s="121" t="s">
        <v>154</v>
      </c>
    </row>
    <row r="4" spans="2:41">
      <c r="B4" s="122"/>
      <c r="C4" s="122" t="s">
        <v>101</v>
      </c>
      <c r="D4" s="122" t="s">
        <v>102</v>
      </c>
      <c r="E4" s="122" t="s">
        <v>159</v>
      </c>
      <c r="F4" s="122"/>
      <c r="G4" s="122" t="s">
        <v>109</v>
      </c>
      <c r="H4" s="122" t="s">
        <v>160</v>
      </c>
      <c r="I4" s="122" t="s">
        <v>161</v>
      </c>
      <c r="K4" s="122"/>
      <c r="L4" s="122" t="s">
        <v>101</v>
      </c>
      <c r="M4" s="122" t="s">
        <v>102</v>
      </c>
      <c r="N4" s="122" t="s">
        <v>159</v>
      </c>
      <c r="O4" s="122"/>
      <c r="P4" s="122" t="s">
        <v>109</v>
      </c>
      <c r="Q4" s="122" t="s">
        <v>160</v>
      </c>
      <c r="R4" s="122" t="s">
        <v>161</v>
      </c>
      <c r="T4" s="122"/>
      <c r="U4" s="122" t="s">
        <v>101</v>
      </c>
      <c r="V4" s="122" t="s">
        <v>102</v>
      </c>
      <c r="W4" s="122" t="s">
        <v>159</v>
      </c>
      <c r="X4" s="122"/>
      <c r="Y4" s="122" t="s">
        <v>109</v>
      </c>
      <c r="Z4" s="122" t="s">
        <v>160</v>
      </c>
      <c r="AA4" s="122" t="s">
        <v>161</v>
      </c>
      <c r="AC4" s="122"/>
      <c r="AD4" s="122" t="s">
        <v>101</v>
      </c>
      <c r="AE4" s="122" t="s">
        <v>102</v>
      </c>
      <c r="AF4" s="122" t="s">
        <v>182</v>
      </c>
      <c r="AG4" s="122" t="s">
        <v>183</v>
      </c>
      <c r="AK4" s="122"/>
      <c r="AL4" s="122" t="s">
        <v>101</v>
      </c>
      <c r="AM4" s="122" t="s">
        <v>102</v>
      </c>
      <c r="AN4" s="122" t="s">
        <v>182</v>
      </c>
      <c r="AO4" s="122" t="s">
        <v>183</v>
      </c>
    </row>
    <row r="5" spans="2:41">
      <c r="B5" s="123">
        <v>2012</v>
      </c>
      <c r="C5" s="124">
        <f>SUMIFS(Dataset!$D:$D,Dataset!$B:$B,'Normalized Annual Summary'!B5)</f>
        <v>116167786.81549217</v>
      </c>
      <c r="D5" s="124">
        <f>SUMIFS(Dataset!$E:$E,Dataset!$B:$B,'Normalized Annual Summary'!B5)</f>
        <v>91399.184067473849</v>
      </c>
      <c r="E5" s="124">
        <f t="shared" ref="E5:E13" si="0">C5+D5</f>
        <v>116259185.99955964</v>
      </c>
      <c r="F5" s="124"/>
      <c r="G5" s="124">
        <f ca="1">SUMIFS('Residential Normalized'!$U:$U,'Residential Normalized'!$B:$B,'Normalized Annual Summary'!B5)</f>
        <v>117736700.26841311</v>
      </c>
      <c r="H5" s="124">
        <f t="shared" ref="H5:H13" si="1">D5</f>
        <v>91399.184067473849</v>
      </c>
      <c r="I5" s="124">
        <f t="shared" ref="I5:I13" ca="1" si="2">G5-H5</f>
        <v>117645301.08434564</v>
      </c>
      <c r="K5" s="123">
        <v>2012</v>
      </c>
      <c r="L5" s="124">
        <f>SUMIFS(Dataset!$G:$G,Dataset!$B:$B,'Normalized Annual Summary'!K5)</f>
        <v>46982247.802737318</v>
      </c>
      <c r="M5" s="124">
        <f>SUMIFS(Dataset!$H:$H,Dataset!$B:$B,'Normalized Annual Summary'!K5)</f>
        <v>318708.11067336192</v>
      </c>
      <c r="N5" s="124">
        <f t="shared" ref="N5:N13" si="3">L5+M5</f>
        <v>47300955.913410679</v>
      </c>
      <c r="O5" s="124"/>
      <c r="P5" s="124">
        <f ca="1">SUMIFS('GSlt50 Normalized'!$Q:$Q,'GSlt50 Normalized'!$B:$B,'Normalized Annual Summary'!K5)</f>
        <v>49276458.480615273</v>
      </c>
      <c r="Q5" s="124">
        <f t="shared" ref="Q5:Q13" si="4">M5</f>
        <v>318708.11067336192</v>
      </c>
      <c r="R5" s="124">
        <f t="shared" ref="R5:R13" ca="1" si="5">P5-Q5</f>
        <v>48957750.369941913</v>
      </c>
      <c r="T5" s="123">
        <v>2012</v>
      </c>
      <c r="U5" s="124">
        <f>SUMIFS(Dataset!$J:$J,Dataset!$B:$B,'Normalized Annual Summary'!T5)</f>
        <v>135049591.48066023</v>
      </c>
      <c r="V5" s="124">
        <f>SUMIFS(Dataset!$K:$K,Dataset!$B:$B,'Normalized Annual Summary'!T5)</f>
        <v>450082.21967363474</v>
      </c>
      <c r="W5" s="124">
        <f t="shared" ref="W5:W13" si="6">U5+V5</f>
        <v>135499673.70033386</v>
      </c>
      <c r="X5" s="124"/>
      <c r="Y5" s="124">
        <f ca="1">SUMIFS('GSgt50 Normalized'!$U:$U,'GSgt50 Normalized'!$B:$B,'Normalized Annual Summary'!T5)</f>
        <v>134850965.27550825</v>
      </c>
      <c r="Z5" s="124">
        <f t="shared" ref="Z5:Z13" si="7">V5</f>
        <v>450082.21967363474</v>
      </c>
      <c r="AA5" s="124">
        <f t="shared" ref="AA5:AA13" ca="1" si="8">Y5-Z5</f>
        <v>134400883.05583462</v>
      </c>
      <c r="AC5" s="123">
        <v>2012</v>
      </c>
      <c r="AD5" s="124">
        <f>SUMIFS(Dataset!$M:$M,Dataset!$B:$B,'Normalized Annual Summary'!AC5)</f>
        <v>2183242.595704949</v>
      </c>
      <c r="AE5" s="124">
        <f>'Customer Count'!O4</f>
        <v>3018</v>
      </c>
      <c r="AF5" s="124">
        <f t="shared" ref="AF5:AF13" si="9">AD5/AE5</f>
        <v>723.40708936545695</v>
      </c>
      <c r="AG5" s="124">
        <f t="shared" ref="AG5:AG16" si="10">AF5*AE5</f>
        <v>2183242.595704949</v>
      </c>
      <c r="AK5" s="123">
        <v>2012</v>
      </c>
      <c r="AL5" s="124">
        <f>SUMIFS(Dataset!$N:$N,Dataset!$B:$B,'Normalized Annual Summary'!AK5)</f>
        <v>415833.05578056216</v>
      </c>
      <c r="AM5" s="124">
        <f>'Customer Count'!S4</f>
        <v>30</v>
      </c>
      <c r="AN5" s="124">
        <f t="shared" ref="AN5:AN13" si="11">AL5/AM5</f>
        <v>13861.101859352073</v>
      </c>
      <c r="AO5" s="124">
        <f t="shared" ref="AO5:AO16" si="12">AN5*AM5</f>
        <v>415833.05578056216</v>
      </c>
    </row>
    <row r="6" spans="2:41">
      <c r="B6" s="123">
        <f t="shared" ref="B6:B20" si="13">B5+1</f>
        <v>2013</v>
      </c>
      <c r="C6" s="124">
        <f>SUMIFS(Dataset!$D:$D,Dataset!$B:$B,'Normalized Annual Summary'!B6)</f>
        <v>121392228.07849385</v>
      </c>
      <c r="D6" s="124">
        <f>SUMIFS(Dataset!$E:$E,Dataset!$B:$B,'Normalized Annual Summary'!B6)</f>
        <v>275682.3715457517</v>
      </c>
      <c r="E6" s="124">
        <f t="shared" si="0"/>
        <v>121667910.4500396</v>
      </c>
      <c r="F6" s="124"/>
      <c r="G6" s="124">
        <f ca="1">SUMIFS('Residential Normalized'!$U:$U,'Residential Normalized'!$B:$B,'Normalized Annual Summary'!B6)</f>
        <v>119675281.45823276</v>
      </c>
      <c r="H6" s="124">
        <f t="shared" si="1"/>
        <v>275682.3715457517</v>
      </c>
      <c r="I6" s="124">
        <f t="shared" ca="1" si="2"/>
        <v>119399599.08668701</v>
      </c>
      <c r="K6" s="123">
        <f t="shared" ref="K6:K20" si="14">K5+1</f>
        <v>2013</v>
      </c>
      <c r="L6" s="124">
        <f>SUMIFS(Dataset!$G:$G,Dataset!$B:$B,'Normalized Annual Summary'!K6)</f>
        <v>48155224.007803261</v>
      </c>
      <c r="M6" s="124">
        <f>SUMIFS(Dataset!$H:$H,Dataset!$B:$B,'Normalized Annual Summary'!K6)</f>
        <v>1034472.771101937</v>
      </c>
      <c r="N6" s="124">
        <f t="shared" si="3"/>
        <v>49189696.778905198</v>
      </c>
      <c r="O6" s="124"/>
      <c r="P6" s="124">
        <f ca="1">SUMIFS('GSlt50 Normalized'!$Q:$Q,'GSlt50 Normalized'!$B:$B,'Normalized Annual Summary'!K6)</f>
        <v>49179520.202333987</v>
      </c>
      <c r="Q6" s="124">
        <f t="shared" si="4"/>
        <v>1034472.771101937</v>
      </c>
      <c r="R6" s="124">
        <f t="shared" ca="1" si="5"/>
        <v>48145047.43123205</v>
      </c>
      <c r="T6" s="123">
        <f t="shared" ref="T6:T20" si="15">T5+1</f>
        <v>2013</v>
      </c>
      <c r="U6" s="124">
        <f>SUMIFS(Dataset!$J:$J,Dataset!$B:$B,'Normalized Annual Summary'!T6)</f>
        <v>117856754.09007391</v>
      </c>
      <c r="V6" s="124">
        <f>SUMIFS(Dataset!$K:$K,Dataset!$B:$B,'Normalized Annual Summary'!T6)</f>
        <v>1203803.7166887424</v>
      </c>
      <c r="W6" s="124">
        <f t="shared" si="6"/>
        <v>119060557.80676265</v>
      </c>
      <c r="X6" s="124"/>
      <c r="Y6" s="124">
        <f ca="1">SUMIFS('GSgt50 Normalized'!$U:$U,'GSgt50 Normalized'!$B:$B,'Normalized Annual Summary'!T6)</f>
        <v>121452666.37901162</v>
      </c>
      <c r="Z6" s="124">
        <f t="shared" si="7"/>
        <v>1203803.7166887424</v>
      </c>
      <c r="AA6" s="124">
        <f t="shared" ca="1" si="8"/>
        <v>120248862.66232288</v>
      </c>
      <c r="AC6" s="123">
        <f t="shared" ref="AC6:AC20" si="16">AC5+1</f>
        <v>2013</v>
      </c>
      <c r="AD6" s="124">
        <f>SUMIFS(Dataset!$M:$M,Dataset!$B:$B,'Normalized Annual Summary'!AC6)</f>
        <v>2179269.1623746273</v>
      </c>
      <c r="AE6" s="124">
        <f>'Customer Count'!O5</f>
        <v>3064.75</v>
      </c>
      <c r="AF6" s="124">
        <f t="shared" si="9"/>
        <v>711.07567089473116</v>
      </c>
      <c r="AG6" s="124">
        <f t="shared" si="10"/>
        <v>2179269.1623746273</v>
      </c>
      <c r="AK6" s="123">
        <f t="shared" ref="AK6:AK20" si="17">AK5+1</f>
        <v>2013</v>
      </c>
      <c r="AL6" s="124">
        <f>SUMIFS(Dataset!$N:$N,Dataset!$B:$B,'Normalized Annual Summary'!AK6)</f>
        <v>421513.74468586105</v>
      </c>
      <c r="AM6" s="124">
        <f>'Customer Count'!S5</f>
        <v>30.833333333333332</v>
      </c>
      <c r="AN6" s="124">
        <f t="shared" si="11"/>
        <v>13670.716043865765</v>
      </c>
      <c r="AO6" s="124">
        <f t="shared" si="12"/>
        <v>421513.74468586105</v>
      </c>
    </row>
    <row r="7" spans="2:41">
      <c r="B7" s="123">
        <f t="shared" si="13"/>
        <v>2014</v>
      </c>
      <c r="C7" s="124">
        <f>SUMIFS(Dataset!$D:$D,Dataset!$B:$B,'Normalized Annual Summary'!B7)</f>
        <v>122734566.43645296</v>
      </c>
      <c r="D7" s="124">
        <f>SUMIFS(Dataset!$E:$E,Dataset!$B:$B,'Normalized Annual Summary'!B7)</f>
        <v>684035.39877995709</v>
      </c>
      <c r="E7" s="124">
        <f t="shared" si="0"/>
        <v>123418601.83523291</v>
      </c>
      <c r="F7" s="124"/>
      <c r="G7" s="124">
        <f ca="1">SUMIFS('Residential Normalized'!$U:$U,'Residential Normalized'!$B:$B,'Normalized Annual Summary'!B7)</f>
        <v>120840872.70824401</v>
      </c>
      <c r="H7" s="124">
        <f t="shared" si="1"/>
        <v>684035.39877995709</v>
      </c>
      <c r="I7" s="124">
        <f t="shared" ca="1" si="2"/>
        <v>120156837.30946405</v>
      </c>
      <c r="K7" s="123">
        <f t="shared" si="14"/>
        <v>2014</v>
      </c>
      <c r="L7" s="124">
        <f>SUMIFS(Dataset!$G:$G,Dataset!$B:$B,'Normalized Annual Summary'!K7)</f>
        <v>47539952.04416579</v>
      </c>
      <c r="M7" s="124">
        <f>SUMIFS(Dataset!$H:$H,Dataset!$B:$B,'Normalized Annual Summary'!K7)</f>
        <v>2039315.5157642046</v>
      </c>
      <c r="N7" s="124">
        <f t="shared" si="3"/>
        <v>49579267.559929997</v>
      </c>
      <c r="O7" s="124"/>
      <c r="P7" s="124">
        <f ca="1">SUMIFS('GSlt50 Normalized'!$Q:$Q,'GSlt50 Normalized'!$B:$B,'Normalized Annual Summary'!K7)</f>
        <v>49179520.202333987</v>
      </c>
      <c r="Q7" s="124">
        <f t="shared" si="4"/>
        <v>2039315.5157642046</v>
      </c>
      <c r="R7" s="124">
        <f t="shared" ca="1" si="5"/>
        <v>47140204.68656978</v>
      </c>
      <c r="T7" s="123">
        <f t="shared" si="15"/>
        <v>2014</v>
      </c>
      <c r="U7" s="124">
        <f>SUMIFS(Dataset!$J:$J,Dataset!$B:$B,'Normalized Annual Summary'!T7)</f>
        <v>118492869.73550032</v>
      </c>
      <c r="V7" s="124">
        <f>SUMIFS(Dataset!$K:$K,Dataset!$B:$B,'Normalized Annual Summary'!T7)</f>
        <v>1774172.9888768324</v>
      </c>
      <c r="W7" s="124">
        <f t="shared" si="6"/>
        <v>120267042.72437716</v>
      </c>
      <c r="X7" s="124"/>
      <c r="Y7" s="124">
        <f ca="1">SUMIFS('GSgt50 Normalized'!$U:$U,'GSgt50 Normalized'!$B:$B,'Normalized Annual Summary'!T7)</f>
        <v>123532069.45279635</v>
      </c>
      <c r="Z7" s="124">
        <f t="shared" si="7"/>
        <v>1774172.9888768324</v>
      </c>
      <c r="AA7" s="124">
        <f t="shared" ca="1" si="8"/>
        <v>121757896.46391952</v>
      </c>
      <c r="AC7" s="123">
        <f t="shared" si="16"/>
        <v>2014</v>
      </c>
      <c r="AD7" s="124">
        <f>SUMIFS(Dataset!$M:$M,Dataset!$B:$B,'Normalized Annual Summary'!AC7)</f>
        <v>2180854.5378151261</v>
      </c>
      <c r="AE7" s="124">
        <f>'Customer Count'!O6</f>
        <v>3069</v>
      </c>
      <c r="AF7" s="124">
        <f t="shared" si="9"/>
        <v>710.60753920336469</v>
      </c>
      <c r="AG7" s="124">
        <f t="shared" si="10"/>
        <v>2180854.5378151261</v>
      </c>
      <c r="AK7" s="123">
        <f t="shared" si="17"/>
        <v>2014</v>
      </c>
      <c r="AL7" s="124">
        <f>SUMIFS(Dataset!$N:$N,Dataset!$B:$B,'Normalized Annual Summary'!AK7)</f>
        <v>418633.19677978713</v>
      </c>
      <c r="AM7" s="124">
        <f>'Customer Count'!S6</f>
        <v>31.25</v>
      </c>
      <c r="AN7" s="124">
        <f t="shared" si="11"/>
        <v>13396.262296953188</v>
      </c>
      <c r="AO7" s="124">
        <f t="shared" si="12"/>
        <v>418633.19677978713</v>
      </c>
    </row>
    <row r="8" spans="2:41">
      <c r="B8" s="123">
        <f t="shared" si="13"/>
        <v>2015</v>
      </c>
      <c r="C8" s="124">
        <f>SUMIFS(Dataset!$D:$D,Dataset!$B:$B,'Normalized Annual Summary'!B8)</f>
        <v>120270467.35534467</v>
      </c>
      <c r="D8" s="124">
        <f>SUMIFS(Dataset!$E:$E,Dataset!$B:$B,'Normalized Annual Summary'!B8)</f>
        <v>1232498.9568600545</v>
      </c>
      <c r="E8" s="124">
        <f t="shared" si="0"/>
        <v>121502966.31220472</v>
      </c>
      <c r="F8" s="124"/>
      <c r="G8" s="124">
        <f ca="1">SUMIFS('Residential Normalized'!$U:$U,'Residential Normalized'!$B:$B,'Normalized Annual Summary'!B8)</f>
        <v>122067599.87076657</v>
      </c>
      <c r="H8" s="124">
        <f t="shared" si="1"/>
        <v>1232498.9568600545</v>
      </c>
      <c r="I8" s="124">
        <f t="shared" ca="1" si="2"/>
        <v>120835100.91390651</v>
      </c>
      <c r="K8" s="123">
        <f t="shared" si="14"/>
        <v>2015</v>
      </c>
      <c r="L8" s="124">
        <f>SUMIFS(Dataset!$G:$G,Dataset!$B:$B,'Normalized Annual Summary'!K8)</f>
        <v>45974372.866249599</v>
      </c>
      <c r="M8" s="124">
        <f>SUMIFS(Dataset!$H:$H,Dataset!$B:$B,'Normalized Annual Summary'!K8)</f>
        <v>2861281.7595750988</v>
      </c>
      <c r="N8" s="124">
        <f t="shared" si="3"/>
        <v>48835654.625824697</v>
      </c>
      <c r="O8" s="124"/>
      <c r="P8" s="124">
        <f ca="1">SUMIFS('GSlt50 Normalized'!$Q:$Q,'GSlt50 Normalized'!$B:$B,'Normalized Annual Summary'!K8)</f>
        <v>49179520.202333987</v>
      </c>
      <c r="Q8" s="124">
        <f t="shared" si="4"/>
        <v>2861281.7595750988</v>
      </c>
      <c r="R8" s="124">
        <f t="shared" ca="1" si="5"/>
        <v>46318238.442758888</v>
      </c>
      <c r="T8" s="123">
        <f t="shared" si="15"/>
        <v>2015</v>
      </c>
      <c r="U8" s="124">
        <f>SUMIFS(Dataset!$J:$J,Dataset!$B:$B,'Normalized Annual Summary'!T8)</f>
        <v>125361860.30083103</v>
      </c>
      <c r="V8" s="124">
        <f>SUMIFS(Dataset!$K:$K,Dataset!$B:$B,'Normalized Annual Summary'!T8)</f>
        <v>2416176.7425917615</v>
      </c>
      <c r="W8" s="124">
        <f t="shared" si="6"/>
        <v>127778037.0434228</v>
      </c>
      <c r="X8" s="124"/>
      <c r="Y8" s="124">
        <f ca="1">SUMIFS('GSgt50 Normalized'!$U:$U,'GSgt50 Normalized'!$B:$B,'Normalized Annual Summary'!T8)</f>
        <v>125820219.82652412</v>
      </c>
      <c r="Z8" s="124">
        <f t="shared" si="7"/>
        <v>2416176.7425917615</v>
      </c>
      <c r="AA8" s="124">
        <f t="shared" ca="1" si="8"/>
        <v>123404043.08393236</v>
      </c>
      <c r="AC8" s="123">
        <f t="shared" si="16"/>
        <v>2015</v>
      </c>
      <c r="AD8" s="124">
        <f>SUMIFS(Dataset!$M:$M,Dataset!$B:$B,'Normalized Annual Summary'!AC8)</f>
        <v>2184356.0317460322</v>
      </c>
      <c r="AE8" s="124">
        <f>'Customer Count'!O7</f>
        <v>3018</v>
      </c>
      <c r="AF8" s="124">
        <f t="shared" si="9"/>
        <v>723.77602112194575</v>
      </c>
      <c r="AG8" s="124">
        <f t="shared" si="10"/>
        <v>2184356.0317460322</v>
      </c>
      <c r="AK8" s="123">
        <f t="shared" si="17"/>
        <v>2015</v>
      </c>
      <c r="AL8" s="124">
        <f>SUMIFS(Dataset!$N:$N,Dataset!$B:$B,'Normalized Annual Summary'!AK8)</f>
        <v>399799.029278378</v>
      </c>
      <c r="AM8" s="124">
        <f>'Customer Count'!S7</f>
        <v>30.5</v>
      </c>
      <c r="AN8" s="124">
        <f t="shared" si="11"/>
        <v>13108.164894373049</v>
      </c>
      <c r="AO8" s="124">
        <f t="shared" si="12"/>
        <v>399799.029278378</v>
      </c>
    </row>
    <row r="9" spans="2:41">
      <c r="B9" s="123">
        <f t="shared" si="13"/>
        <v>2016</v>
      </c>
      <c r="C9" s="124">
        <f>SUMIFS(Dataset!$D:$D,Dataset!$B:$B,'Normalized Annual Summary'!B9)</f>
        <v>119372519.11609088</v>
      </c>
      <c r="D9" s="124">
        <f>SUMIFS(Dataset!$E:$E,Dataset!$B:$B,'Normalized Annual Summary'!B9)</f>
        <v>2380443.4985395754</v>
      </c>
      <c r="E9" s="124">
        <f t="shared" si="0"/>
        <v>121752962.61463046</v>
      </c>
      <c r="F9" s="124"/>
      <c r="G9" s="124">
        <f ca="1">SUMIFS('Residential Normalized'!$U:$U,'Residential Normalized'!$B:$B,'Normalized Annual Summary'!B9)</f>
        <v>124063097.94725022</v>
      </c>
      <c r="H9" s="124">
        <f t="shared" si="1"/>
        <v>2380443.4985395754</v>
      </c>
      <c r="I9" s="124">
        <f t="shared" ca="1" si="2"/>
        <v>121682654.44871064</v>
      </c>
      <c r="K9" s="123">
        <f t="shared" si="14"/>
        <v>2016</v>
      </c>
      <c r="L9" s="124">
        <f>SUMIFS(Dataset!$G:$G,Dataset!$B:$B,'Normalized Annual Summary'!K9)</f>
        <v>46723063.147793487</v>
      </c>
      <c r="M9" s="124">
        <f>SUMIFS(Dataset!$H:$H,Dataset!$B:$B,'Normalized Annual Summary'!K9)</f>
        <v>2961943.0378775024</v>
      </c>
      <c r="N9" s="124">
        <f t="shared" si="3"/>
        <v>49685006.185670987</v>
      </c>
      <c r="O9" s="124"/>
      <c r="P9" s="124">
        <f ca="1">SUMIFS('GSlt50 Normalized'!$Q:$Q,'GSlt50 Normalized'!$B:$B,'Normalized Annual Summary'!K9)</f>
        <v>49276458.480615273</v>
      </c>
      <c r="Q9" s="124">
        <f t="shared" si="4"/>
        <v>2961943.0378775024</v>
      </c>
      <c r="R9" s="124">
        <f t="shared" ca="1" si="5"/>
        <v>46314515.442737773</v>
      </c>
      <c r="T9" s="123">
        <f t="shared" si="15"/>
        <v>2016</v>
      </c>
      <c r="U9" s="124">
        <f>SUMIFS(Dataset!$J:$J,Dataset!$B:$B,'Normalized Annual Summary'!T9)</f>
        <v>129434913.97257897</v>
      </c>
      <c r="V9" s="124">
        <f>SUMIFS(Dataset!$K:$K,Dataset!$B:$B,'Normalized Annual Summary'!T9)</f>
        <v>3069717.8755852287</v>
      </c>
      <c r="W9" s="124">
        <f t="shared" si="6"/>
        <v>132504631.8481642</v>
      </c>
      <c r="X9" s="124"/>
      <c r="Y9" s="124">
        <f ca="1">SUMIFS('GSgt50 Normalized'!$U:$U,'GSgt50 Normalized'!$B:$B,'Normalized Annual Summary'!T9)</f>
        <v>128056242.18403591</v>
      </c>
      <c r="Z9" s="124">
        <f t="shared" si="7"/>
        <v>3069717.8755852287</v>
      </c>
      <c r="AA9" s="124">
        <f t="shared" ca="1" si="8"/>
        <v>124986524.30845068</v>
      </c>
      <c r="AC9" s="123">
        <f t="shared" si="16"/>
        <v>2016</v>
      </c>
      <c r="AD9" s="124">
        <f>SUMIFS(Dataset!$M:$M,Dataset!$B:$B,'Normalized Annual Summary'!AC9)</f>
        <v>2060755.9669889463</v>
      </c>
      <c r="AE9" s="124">
        <f>'Customer Count'!O8</f>
        <v>3064.75</v>
      </c>
      <c r="AF9" s="124">
        <f t="shared" si="9"/>
        <v>672.40589509387269</v>
      </c>
      <c r="AG9" s="124">
        <f t="shared" si="10"/>
        <v>2060755.9669889463</v>
      </c>
      <c r="AK9" s="123">
        <f t="shared" si="17"/>
        <v>2016</v>
      </c>
      <c r="AL9" s="124">
        <f>SUMIFS(Dataset!$N:$N,Dataset!$B:$B,'Normalized Annual Summary'!AK9)</f>
        <v>399176.44803727948</v>
      </c>
      <c r="AM9" s="124">
        <f>'Customer Count'!S8</f>
        <v>30</v>
      </c>
      <c r="AN9" s="124">
        <f t="shared" si="11"/>
        <v>13305.881601242649</v>
      </c>
      <c r="AO9" s="124">
        <f t="shared" si="12"/>
        <v>399176.44803727948</v>
      </c>
    </row>
    <row r="10" spans="2:41">
      <c r="B10" s="123">
        <f t="shared" si="13"/>
        <v>2017</v>
      </c>
      <c r="C10" s="124">
        <f>SUMIFS(Dataset!$D:$D,Dataset!$B:$B,'Normalized Annual Summary'!B10)</f>
        <v>116589912.08884086</v>
      </c>
      <c r="D10" s="124">
        <f>SUMIFS(Dataset!$E:$E,Dataset!$B:$B,'Normalized Annual Summary'!B10)</f>
        <v>5089987.7237613462</v>
      </c>
      <c r="E10" s="124">
        <f t="shared" si="0"/>
        <v>121679899.81260221</v>
      </c>
      <c r="F10" s="124"/>
      <c r="G10" s="124">
        <f ca="1">SUMIFS('Residential Normalized'!$U:$U,'Residential Normalized'!$B:$B,'Normalized Annual Summary'!B10)</f>
        <v>126135977.69898002</v>
      </c>
      <c r="H10" s="124">
        <f t="shared" si="1"/>
        <v>5089987.7237613462</v>
      </c>
      <c r="I10" s="124">
        <f t="shared" ca="1" si="2"/>
        <v>121045989.97521867</v>
      </c>
      <c r="K10" s="123">
        <f t="shared" si="14"/>
        <v>2017</v>
      </c>
      <c r="L10" s="124">
        <f>SUMIFS(Dataset!$G:$G,Dataset!$B:$B,'Normalized Annual Summary'!K10)</f>
        <v>45198527.697477043</v>
      </c>
      <c r="M10" s="124">
        <f>SUMIFS(Dataset!$H:$H,Dataset!$B:$B,'Normalized Annual Summary'!K10)</f>
        <v>2995907.4926296645</v>
      </c>
      <c r="N10" s="124">
        <f t="shared" si="3"/>
        <v>48194435.190106705</v>
      </c>
      <c r="O10" s="124"/>
      <c r="P10" s="124">
        <f ca="1">SUMIFS('GSlt50 Normalized'!$Q:$Q,'GSlt50 Normalized'!$B:$B,'Normalized Annual Summary'!K10)</f>
        <v>49179520.202333987</v>
      </c>
      <c r="Q10" s="124">
        <f t="shared" si="4"/>
        <v>2995907.4926296645</v>
      </c>
      <c r="R10" s="124">
        <f t="shared" ca="1" si="5"/>
        <v>46183612.709704325</v>
      </c>
      <c r="T10" s="123">
        <f t="shared" si="15"/>
        <v>2017</v>
      </c>
      <c r="U10" s="124">
        <f>SUMIFS(Dataset!$J:$J,Dataset!$B:$B,'Normalized Annual Summary'!T10)</f>
        <v>125361028.46165898</v>
      </c>
      <c r="V10" s="124">
        <f>SUMIFS(Dataset!$K:$K,Dataset!$B:$B,'Normalized Annual Summary'!T10)</f>
        <v>4343071.9883193905</v>
      </c>
      <c r="W10" s="124">
        <f t="shared" si="6"/>
        <v>129704100.44997838</v>
      </c>
      <c r="X10" s="124"/>
      <c r="Y10" s="124">
        <f ca="1">SUMIFS('GSgt50 Normalized'!$U:$U,'GSgt50 Normalized'!$B:$B,'Normalized Annual Summary'!T10)</f>
        <v>130300608.59361675</v>
      </c>
      <c r="Z10" s="124">
        <f t="shared" si="7"/>
        <v>4343071.9883193905</v>
      </c>
      <c r="AA10" s="124">
        <f t="shared" ca="1" si="8"/>
        <v>125957536.60529736</v>
      </c>
      <c r="AC10" s="123">
        <f t="shared" si="16"/>
        <v>2017</v>
      </c>
      <c r="AD10" s="124">
        <f>SUMIFS(Dataset!$M:$M,Dataset!$B:$B,'Normalized Annual Summary'!AC10)</f>
        <v>1230929.4006204633</v>
      </c>
      <c r="AE10" s="124">
        <f>'Customer Count'!O9</f>
        <v>3069</v>
      </c>
      <c r="AF10" s="124">
        <f t="shared" si="9"/>
        <v>401.08484868701964</v>
      </c>
      <c r="AG10" s="124">
        <f t="shared" si="10"/>
        <v>1230929.4006204633</v>
      </c>
      <c r="AK10" s="123">
        <f t="shared" si="17"/>
        <v>2017</v>
      </c>
      <c r="AL10" s="124">
        <f>SUMIFS(Dataset!$N:$N,Dataset!$B:$B,'Normalized Annual Summary'!AK10)</f>
        <v>400116.31481612264</v>
      </c>
      <c r="AM10" s="124">
        <f>'Customer Count'!S9</f>
        <v>30</v>
      </c>
      <c r="AN10" s="124">
        <f t="shared" si="11"/>
        <v>13337.210493870754</v>
      </c>
      <c r="AO10" s="124">
        <f t="shared" si="12"/>
        <v>400116.31481612264</v>
      </c>
    </row>
    <row r="11" spans="2:41">
      <c r="B11" s="123">
        <f t="shared" si="13"/>
        <v>2018</v>
      </c>
      <c r="C11" s="124">
        <f>SUMIFS(Dataset!$D:$D,Dataset!$B:$B,'Normalized Annual Summary'!B11)</f>
        <v>127042388.53964818</v>
      </c>
      <c r="D11" s="124">
        <f>SUMIFS(Dataset!$E:$E,Dataset!$B:$B,'Normalized Annual Summary'!B11)</f>
        <v>6903258.3815914588</v>
      </c>
      <c r="E11" s="124">
        <f t="shared" si="0"/>
        <v>133945646.92123963</v>
      </c>
      <c r="F11" s="124"/>
      <c r="G11" s="124">
        <f ca="1">SUMIFS('Residential Normalized'!$U:$U,'Residential Normalized'!$B:$B,'Normalized Annual Summary'!B11)</f>
        <v>128491881.82482675</v>
      </c>
      <c r="H11" s="124">
        <f t="shared" si="1"/>
        <v>6903258.3815914588</v>
      </c>
      <c r="I11" s="124">
        <f t="shared" ca="1" si="2"/>
        <v>121588623.44323529</v>
      </c>
      <c r="K11" s="123">
        <f t="shared" si="14"/>
        <v>2018</v>
      </c>
      <c r="L11" s="124">
        <f>SUMIFS(Dataset!$G:$G,Dataset!$B:$B,'Normalized Annual Summary'!K11)</f>
        <v>47162012.796490081</v>
      </c>
      <c r="M11" s="124">
        <f>SUMIFS(Dataset!$H:$H,Dataset!$B:$B,'Normalized Annual Summary'!K11)</f>
        <v>3158722.0054270332</v>
      </c>
      <c r="N11" s="124">
        <f t="shared" si="3"/>
        <v>50320734.801917113</v>
      </c>
      <c r="O11" s="124"/>
      <c r="P11" s="124">
        <f ca="1">SUMIFS('GSlt50 Normalized'!$Q:$Q,'GSlt50 Normalized'!$B:$B,'Normalized Annual Summary'!K11)</f>
        <v>49179520.202333987</v>
      </c>
      <c r="Q11" s="124">
        <f t="shared" si="4"/>
        <v>3158722.0054270332</v>
      </c>
      <c r="R11" s="124">
        <f t="shared" ca="1" si="5"/>
        <v>46020798.196906954</v>
      </c>
      <c r="T11" s="123">
        <f t="shared" si="15"/>
        <v>2018</v>
      </c>
      <c r="U11" s="124">
        <f>SUMIFS(Dataset!$J:$J,Dataset!$B:$B,'Normalized Annual Summary'!T11)</f>
        <v>130990632.90670583</v>
      </c>
      <c r="V11" s="124">
        <f>SUMIFS(Dataset!$K:$K,Dataset!$B:$B,'Normalized Annual Summary'!T11)</f>
        <v>5774540.3136973651</v>
      </c>
      <c r="W11" s="124">
        <f t="shared" si="6"/>
        <v>136765173.22040319</v>
      </c>
      <c r="X11" s="124"/>
      <c r="Y11" s="124">
        <f ca="1">SUMIFS('GSgt50 Normalized'!$U:$U,'GSgt50 Normalized'!$B:$B,'Normalized Annual Summary'!T11)</f>
        <v>133007716.07802705</v>
      </c>
      <c r="Z11" s="124">
        <f t="shared" si="7"/>
        <v>5774540.3136973651</v>
      </c>
      <c r="AA11" s="124">
        <f t="shared" ca="1" si="8"/>
        <v>127233175.76432969</v>
      </c>
      <c r="AC11" s="123">
        <f t="shared" si="16"/>
        <v>2018</v>
      </c>
      <c r="AD11" s="124">
        <f>SUMIFS(Dataset!$M:$M,Dataset!$B:$B,'Normalized Annual Summary'!AC11)</f>
        <v>1204476.4371555073</v>
      </c>
      <c r="AE11" s="124">
        <f>'Customer Count'!O10</f>
        <v>3130.4166666666665</v>
      </c>
      <c r="AF11" s="124">
        <f t="shared" si="9"/>
        <v>384.76553296595472</v>
      </c>
      <c r="AG11" s="124">
        <f t="shared" si="10"/>
        <v>1204476.4371555073</v>
      </c>
      <c r="AK11" s="123">
        <f t="shared" si="17"/>
        <v>2018</v>
      </c>
      <c r="AL11" s="124">
        <f>SUMIFS(Dataset!$N:$N,Dataset!$B:$B,'Normalized Annual Summary'!AK11)</f>
        <v>397051.6081530652</v>
      </c>
      <c r="AM11" s="124">
        <f>'Customer Count'!S10</f>
        <v>30</v>
      </c>
      <c r="AN11" s="124">
        <f t="shared" si="11"/>
        <v>13235.053605102174</v>
      </c>
      <c r="AO11" s="124">
        <f t="shared" si="12"/>
        <v>397051.6081530652</v>
      </c>
    </row>
    <row r="12" spans="2:41">
      <c r="B12" s="123">
        <f t="shared" si="13"/>
        <v>2019</v>
      </c>
      <c r="C12" s="124">
        <f>SUMIFS(Dataset!$D:$D,Dataset!$B:$B,'Normalized Annual Summary'!B12)</f>
        <v>125937193.66228408</v>
      </c>
      <c r="D12" s="124">
        <f>SUMIFS(Dataset!$E:$E,Dataset!$B:$B,'Normalized Annual Summary'!B12)</f>
        <v>7269766.0551621364</v>
      </c>
      <c r="E12" s="124">
        <f t="shared" si="0"/>
        <v>133206959.71744621</v>
      </c>
      <c r="F12" s="125"/>
      <c r="G12" s="124">
        <f ca="1">SUMIFS('Residential Normalized'!$U:$U,'Residential Normalized'!$B:$B,'Normalized Annual Summary'!B12)</f>
        <v>131176516.75893116</v>
      </c>
      <c r="H12" s="124">
        <f t="shared" si="1"/>
        <v>7269766.0551621364</v>
      </c>
      <c r="I12" s="124">
        <f t="shared" ca="1" si="2"/>
        <v>123906750.70376903</v>
      </c>
      <c r="K12" s="123">
        <f t="shared" si="14"/>
        <v>2019</v>
      </c>
      <c r="L12" s="124">
        <f>SUMIFS(Dataset!$G:$G,Dataset!$B:$B,'Normalized Annual Summary'!K12)</f>
        <v>46524843.615444981</v>
      </c>
      <c r="M12" s="124">
        <f>SUMIFS(Dataset!$H:$H,Dataset!$B:$B,'Normalized Annual Summary'!K12)</f>
        <v>3248327.9361091773</v>
      </c>
      <c r="N12" s="124">
        <f t="shared" si="3"/>
        <v>49773171.551554158</v>
      </c>
      <c r="O12" s="125"/>
      <c r="P12" s="124">
        <f ca="1">SUMIFS('GSlt50 Normalized'!$Q:$Q,'GSlt50 Normalized'!$B:$B,'Normalized Annual Summary'!K12)</f>
        <v>49179520.202333987</v>
      </c>
      <c r="Q12" s="124">
        <f t="shared" si="4"/>
        <v>3248327.9361091773</v>
      </c>
      <c r="R12" s="124">
        <f t="shared" ca="1" si="5"/>
        <v>45931192.266224809</v>
      </c>
      <c r="T12" s="123">
        <f t="shared" si="15"/>
        <v>2019</v>
      </c>
      <c r="U12" s="124">
        <f>SUMIFS(Dataset!$J:$J,Dataset!$B:$B,'Normalized Annual Summary'!T12)</f>
        <v>126777959.96350293</v>
      </c>
      <c r="V12" s="124">
        <f>SUMIFS(Dataset!$K:$K,Dataset!$B:$B,'Normalized Annual Summary'!T12)</f>
        <v>6944190.6563829705</v>
      </c>
      <c r="W12" s="124">
        <f t="shared" si="6"/>
        <v>133722150.61988589</v>
      </c>
      <c r="X12" s="125"/>
      <c r="Y12" s="124">
        <f ca="1">SUMIFS('GSgt50 Normalized'!$U:$U,'GSgt50 Normalized'!$B:$B,'Normalized Annual Summary'!T12)</f>
        <v>134987733.70830715</v>
      </c>
      <c r="Z12" s="124">
        <f t="shared" si="7"/>
        <v>6944190.6563829705</v>
      </c>
      <c r="AA12" s="124">
        <f t="shared" ca="1" si="8"/>
        <v>128043543.05192417</v>
      </c>
      <c r="AC12" s="123">
        <f t="shared" si="16"/>
        <v>2019</v>
      </c>
      <c r="AD12" s="124">
        <f>SUMIFS(Dataset!$M:$M,Dataset!$B:$B,'Normalized Annual Summary'!AC12)</f>
        <v>1202687.0979789766</v>
      </c>
      <c r="AE12" s="124">
        <f>'Customer Count'!O11</f>
        <v>3250.5833333333335</v>
      </c>
      <c r="AF12" s="124">
        <f t="shared" si="9"/>
        <v>369.99115993918315</v>
      </c>
      <c r="AG12" s="124">
        <f t="shared" si="10"/>
        <v>1202687.0979789766</v>
      </c>
      <c r="AK12" s="123">
        <f t="shared" si="17"/>
        <v>2019</v>
      </c>
      <c r="AL12" s="124">
        <f>SUMIFS(Dataset!$N:$N,Dataset!$B:$B,'Normalized Annual Summary'!AK12)</f>
        <v>394004.8908583041</v>
      </c>
      <c r="AM12" s="124">
        <f>'Customer Count'!S11</f>
        <v>30</v>
      </c>
      <c r="AN12" s="124">
        <f t="shared" si="11"/>
        <v>13133.496361943469</v>
      </c>
      <c r="AO12" s="124">
        <f t="shared" si="12"/>
        <v>394004.8908583041</v>
      </c>
    </row>
    <row r="13" spans="2:41">
      <c r="B13" s="123">
        <f t="shared" si="13"/>
        <v>2020</v>
      </c>
      <c r="C13" s="124">
        <f>SUMIFS(Dataset!$D:$D,Dataset!$B:$B,'Normalized Annual Summary'!B13)</f>
        <v>134775705.68352982</v>
      </c>
      <c r="D13" s="124">
        <f>SUMIFS(Dataset!$E:$E,Dataset!$B:$B,'Normalized Annual Summary'!B13)</f>
        <v>7258555.3555044392</v>
      </c>
      <c r="E13" s="124">
        <f t="shared" si="0"/>
        <v>142034261.03903428</v>
      </c>
      <c r="F13" s="125"/>
      <c r="G13" s="124">
        <f ca="1">SUMIFS('Residential Normalized'!$U:$U,'Residential Normalized'!$B:$B,'Normalized Annual Summary'!B13)</f>
        <v>142562721.60443079</v>
      </c>
      <c r="H13" s="124">
        <f t="shared" si="1"/>
        <v>7258555.3555044392</v>
      </c>
      <c r="I13" s="124">
        <f t="shared" ca="1" si="2"/>
        <v>135304166.24892634</v>
      </c>
      <c r="K13" s="123">
        <f t="shared" si="14"/>
        <v>2020</v>
      </c>
      <c r="L13" s="124">
        <f>SUMIFS(Dataset!$G:$G,Dataset!$B:$B,'Normalized Annual Summary'!K13)</f>
        <v>42547308.685365744</v>
      </c>
      <c r="M13" s="124">
        <f>SUMIFS(Dataset!$H:$H,Dataset!$B:$B,'Normalized Annual Summary'!K13)</f>
        <v>3240659.7571163732</v>
      </c>
      <c r="N13" s="124">
        <f t="shared" si="3"/>
        <v>45787968.442482114</v>
      </c>
      <c r="O13" s="125"/>
      <c r="P13" s="124">
        <f ca="1">SUMIFS('GSlt50 Normalized'!$Q:$Q,'GSlt50 Normalized'!$B:$B,'Normalized Annual Summary'!K13)</f>
        <v>46485135.801185228</v>
      </c>
      <c r="Q13" s="124">
        <f t="shared" si="4"/>
        <v>3240659.7571163732</v>
      </c>
      <c r="R13" s="124">
        <f t="shared" ca="1" si="5"/>
        <v>43244476.044068858</v>
      </c>
      <c r="T13" s="123">
        <f t="shared" si="15"/>
        <v>2020</v>
      </c>
      <c r="U13" s="124">
        <f>SUMIFS(Dataset!$J:$J,Dataset!$B:$B,'Normalized Annual Summary'!T13)</f>
        <v>115931845.39301684</v>
      </c>
      <c r="V13" s="124">
        <f>SUMIFS(Dataset!$K:$K,Dataset!$B:$B,'Normalized Annual Summary'!T13)</f>
        <v>7626281.4571790434</v>
      </c>
      <c r="W13" s="124">
        <f t="shared" si="6"/>
        <v>123558126.85019588</v>
      </c>
      <c r="X13" s="125"/>
      <c r="Y13" s="124">
        <f ca="1">SUMIFS('GSgt50 Normalized'!$U:$U,'GSgt50 Normalized'!$B:$B,'Normalized Annual Summary'!T13)</f>
        <v>122693358.18059374</v>
      </c>
      <c r="Z13" s="124">
        <f t="shared" si="7"/>
        <v>7626281.4571790434</v>
      </c>
      <c r="AA13" s="124">
        <f t="shared" ca="1" si="8"/>
        <v>115067076.7234147</v>
      </c>
      <c r="AC13" s="123">
        <f t="shared" si="16"/>
        <v>2020</v>
      </c>
      <c r="AD13" s="124">
        <f>SUMIFS(Dataset!$M:$M,Dataset!$B:$B,'Normalized Annual Summary'!AC13)</f>
        <v>1224244.7245564894</v>
      </c>
      <c r="AE13" s="124">
        <f>'Customer Count'!O12</f>
        <v>3261</v>
      </c>
      <c r="AF13" s="124">
        <f t="shared" si="9"/>
        <v>375.42003206270755</v>
      </c>
      <c r="AG13" s="124">
        <f t="shared" si="10"/>
        <v>1224244.7245564894</v>
      </c>
      <c r="AK13" s="123">
        <f t="shared" si="17"/>
        <v>2020</v>
      </c>
      <c r="AL13" s="124">
        <f>SUMIFS(Dataset!$N:$N,Dataset!$B:$B,'Normalized Annual Summary'!AK13)</f>
        <v>396218.85414507356</v>
      </c>
      <c r="AM13" s="124">
        <f>'Customer Count'!S12</f>
        <v>30</v>
      </c>
      <c r="AN13" s="124">
        <f t="shared" si="11"/>
        <v>13207.295138169118</v>
      </c>
      <c r="AO13" s="124">
        <f t="shared" si="12"/>
        <v>396218.85414507356</v>
      </c>
    </row>
    <row r="14" spans="2:41" s="120" customFormat="1">
      <c r="B14" s="123">
        <f t="shared" si="13"/>
        <v>2021</v>
      </c>
      <c r="C14" s="124">
        <f>SUMIFS(Dataset!$D:$D,Dataset!$B:$B,'Normalized Annual Summary'!B14)</f>
        <v>136991339.41564736</v>
      </c>
      <c r="D14" s="124">
        <f>SUMIFS(Dataset!$E:$E,Dataset!$B:$B,'Normalized Annual Summary'!B14)</f>
        <v>6107492.4584778817</v>
      </c>
      <c r="E14" s="124">
        <f t="shared" ref="E14" si="18">C14+D14</f>
        <v>143098831.87412524</v>
      </c>
      <c r="F14" s="125"/>
      <c r="G14" s="124">
        <f ca="1">SUMIFS('Residential Normalized'!$U:$U,'Residential Normalized'!$B:$B,'Normalized Annual Summary'!B14)</f>
        <v>145956572.27695689</v>
      </c>
      <c r="H14" s="124">
        <f t="shared" ref="H14" si="19">D14</f>
        <v>6107492.4584778817</v>
      </c>
      <c r="I14" s="124">
        <f t="shared" ref="I14" ca="1" si="20">G14-H14</f>
        <v>139849079.818479</v>
      </c>
      <c r="J14"/>
      <c r="K14" s="123">
        <f t="shared" si="14"/>
        <v>2021</v>
      </c>
      <c r="L14" s="124">
        <f>SUMIFS(Dataset!$G:$G,Dataset!$B:$B,'Normalized Annual Summary'!K14)</f>
        <v>44543870.170515344</v>
      </c>
      <c r="M14" s="124">
        <f>SUMIFS(Dataset!$H:$H,Dataset!$B:$B,'Normalized Annual Summary'!K14)</f>
        <v>3156354.8195741256</v>
      </c>
      <c r="N14" s="124">
        <f t="shared" ref="N14" si="21">L14+M14</f>
        <v>47700224.990089469</v>
      </c>
      <c r="O14" s="125"/>
      <c r="P14" s="124">
        <f ca="1">SUMIFS('GSlt50 Normalized'!$Q:$Q,'GSlt50 Normalized'!$B:$B,'Normalized Annual Summary'!K14)</f>
        <v>46388197.522903934</v>
      </c>
      <c r="Q14" s="124">
        <f t="shared" ref="Q14" si="22">M14</f>
        <v>3156354.8195741256</v>
      </c>
      <c r="R14" s="124">
        <f t="shared" ref="R14" ca="1" si="23">P14-Q14</f>
        <v>43231842.703329809</v>
      </c>
      <c r="S14"/>
      <c r="T14" s="123">
        <f t="shared" si="15"/>
        <v>2021</v>
      </c>
      <c r="U14" s="124">
        <f>SUMIFS(Dataset!$J:$J,Dataset!$B:$B,'Normalized Annual Summary'!T14)</f>
        <v>122344797.93287337</v>
      </c>
      <c r="V14" s="124">
        <f>SUMIFS(Dataset!$K:$K,Dataset!$B:$B,'Normalized Annual Summary'!T14)</f>
        <v>7592029.2812721906</v>
      </c>
      <c r="W14" s="124">
        <f t="shared" ref="W14" si="24">U14+V14</f>
        <v>129936827.21414556</v>
      </c>
      <c r="X14" s="125"/>
      <c r="Y14" s="124">
        <f ca="1">SUMIFS('GSgt50 Normalized'!$U:$U,'GSgt50 Normalized'!$B:$B,'Normalized Annual Summary'!T14)</f>
        <v>134026208.36822575</v>
      </c>
      <c r="Z14" s="124">
        <f t="shared" ref="Z14" si="25">V14</f>
        <v>7592029.2812721906</v>
      </c>
      <c r="AA14" s="124">
        <f t="shared" ref="AA14" ca="1" si="26">Y14-Z14</f>
        <v>126434179.08695357</v>
      </c>
      <c r="AB14"/>
      <c r="AC14" s="123">
        <f t="shared" si="16"/>
        <v>2021</v>
      </c>
      <c r="AD14" s="124">
        <f>SUMIFS(Dataset!$M:$M,Dataset!$B:$B,'Normalized Annual Summary'!AC14)</f>
        <v>1221562.7077497665</v>
      </c>
      <c r="AE14" s="124">
        <f>'Customer Count'!O13</f>
        <v>3261</v>
      </c>
      <c r="AF14" s="124">
        <f t="shared" ref="AF14" si="27">AD14/AE14</f>
        <v>374.59757980673612</v>
      </c>
      <c r="AG14" s="124">
        <f t="shared" ref="AG14" si="28">AF14*AE14</f>
        <v>1221562.7077497665</v>
      </c>
      <c r="AH14"/>
      <c r="AI14"/>
      <c r="AJ14"/>
      <c r="AK14" s="123">
        <f t="shared" si="17"/>
        <v>2021</v>
      </c>
      <c r="AL14" s="124">
        <f>SUMIFS(Dataset!$N:$N,Dataset!$B:$B,'Normalized Annual Summary'!AK14)</f>
        <v>396233.27731092443</v>
      </c>
      <c r="AM14" s="124">
        <f>'Customer Count'!S13</f>
        <v>30</v>
      </c>
      <c r="AN14" s="124">
        <f t="shared" ref="AN14" si="29">AL14/AM14</f>
        <v>13207.775910364147</v>
      </c>
      <c r="AO14" s="124">
        <f t="shared" ref="AO14" si="30">AN14*AM14</f>
        <v>396233.27731092443</v>
      </c>
    </row>
    <row r="15" spans="2:41" s="120" customFormat="1">
      <c r="B15" s="126">
        <f t="shared" si="13"/>
        <v>2022</v>
      </c>
      <c r="C15" s="126"/>
      <c r="D15" s="126"/>
      <c r="E15" s="126"/>
      <c r="F15" s="126"/>
      <c r="G15" s="125">
        <f ca="1">SUMIFS('Residential Normalized'!$U:$U,'Residential Normalized'!$B:$B,'Normalized Annual Summary'!B15)</f>
        <v>143635794.54088184</v>
      </c>
      <c r="H15" s="125">
        <f>CDM!N15</f>
        <v>6099968.9477044763</v>
      </c>
      <c r="I15" s="125">
        <f ca="1">G15-H15</f>
        <v>137535825.59317738</v>
      </c>
      <c r="K15" s="126">
        <f t="shared" si="14"/>
        <v>2022</v>
      </c>
      <c r="L15" s="126"/>
      <c r="M15" s="126"/>
      <c r="N15" s="126"/>
      <c r="O15" s="126"/>
      <c r="P15" s="125">
        <f ca="1">SUMIFS('GSlt50 Normalized'!$Q:$Q,'GSlt50 Normalized'!$B:$B,'Normalized Annual Summary'!K15)</f>
        <v>47783858.86261896</v>
      </c>
      <c r="Q15" s="125">
        <f>CDM!O15</f>
        <v>3165620.7316619302</v>
      </c>
      <c r="R15" s="125">
        <f ca="1">P15-Q15</f>
        <v>44618238.13095703</v>
      </c>
      <c r="T15" s="126">
        <f t="shared" si="15"/>
        <v>2022</v>
      </c>
      <c r="U15" s="126"/>
      <c r="V15" s="126"/>
      <c r="W15" s="126"/>
      <c r="X15" s="126"/>
      <c r="Y15" s="125">
        <f ca="1">SUMIFS('GSgt50 Normalized'!$U:$U,'GSgt50 Normalized'!$B:$B,'Normalized Annual Summary'!T15)</f>
        <v>137868430.89338362</v>
      </c>
      <c r="Z15" s="125">
        <f>CDM!P15</f>
        <v>7682018.598359637</v>
      </c>
      <c r="AA15" s="125">
        <f ca="1">Y15-Z15</f>
        <v>130186412.29502398</v>
      </c>
      <c r="AC15" s="126">
        <f t="shared" si="16"/>
        <v>2022</v>
      </c>
      <c r="AD15" s="126"/>
      <c r="AE15" s="125">
        <f>'Customer Count'!O14</f>
        <v>3289.1799873601176</v>
      </c>
      <c r="AF15" s="125">
        <f>AF14</f>
        <v>374.59757980673612</v>
      </c>
      <c r="AG15" s="125">
        <f t="shared" si="10"/>
        <v>1232118.8628138509</v>
      </c>
      <c r="AK15" s="126">
        <f t="shared" si="17"/>
        <v>2022</v>
      </c>
      <c r="AL15" s="126"/>
      <c r="AM15" s="125">
        <f>'Customer Count'!S14</f>
        <v>30</v>
      </c>
      <c r="AN15" s="125">
        <f>AN14</f>
        <v>13207.775910364147</v>
      </c>
      <c r="AO15" s="125">
        <f t="shared" si="12"/>
        <v>396233.27731092443</v>
      </c>
    </row>
    <row r="16" spans="2:41" s="120" customFormat="1">
      <c r="B16" s="126">
        <f t="shared" si="13"/>
        <v>2023</v>
      </c>
      <c r="C16" s="126"/>
      <c r="D16" s="126"/>
      <c r="E16" s="126"/>
      <c r="F16" s="126"/>
      <c r="G16" s="125">
        <f ca="1">SUMIFS('Residential Normalized'!$U:$U,'Residential Normalized'!$B:$B,'Normalized Annual Summary'!B16)</f>
        <v>143771506.59321797</v>
      </c>
      <c r="H16" s="125">
        <f>CDM!N16</f>
        <v>6018185.7930549709</v>
      </c>
      <c r="I16" s="125">
        <f ca="1">G16-H16</f>
        <v>137753320.800163</v>
      </c>
      <c r="K16" s="126">
        <f t="shared" si="14"/>
        <v>2023</v>
      </c>
      <c r="L16" s="126"/>
      <c r="M16" s="126"/>
      <c r="N16" s="126"/>
      <c r="O16" s="126"/>
      <c r="P16" s="125">
        <f ca="1">SUMIFS('GSlt50 Normalized'!$Q:$Q,'GSlt50 Normalized'!$B:$B,'Normalized Annual Summary'!K16)</f>
        <v>48481689.53247647</v>
      </c>
      <c r="Q16" s="125">
        <f>CDM!O16</f>
        <v>3064989.4979821672</v>
      </c>
      <c r="R16" s="125">
        <f ca="1">P16-Q16</f>
        <v>45416700.034494303</v>
      </c>
      <c r="T16" s="126">
        <f t="shared" si="15"/>
        <v>2023</v>
      </c>
      <c r="U16" s="126"/>
      <c r="V16" s="126"/>
      <c r="W16" s="126"/>
      <c r="X16" s="126"/>
      <c r="Y16" s="125">
        <f ca="1">SUMIFS('GSgt50 Normalized'!$U:$U,'GSgt50 Normalized'!$B:$B,'Normalized Annual Summary'!T16)</f>
        <v>140883488.15416306</v>
      </c>
      <c r="Z16" s="125">
        <f>CDM!P16</f>
        <v>7575792.3741318611</v>
      </c>
      <c r="AA16" s="125">
        <f ca="1">Y16-Z16</f>
        <v>133307695.7800312</v>
      </c>
      <c r="AC16" s="126">
        <f t="shared" si="16"/>
        <v>2023</v>
      </c>
      <c r="AD16" s="126"/>
      <c r="AE16" s="125">
        <f>'Customer Count'!O15</f>
        <v>3317.6034925637241</v>
      </c>
      <c r="AF16" s="125">
        <f>AF15</f>
        <v>374.59757980673612</v>
      </c>
      <c r="AG16" s="125">
        <f t="shared" si="10"/>
        <v>1242766.2390727461</v>
      </c>
      <c r="AK16" s="126">
        <f t="shared" si="17"/>
        <v>2023</v>
      </c>
      <c r="AL16" s="126"/>
      <c r="AM16" s="125">
        <f>'Customer Count'!S15</f>
        <v>30</v>
      </c>
      <c r="AN16" s="125">
        <f>AN15</f>
        <v>13207.775910364147</v>
      </c>
      <c r="AO16" s="125">
        <f t="shared" si="12"/>
        <v>396233.27731092443</v>
      </c>
    </row>
    <row r="17" spans="2:41" s="120" customFormat="1">
      <c r="B17" s="126">
        <f t="shared" si="13"/>
        <v>2024</v>
      </c>
      <c r="C17" s="126"/>
      <c r="D17" s="126"/>
      <c r="E17" s="126"/>
      <c r="F17" s="126"/>
      <c r="G17" s="125">
        <f ca="1">SUMIFS('Residential Normalized'!$U:$U,'Residential Normalized'!$B:$B,'Normalized Annual Summary'!B17)</f>
        <v>144240722.36517152</v>
      </c>
      <c r="H17" s="125">
        <f>H16-($Z15-$Z16)</f>
        <v>5911959.5688271951</v>
      </c>
      <c r="I17" s="125">
        <f t="shared" ref="I17:I20" ca="1" si="31">G17-H17</f>
        <v>138328762.79634434</v>
      </c>
      <c r="K17" s="126">
        <f t="shared" si="14"/>
        <v>2024</v>
      </c>
      <c r="L17" s="126"/>
      <c r="M17" s="126"/>
      <c r="N17" s="126"/>
      <c r="O17" s="126"/>
      <c r="P17" s="125">
        <f ca="1">SUMIFS('GSlt50 Normalized'!$Q:$Q,'GSlt50 Normalized'!$B:$B,'Normalized Annual Summary'!K17)</f>
        <v>49276458.480615273</v>
      </c>
      <c r="Q17" s="125">
        <f>Q16-($Z15-$Z16)</f>
        <v>2958763.2737543914</v>
      </c>
      <c r="R17" s="125">
        <f t="shared" ref="R17:R20" ca="1" si="32">P17-Q17</f>
        <v>46317695.206860885</v>
      </c>
      <c r="T17" s="126">
        <f t="shared" si="15"/>
        <v>2024</v>
      </c>
      <c r="U17" s="126"/>
      <c r="V17" s="126"/>
      <c r="W17" s="126"/>
      <c r="X17" s="126"/>
      <c r="Y17" s="125">
        <f ca="1">SUMIFS('GSgt50 Normalized'!$U:$U,'GSgt50 Normalized'!$B:$B,'Normalized Annual Summary'!T17)</f>
        <v>144235378.01663116</v>
      </c>
      <c r="Z17" s="125">
        <f>Z16-($Z15-$Z16)</f>
        <v>7469566.1499040853</v>
      </c>
      <c r="AA17" s="125">
        <f t="shared" ref="AA17:AA20" ca="1" si="33">Y17-Z17</f>
        <v>136765811.86672708</v>
      </c>
      <c r="AC17" s="126">
        <f t="shared" si="16"/>
        <v>2024</v>
      </c>
      <c r="AD17" s="126"/>
      <c r="AE17" s="125">
        <f>AE16*'Customer Count'!$P$18</f>
        <v>3346.2929799879093</v>
      </c>
      <c r="AF17" s="125">
        <f t="shared" ref="AF17:AF20" si="34">AF16</f>
        <v>374.59757980673612</v>
      </c>
      <c r="AG17" s="125">
        <f t="shared" ref="AG17:AG20" si="35">AF17*AE17</f>
        <v>1253513.2516277416</v>
      </c>
      <c r="AK17" s="126">
        <f t="shared" si="17"/>
        <v>2024</v>
      </c>
      <c r="AL17" s="126"/>
      <c r="AM17" s="125">
        <f>AM16</f>
        <v>30</v>
      </c>
      <c r="AN17" s="125">
        <f t="shared" ref="AN17:AN20" si="36">AN16</f>
        <v>13207.775910364147</v>
      </c>
      <c r="AO17" s="125">
        <f t="shared" ref="AO17:AO20" si="37">AN17*AM17</f>
        <v>396233.27731092443</v>
      </c>
    </row>
    <row r="18" spans="2:41" s="120" customFormat="1">
      <c r="B18" s="126">
        <f t="shared" si="13"/>
        <v>2025</v>
      </c>
      <c r="C18" s="126"/>
      <c r="D18" s="126"/>
      <c r="E18" s="126"/>
      <c r="F18" s="126"/>
      <c r="G18" s="125">
        <f ca="1">SUMIFS('Residential Normalized'!$U:$U,'Residential Normalized'!$B:$B,'Normalized Annual Summary'!B18)</f>
        <v>146422317.86601591</v>
      </c>
      <c r="H18" s="125">
        <f t="shared" ref="H18:H20" si="38">H17-($Z16-$Z17)</f>
        <v>5805733.3445994193</v>
      </c>
      <c r="I18" s="125">
        <f t="shared" ca="1" si="31"/>
        <v>140616584.52141649</v>
      </c>
      <c r="K18" s="126">
        <f t="shared" si="14"/>
        <v>2025</v>
      </c>
      <c r="L18" s="126"/>
      <c r="M18" s="126"/>
      <c r="N18" s="126"/>
      <c r="O18" s="126"/>
      <c r="P18" s="125">
        <f ca="1">SUMIFS('GSlt50 Normalized'!$Q:$Q,'GSlt50 Normalized'!$B:$B,'Normalized Annual Summary'!K18)</f>
        <v>49179520.202333987</v>
      </c>
      <c r="Q18" s="125">
        <f t="shared" ref="Q18:Q20" si="39">Q17-($Z16-$Z17)</f>
        <v>2852537.0495266155</v>
      </c>
      <c r="R18" s="125">
        <f t="shared" ca="1" si="32"/>
        <v>46326983.15280737</v>
      </c>
      <c r="T18" s="126">
        <f t="shared" si="15"/>
        <v>2025</v>
      </c>
      <c r="U18" s="126"/>
      <c r="V18" s="126"/>
      <c r="W18" s="126"/>
      <c r="X18" s="126"/>
      <c r="Y18" s="125">
        <f ca="1">SUMIFS('GSgt50 Normalized'!$U:$U,'GSgt50 Normalized'!$B:$B,'Normalized Annual Summary'!T18)</f>
        <v>147187671.38072696</v>
      </c>
      <c r="Z18" s="125">
        <f t="shared" ref="Z18:Z20" si="40">Z17-($Z16-$Z17)</f>
        <v>7363339.9256763095</v>
      </c>
      <c r="AA18" s="125">
        <f t="shared" ca="1" si="33"/>
        <v>139824331.45505065</v>
      </c>
      <c r="AC18" s="126">
        <f t="shared" si="16"/>
        <v>2025</v>
      </c>
      <c r="AD18" s="126"/>
      <c r="AE18" s="125">
        <f>AE17*'Customer Count'!$P$18</f>
        <v>3375.2305641754683</v>
      </c>
      <c r="AF18" s="125">
        <f t="shared" si="34"/>
        <v>374.59757980673612</v>
      </c>
      <c r="AG18" s="125">
        <f t="shared" si="35"/>
        <v>1264353.200629855</v>
      </c>
      <c r="AK18" s="126">
        <f t="shared" si="17"/>
        <v>2025</v>
      </c>
      <c r="AL18" s="126"/>
      <c r="AM18" s="125">
        <f>AM17</f>
        <v>30</v>
      </c>
      <c r="AN18" s="125">
        <f t="shared" si="36"/>
        <v>13207.775910364147</v>
      </c>
      <c r="AO18" s="125">
        <f t="shared" si="37"/>
        <v>396233.27731092443</v>
      </c>
    </row>
    <row r="19" spans="2:41" s="120" customFormat="1">
      <c r="B19" s="126">
        <f t="shared" si="13"/>
        <v>2026</v>
      </c>
      <c r="C19" s="126"/>
      <c r="D19" s="126"/>
      <c r="E19" s="126"/>
      <c r="F19" s="126"/>
      <c r="G19" s="125">
        <f ca="1">SUMIFS('Residential Normalized'!$U:$U,'Residential Normalized'!$B:$B,'Normalized Annual Summary'!B19)</f>
        <v>148938996.04745206</v>
      </c>
      <c r="H19" s="125">
        <f t="shared" si="38"/>
        <v>5699507.1203716435</v>
      </c>
      <c r="I19" s="125">
        <f t="shared" ca="1" si="31"/>
        <v>143239488.92708042</v>
      </c>
      <c r="K19" s="126">
        <f t="shared" si="14"/>
        <v>2026</v>
      </c>
      <c r="L19" s="126"/>
      <c r="M19" s="126"/>
      <c r="N19" s="126"/>
      <c r="O19" s="126"/>
      <c r="P19" s="125">
        <f ca="1">SUMIFS('GSlt50 Normalized'!$Q:$Q,'GSlt50 Normalized'!$B:$B,'Normalized Annual Summary'!K19)</f>
        <v>49179520.202333987</v>
      </c>
      <c r="Q19" s="125">
        <f t="shared" si="39"/>
        <v>2746310.8252988397</v>
      </c>
      <c r="R19" s="125">
        <f t="shared" ca="1" si="32"/>
        <v>46433209.377035148</v>
      </c>
      <c r="T19" s="126">
        <f t="shared" si="15"/>
        <v>2026</v>
      </c>
      <c r="U19" s="126"/>
      <c r="V19" s="126"/>
      <c r="W19" s="126"/>
      <c r="X19" s="126"/>
      <c r="Y19" s="125">
        <f ca="1">SUMIFS('GSgt50 Normalized'!$U:$U,'GSgt50 Normalized'!$B:$B,'Normalized Annual Summary'!T19)</f>
        <v>150482305.85612676</v>
      </c>
      <c r="Z19" s="125">
        <f t="shared" si="40"/>
        <v>7257113.7014485337</v>
      </c>
      <c r="AA19" s="125">
        <f t="shared" ca="1" si="33"/>
        <v>143225192.15467823</v>
      </c>
      <c r="AC19" s="126">
        <f t="shared" si="16"/>
        <v>2026</v>
      </c>
      <c r="AD19" s="126"/>
      <c r="AE19" s="125">
        <f>AE18*'Customer Count'!$P$18</f>
        <v>3404.4183905813925</v>
      </c>
      <c r="AF19" s="125">
        <f t="shared" si="34"/>
        <v>374.59757980673612</v>
      </c>
      <c r="AG19" s="125">
        <f t="shared" si="35"/>
        <v>1275286.8897613334</v>
      </c>
      <c r="AK19" s="126">
        <f t="shared" si="17"/>
        <v>2026</v>
      </c>
      <c r="AL19" s="126"/>
      <c r="AM19" s="125">
        <f>AM18</f>
        <v>30</v>
      </c>
      <c r="AN19" s="125">
        <f t="shared" si="36"/>
        <v>13207.775910364147</v>
      </c>
      <c r="AO19" s="125">
        <f t="shared" si="37"/>
        <v>396233.27731092443</v>
      </c>
    </row>
    <row r="20" spans="2:41" s="120" customFormat="1">
      <c r="B20" s="126">
        <f t="shared" si="13"/>
        <v>2027</v>
      </c>
      <c r="C20" s="126"/>
      <c r="D20" s="126"/>
      <c r="E20" s="126"/>
      <c r="F20" s="126"/>
      <c r="G20" s="125">
        <f ca="1">SUMIFS('Residential Normalized'!$U:$U,'Residential Normalized'!$B:$B,'Normalized Annual Summary'!B20)</f>
        <v>151500499.12170428</v>
      </c>
      <c r="H20" s="125">
        <f t="shared" si="38"/>
        <v>5593280.8961438676</v>
      </c>
      <c r="I20" s="125">
        <f t="shared" ca="1" si="31"/>
        <v>145907218.22556043</v>
      </c>
      <c r="K20" s="126">
        <f t="shared" si="14"/>
        <v>2027</v>
      </c>
      <c r="L20" s="126"/>
      <c r="M20" s="126"/>
      <c r="N20" s="126"/>
      <c r="O20" s="126"/>
      <c r="P20" s="125">
        <f ca="1">SUMIFS('GSlt50 Normalized'!$Q:$Q,'GSlt50 Normalized'!$B:$B,'Normalized Annual Summary'!K20)</f>
        <v>49179520.202333987</v>
      </c>
      <c r="Q20" s="125">
        <f t="shared" si="39"/>
        <v>2640084.6010710639</v>
      </c>
      <c r="R20" s="125">
        <f t="shared" ca="1" si="32"/>
        <v>46539435.60126292</v>
      </c>
      <c r="T20" s="126">
        <f t="shared" si="15"/>
        <v>2027</v>
      </c>
      <c r="U20" s="126"/>
      <c r="V20" s="126"/>
      <c r="W20" s="126"/>
      <c r="X20" s="126"/>
      <c r="Y20" s="125">
        <f ca="1">SUMIFS('GSgt50 Normalized'!$U:$U,'GSgt50 Normalized'!$B:$B,'Normalized Annual Summary'!T20)</f>
        <v>153875779.36578855</v>
      </c>
      <c r="Z20" s="125">
        <f t="shared" si="40"/>
        <v>7150887.4772207579</v>
      </c>
      <c r="AA20" s="125">
        <f t="shared" ca="1" si="33"/>
        <v>146724891.88856781</v>
      </c>
      <c r="AC20" s="126">
        <f t="shared" si="16"/>
        <v>2027</v>
      </c>
      <c r="AD20" s="126"/>
      <c r="AE20" s="125">
        <f>AE19*'Customer Count'!$P$18</f>
        <v>3433.8586232138259</v>
      </c>
      <c r="AF20" s="125">
        <f t="shared" si="34"/>
        <v>374.59757980673612</v>
      </c>
      <c r="AG20" s="125">
        <f t="shared" si="35"/>
        <v>1286315.1296543903</v>
      </c>
      <c r="AK20" s="126">
        <f t="shared" si="17"/>
        <v>2027</v>
      </c>
      <c r="AL20" s="126"/>
      <c r="AM20" s="125">
        <f>AM19</f>
        <v>30</v>
      </c>
      <c r="AN20" s="125">
        <f t="shared" si="36"/>
        <v>13207.775910364147</v>
      </c>
      <c r="AO20" s="125">
        <f t="shared" si="37"/>
        <v>396233.27731092443</v>
      </c>
    </row>
    <row r="21" spans="2:41">
      <c r="B21" s="126"/>
      <c r="C21" s="123"/>
      <c r="D21" s="123"/>
      <c r="E21" s="123"/>
      <c r="F21" s="123"/>
      <c r="G21" s="124"/>
      <c r="H21" s="124"/>
      <c r="I21" s="125"/>
      <c r="K21" s="126"/>
      <c r="L21" s="123"/>
      <c r="M21" s="123"/>
      <c r="N21" s="123"/>
      <c r="O21" s="123"/>
      <c r="P21" s="124"/>
      <c r="Q21" s="124"/>
      <c r="R21" s="125"/>
      <c r="T21" s="126"/>
      <c r="U21" s="123"/>
      <c r="V21" s="123"/>
      <c r="W21" s="123"/>
      <c r="X21" s="123"/>
      <c r="Y21" s="124"/>
      <c r="Z21" s="124"/>
      <c r="AA21" s="125"/>
      <c r="AC21" s="126"/>
      <c r="AD21" s="123"/>
      <c r="AE21" s="125"/>
      <c r="AF21" s="125"/>
      <c r="AG21" s="125"/>
      <c r="AK21" s="126"/>
      <c r="AL21" s="123"/>
      <c r="AM21" s="125"/>
      <c r="AN21" s="125"/>
      <c r="AO21" s="125"/>
    </row>
    <row r="22" spans="2:41">
      <c r="B22" s="126"/>
      <c r="C22" s="123"/>
      <c r="D22" s="123"/>
      <c r="E22" s="123"/>
      <c r="F22" s="123"/>
      <c r="G22" s="124"/>
      <c r="H22" s="124"/>
      <c r="I22" s="125"/>
      <c r="K22" s="126"/>
      <c r="L22" s="123"/>
      <c r="M22" s="123"/>
      <c r="N22" s="123"/>
      <c r="O22" s="123"/>
      <c r="P22" s="124"/>
      <c r="Q22" s="124"/>
      <c r="R22" s="125"/>
      <c r="T22" s="126"/>
      <c r="U22" s="123"/>
      <c r="V22" s="123"/>
      <c r="W22" s="123"/>
      <c r="X22" s="123"/>
      <c r="Y22" s="124"/>
      <c r="Z22" s="124"/>
      <c r="AA22" s="125"/>
      <c r="AC22" s="126"/>
      <c r="AD22" s="123"/>
      <c r="AE22" s="125"/>
      <c r="AF22" s="125"/>
      <c r="AG22" s="125"/>
      <c r="AK22" s="126"/>
      <c r="AL22" s="123"/>
      <c r="AM22" s="125"/>
      <c r="AN22" s="125"/>
      <c r="AO22" s="125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T64"/>
  <sheetViews>
    <sheetView topLeftCell="A25" workbookViewId="0">
      <selection activeCell="G47" sqref="G47"/>
    </sheetView>
  </sheetViews>
  <sheetFormatPr defaultRowHeight="12.75"/>
  <cols>
    <col min="1" max="1" width="6" style="62" customWidth="1"/>
    <col min="2" max="2" width="5" style="62" bestFit="1" customWidth="1"/>
    <col min="3" max="3" width="10" style="62" bestFit="1" customWidth="1"/>
    <col min="4" max="4" width="9.85546875" style="62" customWidth="1"/>
    <col min="5" max="6" width="5.28515625" style="62" customWidth="1"/>
    <col min="7" max="7" width="10" style="62" bestFit="1" customWidth="1"/>
    <col min="8" max="8" width="9.28515625" style="62" bestFit="1" customWidth="1"/>
    <col min="9" max="9" width="5.7109375" style="62" customWidth="1"/>
    <col min="10" max="10" width="7.28515625" style="62" bestFit="1" customWidth="1"/>
    <col min="11" max="11" width="10" style="62" bestFit="1" customWidth="1"/>
    <col min="12" max="12" width="11" style="62" customWidth="1"/>
    <col min="13" max="13" width="6.5703125" style="62" customWidth="1"/>
    <col min="14" max="14" width="5" style="62" bestFit="1" customWidth="1"/>
    <col min="15" max="15" width="10" style="62" bestFit="1" customWidth="1"/>
    <col min="16" max="16" width="9.140625" style="62" customWidth="1"/>
    <col min="17" max="17" width="7.140625" style="62" customWidth="1"/>
    <col min="18" max="18" width="5" style="62" bestFit="1" customWidth="1"/>
    <col min="19" max="19" width="10" style="62" bestFit="1" customWidth="1"/>
    <col min="20" max="20" width="8.28515625" style="62" bestFit="1" customWidth="1"/>
    <col min="21" max="16384" width="9.140625" style="62"/>
  </cols>
  <sheetData>
    <row r="2" spans="2:20">
      <c r="B2" s="361" t="s">
        <v>89</v>
      </c>
      <c r="C2" s="361"/>
      <c r="D2" s="360" t="s">
        <v>90</v>
      </c>
      <c r="E2" s="61"/>
      <c r="F2" s="361" t="s">
        <v>91</v>
      </c>
      <c r="G2" s="361"/>
      <c r="H2" s="360" t="s">
        <v>90</v>
      </c>
      <c r="I2" s="61"/>
      <c r="J2" s="361" t="s">
        <v>92</v>
      </c>
      <c r="K2" s="361"/>
      <c r="L2" s="360" t="s">
        <v>90</v>
      </c>
      <c r="M2" s="61"/>
      <c r="N2" s="361" t="s">
        <v>117</v>
      </c>
      <c r="O2" s="361"/>
      <c r="P2" s="360" t="s">
        <v>90</v>
      </c>
      <c r="Q2" s="61"/>
      <c r="R2" s="361" t="s">
        <v>93</v>
      </c>
      <c r="S2" s="361"/>
      <c r="T2" s="360" t="s">
        <v>90</v>
      </c>
    </row>
    <row r="3" spans="2:20">
      <c r="B3" s="63" t="s">
        <v>10</v>
      </c>
      <c r="C3" s="63" t="s">
        <v>94</v>
      </c>
      <c r="D3" s="360"/>
      <c r="E3" s="61"/>
      <c r="F3" s="63" t="s">
        <v>10</v>
      </c>
      <c r="G3" s="63" t="s">
        <v>94</v>
      </c>
      <c r="H3" s="360"/>
      <c r="I3" s="61"/>
      <c r="J3" s="63" t="s">
        <v>10</v>
      </c>
      <c r="K3" s="63" t="s">
        <v>94</v>
      </c>
      <c r="L3" s="360"/>
      <c r="M3" s="61"/>
      <c r="N3" s="63" t="s">
        <v>10</v>
      </c>
      <c r="O3" s="63" t="s">
        <v>165</v>
      </c>
      <c r="P3" s="360"/>
      <c r="Q3" s="61"/>
      <c r="R3" s="63" t="s">
        <v>10</v>
      </c>
      <c r="S3" s="63" t="s">
        <v>95</v>
      </c>
      <c r="T3" s="360"/>
    </row>
    <row r="4" spans="2:20">
      <c r="B4" s="61">
        <v>2012</v>
      </c>
      <c r="C4" s="64">
        <f>AVERAGEIFS(Dataset!Q:Q,Dataset!$B:$B,B4)</f>
        <v>14008.958333333334</v>
      </c>
      <c r="D4" s="92"/>
      <c r="E4" s="65"/>
      <c r="F4" s="61">
        <v>2012</v>
      </c>
      <c r="G4" s="64">
        <f>AVERAGEIFS(Dataset!R:R,Dataset!$B:$B,F4)</f>
        <v>1688.125</v>
      </c>
      <c r="H4" s="92"/>
      <c r="I4" s="65"/>
      <c r="J4" s="61">
        <v>2012</v>
      </c>
      <c r="K4" s="64">
        <f>AVERAGEIFS(Dataset!S:S,Dataset!$B:$B,J4)</f>
        <v>114.83333333333333</v>
      </c>
      <c r="L4" s="92"/>
      <c r="M4" s="65"/>
      <c r="N4" s="61">
        <v>2012</v>
      </c>
      <c r="O4" s="64">
        <f>AVERAGEIFS(Dataset!T:T,Dataset!$B:$B,N4)</f>
        <v>3018</v>
      </c>
      <c r="P4" s="92"/>
      <c r="Q4" s="65"/>
      <c r="R4" s="61">
        <v>2012</v>
      </c>
      <c r="S4" s="64">
        <f>AVERAGEIFS(Dataset!U:U,Dataset!$B:$B,N4)</f>
        <v>30</v>
      </c>
      <c r="T4" s="92"/>
    </row>
    <row r="5" spans="2:20">
      <c r="B5" s="61">
        <f t="shared" ref="B5:B15" si="0">B4+1</f>
        <v>2013</v>
      </c>
      <c r="C5" s="64">
        <f>AVERAGEIFS(Dataset!Q:Q,Dataset!$B:$B,B5)</f>
        <v>14287.041666666666</v>
      </c>
      <c r="D5" s="92">
        <f t="shared" ref="D5:D13" si="1">C5/C4</f>
        <v>1.0198503933494936</v>
      </c>
      <c r="E5" s="65"/>
      <c r="F5" s="61">
        <f t="shared" ref="F5:F15" si="2">F4+1</f>
        <v>2013</v>
      </c>
      <c r="G5" s="64">
        <f>AVERAGEIFS(Dataset!R:R,Dataset!$B:$B,F5)</f>
        <v>1697.2083333333333</v>
      </c>
      <c r="H5" s="92">
        <f t="shared" ref="H5:H13" si="3">G5/G4</f>
        <v>1.0053807231889422</v>
      </c>
      <c r="I5" s="65"/>
      <c r="J5" s="61">
        <f t="shared" ref="J5:J15" si="4">J4+1</f>
        <v>2013</v>
      </c>
      <c r="K5" s="64">
        <f>AVERAGEIFS(Dataset!S:S,Dataset!$B:$B,J5)</f>
        <v>119.45833333333333</v>
      </c>
      <c r="L5" s="92">
        <f t="shared" ref="L5:L13" si="5">K5/K4</f>
        <v>1.0402757619738752</v>
      </c>
      <c r="M5" s="65"/>
      <c r="N5" s="61">
        <f t="shared" ref="N5:N15" si="6">N4+1</f>
        <v>2013</v>
      </c>
      <c r="O5" s="64">
        <f>AVERAGEIFS(Dataset!T:T,Dataset!$B:$B,N5)</f>
        <v>3064.75</v>
      </c>
      <c r="P5" s="92">
        <f t="shared" ref="P5:P13" si="7">O5/O4</f>
        <v>1.0154903909874089</v>
      </c>
      <c r="Q5" s="65"/>
      <c r="R5" s="61">
        <f t="shared" ref="R5:R15" si="8">R4+1</f>
        <v>2013</v>
      </c>
      <c r="S5" s="64">
        <f>AVERAGEIFS(Dataset!U:U,Dataset!$B:$B,N5)</f>
        <v>30.833333333333332</v>
      </c>
      <c r="T5" s="92">
        <f t="shared" ref="T5:T13" si="9">S5/S4</f>
        <v>1.0277777777777777</v>
      </c>
    </row>
    <row r="6" spans="2:20">
      <c r="B6" s="61">
        <f t="shared" si="0"/>
        <v>2014</v>
      </c>
      <c r="C6" s="64">
        <f>AVERAGEIFS(Dataset!Q:Q,Dataset!$B:$B,B6)</f>
        <v>14432.416666666666</v>
      </c>
      <c r="D6" s="93">
        <f t="shared" si="1"/>
        <v>1.0101753045446193</v>
      </c>
      <c r="E6" s="65"/>
      <c r="F6" s="61">
        <f t="shared" si="2"/>
        <v>2014</v>
      </c>
      <c r="G6" s="64">
        <f>AVERAGEIFS(Dataset!R:R,Dataset!$B:$B,F6)</f>
        <v>1706.4166666666667</v>
      </c>
      <c r="H6" s="93">
        <f t="shared" si="3"/>
        <v>1.0054255763140452</v>
      </c>
      <c r="I6" s="65"/>
      <c r="J6" s="61">
        <f t="shared" si="4"/>
        <v>2014</v>
      </c>
      <c r="K6" s="64">
        <f>AVERAGEIFS(Dataset!S:S,Dataset!$B:$B,J6)</f>
        <v>117.83333333333333</v>
      </c>
      <c r="L6" s="93">
        <f t="shared" si="5"/>
        <v>0.98639693058946631</v>
      </c>
      <c r="M6" s="65"/>
      <c r="N6" s="61">
        <f t="shared" si="6"/>
        <v>2014</v>
      </c>
      <c r="O6" s="64">
        <f>AVERAGEIFS(Dataset!T:T,Dataset!$B:$B,N6)</f>
        <v>3069</v>
      </c>
      <c r="P6" s="93">
        <f t="shared" si="7"/>
        <v>1.0013867362753894</v>
      </c>
      <c r="Q6" s="65"/>
      <c r="R6" s="61">
        <f t="shared" si="8"/>
        <v>2014</v>
      </c>
      <c r="S6" s="64">
        <f>AVERAGEIFS(Dataset!U:U,Dataset!$B:$B,N6)</f>
        <v>31.25</v>
      </c>
      <c r="T6" s="93">
        <f t="shared" si="9"/>
        <v>1.0135135135135136</v>
      </c>
    </row>
    <row r="7" spans="2:20">
      <c r="B7" s="61">
        <f t="shared" si="0"/>
        <v>2015</v>
      </c>
      <c r="C7" s="64">
        <f>AVERAGEIFS(Dataset!Q:Q,Dataset!$B:$B,B7)</f>
        <v>14585.416666666666</v>
      </c>
      <c r="D7" s="92">
        <f t="shared" si="1"/>
        <v>1.0106011351760216</v>
      </c>
      <c r="E7" s="66"/>
      <c r="F7" s="61">
        <f t="shared" si="2"/>
        <v>2015</v>
      </c>
      <c r="G7" s="64">
        <f>AVERAGEIFS(Dataset!R:R,Dataset!$B:$B,F7)</f>
        <v>1713.9166666666667</v>
      </c>
      <c r="H7" s="92">
        <f t="shared" si="3"/>
        <v>1.0043951750744737</v>
      </c>
      <c r="I7" s="66"/>
      <c r="J7" s="61">
        <f t="shared" si="4"/>
        <v>2015</v>
      </c>
      <c r="K7" s="64">
        <f>AVERAGEIFS(Dataset!S:S,Dataset!$B:$B,J7)</f>
        <v>123.58333333333333</v>
      </c>
      <c r="L7" s="92">
        <f t="shared" si="5"/>
        <v>1.0487977369165489</v>
      </c>
      <c r="M7" s="66"/>
      <c r="N7" s="61">
        <f t="shared" si="6"/>
        <v>2015</v>
      </c>
      <c r="O7" s="64">
        <f>AVERAGEIFS(Dataset!T:T,Dataset!$B:$B,N7)</f>
        <v>3018</v>
      </c>
      <c r="P7" s="92">
        <f t="shared" si="7"/>
        <v>0.98338220918866082</v>
      </c>
      <c r="Q7" s="66"/>
      <c r="R7" s="61">
        <f t="shared" si="8"/>
        <v>2015</v>
      </c>
      <c r="S7" s="64">
        <f>AVERAGEIFS(Dataset!U:U,Dataset!$B:$B,N7)</f>
        <v>30.5</v>
      </c>
      <c r="T7" s="92">
        <f t="shared" si="9"/>
        <v>0.97599999999999998</v>
      </c>
    </row>
    <row r="8" spans="2:20">
      <c r="B8" s="61">
        <f t="shared" si="0"/>
        <v>2016</v>
      </c>
      <c r="C8" s="64">
        <f>AVERAGEIFS(Dataset!Q:Q,Dataset!$B:$B,B8)</f>
        <v>14798</v>
      </c>
      <c r="D8" s="92">
        <f t="shared" si="1"/>
        <v>1.0145750607056134</v>
      </c>
      <c r="E8" s="66"/>
      <c r="F8" s="61">
        <f t="shared" si="2"/>
        <v>2016</v>
      </c>
      <c r="G8" s="64">
        <f>AVERAGEIFS(Dataset!R:R,Dataset!$B:$B,F8)</f>
        <v>1738.25</v>
      </c>
      <c r="H8" s="92">
        <f t="shared" si="3"/>
        <v>1.0141975008508777</v>
      </c>
      <c r="I8" s="66"/>
      <c r="J8" s="61">
        <f t="shared" si="4"/>
        <v>2016</v>
      </c>
      <c r="K8" s="64">
        <f>AVERAGEIFS(Dataset!S:S,Dataset!$B:$B,J8)</f>
        <v>129.66666666666666</v>
      </c>
      <c r="L8" s="92">
        <f t="shared" si="5"/>
        <v>1.0492245448415374</v>
      </c>
      <c r="M8" s="66"/>
      <c r="N8" s="61">
        <f t="shared" si="6"/>
        <v>2016</v>
      </c>
      <c r="O8" s="64">
        <f>AVERAGEIFS(Dataset!T:T,Dataset!$B:$B,N8)</f>
        <v>3064.75</v>
      </c>
      <c r="P8" s="92">
        <f t="shared" si="7"/>
        <v>1.0154903909874089</v>
      </c>
      <c r="Q8" s="66"/>
      <c r="R8" s="61">
        <f t="shared" si="8"/>
        <v>2016</v>
      </c>
      <c r="S8" s="64">
        <f>AVERAGEIFS(Dataset!U:U,Dataset!$B:$B,N8)</f>
        <v>30</v>
      </c>
      <c r="T8" s="92">
        <f t="shared" si="9"/>
        <v>0.98360655737704916</v>
      </c>
    </row>
    <row r="9" spans="2:20">
      <c r="B9" s="61">
        <f t="shared" si="0"/>
        <v>2017</v>
      </c>
      <c r="C9" s="64">
        <f>AVERAGEIFS(Dataset!Q:Q,Dataset!$B:$B,B9)</f>
        <v>15092.833333333334</v>
      </c>
      <c r="D9" s="92">
        <f t="shared" si="1"/>
        <v>1.0199238635851693</v>
      </c>
      <c r="E9" s="66"/>
      <c r="F9" s="61">
        <f t="shared" si="2"/>
        <v>2017</v>
      </c>
      <c r="G9" s="64">
        <f>AVERAGEIFS(Dataset!R:R,Dataset!$B:$B,F9)</f>
        <v>1740.8333333333333</v>
      </c>
      <c r="H9" s="92">
        <f t="shared" si="3"/>
        <v>1.001486169039743</v>
      </c>
      <c r="I9" s="66"/>
      <c r="J9" s="61">
        <f t="shared" si="4"/>
        <v>2017</v>
      </c>
      <c r="K9" s="64">
        <f>AVERAGEIFS(Dataset!S:S,Dataset!$B:$B,J9)</f>
        <v>126.91666666666667</v>
      </c>
      <c r="L9" s="92">
        <f t="shared" si="5"/>
        <v>0.97879177377892046</v>
      </c>
      <c r="M9" s="66"/>
      <c r="N9" s="61">
        <f t="shared" si="6"/>
        <v>2017</v>
      </c>
      <c r="O9" s="64">
        <f>AVERAGEIFS(Dataset!T:T,Dataset!$B:$B,N9)</f>
        <v>3069</v>
      </c>
      <c r="P9" s="92">
        <f t="shared" si="7"/>
        <v>1.0013867362753894</v>
      </c>
      <c r="Q9" s="66"/>
      <c r="R9" s="61">
        <f t="shared" si="8"/>
        <v>2017</v>
      </c>
      <c r="S9" s="64">
        <f>AVERAGEIFS(Dataset!U:U,Dataset!$B:$B,N9)</f>
        <v>30</v>
      </c>
      <c r="T9" s="92">
        <f t="shared" si="9"/>
        <v>1</v>
      </c>
    </row>
    <row r="10" spans="2:20">
      <c r="B10" s="61">
        <f t="shared" si="0"/>
        <v>2018</v>
      </c>
      <c r="C10" s="64">
        <f>AVERAGEIFS(Dataset!Q:Q,Dataset!$B:$B,B10)</f>
        <v>15386.666666666666</v>
      </c>
      <c r="D10" s="92">
        <f t="shared" si="1"/>
        <v>1.0194684011175281</v>
      </c>
      <c r="E10" s="66"/>
      <c r="F10" s="61">
        <f t="shared" si="2"/>
        <v>2018</v>
      </c>
      <c r="G10" s="64">
        <f>AVERAGEIFS(Dataset!R:R,Dataset!$B:$B,F10)</f>
        <v>1751.3333333333333</v>
      </c>
      <c r="H10" s="92">
        <f t="shared" si="3"/>
        <v>1.0060315940641456</v>
      </c>
      <c r="I10" s="66"/>
      <c r="J10" s="61">
        <f t="shared" si="4"/>
        <v>2018</v>
      </c>
      <c r="K10" s="64">
        <f>AVERAGEIFS(Dataset!S:S,Dataset!$B:$B,J10)</f>
        <v>128.16666666666666</v>
      </c>
      <c r="L10" s="92">
        <f t="shared" si="5"/>
        <v>1.0098489822718317</v>
      </c>
      <c r="M10" s="66"/>
      <c r="N10" s="61">
        <f t="shared" si="6"/>
        <v>2018</v>
      </c>
      <c r="O10" s="64">
        <f>AVERAGEIFS(Dataset!T:T,Dataset!$B:$B,N10)</f>
        <v>3130.4166666666665</v>
      </c>
      <c r="P10" s="92">
        <f t="shared" si="7"/>
        <v>1.0200119474313023</v>
      </c>
      <c r="Q10" s="66"/>
      <c r="R10" s="61">
        <f t="shared" si="8"/>
        <v>2018</v>
      </c>
      <c r="S10" s="64">
        <f>AVERAGEIFS(Dataset!U:U,Dataset!$B:$B,N10)</f>
        <v>30</v>
      </c>
      <c r="T10" s="92">
        <f t="shared" si="9"/>
        <v>1</v>
      </c>
    </row>
    <row r="11" spans="2:20">
      <c r="B11" s="61">
        <f t="shared" si="0"/>
        <v>2019</v>
      </c>
      <c r="C11" s="64">
        <f>AVERAGEIFS(Dataset!Q:Q,Dataset!$B:$B,B11)</f>
        <v>15721.5</v>
      </c>
      <c r="D11" s="92">
        <f t="shared" si="1"/>
        <v>1.0217612651646448</v>
      </c>
      <c r="E11" s="66"/>
      <c r="F11" s="61">
        <f t="shared" si="2"/>
        <v>2019</v>
      </c>
      <c r="G11" s="64">
        <f>AVERAGEIFS(Dataset!R:R,Dataset!$B:$B,F11)</f>
        <v>1761.0833333333333</v>
      </c>
      <c r="H11" s="92">
        <f t="shared" si="3"/>
        <v>1.0055671869052152</v>
      </c>
      <c r="I11" s="66"/>
      <c r="J11" s="61">
        <f t="shared" si="4"/>
        <v>2019</v>
      </c>
      <c r="K11" s="64">
        <f>AVERAGEIFS(Dataset!S:S,Dataset!$B:$B,J11)</f>
        <v>125.08333333333333</v>
      </c>
      <c r="L11" s="92">
        <f t="shared" si="5"/>
        <v>0.97594278283485048</v>
      </c>
      <c r="M11" s="66"/>
      <c r="N11" s="61">
        <f t="shared" si="6"/>
        <v>2019</v>
      </c>
      <c r="O11" s="64">
        <f>AVERAGEIFS(Dataset!T:T,Dataset!$B:$B,N11)</f>
        <v>3250.5833333333335</v>
      </c>
      <c r="P11" s="92">
        <f t="shared" si="7"/>
        <v>1.0383867962198856</v>
      </c>
      <c r="Q11" s="66"/>
      <c r="R11" s="61">
        <f t="shared" si="8"/>
        <v>2019</v>
      </c>
      <c r="S11" s="64">
        <f>AVERAGEIFS(Dataset!U:U,Dataset!$B:$B,N11)</f>
        <v>30</v>
      </c>
      <c r="T11" s="92">
        <f t="shared" si="9"/>
        <v>1</v>
      </c>
    </row>
    <row r="12" spans="2:20" s="67" customFormat="1" ht="15">
      <c r="B12" s="61">
        <f t="shared" si="0"/>
        <v>2020</v>
      </c>
      <c r="C12" s="64">
        <f>AVERAGEIFS(Dataset!Q:Q,Dataset!$B:$B,B12)</f>
        <v>16164.166666666666</v>
      </c>
      <c r="D12" s="92">
        <f t="shared" si="1"/>
        <v>1.0281567704523529</v>
      </c>
      <c r="E12" s="66"/>
      <c r="F12" s="61">
        <f t="shared" si="2"/>
        <v>2020</v>
      </c>
      <c r="G12" s="64">
        <f>AVERAGEIFS(Dataset!R:R,Dataset!$B:$B,F12)</f>
        <v>1779.1666666666667</v>
      </c>
      <c r="H12" s="92">
        <f t="shared" si="3"/>
        <v>1.0102683007618418</v>
      </c>
      <c r="I12" s="66"/>
      <c r="J12" s="61">
        <f t="shared" si="4"/>
        <v>2020</v>
      </c>
      <c r="K12" s="64">
        <f>AVERAGEIFS(Dataset!S:S,Dataset!$B:$B,J12)</f>
        <v>126.83333333333333</v>
      </c>
      <c r="L12" s="92">
        <f t="shared" si="5"/>
        <v>1.0139906728847434</v>
      </c>
      <c r="M12" s="66"/>
      <c r="N12" s="61">
        <f t="shared" si="6"/>
        <v>2020</v>
      </c>
      <c r="O12" s="64">
        <f>AVERAGEIFS(Dataset!T:T,Dataset!$B:$B,N12)</f>
        <v>3261</v>
      </c>
      <c r="P12" s="92">
        <f t="shared" si="7"/>
        <v>1.0032045530289435</v>
      </c>
      <c r="Q12" s="66"/>
      <c r="R12" s="61">
        <f t="shared" si="8"/>
        <v>2020</v>
      </c>
      <c r="S12" s="64">
        <f>AVERAGEIFS(Dataset!U:U,Dataset!$B:$B,N12)</f>
        <v>30</v>
      </c>
      <c r="T12" s="92">
        <f t="shared" si="9"/>
        <v>1</v>
      </c>
    </row>
    <row r="13" spans="2:20">
      <c r="B13" s="61">
        <f t="shared" si="0"/>
        <v>2021</v>
      </c>
      <c r="C13" s="64">
        <f>AVERAGEIFS(Dataset!Q:Q,Dataset!$B:$B,B13)</f>
        <v>16421.416666666668</v>
      </c>
      <c r="D13" s="92">
        <f t="shared" si="1"/>
        <v>1.0159148321905451</v>
      </c>
      <c r="E13" s="66"/>
      <c r="F13" s="61">
        <f t="shared" si="2"/>
        <v>2021</v>
      </c>
      <c r="G13" s="64">
        <f>AVERAGEIFS(Dataset!R:R,Dataset!$B:$B,F13)</f>
        <v>1805.5</v>
      </c>
      <c r="H13" s="92">
        <f t="shared" si="3"/>
        <v>1.0148009367681499</v>
      </c>
      <c r="I13" s="66"/>
      <c r="J13" s="61">
        <f t="shared" si="4"/>
        <v>2021</v>
      </c>
      <c r="K13" s="64">
        <f>AVERAGEIFS(Dataset!S:S,Dataset!$B:$B,J13)</f>
        <v>124.41666666666667</v>
      </c>
      <c r="L13" s="92">
        <f t="shared" si="5"/>
        <v>0.98094612352168209</v>
      </c>
      <c r="M13" s="66"/>
      <c r="N13" s="61">
        <f t="shared" si="6"/>
        <v>2021</v>
      </c>
      <c r="O13" s="64">
        <f>AVERAGEIFS(Dataset!T:T,Dataset!$B:$B,N13)</f>
        <v>3261</v>
      </c>
      <c r="P13" s="92">
        <f t="shared" si="7"/>
        <v>1</v>
      </c>
      <c r="Q13" s="66"/>
      <c r="R13" s="61">
        <f t="shared" si="8"/>
        <v>2021</v>
      </c>
      <c r="S13" s="64">
        <f>AVERAGEIFS(Dataset!U:U,Dataset!$B:$B,N13)</f>
        <v>30</v>
      </c>
      <c r="T13" s="92">
        <f t="shared" si="9"/>
        <v>1</v>
      </c>
    </row>
    <row r="14" spans="2:20">
      <c r="B14" s="66">
        <f t="shared" si="0"/>
        <v>2022</v>
      </c>
      <c r="C14" s="96">
        <f>C13*D14</f>
        <v>16713.900722594739</v>
      </c>
      <c r="D14" s="127">
        <f>GEOMEAN(D5:D13)</f>
        <v>1.0178111341953691</v>
      </c>
      <c r="E14" s="66"/>
      <c r="F14" s="66">
        <f t="shared" si="2"/>
        <v>2022</v>
      </c>
      <c r="G14" s="96">
        <f>G13*H14</f>
        <v>1819.0353851420145</v>
      </c>
      <c r="H14" s="127">
        <f>GEOMEAN(H5:H13)</f>
        <v>1.0074967516710134</v>
      </c>
      <c r="I14" s="66"/>
      <c r="J14" s="66">
        <f t="shared" si="4"/>
        <v>2022</v>
      </c>
      <c r="K14" s="96">
        <f>K13*L14</f>
        <v>125.52967517418369</v>
      </c>
      <c r="L14" s="127">
        <f>GEOMEAN(L5:L13)</f>
        <v>1.0089458151977255</v>
      </c>
      <c r="M14" s="66"/>
      <c r="N14" s="66">
        <f t="shared" si="6"/>
        <v>2022</v>
      </c>
      <c r="O14" s="96">
        <f>O13*P14</f>
        <v>3289.1799873601176</v>
      </c>
      <c r="P14" s="127">
        <f>GEOMEAN(P5:P13)</f>
        <v>1.0086415171297509</v>
      </c>
      <c r="Q14" s="66"/>
      <c r="R14" s="66">
        <f t="shared" si="8"/>
        <v>2022</v>
      </c>
      <c r="S14" s="96">
        <f>S13*T14</f>
        <v>30</v>
      </c>
      <c r="T14" s="127">
        <f>GEOMEAN(T5:T13)</f>
        <v>1</v>
      </c>
    </row>
    <row r="15" spans="2:20">
      <c r="B15" s="66">
        <f t="shared" si="0"/>
        <v>2023</v>
      </c>
      <c r="C15" s="96">
        <f>C14*D15</f>
        <v>17011.594251292951</v>
      </c>
      <c r="D15" s="127">
        <f>D14</f>
        <v>1.0178111341953691</v>
      </c>
      <c r="E15" s="66"/>
      <c r="F15" s="66">
        <f t="shared" si="2"/>
        <v>2023</v>
      </c>
      <c r="G15" s="96">
        <f>G14*H15</f>
        <v>1832.6722417052104</v>
      </c>
      <c r="H15" s="127">
        <f>H14</f>
        <v>1.0074967516710134</v>
      </c>
      <c r="I15" s="66"/>
      <c r="J15" s="66">
        <f t="shared" si="4"/>
        <v>2023</v>
      </c>
      <c r="K15" s="96">
        <f>K14*L15</f>
        <v>126.65264045012246</v>
      </c>
      <c r="L15" s="127">
        <f>L14</f>
        <v>1.0089458151977255</v>
      </c>
      <c r="M15" s="66"/>
      <c r="N15" s="66">
        <f t="shared" si="6"/>
        <v>2023</v>
      </c>
      <c r="O15" s="96">
        <f>O14*P15</f>
        <v>3317.6034925637241</v>
      </c>
      <c r="P15" s="127">
        <f>P14</f>
        <v>1.0086415171297509</v>
      </c>
      <c r="Q15" s="66"/>
      <c r="R15" s="66">
        <f t="shared" si="8"/>
        <v>2023</v>
      </c>
      <c r="S15" s="96">
        <f>S14*T15</f>
        <v>30</v>
      </c>
      <c r="T15" s="127">
        <f>T14</f>
        <v>1</v>
      </c>
    </row>
    <row r="16" spans="2:20">
      <c r="G16" s="97"/>
    </row>
    <row r="17" spans="1:20">
      <c r="A17" s="62" t="s">
        <v>118</v>
      </c>
      <c r="G17" s="97"/>
      <c r="K17" s="69"/>
    </row>
    <row r="18" spans="1:20">
      <c r="B18" s="70">
        <v>2022</v>
      </c>
      <c r="C18" s="94">
        <f>AVERAGE(C35:C46)</f>
        <v>16713.900000000001</v>
      </c>
      <c r="D18" s="72">
        <f>C18/C13</f>
        <v>1.017811090192178</v>
      </c>
      <c r="F18" s="70">
        <v>2022</v>
      </c>
      <c r="G18" s="98">
        <f>AVERAGE(G35:G46)</f>
        <v>1819</v>
      </c>
      <c r="H18" s="72">
        <f>G18/G13</f>
        <v>1.0074771531431737</v>
      </c>
      <c r="J18" s="70">
        <v>2022</v>
      </c>
      <c r="K18" s="94">
        <f>AVERAGE(K35:K46)</f>
        <v>125.5</v>
      </c>
      <c r="L18" s="72">
        <f>K18/K13</f>
        <v>1.0087073007367715</v>
      </c>
      <c r="N18" s="70">
        <v>2022</v>
      </c>
      <c r="O18" s="71">
        <f>AVERAGE(O35:O46)</f>
        <v>3289.1999999999916</v>
      </c>
      <c r="P18" s="72">
        <f>O18/O13</f>
        <v>1.0086476540938336</v>
      </c>
      <c r="R18" s="70">
        <v>2022</v>
      </c>
      <c r="S18" s="95">
        <f>AVERAGE(S35:S46)</f>
        <v>30</v>
      </c>
      <c r="T18" s="72">
        <f>S18/S13</f>
        <v>1</v>
      </c>
    </row>
    <row r="19" spans="1:20">
      <c r="B19" s="70">
        <v>2023</v>
      </c>
      <c r="C19" s="94">
        <f>AVERAGE(C47:C58)</f>
        <v>17011.599999999999</v>
      </c>
      <c r="D19" s="72">
        <f>C19/C18</f>
        <v>1.0178115221462374</v>
      </c>
      <c r="F19" s="70">
        <v>2023</v>
      </c>
      <c r="G19" s="98">
        <f>AVERAGE(G47:G58)</f>
        <v>1832.7</v>
      </c>
      <c r="H19" s="72">
        <f>G19/G18</f>
        <v>1.0075316107751513</v>
      </c>
      <c r="J19" s="70">
        <v>2023</v>
      </c>
      <c r="K19" s="94">
        <f>AVERAGE(K47:K58)</f>
        <v>126.70000000000003</v>
      </c>
      <c r="L19" s="72">
        <f>K19/K18</f>
        <v>1.0095617529880481</v>
      </c>
      <c r="N19" s="70">
        <v>2023</v>
      </c>
      <c r="O19" s="71">
        <f>AVERAGE(O47:O58)</f>
        <v>3317.5999999999985</v>
      </c>
      <c r="P19" s="72">
        <f>O19/O18</f>
        <v>1.0086343183752911</v>
      </c>
      <c r="R19" s="70">
        <v>2023</v>
      </c>
      <c r="S19" s="95">
        <f>AVERAGE(S47:S58)</f>
        <v>30</v>
      </c>
      <c r="T19" s="72">
        <f>S19/S18</f>
        <v>1</v>
      </c>
    </row>
    <row r="20" spans="1:20">
      <c r="C20" s="146" t="str">
        <f>IF(ROUND(C14,1)=ROUND(C18,2),IF(ROUND(C15,1)=ROUND(C19,1),"Okay","Check"),"Check")</f>
        <v>Okay</v>
      </c>
      <c r="D20" s="146"/>
      <c r="E20" s="146"/>
      <c r="F20" s="146"/>
      <c r="G20" s="146" t="str">
        <f>IF(ROUND(G14,1)=ROUND(G18,2),IF(ROUND(G15,1)=ROUND(G19,1),"Okay","Check"),"Check")</f>
        <v>Okay</v>
      </c>
      <c r="H20" s="146"/>
      <c r="I20" s="146"/>
      <c r="J20" s="146"/>
      <c r="K20" s="146" t="str">
        <f>IF(ROUND(K14,1)=ROUND(K18,2),IF(ROUND(K15,1)=ROUND(K19,1),"Okay","Check"),"Check")</f>
        <v>Okay</v>
      </c>
      <c r="L20" s="146"/>
      <c r="M20" s="146"/>
      <c r="N20" s="146"/>
      <c r="O20" s="146" t="str">
        <f>IF(ROUND(O14,1)=ROUND(O18,2),IF(ROUND(O15,1)=ROUND(O19,1),"Okay","Check"),"Check")</f>
        <v>Okay</v>
      </c>
      <c r="P20" s="146"/>
      <c r="Q20" s="146"/>
      <c r="R20" s="146"/>
      <c r="S20" s="146" t="str">
        <f>IF(ROUND(S14,1)=ROUND(S18,2),IF(ROUND(S15,1)=ROUND(S19,1),"Okay","Check"),"Check")</f>
        <v>Okay</v>
      </c>
      <c r="T20" s="147"/>
    </row>
    <row r="21" spans="1:20">
      <c r="H21" s="73"/>
      <c r="L21" s="73"/>
    </row>
    <row r="22" spans="1:20">
      <c r="A22" s="62">
        <v>2021</v>
      </c>
      <c r="B22" s="62" t="s">
        <v>38</v>
      </c>
      <c r="C22" s="74">
        <f>Dataset!Q110</f>
        <v>16338</v>
      </c>
      <c r="G22" s="74">
        <f>Dataset!R110</f>
        <v>1783</v>
      </c>
      <c r="K22" s="74">
        <f>Dataset!S110</f>
        <v>124</v>
      </c>
      <c r="O22" s="74">
        <f>Dataset!T110</f>
        <v>3261</v>
      </c>
      <c r="S22" s="74">
        <f>Dataset!U110</f>
        <v>30</v>
      </c>
    </row>
    <row r="23" spans="1:20">
      <c r="B23" s="62" t="s">
        <v>39</v>
      </c>
      <c r="C23" s="74">
        <f>Dataset!Q111</f>
        <v>16339</v>
      </c>
      <c r="G23" s="74">
        <f>Dataset!R111</f>
        <v>1789</v>
      </c>
      <c r="K23" s="74">
        <f>Dataset!S111</f>
        <v>125</v>
      </c>
      <c r="O23" s="74">
        <f>Dataset!T111</f>
        <v>3261</v>
      </c>
      <c r="S23" s="74">
        <f>Dataset!U111</f>
        <v>30</v>
      </c>
    </row>
    <row r="24" spans="1:20">
      <c r="B24" s="62" t="s">
        <v>40</v>
      </c>
      <c r="C24" s="74">
        <f>Dataset!Q112</f>
        <v>16380</v>
      </c>
      <c r="G24" s="74">
        <f>Dataset!R112</f>
        <v>1804</v>
      </c>
      <c r="K24" s="74">
        <f>Dataset!S112</f>
        <v>125</v>
      </c>
      <c r="O24" s="74">
        <f>Dataset!T112</f>
        <v>3261</v>
      </c>
      <c r="S24" s="74">
        <f>Dataset!U112</f>
        <v>30</v>
      </c>
    </row>
    <row r="25" spans="1:20">
      <c r="B25" s="62" t="s">
        <v>41</v>
      </c>
      <c r="C25" s="74">
        <f>Dataset!Q113</f>
        <v>16373</v>
      </c>
      <c r="G25" s="74">
        <f>Dataset!R113</f>
        <v>1810</v>
      </c>
      <c r="K25" s="74">
        <f>Dataset!S113</f>
        <v>117</v>
      </c>
      <c r="O25" s="74">
        <f>Dataset!T113</f>
        <v>3261</v>
      </c>
      <c r="S25" s="74">
        <f>Dataset!U113</f>
        <v>30</v>
      </c>
    </row>
    <row r="26" spans="1:20">
      <c r="B26" s="62" t="s">
        <v>42</v>
      </c>
      <c r="C26" s="74">
        <f>Dataset!Q114</f>
        <v>16291</v>
      </c>
      <c r="G26" s="74">
        <f>Dataset!R114</f>
        <v>1798</v>
      </c>
      <c r="K26" s="74">
        <f>Dataset!S114</f>
        <v>125</v>
      </c>
      <c r="O26" s="74">
        <f>Dataset!T114</f>
        <v>3261</v>
      </c>
      <c r="S26" s="74">
        <f>Dataset!U114</f>
        <v>30</v>
      </c>
    </row>
    <row r="27" spans="1:20">
      <c r="B27" s="62" t="s">
        <v>77</v>
      </c>
      <c r="C27" s="74">
        <f>Dataset!Q115</f>
        <v>16505</v>
      </c>
      <c r="G27" s="74">
        <f>Dataset!R115</f>
        <v>1818</v>
      </c>
      <c r="K27" s="74">
        <f>Dataset!S115</f>
        <v>127</v>
      </c>
      <c r="O27" s="74">
        <f>Dataset!T115</f>
        <v>3261</v>
      </c>
      <c r="S27" s="74">
        <f>Dataset!U115</f>
        <v>30</v>
      </c>
    </row>
    <row r="28" spans="1:20">
      <c r="B28" s="62" t="s">
        <v>78</v>
      </c>
      <c r="C28" s="74">
        <f>Dataset!Q116</f>
        <v>16448</v>
      </c>
      <c r="G28" s="74">
        <f>Dataset!R116</f>
        <v>1805</v>
      </c>
      <c r="K28" s="74">
        <f>Dataset!S116</f>
        <v>127</v>
      </c>
      <c r="O28" s="74">
        <f>Dataset!T116</f>
        <v>3261</v>
      </c>
      <c r="S28" s="74">
        <f>Dataset!U116</f>
        <v>30</v>
      </c>
    </row>
    <row r="29" spans="1:20">
      <c r="B29" s="62" t="s">
        <v>79</v>
      </c>
      <c r="C29" s="74">
        <f>Dataset!Q117</f>
        <v>16442</v>
      </c>
      <c r="G29" s="74">
        <f>Dataset!R117</f>
        <v>1811</v>
      </c>
      <c r="K29" s="74">
        <f>Dataset!S117</f>
        <v>135</v>
      </c>
      <c r="O29" s="74">
        <f>Dataset!T117</f>
        <v>3261</v>
      </c>
      <c r="S29" s="74">
        <f>Dataset!U117</f>
        <v>30</v>
      </c>
    </row>
    <row r="30" spans="1:20">
      <c r="B30" s="62" t="s">
        <v>80</v>
      </c>
      <c r="C30" s="74">
        <f>Dataset!Q118</f>
        <v>16499</v>
      </c>
      <c r="G30" s="74">
        <f>Dataset!R118</f>
        <v>1810</v>
      </c>
      <c r="K30" s="74">
        <f>Dataset!S118</f>
        <v>122</v>
      </c>
      <c r="O30" s="74">
        <f>Dataset!T118</f>
        <v>3261</v>
      </c>
      <c r="S30" s="74">
        <f>Dataset!U118</f>
        <v>30</v>
      </c>
    </row>
    <row r="31" spans="1:20">
      <c r="B31" s="62" t="s">
        <v>47</v>
      </c>
      <c r="C31" s="74">
        <f>Dataset!Q119</f>
        <v>16380</v>
      </c>
      <c r="G31" s="74">
        <f>Dataset!R119</f>
        <v>1802</v>
      </c>
      <c r="K31" s="74">
        <f>Dataset!S119</f>
        <v>122</v>
      </c>
      <c r="O31" s="74">
        <f>Dataset!T119</f>
        <v>3261</v>
      </c>
      <c r="S31" s="74">
        <f>Dataset!U119</f>
        <v>30</v>
      </c>
    </row>
    <row r="32" spans="1:20">
      <c r="B32" s="62" t="s">
        <v>48</v>
      </c>
      <c r="C32" s="74">
        <f>Dataset!Q120</f>
        <v>16634</v>
      </c>
      <c r="G32" s="74">
        <f>Dataset!R120</f>
        <v>1818</v>
      </c>
      <c r="K32" s="74">
        <f>Dataset!S120</f>
        <v>122</v>
      </c>
      <c r="O32" s="74">
        <f>Dataset!T120</f>
        <v>3261</v>
      </c>
      <c r="S32" s="74">
        <f>Dataset!U120</f>
        <v>30</v>
      </c>
    </row>
    <row r="33" spans="1:20">
      <c r="B33" s="62" t="s">
        <v>49</v>
      </c>
      <c r="C33" s="74">
        <f>Dataset!Q121</f>
        <v>16428</v>
      </c>
      <c r="G33" s="74">
        <f>Dataset!R121</f>
        <v>1818</v>
      </c>
      <c r="K33" s="74">
        <f>Dataset!S121</f>
        <v>122</v>
      </c>
      <c r="O33" s="74">
        <f>Dataset!T121</f>
        <v>3261</v>
      </c>
      <c r="S33" s="74">
        <f>Dataset!U121</f>
        <v>30</v>
      </c>
    </row>
    <row r="35" spans="1:20">
      <c r="A35" s="62">
        <v>2022</v>
      </c>
      <c r="B35" s="62" t="s">
        <v>38</v>
      </c>
      <c r="C35" s="75">
        <v>16578.989880560246</v>
      </c>
      <c r="G35" s="75">
        <v>1812.7796684211357</v>
      </c>
      <c r="K35" s="75">
        <v>124.98835117286593</v>
      </c>
      <c r="O35" s="75">
        <v>3276.2439552261521</v>
      </c>
      <c r="S35" s="75">
        <v>30</v>
      </c>
    </row>
    <row r="36" spans="1:20">
      <c r="B36" s="62" t="s">
        <v>39</v>
      </c>
      <c r="C36" s="75">
        <f>D36*C35</f>
        <v>16603.39880613752</v>
      </c>
      <c r="D36" s="76">
        <f>D14^(1/12)</f>
        <v>1.0014722806246414</v>
      </c>
      <c r="G36" s="75">
        <f>H36*G35</f>
        <v>1813.9082922705552</v>
      </c>
      <c r="H36" s="76">
        <f>H14^(1/12)</f>
        <v>1.0006225929543895</v>
      </c>
      <c r="K36" s="75">
        <f>L36*K35</f>
        <v>125.08114819253039</v>
      </c>
      <c r="L36" s="76">
        <f>L14^(1/12)</f>
        <v>1.0007424453462557</v>
      </c>
      <c r="O36" s="75">
        <f>P36*O35</f>
        <v>3278.5939718414502</v>
      </c>
      <c r="P36" s="76">
        <f>P14^(1/12)</f>
        <v>1.0007172898744459</v>
      </c>
      <c r="S36" s="75">
        <f>T36*S35</f>
        <v>30</v>
      </c>
      <c r="T36" s="76">
        <f>T14^(1/12)</f>
        <v>1</v>
      </c>
    </row>
    <row r="37" spans="1:20">
      <c r="B37" s="62" t="s">
        <v>40</v>
      </c>
      <c r="C37" s="75">
        <f t="shared" ref="C37:C46" si="10">D37*C36</f>
        <v>16627.843668502992</v>
      </c>
      <c r="D37" s="76">
        <f>D36</f>
        <v>1.0014722806246414</v>
      </c>
      <c r="G37" s="75">
        <f t="shared" ref="G37:G46" si="11">H37*G36</f>
        <v>1815.0376187932316</v>
      </c>
      <c r="H37" s="76">
        <f>H36</f>
        <v>1.0006225929543895</v>
      </c>
      <c r="K37" s="75">
        <f t="shared" ref="K37:K46" si="12">L37*K36</f>
        <v>125.17401410891026</v>
      </c>
      <c r="L37" s="76">
        <f>L36</f>
        <v>1.0007424453462557</v>
      </c>
      <c r="O37" s="75">
        <f t="shared" ref="O37:O46" si="13">P37*O36</f>
        <v>3280.9456740998712</v>
      </c>
      <c r="P37" s="76">
        <f>P36</f>
        <v>1.0007172898744459</v>
      </c>
      <c r="S37" s="75">
        <f t="shared" ref="S37:S46" si="14">T37*S36</f>
        <v>30</v>
      </c>
      <c r="T37" s="76">
        <f>T36</f>
        <v>1</v>
      </c>
    </row>
    <row r="38" spans="1:20">
      <c r="B38" s="62" t="s">
        <v>41</v>
      </c>
      <c r="C38" s="75">
        <f t="shared" si="10"/>
        <v>16652.324520565697</v>
      </c>
      <c r="D38" s="76">
        <f t="shared" ref="D38:D58" si="15">D37</f>
        <v>1.0014722806246414</v>
      </c>
      <c r="G38" s="75">
        <f t="shared" si="11"/>
        <v>1816.1676484266441</v>
      </c>
      <c r="H38" s="76">
        <f t="shared" ref="H38:H46" si="16">H37</f>
        <v>1.0006225929543895</v>
      </c>
      <c r="K38" s="75">
        <f t="shared" si="12"/>
        <v>125.26694897315755</v>
      </c>
      <c r="L38" s="76">
        <f t="shared" ref="L38:L46" si="17">L37</f>
        <v>1.0007424453462557</v>
      </c>
      <c r="O38" s="75">
        <f t="shared" si="13"/>
        <v>3283.2990632105102</v>
      </c>
      <c r="P38" s="76">
        <f t="shared" ref="P38:P46" si="18">P37</f>
        <v>1.0007172898744459</v>
      </c>
      <c r="S38" s="75">
        <f t="shared" si="14"/>
        <v>30</v>
      </c>
      <c r="T38" s="76">
        <f t="shared" ref="T38:T46" si="19">T37</f>
        <v>1</v>
      </c>
    </row>
    <row r="39" spans="1:20">
      <c r="B39" s="62" t="s">
        <v>42</v>
      </c>
      <c r="C39" s="75">
        <f t="shared" si="10"/>
        <v>16676.841415312567</v>
      </c>
      <c r="D39" s="76">
        <f t="shared" si="15"/>
        <v>1.0014722806246414</v>
      </c>
      <c r="G39" s="75">
        <f t="shared" si="11"/>
        <v>1817.2983816085446</v>
      </c>
      <c r="H39" s="76">
        <f t="shared" si="16"/>
        <v>1.0006225929543895</v>
      </c>
      <c r="K39" s="75">
        <f t="shared" si="12"/>
        <v>125.35995283646233</v>
      </c>
      <c r="L39" s="76">
        <f t="shared" si="17"/>
        <v>1.0007424453462557</v>
      </c>
      <c r="O39" s="75">
        <f t="shared" si="13"/>
        <v>3285.6541403833285</v>
      </c>
      <c r="P39" s="76">
        <f t="shared" si="18"/>
        <v>1.0007172898744459</v>
      </c>
      <c r="S39" s="75">
        <f t="shared" si="14"/>
        <v>30</v>
      </c>
      <c r="T39" s="76">
        <f t="shared" si="19"/>
        <v>1</v>
      </c>
    </row>
    <row r="40" spans="1:20">
      <c r="B40" s="62" t="s">
        <v>77</v>
      </c>
      <c r="C40" s="75">
        <f t="shared" si="10"/>
        <v>16701.394405808551</v>
      </c>
      <c r="D40" s="76">
        <f t="shared" si="15"/>
        <v>1.0014722806246414</v>
      </c>
      <c r="G40" s="75">
        <f t="shared" si="11"/>
        <v>1818.4298187769575</v>
      </c>
      <c r="H40" s="76">
        <f t="shared" si="16"/>
        <v>1.0006225929543895</v>
      </c>
      <c r="K40" s="75">
        <f t="shared" si="12"/>
        <v>125.45302575005259</v>
      </c>
      <c r="L40" s="76">
        <f t="shared" si="17"/>
        <v>1.0007424453462557</v>
      </c>
      <c r="O40" s="75">
        <f t="shared" si="13"/>
        <v>3288.0109068291567</v>
      </c>
      <c r="P40" s="76">
        <f t="shared" si="18"/>
        <v>1.0007172898744459</v>
      </c>
      <c r="S40" s="75">
        <f t="shared" si="14"/>
        <v>30</v>
      </c>
      <c r="T40" s="76">
        <f t="shared" si="19"/>
        <v>1</v>
      </c>
    </row>
    <row r="41" spans="1:20">
      <c r="B41" s="62" t="s">
        <v>78</v>
      </c>
      <c r="C41" s="75">
        <f t="shared" si="10"/>
        <v>16725.983545196719</v>
      </c>
      <c r="D41" s="76">
        <f t="shared" si="15"/>
        <v>1.0014722806246414</v>
      </c>
      <c r="G41" s="75">
        <f t="shared" si="11"/>
        <v>1819.5619603701798</v>
      </c>
      <c r="H41" s="76">
        <f t="shared" si="16"/>
        <v>1.0006225929543895</v>
      </c>
      <c r="K41" s="75">
        <f t="shared" si="12"/>
        <v>125.54616776519441</v>
      </c>
      <c r="L41" s="76">
        <f t="shared" si="17"/>
        <v>1.0007424453462557</v>
      </c>
      <c r="O41" s="75">
        <f t="shared" si="13"/>
        <v>3290.369363759693</v>
      </c>
      <c r="P41" s="76">
        <f t="shared" si="18"/>
        <v>1.0007172898744459</v>
      </c>
      <c r="S41" s="75">
        <f t="shared" si="14"/>
        <v>30</v>
      </c>
      <c r="T41" s="76">
        <f t="shared" si="19"/>
        <v>1</v>
      </c>
    </row>
    <row r="42" spans="1:20">
      <c r="B42" s="62" t="s">
        <v>79</v>
      </c>
      <c r="C42" s="75">
        <f t="shared" si="10"/>
        <v>16750.608886698385</v>
      </c>
      <c r="D42" s="76">
        <f t="shared" si="15"/>
        <v>1.0014722806246414</v>
      </c>
      <c r="E42" s="77"/>
      <c r="F42" s="77"/>
      <c r="G42" s="75">
        <f t="shared" si="11"/>
        <v>1820.6948068267814</v>
      </c>
      <c r="H42" s="76">
        <f t="shared" si="16"/>
        <v>1.0006225929543895</v>
      </c>
      <c r="I42" s="77"/>
      <c r="J42" s="77"/>
      <c r="K42" s="75">
        <f t="shared" si="12"/>
        <v>125.63937893319192</v>
      </c>
      <c r="L42" s="76">
        <f t="shared" si="17"/>
        <v>1.0007424453462557</v>
      </c>
      <c r="M42" s="77"/>
      <c r="N42" s="77"/>
      <c r="O42" s="75">
        <f t="shared" si="13"/>
        <v>3292.7295123875047</v>
      </c>
      <c r="P42" s="76">
        <f t="shared" si="18"/>
        <v>1.0007172898744459</v>
      </c>
      <c r="Q42" s="77"/>
      <c r="R42" s="77"/>
      <c r="S42" s="75">
        <f t="shared" si="14"/>
        <v>30</v>
      </c>
      <c r="T42" s="76">
        <f t="shared" si="19"/>
        <v>1</v>
      </c>
    </row>
    <row r="43" spans="1:20">
      <c r="B43" s="62" t="s">
        <v>80</v>
      </c>
      <c r="C43" s="75">
        <f t="shared" si="10"/>
        <v>16775.270483613218</v>
      </c>
      <c r="D43" s="76">
        <f t="shared" si="15"/>
        <v>1.0014722806246414</v>
      </c>
      <c r="E43" s="77"/>
      <c r="F43" s="77"/>
      <c r="G43" s="75">
        <f t="shared" si="11"/>
        <v>1821.8283585856052</v>
      </c>
      <c r="H43" s="76">
        <f t="shared" si="16"/>
        <v>1.0006225929543895</v>
      </c>
      <c r="I43" s="77"/>
      <c r="J43" s="78"/>
      <c r="K43" s="75">
        <f t="shared" si="12"/>
        <v>125.73265930538732</v>
      </c>
      <c r="L43" s="76">
        <f t="shared" si="17"/>
        <v>1.0007424453462557</v>
      </c>
      <c r="M43" s="77"/>
      <c r="N43" s="77"/>
      <c r="O43" s="75">
        <f t="shared" si="13"/>
        <v>3295.0913539260291</v>
      </c>
      <c r="P43" s="76">
        <f t="shared" si="18"/>
        <v>1.0007172898744459</v>
      </c>
      <c r="Q43" s="77"/>
      <c r="R43" s="77"/>
      <c r="S43" s="75">
        <f t="shared" si="14"/>
        <v>30</v>
      </c>
      <c r="T43" s="76">
        <f t="shared" si="19"/>
        <v>1</v>
      </c>
    </row>
    <row r="44" spans="1:20">
      <c r="B44" s="62" t="s">
        <v>47</v>
      </c>
      <c r="C44" s="75">
        <f t="shared" si="10"/>
        <v>16799.968389319361</v>
      </c>
      <c r="D44" s="76">
        <f t="shared" si="15"/>
        <v>1.0014722806246414</v>
      </c>
      <c r="E44" s="77"/>
      <c r="F44" s="77"/>
      <c r="G44" s="75">
        <f t="shared" si="11"/>
        <v>1822.9626160857676</v>
      </c>
      <c r="H44" s="76">
        <f t="shared" si="16"/>
        <v>1.0006225929543895</v>
      </c>
      <c r="I44" s="77"/>
      <c r="J44" s="77"/>
      <c r="K44" s="75">
        <f t="shared" si="12"/>
        <v>125.82600893316095</v>
      </c>
      <c r="L44" s="76">
        <f t="shared" si="17"/>
        <v>1.0007424453462557</v>
      </c>
      <c r="M44" s="77"/>
      <c r="N44" s="77"/>
      <c r="O44" s="75">
        <f t="shared" si="13"/>
        <v>3297.4548895895746</v>
      </c>
      <c r="P44" s="76">
        <f t="shared" si="18"/>
        <v>1.0007172898744459</v>
      </c>
      <c r="Q44" s="77"/>
      <c r="R44" s="77"/>
      <c r="S44" s="75">
        <f t="shared" si="14"/>
        <v>30</v>
      </c>
      <c r="T44" s="76">
        <f t="shared" si="19"/>
        <v>1</v>
      </c>
    </row>
    <row r="45" spans="1:20">
      <c r="B45" s="62" t="s">
        <v>48</v>
      </c>
      <c r="C45" s="75">
        <f t="shared" si="10"/>
        <v>16824.702657273545</v>
      </c>
      <c r="D45" s="76">
        <f t="shared" si="15"/>
        <v>1.0014722806246414</v>
      </c>
      <c r="E45" s="77"/>
      <c r="F45" s="77"/>
      <c r="G45" s="75">
        <f t="shared" si="11"/>
        <v>1824.0975797666581</v>
      </c>
      <c r="H45" s="76">
        <f t="shared" si="16"/>
        <v>1.0006225929543895</v>
      </c>
      <c r="I45" s="77"/>
      <c r="J45" s="77"/>
      <c r="K45" s="75">
        <f t="shared" si="12"/>
        <v>125.9194278679313</v>
      </c>
      <c r="L45" s="76">
        <f t="shared" si="17"/>
        <v>1.0007424453462557</v>
      </c>
      <c r="M45" s="77"/>
      <c r="N45" s="77"/>
      <c r="O45" s="75">
        <f t="shared" si="13"/>
        <v>3299.8201205933192</v>
      </c>
      <c r="P45" s="76">
        <f t="shared" si="18"/>
        <v>1.0007172898744459</v>
      </c>
      <c r="Q45" s="77"/>
      <c r="R45" s="77"/>
      <c r="S45" s="75">
        <f t="shared" si="14"/>
        <v>30</v>
      </c>
      <c r="T45" s="76">
        <f t="shared" si="19"/>
        <v>1</v>
      </c>
    </row>
    <row r="46" spans="1:20">
      <c r="B46" s="62" t="s">
        <v>49</v>
      </c>
      <c r="C46" s="75">
        <f t="shared" si="10"/>
        <v>16849.473341011202</v>
      </c>
      <c r="D46" s="76">
        <f t="shared" si="15"/>
        <v>1.0014722806246414</v>
      </c>
      <c r="E46" s="77"/>
      <c r="F46" s="77"/>
      <c r="G46" s="75">
        <f t="shared" si="11"/>
        <v>1825.2332500679397</v>
      </c>
      <c r="H46" s="76">
        <f t="shared" si="16"/>
        <v>1.0006225929543895</v>
      </c>
      <c r="I46" s="77"/>
      <c r="J46" s="77"/>
      <c r="K46" s="75">
        <f t="shared" si="12"/>
        <v>126.01291616115503</v>
      </c>
      <c r="L46" s="76">
        <f t="shared" si="17"/>
        <v>1.0007424453462557</v>
      </c>
      <c r="M46" s="77"/>
      <c r="N46" s="77"/>
      <c r="O46" s="75">
        <f t="shared" si="13"/>
        <v>3302.1870481533133</v>
      </c>
      <c r="P46" s="76">
        <f t="shared" si="18"/>
        <v>1.0007172898744459</v>
      </c>
      <c r="Q46" s="77"/>
      <c r="R46" s="77"/>
      <c r="S46" s="75">
        <f t="shared" si="14"/>
        <v>30</v>
      </c>
      <c r="T46" s="76">
        <f t="shared" si="19"/>
        <v>1</v>
      </c>
    </row>
    <row r="47" spans="1:20">
      <c r="A47" s="62">
        <v>2023</v>
      </c>
      <c r="B47" s="62" t="s">
        <v>38</v>
      </c>
      <c r="C47" s="75">
        <v>16874.28692598009</v>
      </c>
      <c r="D47" s="76"/>
      <c r="E47" s="77"/>
      <c r="F47" s="77"/>
      <c r="G47" s="75">
        <v>1826.4328193047911</v>
      </c>
      <c r="H47" s="76"/>
      <c r="I47" s="77"/>
      <c r="J47" s="77"/>
      <c r="K47" s="75">
        <v>126.18345891316427</v>
      </c>
      <c r="L47" s="76"/>
      <c r="M47" s="77"/>
      <c r="N47" s="77"/>
      <c r="O47" s="75">
        <v>3304.5320886106979</v>
      </c>
      <c r="P47" s="76"/>
      <c r="Q47" s="77"/>
      <c r="R47" s="77"/>
      <c r="S47" s="75">
        <v>30</v>
      </c>
      <c r="T47" s="76"/>
    </row>
    <row r="48" spans="1:20">
      <c r="B48" s="62" t="s">
        <v>39</v>
      </c>
      <c r="C48" s="75">
        <f>D48*C47</f>
        <v>16899.13061167585</v>
      </c>
      <c r="D48" s="76">
        <f>D15^(1/12)</f>
        <v>1.0014722806246414</v>
      </c>
      <c r="E48" s="77"/>
      <c r="F48" s="77"/>
      <c r="G48" s="75">
        <f>H48*G47</f>
        <v>1827.5699435097561</v>
      </c>
      <c r="H48" s="76">
        <f>H15^(1/12)</f>
        <v>1.0006225929543895</v>
      </c>
      <c r="I48" s="77"/>
      <c r="J48" s="77"/>
      <c r="K48" s="75">
        <f>L48*K47</f>
        <v>126.27714323500879</v>
      </c>
      <c r="L48" s="76">
        <f>L15^(1/12)</f>
        <v>1.0007424453462557</v>
      </c>
      <c r="M48" s="77"/>
      <c r="N48" s="77"/>
      <c r="O48" s="75">
        <f>P48*O47</f>
        <v>3306.9023960176396</v>
      </c>
      <c r="P48" s="76">
        <f>P15^(1/12)</f>
        <v>1.0007172898744459</v>
      </c>
      <c r="Q48" s="77"/>
      <c r="R48" s="77"/>
      <c r="S48" s="75">
        <f>T48*S47</f>
        <v>30</v>
      </c>
      <c r="T48" s="76">
        <f>T15^(1/12)</f>
        <v>1</v>
      </c>
    </row>
    <row r="49" spans="2:20">
      <c r="B49" s="62" t="s">
        <v>40</v>
      </c>
      <c r="C49" s="75">
        <f t="shared" ref="C49:C58" si="20">D49*C48</f>
        <v>16924.010874248706</v>
      </c>
      <c r="D49" s="76">
        <f t="shared" si="15"/>
        <v>1.0014722806246414</v>
      </c>
      <c r="E49" s="77"/>
      <c r="F49" s="77"/>
      <c r="G49" s="75">
        <f t="shared" ref="G49:G58" si="21">H49*G48</f>
        <v>1828.7077756802391</v>
      </c>
      <c r="H49" s="76">
        <f t="shared" ref="H49:H58" si="22">H48</f>
        <v>1.0006225929543895</v>
      </c>
      <c r="I49" s="77"/>
      <c r="J49" s="77"/>
      <c r="K49" s="75">
        <f t="shared" ref="K49:K58" si="23">L49*K48</f>
        <v>126.37089711234209</v>
      </c>
      <c r="L49" s="76">
        <f t="shared" ref="L49:L58" si="24">L48</f>
        <v>1.0007424453462557</v>
      </c>
      <c r="M49" s="77"/>
      <c r="N49" s="77"/>
      <c r="O49" s="75">
        <f t="shared" ref="O49:O58" si="25">P49*O48</f>
        <v>3309.2744036220838</v>
      </c>
      <c r="P49" s="76">
        <f t="shared" ref="P49:P58" si="26">P48</f>
        <v>1.0007172898744459</v>
      </c>
      <c r="Q49" s="77"/>
      <c r="R49" s="77"/>
      <c r="S49" s="75">
        <f t="shared" ref="S49:S58" si="27">T49*S48</f>
        <v>30</v>
      </c>
      <c r="T49" s="76">
        <f t="shared" ref="T49:T58" si="28">T48</f>
        <v>1</v>
      </c>
    </row>
    <row r="50" spans="2:20">
      <c r="B50" s="62" t="s">
        <v>41</v>
      </c>
      <c r="C50" s="75">
        <f t="shared" si="20"/>
        <v>16948.927767550085</v>
      </c>
      <c r="D50" s="76">
        <f t="shared" si="15"/>
        <v>1.0014722806246414</v>
      </c>
      <c r="E50" s="77"/>
      <c r="F50" s="77"/>
      <c r="G50" s="75">
        <f t="shared" si="21"/>
        <v>1829.8463162570149</v>
      </c>
      <c r="H50" s="76">
        <f t="shared" si="22"/>
        <v>1.0006225929543895</v>
      </c>
      <c r="I50" s="77"/>
      <c r="J50" s="77"/>
      <c r="K50" s="75">
        <f t="shared" si="23"/>
        <v>126.46472059680531</v>
      </c>
      <c r="L50" s="76">
        <f t="shared" si="24"/>
        <v>1.0007424453462557</v>
      </c>
      <c r="M50" s="77"/>
      <c r="N50" s="77"/>
      <c r="O50" s="75">
        <f t="shared" si="25"/>
        <v>3311.6481126435647</v>
      </c>
      <c r="P50" s="76">
        <f t="shared" si="26"/>
        <v>1.0007172898744459</v>
      </c>
      <c r="Q50" s="77"/>
      <c r="R50" s="77"/>
      <c r="S50" s="75">
        <f t="shared" si="27"/>
        <v>30</v>
      </c>
      <c r="T50" s="76">
        <f t="shared" si="28"/>
        <v>1</v>
      </c>
    </row>
    <row r="51" spans="2:20">
      <c r="B51" s="62" t="s">
        <v>42</v>
      </c>
      <c r="C51" s="75">
        <f t="shared" si="20"/>
        <v>16973.881345510697</v>
      </c>
      <c r="D51" s="76">
        <f t="shared" si="15"/>
        <v>1.0014722806246414</v>
      </c>
      <c r="E51" s="77"/>
      <c r="F51" s="77"/>
      <c r="G51" s="75">
        <f t="shared" si="21"/>
        <v>1830.9855656811321</v>
      </c>
      <c r="H51" s="76">
        <f t="shared" si="22"/>
        <v>1.0006225929543895</v>
      </c>
      <c r="I51" s="77"/>
      <c r="J51" s="77"/>
      <c r="K51" s="75">
        <f t="shared" si="23"/>
        <v>126.55861374007793</v>
      </c>
      <c r="L51" s="76">
        <f t="shared" si="24"/>
        <v>1.0007424453462557</v>
      </c>
      <c r="M51" s="77"/>
      <c r="N51" s="77"/>
      <c r="O51" s="75">
        <f t="shared" si="25"/>
        <v>3314.0235243024918</v>
      </c>
      <c r="P51" s="76">
        <f t="shared" si="26"/>
        <v>1.0007172898744459</v>
      </c>
      <c r="Q51" s="77"/>
      <c r="R51" s="77"/>
      <c r="S51" s="75">
        <f t="shared" si="27"/>
        <v>30</v>
      </c>
      <c r="T51" s="76">
        <f t="shared" si="28"/>
        <v>1</v>
      </c>
    </row>
    <row r="52" spans="2:20">
      <c r="B52" s="62" t="s">
        <v>77</v>
      </c>
      <c r="C52" s="75">
        <f t="shared" si="20"/>
        <v>16998.871662140657</v>
      </c>
      <c r="D52" s="76">
        <f t="shared" si="15"/>
        <v>1.0014722806246414</v>
      </c>
      <c r="E52" s="77"/>
      <c r="F52" s="77"/>
      <c r="G52" s="75">
        <f t="shared" si="21"/>
        <v>1832.125524393914</v>
      </c>
      <c r="H52" s="76">
        <f t="shared" si="22"/>
        <v>1.0006225929543895</v>
      </c>
      <c r="I52" s="77"/>
      <c r="J52" s="77"/>
      <c r="K52" s="75">
        <f t="shared" si="23"/>
        <v>126.65257659387782</v>
      </c>
      <c r="L52" s="76">
        <f t="shared" si="24"/>
        <v>1.0007424453462557</v>
      </c>
      <c r="M52" s="77"/>
      <c r="N52" s="77"/>
      <c r="O52" s="75">
        <f t="shared" si="25"/>
        <v>3316.4006398201491</v>
      </c>
      <c r="P52" s="76">
        <f t="shared" si="26"/>
        <v>1.0007172898744459</v>
      </c>
      <c r="Q52" s="77"/>
      <c r="R52" s="77"/>
      <c r="S52" s="75">
        <f t="shared" si="27"/>
        <v>30</v>
      </c>
      <c r="T52" s="76">
        <f t="shared" si="28"/>
        <v>1</v>
      </c>
    </row>
    <row r="53" spans="2:20">
      <c r="B53" s="62" t="s">
        <v>78</v>
      </c>
      <c r="C53" s="75">
        <f t="shared" si="20"/>
        <v>17023.898771529592</v>
      </c>
      <c r="D53" s="76">
        <f t="shared" si="15"/>
        <v>1.0014722806246414</v>
      </c>
      <c r="E53" s="77"/>
      <c r="F53" s="77"/>
      <c r="G53" s="75">
        <f t="shared" si="21"/>
        <v>1833.2661928369589</v>
      </c>
      <c r="H53" s="76">
        <f t="shared" si="22"/>
        <v>1.0006225929543895</v>
      </c>
      <c r="I53" s="77"/>
      <c r="J53" s="77"/>
      <c r="K53" s="75">
        <f t="shared" si="23"/>
        <v>126.74660920996124</v>
      </c>
      <c r="L53" s="76">
        <f t="shared" si="24"/>
        <v>1.0007424453462557</v>
      </c>
      <c r="M53" s="77"/>
      <c r="N53" s="77"/>
      <c r="O53" s="75">
        <f t="shared" si="25"/>
        <v>3318.7794604186979</v>
      </c>
      <c r="P53" s="76">
        <f t="shared" si="26"/>
        <v>1.0007172898744459</v>
      </c>
      <c r="Q53" s="77"/>
      <c r="R53" s="77"/>
      <c r="S53" s="75">
        <f t="shared" si="27"/>
        <v>30</v>
      </c>
      <c r="T53" s="76">
        <f t="shared" si="28"/>
        <v>1</v>
      </c>
    </row>
    <row r="54" spans="2:20">
      <c r="B54" s="62" t="s">
        <v>79</v>
      </c>
      <c r="C54" s="75">
        <f t="shared" si="20"/>
        <v>17048.962727846771</v>
      </c>
      <c r="D54" s="76">
        <f t="shared" si="15"/>
        <v>1.0014722806246414</v>
      </c>
      <c r="E54" s="77"/>
      <c r="F54" s="77"/>
      <c r="G54" s="75">
        <f t="shared" si="21"/>
        <v>1834.4075714521396</v>
      </c>
      <c r="H54" s="76">
        <f t="shared" si="22"/>
        <v>1.0006225929543895</v>
      </c>
      <c r="I54" s="77"/>
      <c r="J54" s="77"/>
      <c r="K54" s="75">
        <f t="shared" si="23"/>
        <v>126.84071164012286</v>
      </c>
      <c r="L54" s="76">
        <f t="shared" si="24"/>
        <v>1.0007424453462557</v>
      </c>
      <c r="M54" s="77"/>
      <c r="N54" s="77"/>
      <c r="O54" s="75">
        <f t="shared" si="25"/>
        <v>3321.1599873211753</v>
      </c>
      <c r="P54" s="76">
        <f t="shared" si="26"/>
        <v>1.0007172898744459</v>
      </c>
      <c r="Q54" s="77"/>
      <c r="R54" s="77"/>
      <c r="S54" s="75">
        <f t="shared" si="27"/>
        <v>30</v>
      </c>
      <c r="T54" s="76">
        <f t="shared" si="28"/>
        <v>1</v>
      </c>
    </row>
    <row r="55" spans="2:20">
      <c r="B55" s="62" t="s">
        <v>80</v>
      </c>
      <c r="C55" s="75">
        <f t="shared" si="20"/>
        <v>17074.063585341213</v>
      </c>
      <c r="D55" s="76">
        <f t="shared" si="15"/>
        <v>1.0014722806246414</v>
      </c>
      <c r="E55" s="77"/>
      <c r="F55" s="77"/>
      <c r="G55" s="75">
        <f t="shared" si="21"/>
        <v>1835.5496606816043</v>
      </c>
      <c r="H55" s="76">
        <f t="shared" si="22"/>
        <v>1.0006225929543895</v>
      </c>
      <c r="I55" s="77"/>
      <c r="J55" s="77"/>
      <c r="K55" s="75">
        <f t="shared" si="23"/>
        <v>126.93488393619583</v>
      </c>
      <c r="L55" s="76">
        <f t="shared" si="24"/>
        <v>1.0007424453462557</v>
      </c>
      <c r="M55" s="77"/>
      <c r="N55" s="77"/>
      <c r="O55" s="75">
        <f t="shared" si="25"/>
        <v>3323.5422217514956</v>
      </c>
      <c r="P55" s="76">
        <f t="shared" si="26"/>
        <v>1.0007172898744459</v>
      </c>
      <c r="Q55" s="77"/>
      <c r="R55" s="77"/>
      <c r="S55" s="75">
        <f t="shared" si="27"/>
        <v>30</v>
      </c>
      <c r="T55" s="76">
        <f t="shared" si="28"/>
        <v>1</v>
      </c>
    </row>
    <row r="56" spans="2:20">
      <c r="B56" s="62" t="s">
        <v>47</v>
      </c>
      <c r="C56" s="75">
        <f t="shared" si="20"/>
        <v>17099.201398341807</v>
      </c>
      <c r="D56" s="76">
        <f t="shared" si="15"/>
        <v>1.0014722806246414</v>
      </c>
      <c r="E56" s="77"/>
      <c r="F56" s="77"/>
      <c r="G56" s="75">
        <f t="shared" si="21"/>
        <v>1836.6924609677767</v>
      </c>
      <c r="H56" s="76">
        <f t="shared" si="22"/>
        <v>1.0006225929543895</v>
      </c>
      <c r="I56" s="77"/>
      <c r="J56" s="77"/>
      <c r="K56" s="75">
        <f t="shared" si="23"/>
        <v>127.02912615005177</v>
      </c>
      <c r="L56" s="76">
        <f t="shared" si="24"/>
        <v>1.0007424453462557</v>
      </c>
      <c r="M56" s="77"/>
      <c r="N56" s="77"/>
      <c r="O56" s="75">
        <f t="shared" si="25"/>
        <v>3325.9261649344512</v>
      </c>
      <c r="P56" s="76">
        <f t="shared" si="26"/>
        <v>1.0007172898744459</v>
      </c>
      <c r="Q56" s="77"/>
      <c r="R56" s="77"/>
      <c r="S56" s="75">
        <f t="shared" si="27"/>
        <v>30</v>
      </c>
      <c r="T56" s="76">
        <f t="shared" si="28"/>
        <v>1</v>
      </c>
    </row>
    <row r="57" spans="2:20">
      <c r="B57" s="62" t="s">
        <v>48</v>
      </c>
      <c r="C57" s="75">
        <f t="shared" si="20"/>
        <v>17124.376221257429</v>
      </c>
      <c r="D57" s="76">
        <f t="shared" si="15"/>
        <v>1.0014722806246414</v>
      </c>
      <c r="E57" s="77"/>
      <c r="F57" s="77"/>
      <c r="G57" s="75">
        <f t="shared" si="21"/>
        <v>1837.8359727533555</v>
      </c>
      <c r="H57" s="76">
        <f t="shared" si="22"/>
        <v>1.0006225929543895</v>
      </c>
      <c r="I57" s="77"/>
      <c r="J57" s="77"/>
      <c r="K57" s="75">
        <f t="shared" si="23"/>
        <v>127.1234383336008</v>
      </c>
      <c r="L57" s="76">
        <f t="shared" si="24"/>
        <v>1.0007424453462557</v>
      </c>
      <c r="M57" s="77"/>
      <c r="N57" s="77"/>
      <c r="O57" s="75">
        <f t="shared" si="25"/>
        <v>3328.3118180957131</v>
      </c>
      <c r="P57" s="76">
        <f t="shared" si="26"/>
        <v>1.0007172898744459</v>
      </c>
      <c r="Q57" s="77"/>
      <c r="R57" s="77"/>
      <c r="S57" s="75">
        <f t="shared" si="27"/>
        <v>30</v>
      </c>
      <c r="T57" s="76">
        <f t="shared" si="28"/>
        <v>1</v>
      </c>
    </row>
    <row r="58" spans="2:20">
      <c r="B58" s="62" t="s">
        <v>49</v>
      </c>
      <c r="C58" s="75">
        <f t="shared" si="20"/>
        <v>17149.588108577056</v>
      </c>
      <c r="D58" s="76">
        <f t="shared" si="15"/>
        <v>1.0014722806246414</v>
      </c>
      <c r="E58" s="77"/>
      <c r="F58" s="77"/>
      <c r="G58" s="75">
        <f t="shared" si="21"/>
        <v>1838.9801964813153</v>
      </c>
      <c r="H58" s="76">
        <f t="shared" si="22"/>
        <v>1.0006225929543895</v>
      </c>
      <c r="I58" s="77"/>
      <c r="J58" s="77"/>
      <c r="K58" s="75">
        <f t="shared" si="23"/>
        <v>127.2178205387916</v>
      </c>
      <c r="L58" s="76">
        <f t="shared" si="24"/>
        <v>1.0007424453462557</v>
      </c>
      <c r="M58" s="77"/>
      <c r="N58" s="77"/>
      <c r="O58" s="75">
        <f t="shared" si="25"/>
        <v>3330.6991824618317</v>
      </c>
      <c r="P58" s="76">
        <f t="shared" si="26"/>
        <v>1.0007172898744459</v>
      </c>
      <c r="Q58" s="77"/>
      <c r="R58" s="77"/>
      <c r="S58" s="75">
        <f t="shared" si="27"/>
        <v>30</v>
      </c>
      <c r="T58" s="76">
        <f t="shared" si="28"/>
        <v>1</v>
      </c>
    </row>
    <row r="61" spans="2:20">
      <c r="D61" s="79"/>
    </row>
    <row r="62" spans="2:20">
      <c r="D62" s="69"/>
    </row>
    <row r="64" spans="2:20">
      <c r="Q64" s="80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O54"/>
  <sheetViews>
    <sheetView topLeftCell="A19" workbookViewId="0">
      <selection activeCell="K18" sqref="K18"/>
    </sheetView>
  </sheetViews>
  <sheetFormatPr defaultRowHeight="12.75"/>
  <cols>
    <col min="1" max="2" width="9.140625" style="62"/>
    <col min="3" max="3" width="15" style="62" bestFit="1" customWidth="1"/>
    <col min="4" max="4" width="13.140625" style="62" customWidth="1"/>
    <col min="5" max="5" width="11" style="62" customWidth="1"/>
    <col min="6" max="6" width="9.7109375" style="62" bestFit="1" customWidth="1"/>
    <col min="7" max="8" width="9.140625" style="62"/>
    <col min="9" max="9" width="12.5703125" style="62" customWidth="1"/>
    <col min="10" max="10" width="13.85546875" style="62" customWidth="1"/>
    <col min="11" max="11" width="13.5703125" style="62" customWidth="1"/>
    <col min="12" max="12" width="9.42578125" style="62" customWidth="1"/>
    <col min="13" max="13" width="9.140625" style="62"/>
    <col min="14" max="14" width="8" style="62" customWidth="1"/>
    <col min="15" max="15" width="9.140625" style="62" bestFit="1"/>
    <col min="16" max="16384" width="9.140625" style="62"/>
  </cols>
  <sheetData>
    <row r="2" spans="1:15">
      <c r="C2" s="361" t="s">
        <v>92</v>
      </c>
      <c r="D2" s="361"/>
      <c r="E2" s="361"/>
      <c r="H2" s="361" t="s">
        <v>96</v>
      </c>
      <c r="I2" s="361"/>
      <c r="J2" s="361"/>
      <c r="K2" s="361"/>
      <c r="L2" s="361"/>
    </row>
    <row r="3" spans="1:15">
      <c r="A3" s="81"/>
      <c r="B3" s="81"/>
      <c r="C3" s="82" t="s">
        <v>97</v>
      </c>
      <c r="D3" s="82" t="s">
        <v>98</v>
      </c>
      <c r="E3" s="82" t="s">
        <v>99</v>
      </c>
      <c r="F3" s="82" t="s">
        <v>100</v>
      </c>
      <c r="H3" s="81"/>
      <c r="I3" s="82" t="s">
        <v>97</v>
      </c>
      <c r="J3" s="82" t="s">
        <v>98</v>
      </c>
      <c r="K3" s="82" t="s">
        <v>99</v>
      </c>
      <c r="L3" s="82" t="s">
        <v>100</v>
      </c>
      <c r="N3" s="81"/>
      <c r="O3" s="82"/>
    </row>
    <row r="4" spans="1:15">
      <c r="A4" s="81"/>
      <c r="B4" s="81"/>
      <c r="C4" s="81" t="s">
        <v>101</v>
      </c>
      <c r="D4" s="81" t="s">
        <v>102</v>
      </c>
      <c r="E4" s="81" t="s">
        <v>103</v>
      </c>
      <c r="F4" s="82"/>
      <c r="H4" s="81"/>
      <c r="I4" s="81"/>
      <c r="J4" s="82"/>
      <c r="K4" s="82"/>
      <c r="L4" s="82"/>
      <c r="N4" s="81"/>
      <c r="O4" s="82"/>
    </row>
    <row r="5" spans="1:15">
      <c r="A5" s="61"/>
      <c r="B5" s="61">
        <v>2012</v>
      </c>
      <c r="C5" s="64">
        <f>'Normalized Annual Summary'!U5</f>
        <v>135049591.48066023</v>
      </c>
      <c r="D5" s="64">
        <f>SUMIFS(Dataset!O:O,Dataset!B:B,B5)</f>
        <v>325040.65999999997</v>
      </c>
      <c r="E5" s="83">
        <f t="shared" ref="E5:E12" si="0">D5/C5</f>
        <v>2.4068244593434952E-3</v>
      </c>
      <c r="F5" s="80"/>
      <c r="H5" s="61">
        <v>2012</v>
      </c>
      <c r="I5" s="64">
        <f>'Normalized Annual Summary'!AG5</f>
        <v>2183242.595704949</v>
      </c>
      <c r="J5" s="64">
        <f>SUMIFS(Dataset!P:P,Dataset!B:B,H5)</f>
        <v>6094.44</v>
      </c>
      <c r="K5" s="83">
        <f t="shared" ref="K5:K13" si="1">J5/I5</f>
        <v>2.7914625758903174E-3</v>
      </c>
      <c r="L5" s="80"/>
      <c r="M5" s="80"/>
      <c r="N5" s="61"/>
      <c r="O5" s="64"/>
    </row>
    <row r="6" spans="1:15">
      <c r="A6" s="61"/>
      <c r="B6" s="61">
        <f t="shared" ref="B6:B14" si="2">B5+1</f>
        <v>2013</v>
      </c>
      <c r="C6" s="64">
        <f>'Normalized Annual Summary'!U6</f>
        <v>117856754.09007391</v>
      </c>
      <c r="D6" s="64">
        <f>SUMIFS(Dataset!O:O,Dataset!B:B,B6)</f>
        <v>295818.72000000003</v>
      </c>
      <c r="E6" s="83">
        <f t="shared" si="0"/>
        <v>2.5099852976938073E-3</v>
      </c>
      <c r="F6" s="80">
        <f>AVERAGE(E5:E6)</f>
        <v>2.458404878518651E-3</v>
      </c>
      <c r="H6" s="61">
        <f t="shared" ref="H6:H14" si="3">H5+1</f>
        <v>2013</v>
      </c>
      <c r="I6" s="64">
        <f>'Normalized Annual Summary'!AG6</f>
        <v>2179269.1623746273</v>
      </c>
      <c r="J6" s="64">
        <f>SUMIFS(Dataset!P:P,Dataset!B:B,H6)</f>
        <v>6103.8</v>
      </c>
      <c r="K6" s="83">
        <f t="shared" si="1"/>
        <v>2.8008472314402099E-3</v>
      </c>
      <c r="L6" s="80">
        <f>AVERAGE(K5:K6)</f>
        <v>2.7961549036652636E-3</v>
      </c>
      <c r="M6" s="80"/>
      <c r="N6" s="61"/>
      <c r="O6" s="64"/>
    </row>
    <row r="7" spans="1:15">
      <c r="A7" s="61"/>
      <c r="B7" s="61">
        <f t="shared" si="2"/>
        <v>2014</v>
      </c>
      <c r="C7" s="64">
        <f>'Normalized Annual Summary'!U7</f>
        <v>118492869.73550032</v>
      </c>
      <c r="D7" s="64">
        <f>SUMIFS(Dataset!O:O,Dataset!B:B,B7)</f>
        <v>296660.12</v>
      </c>
      <c r="E7" s="83">
        <f t="shared" si="0"/>
        <v>2.5036115731031281E-3</v>
      </c>
      <c r="F7" s="80">
        <f t="shared" ref="F7:F13" si="4">AVERAGE(E5:E7)</f>
        <v>2.4734737767134769E-3</v>
      </c>
      <c r="H7" s="61">
        <f t="shared" si="3"/>
        <v>2014</v>
      </c>
      <c r="I7" s="64">
        <f>'Normalized Annual Summary'!AG7</f>
        <v>2180854.5378151261</v>
      </c>
      <c r="J7" s="64">
        <f>SUMIFS(Dataset!P:P,Dataset!B:B,H7)</f>
        <v>6127.5400000000009</v>
      </c>
      <c r="K7" s="83">
        <f t="shared" si="1"/>
        <v>2.8096967925879341E-3</v>
      </c>
      <c r="L7" s="80">
        <f t="shared" ref="L7:L10" si="5">AVERAGE(K5:K7)</f>
        <v>2.8006688666394873E-3</v>
      </c>
      <c r="M7" s="80"/>
      <c r="N7" s="61"/>
      <c r="O7" s="64"/>
    </row>
    <row r="8" spans="1:15">
      <c r="A8" s="61"/>
      <c r="B8" s="61">
        <f t="shared" si="2"/>
        <v>2015</v>
      </c>
      <c r="C8" s="64">
        <f>'Normalized Annual Summary'!U8</f>
        <v>125361860.30083103</v>
      </c>
      <c r="D8" s="64">
        <f>SUMIFS(Dataset!O:O,Dataset!B:B,B8)</f>
        <v>308805.24000000005</v>
      </c>
      <c r="E8" s="83">
        <f t="shared" si="0"/>
        <v>2.4633109245424381E-3</v>
      </c>
      <c r="F8" s="80">
        <f t="shared" si="4"/>
        <v>2.4923025984464578E-3</v>
      </c>
      <c r="H8" s="61">
        <f t="shared" si="3"/>
        <v>2015</v>
      </c>
      <c r="I8" s="64">
        <f>'Normalized Annual Summary'!AG8</f>
        <v>2184356.0317460322</v>
      </c>
      <c r="J8" s="64">
        <f>SUMIFS(Dataset!P:P,Dataset!B:B,H8)</f>
        <v>5686.0600000000013</v>
      </c>
      <c r="K8" s="83">
        <f t="shared" si="1"/>
        <v>2.6030829761094095E-3</v>
      </c>
      <c r="L8" s="80">
        <f t="shared" si="5"/>
        <v>2.737875666712518E-3</v>
      </c>
      <c r="M8" s="80"/>
      <c r="N8" s="61"/>
      <c r="O8" s="64"/>
    </row>
    <row r="9" spans="1:15">
      <c r="A9" s="61"/>
      <c r="B9" s="61">
        <f t="shared" si="2"/>
        <v>2016</v>
      </c>
      <c r="C9" s="64">
        <f>'Normalized Annual Summary'!U9</f>
        <v>129434913.97257897</v>
      </c>
      <c r="D9" s="64">
        <f>SUMIFS(Dataset!O:O,Dataset!B:B,B9)</f>
        <v>317291.69</v>
      </c>
      <c r="E9" s="83">
        <f t="shared" si="0"/>
        <v>2.4513609215765296E-3</v>
      </c>
      <c r="F9" s="80">
        <f t="shared" si="4"/>
        <v>2.4727611397406986E-3</v>
      </c>
      <c r="H9" s="61">
        <f t="shared" si="3"/>
        <v>2016</v>
      </c>
      <c r="I9" s="64">
        <f>'Normalized Annual Summary'!AG9</f>
        <v>2060755.9669889463</v>
      </c>
      <c r="J9" s="64">
        <f>SUMIFS(Dataset!P:P,Dataset!B:B,H9)</f>
        <v>5824.64</v>
      </c>
      <c r="K9" s="83">
        <f t="shared" si="1"/>
        <v>2.8264579083134315E-3</v>
      </c>
      <c r="L9" s="80">
        <f t="shared" si="5"/>
        <v>2.7464125590035914E-3</v>
      </c>
      <c r="M9" s="80"/>
      <c r="N9" s="61"/>
      <c r="O9" s="64"/>
    </row>
    <row r="10" spans="1:15">
      <c r="A10" s="61"/>
      <c r="B10" s="61">
        <f t="shared" si="2"/>
        <v>2017</v>
      </c>
      <c r="C10" s="64">
        <f>'Normalized Annual Summary'!U10</f>
        <v>125361028.46165898</v>
      </c>
      <c r="D10" s="64">
        <f>SUMIFS(Dataset!O:O,Dataset!B:B,B10)</f>
        <v>308322.29000000004</v>
      </c>
      <c r="E10" s="83">
        <f t="shared" si="0"/>
        <v>2.4594747967810332E-3</v>
      </c>
      <c r="F10" s="80">
        <f t="shared" si="4"/>
        <v>2.4580488809666668E-3</v>
      </c>
      <c r="H10" s="61">
        <f t="shared" si="3"/>
        <v>2017</v>
      </c>
      <c r="I10" s="64">
        <f>'Normalized Annual Summary'!AG10</f>
        <v>1230929.4006204633</v>
      </c>
      <c r="J10" s="64">
        <f>SUMIFS(Dataset!P:P,Dataset!B:B,H10)</f>
        <v>3777.5200000000013</v>
      </c>
      <c r="K10" s="83">
        <f t="shared" si="1"/>
        <v>3.0688356278563999E-3</v>
      </c>
      <c r="L10" s="80">
        <f t="shared" si="5"/>
        <v>2.8327921707597468E-3</v>
      </c>
      <c r="M10" s="80"/>
      <c r="N10" s="61"/>
      <c r="O10" s="64"/>
    </row>
    <row r="11" spans="1:15">
      <c r="A11" s="61"/>
      <c r="B11" s="61">
        <f t="shared" si="2"/>
        <v>2018</v>
      </c>
      <c r="C11" s="64">
        <f>'Normalized Annual Summary'!U11</f>
        <v>130990632.90670583</v>
      </c>
      <c r="D11" s="64">
        <f>SUMIFS(Dataset!O:O,Dataset!B:B,B11)</f>
        <v>320420.02</v>
      </c>
      <c r="E11" s="83">
        <f t="shared" si="0"/>
        <v>2.4461292604655909E-3</v>
      </c>
      <c r="F11" s="80">
        <f t="shared" si="4"/>
        <v>2.4523216596077182E-3</v>
      </c>
      <c r="H11" s="61">
        <f t="shared" si="3"/>
        <v>2018</v>
      </c>
      <c r="I11" s="64">
        <f>'Normalized Annual Summary'!AG11</f>
        <v>1204476.4371555073</v>
      </c>
      <c r="J11" s="64">
        <f>SUMIFS(Dataset!P:P,Dataset!B:B,H11)</f>
        <v>3393.8000000000006</v>
      </c>
      <c r="K11" s="83">
        <f t="shared" si="1"/>
        <v>2.8176557841304078E-3</v>
      </c>
      <c r="L11" s="80">
        <f>AVERAGE(K9:K10)</f>
        <v>2.9476467680849159E-3</v>
      </c>
      <c r="M11" s="80"/>
      <c r="N11" s="61"/>
      <c r="O11" s="64"/>
    </row>
    <row r="12" spans="1:15">
      <c r="A12" s="61"/>
      <c r="B12" s="61">
        <f t="shared" si="2"/>
        <v>2019</v>
      </c>
      <c r="C12" s="64">
        <f>'Normalized Annual Summary'!U12</f>
        <v>126777959.96350293</v>
      </c>
      <c r="D12" s="64">
        <f>SUMIFS(Dataset!O:O,Dataset!B:B,B12)</f>
        <v>305981.37</v>
      </c>
      <c r="E12" s="83">
        <f t="shared" si="0"/>
        <v>2.4135217989632147E-3</v>
      </c>
      <c r="F12" s="80">
        <f t="shared" si="4"/>
        <v>2.4397086187366128E-3</v>
      </c>
      <c r="H12" s="61">
        <f t="shared" si="3"/>
        <v>2019</v>
      </c>
      <c r="I12" s="64">
        <f>'Normalized Annual Summary'!AG12</f>
        <v>1202687.0979789766</v>
      </c>
      <c r="J12" s="64">
        <f>SUMIFS(Dataset!P:P,Dataset!B:B,H12)</f>
        <v>3373.1799999999989</v>
      </c>
      <c r="K12" s="83">
        <f t="shared" si="1"/>
        <v>2.8047029070723127E-3</v>
      </c>
      <c r="L12" s="80">
        <f>AVERAGE(K10,K12)</f>
        <v>2.9367692674643563E-3</v>
      </c>
      <c r="M12" s="80"/>
      <c r="N12" s="61"/>
      <c r="O12" s="64"/>
    </row>
    <row r="13" spans="1:15">
      <c r="A13" s="61"/>
      <c r="B13" s="61">
        <f t="shared" si="2"/>
        <v>2020</v>
      </c>
      <c r="C13" s="64">
        <f>'Normalized Annual Summary'!U13</f>
        <v>115931845.39301684</v>
      </c>
      <c r="D13" s="64">
        <f>SUMIFS(Dataset!O:O,Dataset!B:B,B13)</f>
        <v>289744.00000000012</v>
      </c>
      <c r="E13" s="83">
        <f>D13/C13</f>
        <v>2.4992615188497019E-3</v>
      </c>
      <c r="F13" s="80">
        <f t="shared" si="4"/>
        <v>2.4529708594261692E-3</v>
      </c>
      <c r="H13" s="61">
        <f t="shared" si="3"/>
        <v>2020</v>
      </c>
      <c r="I13" s="64">
        <f>'Normalized Annual Summary'!AG13</f>
        <v>1224244.7245564894</v>
      </c>
      <c r="J13" s="64">
        <f>SUMIFS(Dataset!P:P,Dataset!B:B,H13)</f>
        <v>3430.1999999999994</v>
      </c>
      <c r="K13" s="83">
        <f t="shared" si="1"/>
        <v>2.8018907749369046E-3</v>
      </c>
      <c r="L13" s="80">
        <f>AVERAGE(K12:K13)</f>
        <v>2.8032968410046087E-3</v>
      </c>
      <c r="M13" s="80"/>
      <c r="N13" s="61"/>
      <c r="O13" s="64"/>
    </row>
    <row r="14" spans="1:15">
      <c r="A14" s="61"/>
      <c r="B14" s="61">
        <f t="shared" si="2"/>
        <v>2021</v>
      </c>
      <c r="C14" s="64">
        <f>'Normalized Annual Summary'!U14</f>
        <v>122344797.93287337</v>
      </c>
      <c r="D14" s="64">
        <f>SUMIFS(Dataset!O:O,Dataset!B:B,B14)</f>
        <v>296776.15000000002</v>
      </c>
      <c r="E14" s="83">
        <f>D14/C14</f>
        <v>2.4257357485917095E-3</v>
      </c>
      <c r="F14" s="80">
        <f t="shared" ref="F14" si="6">AVERAGE(E12:E14)</f>
        <v>2.4461730221348754E-3</v>
      </c>
      <c r="H14" s="61">
        <f t="shared" si="3"/>
        <v>2021</v>
      </c>
      <c r="I14" s="64">
        <f>'Normalized Annual Summary'!AG14</f>
        <v>1221562.7077497665</v>
      </c>
      <c r="J14" s="64">
        <f>SUMIFS(Dataset!P:P,Dataset!B:B,H14)</f>
        <v>3430.1999999999994</v>
      </c>
      <c r="K14" s="83">
        <f t="shared" ref="K14" si="7">J14/I14</f>
        <v>2.8080425001830241E-3</v>
      </c>
      <c r="L14" s="80">
        <f>AVERAGE(K13:K14)</f>
        <v>2.8049666375599643E-3</v>
      </c>
      <c r="M14" s="80"/>
      <c r="N14" s="61"/>
      <c r="O14" s="64"/>
    </row>
    <row r="15" spans="1:15">
      <c r="C15" s="64"/>
      <c r="D15" s="64"/>
      <c r="E15" s="83"/>
      <c r="F15" s="80"/>
      <c r="H15" s="61"/>
      <c r="I15" s="64"/>
      <c r="J15" s="64"/>
      <c r="K15" s="83"/>
      <c r="L15" s="80"/>
    </row>
    <row r="16" spans="1:15">
      <c r="B16" s="61"/>
      <c r="C16" s="61" t="s">
        <v>104</v>
      </c>
      <c r="D16" s="84" t="s">
        <v>105</v>
      </c>
      <c r="E16" s="62" t="s">
        <v>197</v>
      </c>
      <c r="F16" s="62" t="s">
        <v>107</v>
      </c>
      <c r="H16" s="61"/>
      <c r="I16" s="61" t="s">
        <v>104</v>
      </c>
      <c r="J16" s="84" t="s">
        <v>105</v>
      </c>
      <c r="K16" s="62" t="s">
        <v>106</v>
      </c>
      <c r="L16" s="62" t="s">
        <v>108</v>
      </c>
      <c r="N16" s="61"/>
      <c r="O16" s="61"/>
    </row>
    <row r="17" spans="1:15">
      <c r="B17" s="81"/>
      <c r="C17" s="81" t="s">
        <v>109</v>
      </c>
      <c r="D17" s="85" t="s">
        <v>110</v>
      </c>
      <c r="E17" s="86" t="s">
        <v>111</v>
      </c>
      <c r="F17" s="62" t="s">
        <v>112</v>
      </c>
      <c r="H17" s="81"/>
      <c r="I17" s="81" t="s">
        <v>109</v>
      </c>
      <c r="J17" s="85" t="s">
        <v>113</v>
      </c>
      <c r="K17" s="86" t="s">
        <v>111</v>
      </c>
      <c r="L17" s="62" t="s">
        <v>112</v>
      </c>
      <c r="N17" s="81"/>
      <c r="O17" s="81"/>
    </row>
    <row r="18" spans="1:15">
      <c r="B18" s="66">
        <v>2021</v>
      </c>
      <c r="C18" s="68">
        <f ca="1">'Normalized Annual Summary'!AA14</f>
        <v>126434179.08695357</v>
      </c>
      <c r="D18" s="142">
        <f ca="1">C18*E18</f>
        <v>310765.30354798707</v>
      </c>
      <c r="E18" s="87">
        <f>AVERAGE(E5:E14)</f>
        <v>2.4579216299910646E-3</v>
      </c>
      <c r="F18" s="128">
        <f>TREND($F$10:$F$13,$B$10:$B$13,B18)</f>
        <v>2.4438007283111417E-3</v>
      </c>
      <c r="H18" s="66">
        <v>2021</v>
      </c>
      <c r="I18" s="68">
        <f>'Normalized Annual Summary'!AG14</f>
        <v>1221562.7077497665</v>
      </c>
      <c r="J18" s="142">
        <f>I18*K18</f>
        <v>3436.5826745161694</v>
      </c>
      <c r="K18" s="87">
        <f>AVERAGE(K5:K14)</f>
        <v>2.8132675078520351E-3</v>
      </c>
      <c r="L18" s="128">
        <f>TREND($L$10:$L$13,$H$10:$H$13,H18)</f>
        <v>2.8552853893569138E-3</v>
      </c>
      <c r="N18" s="66"/>
      <c r="O18" s="68"/>
    </row>
    <row r="19" spans="1:15">
      <c r="B19" s="66">
        <v>2022</v>
      </c>
      <c r="C19" s="68">
        <f ca="1">'Normalized Annual Summary'!AA15</f>
        <v>130186412.29502398</v>
      </c>
      <c r="D19" s="142">
        <f t="shared" ref="D19:D24" ca="1" si="8">C19*E19</f>
        <v>319987.99871087412</v>
      </c>
      <c r="E19" s="87">
        <f>E18</f>
        <v>2.4579216299910646E-3</v>
      </c>
      <c r="F19" s="128">
        <f>TREND($F$10:$F$13,$B$10:$B$13,B19)</f>
        <v>2.4410160177618821E-3</v>
      </c>
      <c r="H19" s="66">
        <v>2022</v>
      </c>
      <c r="I19" s="68">
        <f>'Normalized Annual Summary'!AG15</f>
        <v>1232118.8628138509</v>
      </c>
      <c r="J19" s="142">
        <f t="shared" ref="J19:J24" si="9">I19*K19</f>
        <v>3466.2799625658058</v>
      </c>
      <c r="K19" s="87">
        <f>K18</f>
        <v>2.8132675078520351E-3</v>
      </c>
      <c r="L19" s="128">
        <f t="shared" ref="L19:L20" si="10">TREND($L$10:$L$13,$H$10:$H$13,H19)</f>
        <v>2.8453490403683168E-3</v>
      </c>
      <c r="N19" s="66"/>
      <c r="O19" s="68"/>
    </row>
    <row r="20" spans="1:15">
      <c r="B20" s="66">
        <v>2023</v>
      </c>
      <c r="C20" s="68">
        <f ca="1">'Normalized Annual Summary'!AA16</f>
        <v>133307695.7800312</v>
      </c>
      <c r="D20" s="142">
        <f t="shared" ca="1" si="8"/>
        <v>327659.86890200723</v>
      </c>
      <c r="E20" s="87">
        <f>E19</f>
        <v>2.4579216299910646E-3</v>
      </c>
      <c r="F20" s="128">
        <f>TREND($F$10:$F$13,$B$10:$B$13,B20)</f>
        <v>2.4382313072126224E-3</v>
      </c>
      <c r="H20" s="66">
        <v>2023</v>
      </c>
      <c r="I20" s="68">
        <f>'Normalized Annual Summary'!AG16</f>
        <v>1242766.2390727461</v>
      </c>
      <c r="J20" s="142">
        <f t="shared" si="9"/>
        <v>3496.2338802388308</v>
      </c>
      <c r="K20" s="87">
        <f>K19</f>
        <v>2.8132675078520351E-3</v>
      </c>
      <c r="L20" s="128">
        <f t="shared" si="10"/>
        <v>2.8354126913797198E-3</v>
      </c>
      <c r="N20" s="66"/>
      <c r="O20" s="68"/>
    </row>
    <row r="21" spans="1:15">
      <c r="B21" s="66">
        <v>2024</v>
      </c>
      <c r="C21" s="68">
        <f ca="1">'Normalized Annual Summary'!AA17</f>
        <v>136765811.86672708</v>
      </c>
      <c r="D21" s="142">
        <f t="shared" ca="1" si="8"/>
        <v>336159.64723051712</v>
      </c>
      <c r="E21" s="87">
        <f t="shared" ref="E21:E24" si="11">E20</f>
        <v>2.4579216299910646E-3</v>
      </c>
      <c r="F21" s="128">
        <f t="shared" ref="F21:F24" si="12">TREND($F$10:$F$13,$B$10:$B$13,B21)</f>
        <v>2.4354465966633628E-3</v>
      </c>
      <c r="H21" s="66">
        <v>2024</v>
      </c>
      <c r="I21" s="68">
        <f>'Normalized Annual Summary'!AG17</f>
        <v>1253513.2516277416</v>
      </c>
      <c r="J21" s="142">
        <f t="shared" si="9"/>
        <v>3526.4681014662779</v>
      </c>
      <c r="K21" s="87">
        <f t="shared" ref="K21:K24" si="13">K20</f>
        <v>2.8132675078520351E-3</v>
      </c>
      <c r="L21" s="128">
        <f t="shared" ref="L21:L24" si="14">TREND($L$10:$L$13,$H$10:$H$13,H21)</f>
        <v>2.8254763423911228E-3</v>
      </c>
      <c r="N21" s="66"/>
      <c r="O21" s="68"/>
    </row>
    <row r="22" spans="1:15">
      <c r="B22" s="66">
        <v>2025</v>
      </c>
      <c r="C22" s="68">
        <f ca="1">'Normalized Annual Summary'!AA18</f>
        <v>139824331.45505065</v>
      </c>
      <c r="D22" s="142">
        <f t="shared" ca="1" si="8"/>
        <v>343677.24868240894</v>
      </c>
      <c r="E22" s="87">
        <f t="shared" si="11"/>
        <v>2.4579216299910646E-3</v>
      </c>
      <c r="F22" s="128">
        <f t="shared" si="12"/>
        <v>2.4326618861141031E-3</v>
      </c>
      <c r="H22" s="66">
        <v>2025</v>
      </c>
      <c r="I22" s="68">
        <f>'Normalized Annual Summary'!AG18</f>
        <v>1264353.200629855</v>
      </c>
      <c r="J22" s="142">
        <f t="shared" si="9"/>
        <v>3556.9637777806965</v>
      </c>
      <c r="K22" s="87">
        <f t="shared" si="13"/>
        <v>2.8132675078520351E-3</v>
      </c>
      <c r="L22" s="128">
        <f t="shared" si="14"/>
        <v>2.8155399934025258E-3</v>
      </c>
      <c r="N22" s="66"/>
      <c r="O22" s="68"/>
    </row>
    <row r="23" spans="1:15">
      <c r="B23" s="66">
        <v>2026</v>
      </c>
      <c r="C23" s="68">
        <f ca="1">'Normalized Annual Summary'!AA19</f>
        <v>143225192.15467823</v>
      </c>
      <c r="D23" s="142">
        <f t="shared" ca="1" si="8"/>
        <v>352036.29775661015</v>
      </c>
      <c r="E23" s="87">
        <f t="shared" si="11"/>
        <v>2.4579216299910646E-3</v>
      </c>
      <c r="F23" s="128">
        <f t="shared" si="12"/>
        <v>2.4298771755648426E-3</v>
      </c>
      <c r="H23" s="66">
        <v>2026</v>
      </c>
      <c r="I23" s="68">
        <f>'Normalized Annual Summary'!AG19</f>
        <v>1275286.8897613334</v>
      </c>
      <c r="J23" s="142">
        <f t="shared" si="9"/>
        <v>3587.7231701552391</v>
      </c>
      <c r="K23" s="87">
        <f t="shared" si="13"/>
        <v>2.8132675078520351E-3</v>
      </c>
      <c r="L23" s="128">
        <f t="shared" si="14"/>
        <v>2.8056036444139253E-3</v>
      </c>
      <c r="N23" s="66"/>
      <c r="O23" s="68"/>
    </row>
    <row r="24" spans="1:15">
      <c r="B24" s="66">
        <v>2027</v>
      </c>
      <c r="C24" s="68">
        <f ca="1">'Normalized Annual Summary'!AA20</f>
        <v>146724891.88856781</v>
      </c>
      <c r="D24" s="142">
        <f t="shared" ca="1" si="8"/>
        <v>360638.28543101129</v>
      </c>
      <c r="E24" s="87">
        <f t="shared" si="11"/>
        <v>2.4579216299910646E-3</v>
      </c>
      <c r="F24" s="128">
        <f t="shared" si="12"/>
        <v>2.4270924650155829E-3</v>
      </c>
      <c r="H24" s="66">
        <v>2027</v>
      </c>
      <c r="I24" s="68">
        <f>'Normalized Annual Summary'!AG20</f>
        <v>1286315.1296543903</v>
      </c>
      <c r="J24" s="142">
        <f t="shared" si="9"/>
        <v>3618.748559115174</v>
      </c>
      <c r="K24" s="87">
        <f t="shared" si="13"/>
        <v>2.8132675078520351E-3</v>
      </c>
      <c r="L24" s="128">
        <f t="shared" si="14"/>
        <v>2.7956672954253282E-3</v>
      </c>
      <c r="N24" s="66"/>
      <c r="O24" s="68"/>
    </row>
    <row r="25" spans="1:15">
      <c r="B25" s="66"/>
      <c r="C25" s="68"/>
      <c r="D25" s="142"/>
      <c r="E25" s="87"/>
      <c r="F25" s="128"/>
      <c r="H25" s="66"/>
      <c r="I25" s="68"/>
      <c r="J25" s="142"/>
      <c r="K25" s="87"/>
      <c r="L25" s="128"/>
      <c r="N25" s="66"/>
      <c r="O25" s="68"/>
    </row>
    <row r="27" spans="1:15">
      <c r="A27" s="61"/>
      <c r="B27" s="61"/>
      <c r="C27" s="88" t="s">
        <v>97</v>
      </c>
      <c r="D27" s="89" t="s">
        <v>98</v>
      </c>
      <c r="E27" s="83" t="s">
        <v>114</v>
      </c>
      <c r="F27" s="61"/>
      <c r="G27" s="61"/>
      <c r="H27" s="61"/>
      <c r="I27" s="88" t="s">
        <v>97</v>
      </c>
      <c r="J27" s="89" t="s">
        <v>98</v>
      </c>
      <c r="K27" s="83" t="s">
        <v>114</v>
      </c>
    </row>
    <row r="28" spans="1:15">
      <c r="A28" s="61" t="s">
        <v>115</v>
      </c>
      <c r="B28" s="61"/>
      <c r="C28" s="90">
        <f>C13/C9-1</f>
        <v>-0.10432323215684125</v>
      </c>
      <c r="D28" s="90">
        <f>D13/D9-1</f>
        <v>-8.6821340956014015E-2</v>
      </c>
      <c r="E28" s="91">
        <f>D28-C28</f>
        <v>1.7501891200827235E-2</v>
      </c>
      <c r="F28" s="61"/>
      <c r="G28" s="61"/>
      <c r="H28" s="61"/>
      <c r="I28" s="90">
        <f>I13/I9-1</f>
        <v>-0.40592445482747641</v>
      </c>
      <c r="J28" s="90">
        <f>J13/J9-1</f>
        <v>-0.41108806724535785</v>
      </c>
      <c r="K28" s="91">
        <f>J28-I28</f>
        <v>-5.1636124178814358E-3</v>
      </c>
    </row>
    <row r="29" spans="1:15">
      <c r="A29" s="61" t="s">
        <v>116</v>
      </c>
      <c r="B29" s="61"/>
      <c r="C29" s="90">
        <f>C13/C5-1</f>
        <v>-0.14156093238076284</v>
      </c>
      <c r="D29" s="90">
        <f>D13/D5-1</f>
        <v>-0.10859152205757849</v>
      </c>
      <c r="E29" s="91">
        <f>D29-C29</f>
        <v>3.2969410323184345E-2</v>
      </c>
      <c r="F29" s="61"/>
      <c r="G29" s="61"/>
      <c r="H29" s="61"/>
      <c r="I29" s="90">
        <f>I13/I5-1</f>
        <v>-0.43925392122482299</v>
      </c>
      <c r="J29" s="90">
        <f>J13/J5-1</f>
        <v>-0.43715911552168873</v>
      </c>
      <c r="K29" s="91">
        <f>J29-I29</f>
        <v>2.0948057031342504E-3</v>
      </c>
    </row>
    <row r="30" spans="1: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5">
      <c r="A31" s="61"/>
      <c r="B31" s="61"/>
      <c r="C31" s="61"/>
      <c r="D31" s="61" t="s">
        <v>198</v>
      </c>
      <c r="E31" s="61"/>
      <c r="G31" s="61"/>
      <c r="H31" s="61"/>
      <c r="I31" s="61"/>
      <c r="J31" s="61" t="s">
        <v>69</v>
      </c>
      <c r="K31" s="61"/>
    </row>
    <row r="54" spans="5:5">
      <c r="E54" s="69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R84"/>
  <sheetViews>
    <sheetView topLeftCell="B1" workbookViewId="0">
      <selection activeCell="N76" sqref="N76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6" max="18" width="12.85546875" bestFit="1" customWidth="1"/>
  </cols>
  <sheetData>
    <row r="2" spans="2:18" ht="15.75">
      <c r="B2" s="38"/>
      <c r="C2" s="148" t="s">
        <v>199</v>
      </c>
      <c r="D2" s="148"/>
      <c r="E2" s="148"/>
      <c r="F2" s="148"/>
      <c r="G2" s="38"/>
      <c r="H2" s="38"/>
      <c r="L2" s="149" t="s">
        <v>199</v>
      </c>
      <c r="M2" s="149"/>
      <c r="N2" s="149"/>
      <c r="O2" s="149"/>
    </row>
    <row r="3" spans="2:18" ht="15.75">
      <c r="B3" s="38"/>
      <c r="C3" s="148">
        <v>2021</v>
      </c>
      <c r="D3" s="148">
        <v>2022</v>
      </c>
      <c r="E3" s="148">
        <v>2023</v>
      </c>
      <c r="F3" s="148">
        <v>2024</v>
      </c>
      <c r="G3" s="38"/>
      <c r="H3" s="38"/>
      <c r="L3" s="149">
        <v>2021</v>
      </c>
      <c r="M3" s="149">
        <v>2022</v>
      </c>
      <c r="N3" s="149">
        <v>2023</v>
      </c>
      <c r="O3" s="149">
        <v>2024</v>
      </c>
      <c r="P3" s="149">
        <v>2025</v>
      </c>
      <c r="Q3" s="149">
        <v>2026</v>
      </c>
      <c r="R3" s="149">
        <v>2027</v>
      </c>
    </row>
    <row r="4" spans="2:18">
      <c r="B4" s="38" t="s">
        <v>200</v>
      </c>
      <c r="C4" s="38">
        <v>354.3</v>
      </c>
      <c r="D4" s="38">
        <v>337.8</v>
      </c>
      <c r="E4" s="38">
        <v>217.2</v>
      </c>
      <c r="F4" s="38">
        <v>217.2</v>
      </c>
      <c r="G4" s="150">
        <f>$H$25</f>
        <v>2.3062076303693659E-3</v>
      </c>
      <c r="H4" s="151" t="s">
        <v>201</v>
      </c>
      <c r="J4" s="151"/>
      <c r="K4" t="s">
        <v>200</v>
      </c>
      <c r="L4" s="30">
        <f>C4*$G4*1000000</f>
        <v>817089.36343986634</v>
      </c>
      <c r="M4" s="30">
        <f>D4*$G4*1000000</f>
        <v>779036.93753877177</v>
      </c>
      <c r="N4" s="30">
        <f t="shared" ref="N4:O10" si="0">E4*$G4*1000000</f>
        <v>500908.29731622624</v>
      </c>
      <c r="O4" s="30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</row>
    <row r="5" spans="2:18">
      <c r="B5" s="152" t="s">
        <v>202</v>
      </c>
      <c r="C5" s="152">
        <v>40.200000000000003</v>
      </c>
      <c r="D5" s="152">
        <v>28.5</v>
      </c>
      <c r="E5" s="152">
        <v>14.3</v>
      </c>
      <c r="F5" s="152">
        <v>15.3</v>
      </c>
      <c r="G5" s="150">
        <f t="shared" ref="G5:G8" si="2">$H$25</f>
        <v>2.3062076303693659E-3</v>
      </c>
      <c r="H5" s="41" t="str">
        <f>H4</f>
        <v>% of provincial kWh</v>
      </c>
      <c r="J5" s="41"/>
      <c r="K5" s="6" t="s">
        <v>202</v>
      </c>
      <c r="L5" s="30">
        <f t="shared" ref="L5:M11" si="3">C5*$G5*1000000</f>
        <v>92709.546740848513</v>
      </c>
      <c r="M5" s="30">
        <f>D5*$G5*1000000</f>
        <v>65726.917465526931</v>
      </c>
      <c r="N5" s="30">
        <f t="shared" si="0"/>
        <v>32978.769114281939</v>
      </c>
      <c r="O5" s="30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</row>
    <row r="6" spans="2:18">
      <c r="B6" s="38" t="s">
        <v>203</v>
      </c>
      <c r="C6" s="38">
        <v>21.8</v>
      </c>
      <c r="D6" s="38">
        <v>17.3</v>
      </c>
      <c r="E6" s="38">
        <v>34.1</v>
      </c>
      <c r="F6" s="38">
        <v>35.6</v>
      </c>
      <c r="G6" s="150">
        <f t="shared" si="2"/>
        <v>2.3062076303693659E-3</v>
      </c>
      <c r="H6" s="41" t="str">
        <f>H5</f>
        <v>% of provincial kWh</v>
      </c>
      <c r="J6" s="41"/>
      <c r="K6" t="s">
        <v>203</v>
      </c>
      <c r="L6" s="30">
        <f t="shared" si="3"/>
        <v>50275.326342052183</v>
      </c>
      <c r="M6" s="30">
        <f>D6*$G6*1000000</f>
        <v>39897.392005390029</v>
      </c>
      <c r="N6" s="30">
        <f t="shared" si="0"/>
        <v>78641.680195595385</v>
      </c>
      <c r="O6" s="30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</row>
    <row r="7" spans="2:18">
      <c r="B7" s="152" t="s">
        <v>204</v>
      </c>
      <c r="C7" s="152">
        <v>16.399999999999999</v>
      </c>
      <c r="D7" s="152">
        <v>47.3</v>
      </c>
      <c r="E7" s="152">
        <v>115.2</v>
      </c>
      <c r="F7" s="152">
        <v>115.2</v>
      </c>
      <c r="G7" s="150">
        <f t="shared" si="2"/>
        <v>2.3062076303693659E-3</v>
      </c>
      <c r="H7" s="41" t="str">
        <f>H6</f>
        <v>% of provincial kWh</v>
      </c>
      <c r="J7" s="41"/>
      <c r="K7" s="6" t="s">
        <v>204</v>
      </c>
      <c r="L7" s="30">
        <f>C7*$G7*1000000</f>
        <v>37821.8051380576</v>
      </c>
      <c r="M7" s="30">
        <f t="shared" si="3"/>
        <v>109083.620916471</v>
      </c>
      <c r="N7" s="30">
        <f t="shared" si="0"/>
        <v>265675.11901855096</v>
      </c>
      <c r="O7" s="30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</row>
    <row r="8" spans="2:18">
      <c r="B8" s="38" t="s">
        <v>205</v>
      </c>
      <c r="C8" s="38">
        <v>0</v>
      </c>
      <c r="D8" s="38">
        <v>0</v>
      </c>
      <c r="E8" s="38">
        <v>325.7</v>
      </c>
      <c r="F8" s="38">
        <v>325.7</v>
      </c>
      <c r="G8" s="150">
        <f t="shared" si="2"/>
        <v>2.3062076303693659E-3</v>
      </c>
      <c r="H8" s="41" t="str">
        <f>H7</f>
        <v>% of provincial kWh</v>
      </c>
      <c r="J8" s="41"/>
      <c r="K8" t="s">
        <v>205</v>
      </c>
      <c r="L8" s="30">
        <f t="shared" si="3"/>
        <v>0</v>
      </c>
      <c r="M8" s="30">
        <f t="shared" si="3"/>
        <v>0</v>
      </c>
      <c r="N8" s="30">
        <f t="shared" si="0"/>
        <v>751131.82521130238</v>
      </c>
      <c r="O8" s="30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</row>
    <row r="9" spans="2:18">
      <c r="B9" s="152" t="s">
        <v>206</v>
      </c>
      <c r="C9" s="152">
        <v>52.4</v>
      </c>
      <c r="D9" s="152">
        <v>52.4</v>
      </c>
      <c r="E9" s="152">
        <v>62.9</v>
      </c>
      <c r="F9" s="152">
        <v>62.9</v>
      </c>
      <c r="G9" s="150">
        <v>0</v>
      </c>
      <c r="H9" s="41"/>
      <c r="J9" s="41"/>
      <c r="K9" s="6" t="s">
        <v>206</v>
      </c>
      <c r="L9" s="30">
        <f t="shared" si="3"/>
        <v>0</v>
      </c>
      <c r="M9" s="30">
        <f t="shared" si="3"/>
        <v>0</v>
      </c>
      <c r="N9" s="30">
        <f t="shared" si="0"/>
        <v>0</v>
      </c>
      <c r="O9" s="30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</row>
    <row r="10" spans="2:18">
      <c r="B10" s="38" t="s">
        <v>207</v>
      </c>
      <c r="C10" s="38">
        <v>47.6</v>
      </c>
      <c r="D10" s="38">
        <v>50.3</v>
      </c>
      <c r="E10" s="38">
        <v>52.3</v>
      </c>
      <c r="F10" s="38">
        <v>54</v>
      </c>
      <c r="G10" s="150">
        <f>$H$33</f>
        <v>1.4028611669795507E-3</v>
      </c>
      <c r="H10" s="151" t="s">
        <v>208</v>
      </c>
      <c r="J10" s="151"/>
      <c r="K10" t="s">
        <v>207</v>
      </c>
      <c r="L10" s="30">
        <f t="shared" si="3"/>
        <v>66776.191548226619</v>
      </c>
      <c r="M10" s="30">
        <f t="shared" si="3"/>
        <v>70563.916699071386</v>
      </c>
      <c r="N10" s="30">
        <f t="shared" si="0"/>
        <v>73369.6390330305</v>
      </c>
      <c r="O10" s="30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</row>
    <row r="11" spans="2:18">
      <c r="B11" s="152" t="s">
        <v>209</v>
      </c>
      <c r="C11" s="152">
        <v>10.3</v>
      </c>
      <c r="D11" s="152">
        <v>7.3</v>
      </c>
      <c r="E11" s="152">
        <v>7.3</v>
      </c>
      <c r="F11" s="152">
        <v>7.3</v>
      </c>
      <c r="G11" s="150">
        <v>0</v>
      </c>
      <c r="H11" s="41"/>
      <c r="J11" s="41"/>
      <c r="K11" s="6" t="s">
        <v>209</v>
      </c>
      <c r="L11" s="30">
        <f t="shared" si="3"/>
        <v>0</v>
      </c>
      <c r="M11" s="30">
        <f t="shared" si="3"/>
        <v>0</v>
      </c>
      <c r="N11" s="30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</row>
    <row r="12" spans="2:18">
      <c r="B12" s="38"/>
      <c r="C12" s="38"/>
      <c r="D12" s="38"/>
      <c r="E12" s="38"/>
      <c r="F12" s="38"/>
      <c r="G12" s="38"/>
      <c r="H12" s="38"/>
      <c r="K12" s="10"/>
      <c r="L12" s="164">
        <f>SUM(L4:L11)</f>
        <v>1064672.2332090512</v>
      </c>
      <c r="M12" s="164">
        <f t="shared" ref="M12:R12" si="5">SUM(M4:M11)</f>
        <v>1064308.7846252311</v>
      </c>
      <c r="N12" s="164">
        <f t="shared" si="5"/>
        <v>1702705.3298889874</v>
      </c>
      <c r="O12" s="164">
        <f t="shared" si="5"/>
        <v>1710855.7129487759</v>
      </c>
      <c r="P12" s="164">
        <f t="shared" si="5"/>
        <v>1710855.7129487759</v>
      </c>
      <c r="Q12" s="164">
        <f t="shared" si="5"/>
        <v>1710855.7129487759</v>
      </c>
      <c r="R12" s="164">
        <f t="shared" si="5"/>
        <v>1710855.7129487759</v>
      </c>
    </row>
    <row r="13" spans="2:18">
      <c r="B13" s="38" t="s">
        <v>210</v>
      </c>
      <c r="C13" s="38" t="s">
        <v>211</v>
      </c>
      <c r="D13" s="38"/>
      <c r="E13" s="38"/>
      <c r="F13" s="38"/>
      <c r="G13" s="38"/>
      <c r="H13" s="38"/>
    </row>
    <row r="14" spans="2:18">
      <c r="B14" s="38"/>
      <c r="C14" s="38"/>
      <c r="D14" s="38"/>
      <c r="E14" s="38"/>
      <c r="F14" s="38"/>
      <c r="G14" s="38"/>
      <c r="H14" s="38"/>
    </row>
    <row r="15" spans="2:18">
      <c r="B15" s="153"/>
      <c r="C15" s="154"/>
      <c r="D15" s="154"/>
      <c r="E15" s="154"/>
      <c r="F15" s="154"/>
      <c r="G15" s="154"/>
      <c r="H15" s="155"/>
      <c r="K15" t="str">
        <f>K4</f>
        <v>Retrofit</v>
      </c>
      <c r="L15" s="8">
        <f>L4/2</f>
        <v>408544.68171993317</v>
      </c>
      <c r="M15" s="8">
        <f>M4/2+L4/2</f>
        <v>798063.15048931912</v>
      </c>
      <c r="N15" s="8">
        <f>N4/2+M4+$L4/2</f>
        <v>1438035.7679168181</v>
      </c>
      <c r="O15" s="8">
        <f>O4/2+SUM($M4:N4)+$L4/2</f>
        <v>1938944.0652330443</v>
      </c>
      <c r="P15" s="8">
        <f>P4/2+SUM($M4:O4)+$L4/2</f>
        <v>2439852.3625492705</v>
      </c>
      <c r="Q15" s="8">
        <f>Q4/2+SUM($M4:P4)+$L4/2</f>
        <v>2940760.6598654967</v>
      </c>
      <c r="R15" s="8">
        <f>R4/2+SUM($M4:Q4)+$L4/2</f>
        <v>3441668.9571817229</v>
      </c>
    </row>
    <row r="16" spans="2:18">
      <c r="B16" s="156"/>
      <c r="C16" s="38" t="s">
        <v>212</v>
      </c>
      <c r="D16" s="38" t="s">
        <v>226</v>
      </c>
      <c r="E16" s="38" t="s">
        <v>227</v>
      </c>
      <c r="F16" s="38"/>
      <c r="G16" s="38"/>
      <c r="H16" s="157"/>
      <c r="K16" t="str">
        <f t="shared" ref="K16:K22" si="6">K5</f>
        <v>Small Business</v>
      </c>
      <c r="L16" s="8">
        <f t="shared" ref="L16:L22" si="7">L5/2</f>
        <v>46354.773370424256</v>
      </c>
      <c r="M16" s="8">
        <f t="shared" ref="M16:M22" si="8">M5/2+L5/2</f>
        <v>79218.232103187722</v>
      </c>
      <c r="N16" s="8">
        <f t="shared" ref="N16:N22" si="9">N5/2+M5+$L5/2</f>
        <v>128571.07539309215</v>
      </c>
      <c r="O16" s="8">
        <f>O5/2+SUM($M5:N5)+$L5/2</f>
        <v>162702.94832255878</v>
      </c>
      <c r="P16" s="8">
        <f>P5/2+SUM($M5:O5)+$L5/2</f>
        <v>197987.92506721008</v>
      </c>
      <c r="Q16" s="8">
        <f>Q5/2+SUM($M5:P5)+$L5/2</f>
        <v>233272.90181186135</v>
      </c>
      <c r="R16" s="8">
        <f>R5/2+SUM($M5:Q5)+$L5/2</f>
        <v>268557.87855651265</v>
      </c>
    </row>
    <row r="17" spans="2:18">
      <c r="B17" s="156" t="s">
        <v>89</v>
      </c>
      <c r="C17" s="158">
        <v>4801697</v>
      </c>
      <c r="D17" s="158">
        <v>16284</v>
      </c>
      <c r="E17" s="159">
        <f>D17/C17</f>
        <v>3.391301033780349E-3</v>
      </c>
      <c r="F17" s="38"/>
      <c r="G17" s="38"/>
      <c r="H17" s="157"/>
      <c r="K17" t="str">
        <f t="shared" si="6"/>
        <v>Energy Performance Program</v>
      </c>
      <c r="L17" s="8">
        <f t="shared" si="7"/>
        <v>25137.663171026092</v>
      </c>
      <c r="M17" s="8">
        <f t="shared" si="8"/>
        <v>45086.35917372111</v>
      </c>
      <c r="N17" s="8">
        <f t="shared" si="9"/>
        <v>104355.89527421381</v>
      </c>
      <c r="O17" s="8">
        <f>O6/2+SUM($M6:N6)+$L6/2</f>
        <v>184727.23119258625</v>
      </c>
      <c r="P17" s="8">
        <f>P6/2+SUM($M6:O6)+$L6/2</f>
        <v>266828.22283373564</v>
      </c>
      <c r="Q17" s="8">
        <f>Q6/2+SUM($M6:P6)+$L6/2</f>
        <v>348929.21447488508</v>
      </c>
      <c r="R17" s="8">
        <f>R6/2+SUM($M6:Q6)+$L6/2</f>
        <v>431030.20611603447</v>
      </c>
    </row>
    <row r="18" spans="2:18">
      <c r="B18" s="156" t="s">
        <v>213</v>
      </c>
      <c r="C18" s="158">
        <v>446066</v>
      </c>
      <c r="D18" s="158">
        <v>1793</v>
      </c>
      <c r="E18" s="159">
        <f t="shared" ref="E18:E19" si="10">D18/C18</f>
        <v>4.0195845457847044E-3</v>
      </c>
      <c r="F18" s="38"/>
      <c r="G18" s="38"/>
      <c r="H18" s="157"/>
      <c r="K18" t="str">
        <f t="shared" si="6"/>
        <v>Energy Management</v>
      </c>
      <c r="L18" s="8">
        <f t="shared" si="7"/>
        <v>18910.9025690288</v>
      </c>
      <c r="M18" s="8">
        <f t="shared" si="8"/>
        <v>73452.713027264297</v>
      </c>
      <c r="N18" s="8">
        <f t="shared" si="9"/>
        <v>260832.08299477529</v>
      </c>
      <c r="O18" s="8">
        <f>O7/2+SUM($M7:N7)+$L7/2</f>
        <v>526507.20201332623</v>
      </c>
      <c r="P18" s="8">
        <f>P7/2+SUM($M7:O7)+$L7/2</f>
        <v>792182.32103187719</v>
      </c>
      <c r="Q18" s="8">
        <f>Q7/2+SUM($M7:P7)+$L7/2</f>
        <v>1057857.4400504283</v>
      </c>
      <c r="R18" s="8">
        <f>R7/2+SUM($M7:Q7)+$L7/2</f>
        <v>1323532.559068979</v>
      </c>
    </row>
    <row r="19" spans="2:18">
      <c r="B19" s="156" t="s">
        <v>214</v>
      </c>
      <c r="C19" s="158">
        <v>54040</v>
      </c>
      <c r="D19" s="158">
        <v>126</v>
      </c>
      <c r="E19" s="159">
        <f t="shared" si="10"/>
        <v>2.3316062176165801E-3</v>
      </c>
      <c r="F19" s="38"/>
      <c r="G19" s="38"/>
      <c r="H19" s="157"/>
      <c r="K19" t="str">
        <f t="shared" si="6"/>
        <v>Customer Solutions</v>
      </c>
      <c r="L19" s="8">
        <f t="shared" si="7"/>
        <v>0</v>
      </c>
      <c r="M19" s="8">
        <f t="shared" si="8"/>
        <v>0</v>
      </c>
      <c r="N19" s="8">
        <f t="shared" si="9"/>
        <v>375565.91260565119</v>
      </c>
      <c r="O19" s="8">
        <f>O8/2+SUM($M8:N8)+$L8/2</f>
        <v>1126697.7378169536</v>
      </c>
      <c r="P19" s="8">
        <f>P8/2+SUM($M8:O8)+$L8/2</f>
        <v>1877829.5630282559</v>
      </c>
      <c r="Q19" s="8">
        <f>Q8/2+SUM($M8:P8)+$L8/2</f>
        <v>2628961.3882395583</v>
      </c>
      <c r="R19" s="8">
        <f>R8/2+SUM($M8:Q8)+$L8/2</f>
        <v>3380093.2134508607</v>
      </c>
    </row>
    <row r="20" spans="2:18">
      <c r="B20" s="156"/>
      <c r="C20" s="38"/>
      <c r="D20" s="38"/>
      <c r="E20" s="38"/>
      <c r="F20" s="38"/>
      <c r="G20" s="38"/>
      <c r="H20" s="157"/>
      <c r="K20" t="str">
        <f t="shared" si="6"/>
        <v>Local Initiatives</v>
      </c>
      <c r="L20" s="8">
        <f t="shared" si="7"/>
        <v>0</v>
      </c>
      <c r="M20" s="8">
        <f t="shared" si="8"/>
        <v>0</v>
      </c>
      <c r="N20" s="8">
        <f t="shared" si="9"/>
        <v>0</v>
      </c>
      <c r="O20" s="8">
        <f>O9/2+SUM($M9:N9)+$L9/2</f>
        <v>0</v>
      </c>
      <c r="P20" s="8">
        <f>P9/2+SUM($M9:O9)+$L9/2</f>
        <v>0</v>
      </c>
      <c r="Q20" s="8">
        <f>Q9/2+SUM($M9:P9)+$L9/2</f>
        <v>0</v>
      </c>
      <c r="R20" s="8">
        <f>R9/2+SUM($M9:Q9)+$L9/2</f>
        <v>0</v>
      </c>
    </row>
    <row r="21" spans="2:18">
      <c r="B21" s="156"/>
      <c r="C21" s="38"/>
      <c r="D21" s="38"/>
      <c r="E21" s="38"/>
      <c r="F21" s="38"/>
      <c r="G21" s="38"/>
      <c r="H21" s="157"/>
      <c r="K21" t="str">
        <f t="shared" si="6"/>
        <v>Energy Affordability Program</v>
      </c>
      <c r="L21" s="8">
        <f t="shared" si="7"/>
        <v>33388.09577411331</v>
      </c>
      <c r="M21" s="8">
        <f t="shared" si="8"/>
        <v>68670.054123648995</v>
      </c>
      <c r="N21" s="8">
        <f t="shared" si="9"/>
        <v>140636.83198969995</v>
      </c>
      <c r="O21" s="8">
        <f>O10/2+SUM($M10:N10)+$L10/2</f>
        <v>215198.90301466308</v>
      </c>
      <c r="P21" s="8">
        <f>P10/2+SUM($M10:O10)+$L10/2</f>
        <v>290953.40603155881</v>
      </c>
      <c r="Q21" s="8">
        <f>Q10/2+SUM($M10:P10)+$L10/2</f>
        <v>366707.90904845454</v>
      </c>
      <c r="R21" s="8">
        <f>R10/2+SUM($M10:Q10)+$L10/2</f>
        <v>442462.41206535028</v>
      </c>
    </row>
    <row r="22" spans="2:18">
      <c r="B22" s="156" t="s">
        <v>215</v>
      </c>
      <c r="C22" s="160">
        <v>2016</v>
      </c>
      <c r="D22" s="160">
        <v>2017</v>
      </c>
      <c r="E22" s="160">
        <v>2018</v>
      </c>
      <c r="F22" s="160">
        <v>2019</v>
      </c>
      <c r="G22" s="160">
        <v>2020</v>
      </c>
      <c r="H22" s="161" t="s">
        <v>216</v>
      </c>
      <c r="I22" s="143"/>
      <c r="J22" s="143"/>
      <c r="K22" t="str">
        <f t="shared" si="6"/>
        <v>First Nations Program</v>
      </c>
      <c r="L22" s="8">
        <f t="shared" si="7"/>
        <v>0</v>
      </c>
      <c r="M22" s="8">
        <f t="shared" si="8"/>
        <v>0</v>
      </c>
      <c r="N22" s="8">
        <f t="shared" si="9"/>
        <v>0</v>
      </c>
      <c r="O22" s="8">
        <f>O11/2+SUM($M11:N11)+$L11/2</f>
        <v>0</v>
      </c>
      <c r="P22" s="8">
        <f>P11/2+SUM($M11:O11)+$L11/2</f>
        <v>0</v>
      </c>
      <c r="Q22" s="8">
        <f>Q11/2+SUM($M11:P11)+$L11/2</f>
        <v>0</v>
      </c>
      <c r="R22" s="8">
        <f>R11/2+SUM($M11:Q11)+$L11/2</f>
        <v>0</v>
      </c>
    </row>
    <row r="23" spans="2:18">
      <c r="B23" s="156" t="s">
        <v>212</v>
      </c>
      <c r="C23" s="162">
        <v>135092458977</v>
      </c>
      <c r="D23" s="162">
        <v>131507457610.90997</v>
      </c>
      <c r="E23" s="162">
        <v>137831974214.90002</v>
      </c>
      <c r="F23" s="162">
        <v>135053462090.45892</v>
      </c>
      <c r="G23" s="162">
        <v>133510137227.58061</v>
      </c>
      <c r="H23" s="163">
        <f t="shared" ref="H23:H24" si="11">AVERAGE(E23:G23)</f>
        <v>135465191177.64653</v>
      </c>
      <c r="I23" s="164"/>
      <c r="J23" s="164"/>
      <c r="K23" s="10" t="s">
        <v>146</v>
      </c>
      <c r="L23" s="164">
        <f>SUM(L15:L22)</f>
        <v>532336.1166045256</v>
      </c>
      <c r="M23" s="164">
        <f t="shared" ref="M23:R23" si="12">SUM(M15:M22)</f>
        <v>1064490.5089171412</v>
      </c>
      <c r="N23" s="164">
        <f t="shared" si="12"/>
        <v>2447997.5661742506</v>
      </c>
      <c r="O23" s="164">
        <f t="shared" si="12"/>
        <v>4154778.0875931322</v>
      </c>
      <c r="P23" s="164">
        <f t="shared" si="12"/>
        <v>5865633.8005419085</v>
      </c>
      <c r="Q23" s="164">
        <f t="shared" si="12"/>
        <v>7576489.5134906843</v>
      </c>
      <c r="R23" s="164">
        <f t="shared" si="12"/>
        <v>9287345.2264394592</v>
      </c>
    </row>
    <row r="24" spans="2:18">
      <c r="B24" s="156" t="s">
        <v>226</v>
      </c>
      <c r="C24" s="165">
        <v>318832369</v>
      </c>
      <c r="D24" s="165">
        <v>309356000.38</v>
      </c>
      <c r="E24" s="165">
        <v>317405455.72000003</v>
      </c>
      <c r="F24" s="165">
        <v>311498207.91000003</v>
      </c>
      <c r="G24" s="165">
        <v>308328909</v>
      </c>
      <c r="H24" s="163">
        <f t="shared" si="11"/>
        <v>312410857.54333335</v>
      </c>
      <c r="I24" s="164"/>
      <c r="J24" s="164"/>
    </row>
    <row r="25" spans="2:18">
      <c r="B25" s="156" t="s">
        <v>228</v>
      </c>
      <c r="C25" s="159">
        <f>C24/C23</f>
        <v>2.3601048601408787E-3</v>
      </c>
      <c r="D25" s="159">
        <f t="shared" ref="D25:G25" si="13">D24/D23</f>
        <v>2.3523837050769322E-3</v>
      </c>
      <c r="E25" s="159">
        <f t="shared" si="13"/>
        <v>2.3028434260480004E-3</v>
      </c>
      <c r="F25" s="159">
        <f t="shared" si="13"/>
        <v>2.306480730581777E-3</v>
      </c>
      <c r="G25" s="159">
        <f t="shared" si="13"/>
        <v>2.3094044797094646E-3</v>
      </c>
      <c r="H25" s="166">
        <f>H24/H23</f>
        <v>2.3062076303693659E-3</v>
      </c>
      <c r="I25" s="167"/>
      <c r="J25" s="167"/>
      <c r="K25" t="str">
        <f>'Summary Tables'!B12</f>
        <v>Residential</v>
      </c>
      <c r="L25" s="1">
        <f>$K$44*L$15+$K$45*L$16+$K$46*L$17+$K$47*L$18+$K$48*L$19+$K$49*L$20+$K$50*L$21</f>
        <v>33388.09577411331</v>
      </c>
      <c r="M25" s="1">
        <f>$K$44*M$15+$K$45*M$16+$K$46*M$17+$K$47*M$18+$K$48*M$19+$K$49*M$20+$K$50*M$21</f>
        <v>68670.054123648995</v>
      </c>
      <c r="N25" s="1">
        <f t="shared" ref="N25:R25" si="14">$K$44*N$15+$K$45*N$16+$K$46*N$17+$K$47*N$18+$K$48*N$19+$K$49*N$20+$K$50*N$21</f>
        <v>140636.83198969995</v>
      </c>
      <c r="O25" s="1">
        <f t="shared" si="14"/>
        <v>215198.90301466308</v>
      </c>
      <c r="P25" s="1">
        <f t="shared" si="14"/>
        <v>290953.40603155881</v>
      </c>
      <c r="Q25" s="1">
        <f t="shared" si="14"/>
        <v>366707.90904845454</v>
      </c>
      <c r="R25" s="1">
        <f t="shared" si="14"/>
        <v>442462.41206535028</v>
      </c>
    </row>
    <row r="26" spans="2:18">
      <c r="B26" s="156"/>
      <c r="C26" s="38"/>
      <c r="D26" s="38"/>
      <c r="E26" s="38"/>
      <c r="F26" s="38"/>
      <c r="G26" s="38"/>
      <c r="H26" s="168"/>
      <c r="I26" s="10"/>
      <c r="J26" s="10"/>
      <c r="K26" t="str">
        <f>'Summary Tables'!B13</f>
        <v>GS &lt; 50</v>
      </c>
      <c r="L26" s="1">
        <f>$L$44*L$15+$L$45*L$16+$L$46*L$17+$L$47*L$18+$L$48*L$19+$L$49*L$20+$L$50*L$21</f>
        <v>143855.46646336513</v>
      </c>
      <c r="M26" s="1">
        <f>$L$44*M$15+$L$45*M$16+$L$46*M$17+$L$47*M$18+$L$48*M$19+$L$49*M$20+$L$50*M$21</f>
        <v>270812.19651519874</v>
      </c>
      <c r="N26" s="1">
        <f t="shared" ref="N26:R26" si="15">$L$44*N$15+$L$45*N$16+$L$46*N$17+$L$47*N$18+$L$48*N$19+$L$49*N$20+$L$50*N$21</f>
        <v>569114.38798440027</v>
      </c>
      <c r="O26" s="1">
        <f t="shared" si="15"/>
        <v>912843.10425280232</v>
      </c>
      <c r="P26" s="1">
        <f t="shared" si="15"/>
        <v>1257609.6139548705</v>
      </c>
      <c r="Q26" s="1">
        <f t="shared" si="15"/>
        <v>1602376.1236569388</v>
      </c>
      <c r="R26" s="1">
        <f t="shared" si="15"/>
        <v>1947142.6333590071</v>
      </c>
    </row>
    <row r="27" spans="2:18">
      <c r="B27" s="156" t="s">
        <v>210</v>
      </c>
      <c r="C27" s="38" t="s">
        <v>217</v>
      </c>
      <c r="D27" s="38"/>
      <c r="E27" s="38"/>
      <c r="F27" s="38"/>
      <c r="G27" s="38"/>
      <c r="H27" s="157"/>
      <c r="K27" t="str">
        <f>'Summary Tables'!B14</f>
        <v>GS &gt; 50</v>
      </c>
      <c r="L27" s="1">
        <f>$M$44*L$15+$M$45*L$16+$M$46*L$17+$M$47*L$18+$M$48*L$19+$M$49*L$20+$M$50*L$21</f>
        <v>355092.55436704721</v>
      </c>
      <c r="M27" s="1">
        <f t="shared" ref="M27:R27" si="16">$M$44*M$15+$M$45*M$16+$M$46*M$17+$M$47*M$18+$M$48*M$19+$M$49*M$20+$M$50*M$21</f>
        <v>725008.25827829365</v>
      </c>
      <c r="N27" s="1">
        <f t="shared" si="16"/>
        <v>1738246.3462001504</v>
      </c>
      <c r="O27" s="1">
        <f t="shared" si="16"/>
        <v>3026736.0803256668</v>
      </c>
      <c r="P27" s="1">
        <f t="shared" si="16"/>
        <v>4317070.7805554792</v>
      </c>
      <c r="Q27" s="1">
        <f t="shared" si="16"/>
        <v>5607405.4807852907</v>
      </c>
      <c r="R27" s="1">
        <f t="shared" si="16"/>
        <v>6897740.1810151022</v>
      </c>
    </row>
    <row r="28" spans="2:18">
      <c r="B28" s="156"/>
      <c r="C28" s="38"/>
      <c r="D28" s="38"/>
      <c r="E28" s="38"/>
      <c r="F28" s="38"/>
      <c r="G28" s="38"/>
      <c r="H28" s="157"/>
      <c r="K28" t="str">
        <f>'Summary Tables'!B15</f>
        <v>Street Light</v>
      </c>
      <c r="L28" s="1"/>
      <c r="M28" s="1"/>
      <c r="N28" s="1"/>
      <c r="O28" s="1"/>
      <c r="P28" s="1"/>
      <c r="Q28" s="1"/>
      <c r="R28" s="1"/>
    </row>
    <row r="29" spans="2:18">
      <c r="B29" s="153"/>
      <c r="C29" s="154"/>
      <c r="D29" s="154"/>
      <c r="E29" s="154"/>
      <c r="F29" s="154"/>
      <c r="G29" s="154"/>
      <c r="H29" s="155"/>
      <c r="K29" t="str">
        <f>'Summary Tables'!B16</f>
        <v>USL</v>
      </c>
      <c r="L29" s="1"/>
    </row>
    <row r="30" spans="2:18">
      <c r="B30" s="156" t="s">
        <v>218</v>
      </c>
      <c r="C30" s="38">
        <f>C22</f>
        <v>2016</v>
      </c>
      <c r="D30" s="38">
        <f t="shared" ref="D30:F30" si="17">D22</f>
        <v>2017</v>
      </c>
      <c r="E30" s="38">
        <f t="shared" si="17"/>
        <v>2018</v>
      </c>
      <c r="F30" s="38">
        <f t="shared" si="17"/>
        <v>2019</v>
      </c>
      <c r="G30" s="38"/>
      <c r="H30" s="157" t="s">
        <v>219</v>
      </c>
      <c r="K30" s="10" t="s">
        <v>146</v>
      </c>
      <c r="L30" s="164">
        <f>SUM(L25:L29)</f>
        <v>532336.1166045256</v>
      </c>
      <c r="M30" s="164">
        <f t="shared" ref="M30:R30" si="18">SUM(M25:M29)</f>
        <v>1064490.5089171412</v>
      </c>
      <c r="N30" s="164">
        <f t="shared" si="18"/>
        <v>2447997.5661742506</v>
      </c>
      <c r="O30" s="164">
        <f t="shared" si="18"/>
        <v>4154778.0875931322</v>
      </c>
      <c r="P30" s="164">
        <f t="shared" si="18"/>
        <v>5865633.8005419085</v>
      </c>
      <c r="Q30" s="164">
        <f t="shared" si="18"/>
        <v>7576489.5134906843</v>
      </c>
      <c r="R30" s="164">
        <f t="shared" si="18"/>
        <v>9287345.2264394592</v>
      </c>
    </row>
    <row r="31" spans="2:18" ht="26.25" customHeight="1">
      <c r="B31" s="156" t="s">
        <v>212</v>
      </c>
      <c r="C31" s="169">
        <v>1286980</v>
      </c>
      <c r="D31" s="169">
        <v>1329050</v>
      </c>
      <c r="E31" s="169">
        <v>1358300</v>
      </c>
      <c r="F31" s="169">
        <v>1400400</v>
      </c>
      <c r="G31" s="362" t="s">
        <v>220</v>
      </c>
      <c r="H31" s="170">
        <f>AVERAGE(C31:F31)</f>
        <v>1343682.5</v>
      </c>
    </row>
    <row r="32" spans="2:18">
      <c r="B32" s="156" t="s">
        <v>186</v>
      </c>
      <c r="C32" s="169">
        <v>1860</v>
      </c>
      <c r="D32" s="169">
        <v>1890</v>
      </c>
      <c r="E32" s="169">
        <v>1830</v>
      </c>
      <c r="F32" s="169">
        <v>1960</v>
      </c>
      <c r="G32" s="362"/>
      <c r="H32" s="170">
        <f>AVERAGE(C32:F32)</f>
        <v>1885</v>
      </c>
    </row>
    <row r="33" spans="2:14">
      <c r="B33" s="156"/>
      <c r="C33" s="171">
        <f>C32/C31</f>
        <v>1.4452439043341778E-3</v>
      </c>
      <c r="D33" s="171">
        <f t="shared" ref="D33:F33" si="19">D32/D31</f>
        <v>1.4220683947180318E-3</v>
      </c>
      <c r="E33" s="171">
        <f t="shared" si="19"/>
        <v>1.3472723257012442E-3</v>
      </c>
      <c r="F33" s="171">
        <f t="shared" si="19"/>
        <v>1.3996001142530705E-3</v>
      </c>
      <c r="G33" s="38"/>
      <c r="H33" s="166">
        <f>H32/H31</f>
        <v>1.4028611669795507E-3</v>
      </c>
    </row>
    <row r="34" spans="2:14">
      <c r="B34" s="156"/>
      <c r="C34" s="38"/>
      <c r="D34" s="38"/>
      <c r="E34" s="38"/>
      <c r="F34" s="38"/>
      <c r="G34" s="38"/>
      <c r="H34" s="157"/>
    </row>
    <row r="35" spans="2:14">
      <c r="B35" s="156" t="s">
        <v>210</v>
      </c>
      <c r="C35" s="38" t="s">
        <v>221</v>
      </c>
      <c r="D35" s="38"/>
      <c r="E35" s="38"/>
      <c r="F35" s="38"/>
      <c r="G35" s="38"/>
      <c r="H35" s="157"/>
    </row>
    <row r="36" spans="2:14">
      <c r="B36" s="156"/>
      <c r="C36" s="38" t="s">
        <v>222</v>
      </c>
      <c r="D36" s="38"/>
      <c r="E36" s="38"/>
      <c r="F36" s="38"/>
      <c r="G36" s="38"/>
      <c r="H36" s="157"/>
    </row>
    <row r="37" spans="2:14">
      <c r="B37" s="172"/>
      <c r="C37" s="173"/>
      <c r="D37" s="173"/>
      <c r="E37" s="173"/>
      <c r="F37" s="173"/>
      <c r="G37" s="173"/>
      <c r="H37" s="174"/>
    </row>
    <row r="40" spans="2:14">
      <c r="B40" s="38"/>
      <c r="C40" s="148" t="s">
        <v>199</v>
      </c>
      <c r="D40" s="148"/>
      <c r="E40" s="148"/>
      <c r="F40" s="148"/>
    </row>
    <row r="41" spans="2:14">
      <c r="B41" s="38"/>
      <c r="C41" s="175">
        <v>2021</v>
      </c>
      <c r="D41" s="175">
        <v>2022</v>
      </c>
      <c r="E41" s="175">
        <v>2023</v>
      </c>
      <c r="F41" s="175">
        <v>2024</v>
      </c>
      <c r="G41" s="38" t="s">
        <v>223</v>
      </c>
      <c r="K41" s="38" t="s">
        <v>89</v>
      </c>
      <c r="L41" s="38" t="s">
        <v>224</v>
      </c>
      <c r="M41" s="38" t="s">
        <v>92</v>
      </c>
    </row>
    <row r="42" spans="2:14">
      <c r="B42" s="38" t="s">
        <v>225</v>
      </c>
      <c r="C42" s="176">
        <v>0.5</v>
      </c>
      <c r="D42" s="176">
        <v>1</v>
      </c>
      <c r="E42" s="176">
        <v>0.5</v>
      </c>
      <c r="F42" s="176">
        <v>0</v>
      </c>
    </row>
    <row r="43" spans="2:14">
      <c r="B43" s="38"/>
      <c r="C43" s="148"/>
      <c r="D43" s="148"/>
      <c r="E43" s="148"/>
      <c r="F43" s="148"/>
    </row>
    <row r="44" spans="2:14">
      <c r="B44" s="38" t="s">
        <v>200</v>
      </c>
      <c r="C44" s="177">
        <f t="shared" ref="C44:F50" si="20">C$42*L4</f>
        <v>408544.68171993317</v>
      </c>
      <c r="D44" s="177">
        <f t="shared" si="20"/>
        <v>779036.93753877177</v>
      </c>
      <c r="E44" s="177">
        <f t="shared" si="20"/>
        <v>250454.14865811312</v>
      </c>
      <c r="F44" s="177">
        <f t="shared" si="20"/>
        <v>0</v>
      </c>
      <c r="G44" s="1">
        <f>SUM(C44:F44)</f>
        <v>1438035.7679168181</v>
      </c>
      <c r="L44" s="181">
        <v>0.25</v>
      </c>
      <c r="M44" s="181">
        <v>0.75</v>
      </c>
      <c r="N44" s="178">
        <f>SUM(K44:M44)</f>
        <v>1</v>
      </c>
    </row>
    <row r="45" spans="2:14">
      <c r="B45" s="152" t="s">
        <v>202</v>
      </c>
      <c r="C45" s="179">
        <f t="shared" si="20"/>
        <v>46354.773370424256</v>
      </c>
      <c r="D45" s="179">
        <f t="shared" si="20"/>
        <v>65726.917465526931</v>
      </c>
      <c r="E45" s="179">
        <f t="shared" si="20"/>
        <v>16489.384557140969</v>
      </c>
      <c r="F45" s="179">
        <f t="shared" si="20"/>
        <v>0</v>
      </c>
      <c r="G45" s="1">
        <f t="shared" ref="G45:G51" si="21">SUM(C45:F45)</f>
        <v>128571.07539309215</v>
      </c>
      <c r="L45" s="181">
        <v>0.9</v>
      </c>
      <c r="M45" s="181">
        <v>0.1</v>
      </c>
      <c r="N45" s="178">
        <f>SUM(K45:M45)</f>
        <v>1</v>
      </c>
    </row>
    <row r="46" spans="2:14">
      <c r="B46" s="38" t="s">
        <v>203</v>
      </c>
      <c r="C46" s="177">
        <f t="shared" si="20"/>
        <v>25137.663171026092</v>
      </c>
      <c r="D46" s="177">
        <f t="shared" si="20"/>
        <v>39897.392005390029</v>
      </c>
      <c r="E46" s="177">
        <f t="shared" si="20"/>
        <v>39320.840097797693</v>
      </c>
      <c r="F46" s="177">
        <f t="shared" si="20"/>
        <v>0</v>
      </c>
      <c r="G46" s="1">
        <f t="shared" si="21"/>
        <v>104355.89527421381</v>
      </c>
      <c r="L46" s="181">
        <v>0</v>
      </c>
      <c r="M46" s="181">
        <v>1</v>
      </c>
      <c r="N46" s="178">
        <f>SUM(K46:M46)</f>
        <v>1</v>
      </c>
    </row>
    <row r="47" spans="2:14">
      <c r="B47" s="152" t="s">
        <v>204</v>
      </c>
      <c r="C47" s="179">
        <f t="shared" si="20"/>
        <v>18910.9025690288</v>
      </c>
      <c r="D47" s="179">
        <f t="shared" si="20"/>
        <v>109083.620916471</v>
      </c>
      <c r="E47" s="179">
        <f t="shared" si="20"/>
        <v>132837.55950927548</v>
      </c>
      <c r="F47" s="179">
        <f t="shared" si="20"/>
        <v>0</v>
      </c>
      <c r="G47" s="1">
        <f t="shared" si="21"/>
        <v>260832.08299477526</v>
      </c>
      <c r="L47" s="181">
        <f>L46</f>
        <v>0</v>
      </c>
      <c r="M47" s="181">
        <f>M46</f>
        <v>1</v>
      </c>
      <c r="N47" s="178">
        <f>SUM(K47:M47)</f>
        <v>1</v>
      </c>
    </row>
    <row r="48" spans="2:14">
      <c r="B48" s="38" t="s">
        <v>205</v>
      </c>
      <c r="C48" s="177">
        <f t="shared" si="20"/>
        <v>0</v>
      </c>
      <c r="D48" s="177">
        <f t="shared" si="20"/>
        <v>0</v>
      </c>
      <c r="E48" s="177">
        <f t="shared" si="20"/>
        <v>375565.91260565119</v>
      </c>
      <c r="F48" s="177">
        <f t="shared" si="20"/>
        <v>0</v>
      </c>
      <c r="G48" s="1">
        <f t="shared" si="21"/>
        <v>375565.91260565119</v>
      </c>
      <c r="L48" s="181">
        <f>L44</f>
        <v>0.25</v>
      </c>
      <c r="M48" s="181">
        <f t="shared" ref="M48" si="22">M44</f>
        <v>0.75</v>
      </c>
      <c r="N48" s="178">
        <f>SUM(K48:M48)</f>
        <v>1</v>
      </c>
    </row>
    <row r="49" spans="2:14">
      <c r="B49" s="152" t="s">
        <v>206</v>
      </c>
      <c r="C49" s="179">
        <f t="shared" si="20"/>
        <v>0</v>
      </c>
      <c r="D49" s="179">
        <f t="shared" si="20"/>
        <v>0</v>
      </c>
      <c r="E49" s="179">
        <f t="shared" si="20"/>
        <v>0</v>
      </c>
      <c r="F49" s="179">
        <f t="shared" si="20"/>
        <v>0</v>
      </c>
      <c r="G49" s="1">
        <f t="shared" si="21"/>
        <v>0</v>
      </c>
      <c r="N49" s="178"/>
    </row>
    <row r="50" spans="2:14">
      <c r="B50" s="38" t="s">
        <v>207</v>
      </c>
      <c r="C50" s="177">
        <f t="shared" si="20"/>
        <v>33388.09577411331</v>
      </c>
      <c r="D50" s="177">
        <f t="shared" si="20"/>
        <v>70563.916699071386</v>
      </c>
      <c r="E50" s="177">
        <f t="shared" si="20"/>
        <v>36684.81951651525</v>
      </c>
      <c r="F50" s="177">
        <f t="shared" si="20"/>
        <v>0</v>
      </c>
      <c r="G50" s="1">
        <f t="shared" si="21"/>
        <v>140636.83198969995</v>
      </c>
      <c r="K50" s="180">
        <v>1</v>
      </c>
      <c r="N50" s="178">
        <f>SUM(K50:M50)</f>
        <v>1</v>
      </c>
    </row>
    <row r="51" spans="2:14">
      <c r="B51" s="152" t="s">
        <v>209</v>
      </c>
      <c r="C51" s="179">
        <f>C$42*L11</f>
        <v>0</v>
      </c>
      <c r="D51" s="179">
        <f>D$42*M11</f>
        <v>0</v>
      </c>
      <c r="E51" s="179">
        <f>E$42*N11</f>
        <v>0</v>
      </c>
      <c r="F51" s="179">
        <f>F$42*N11</f>
        <v>0</v>
      </c>
      <c r="G51" s="1">
        <f t="shared" si="21"/>
        <v>0</v>
      </c>
    </row>
    <row r="53" spans="2:14">
      <c r="G53" s="1">
        <f>SUM(G44:G51)</f>
        <v>2447997.5661742506</v>
      </c>
    </row>
    <row r="55" spans="2:14">
      <c r="K55" t="str">
        <f>K41</f>
        <v>Residential</v>
      </c>
      <c r="L55" t="str">
        <f t="shared" ref="L55:M55" si="23">L41</f>
        <v>GS&lt; 50</v>
      </c>
      <c r="M55" t="str">
        <f t="shared" si="23"/>
        <v>GS &gt; 50</v>
      </c>
    </row>
    <row r="56" spans="2:14">
      <c r="K56" s="1">
        <f>K44*$G44</f>
        <v>0</v>
      </c>
      <c r="L56" s="1">
        <f t="shared" ref="L56:M56" si="24">L44*$G44</f>
        <v>359508.94197920454</v>
      </c>
      <c r="M56" s="1">
        <f t="shared" si="24"/>
        <v>1078526.8259376136</v>
      </c>
      <c r="N56" s="1">
        <f t="shared" ref="N56:N62" si="25">SUM(K56:M56)</f>
        <v>1438035.7679168181</v>
      </c>
    </row>
    <row r="57" spans="2:14">
      <c r="K57" s="1">
        <f t="shared" ref="K57:M62" si="26">K45*$G45</f>
        <v>0</v>
      </c>
      <c r="L57" s="1">
        <f t="shared" si="26"/>
        <v>115713.96785378293</v>
      </c>
      <c r="M57" s="1">
        <f t="shared" si="26"/>
        <v>12857.107539309216</v>
      </c>
      <c r="N57" s="1">
        <f t="shared" si="25"/>
        <v>128571.07539309215</v>
      </c>
    </row>
    <row r="58" spans="2:14">
      <c r="K58" s="1">
        <f t="shared" si="26"/>
        <v>0</v>
      </c>
      <c r="L58" s="1">
        <f t="shared" si="26"/>
        <v>0</v>
      </c>
      <c r="M58" s="1">
        <f t="shared" si="26"/>
        <v>104355.89527421381</v>
      </c>
      <c r="N58" s="1">
        <f t="shared" si="25"/>
        <v>104355.89527421381</v>
      </c>
    </row>
    <row r="59" spans="2:14">
      <c r="K59" s="1">
        <f t="shared" si="26"/>
        <v>0</v>
      </c>
      <c r="L59" s="1">
        <f t="shared" si="26"/>
        <v>0</v>
      </c>
      <c r="M59" s="1">
        <f t="shared" si="26"/>
        <v>260832.08299477526</v>
      </c>
      <c r="N59" s="1">
        <f t="shared" si="25"/>
        <v>260832.08299477526</v>
      </c>
    </row>
    <row r="60" spans="2:14">
      <c r="K60" s="1">
        <f t="shared" si="26"/>
        <v>0</v>
      </c>
      <c r="L60" s="1">
        <f t="shared" si="26"/>
        <v>93891.478151412797</v>
      </c>
      <c r="M60" s="1">
        <f t="shared" si="26"/>
        <v>281674.43445423839</v>
      </c>
      <c r="N60" s="1">
        <f t="shared" si="25"/>
        <v>375565.91260565119</v>
      </c>
    </row>
    <row r="61" spans="2:14">
      <c r="K61" s="1">
        <f t="shared" si="26"/>
        <v>0</v>
      </c>
      <c r="L61" s="1">
        <f t="shared" si="26"/>
        <v>0</v>
      </c>
      <c r="M61" s="1">
        <f t="shared" si="26"/>
        <v>0</v>
      </c>
      <c r="N61" s="1">
        <f t="shared" si="25"/>
        <v>0</v>
      </c>
    </row>
    <row r="62" spans="2:14">
      <c r="K62" s="1">
        <f t="shared" si="26"/>
        <v>140636.83198969995</v>
      </c>
      <c r="L62" s="1">
        <f t="shared" si="26"/>
        <v>0</v>
      </c>
      <c r="M62" s="1">
        <f t="shared" si="26"/>
        <v>0</v>
      </c>
      <c r="N62" s="1">
        <f t="shared" si="25"/>
        <v>140636.83198969995</v>
      </c>
    </row>
    <row r="63" spans="2:14">
      <c r="K63" s="1"/>
      <c r="L63" s="1"/>
      <c r="M63" s="1"/>
    </row>
    <row r="64" spans="2:14">
      <c r="K64" s="1">
        <f>SUM(K56:K62)</f>
        <v>140636.83198969995</v>
      </c>
      <c r="L64" s="1">
        <f t="shared" ref="L64:M64" si="27">SUM(L56:L62)</f>
        <v>569114.38798440027</v>
      </c>
      <c r="M64" s="1">
        <f t="shared" si="27"/>
        <v>1738246.3462001504</v>
      </c>
      <c r="N64" s="1">
        <f>SUM(K64:M64)</f>
        <v>2447997.5661742506</v>
      </c>
    </row>
    <row r="65" spans="2:13">
      <c r="K65" s="1"/>
      <c r="L65" s="1"/>
      <c r="M65" s="1"/>
    </row>
    <row r="66" spans="2:13">
      <c r="K66" s="1"/>
      <c r="L66" s="1"/>
      <c r="M66" s="1"/>
    </row>
    <row r="71" spans="2:13">
      <c r="B71" s="38" t="s">
        <v>248</v>
      </c>
    </row>
    <row r="73" spans="2:13">
      <c r="C73" s="38" t="s">
        <v>249</v>
      </c>
      <c r="D73" s="38" t="s">
        <v>250</v>
      </c>
    </row>
    <row r="74" spans="2:13">
      <c r="B74">
        <v>2011</v>
      </c>
      <c r="C74" s="2">
        <v>603.48916260623798</v>
      </c>
      <c r="D74" s="2">
        <v>208339.57566311152</v>
      </c>
    </row>
    <row r="75" spans="2:13">
      <c r="B75">
        <f>B74+1</f>
        <v>2012</v>
      </c>
      <c r="C75" s="2">
        <v>2117.1805103361776</v>
      </c>
      <c r="D75" s="2">
        <v>900164.43934726948</v>
      </c>
    </row>
    <row r="76" spans="2:13">
      <c r="B76">
        <f t="shared" ref="B76:B83" si="28">B75+1</f>
        <v>2013</v>
      </c>
      <c r="C76" s="2">
        <v>1305.8977095307812</v>
      </c>
      <c r="D76" s="2">
        <v>637603.43599714234</v>
      </c>
    </row>
    <row r="77" spans="2:13">
      <c r="B77">
        <f t="shared" si="28"/>
        <v>2014</v>
      </c>
      <c r="C77" s="2">
        <v>1078.1446196321965</v>
      </c>
      <c r="D77" s="2">
        <v>526606.06366741424</v>
      </c>
    </row>
    <row r="78" spans="2:13">
      <c r="B78">
        <f t="shared" si="28"/>
        <v>2015</v>
      </c>
      <c r="C78" s="2">
        <v>1276.9184299013132</v>
      </c>
      <c r="D78" s="2">
        <v>810328.22937218589</v>
      </c>
    </row>
    <row r="79" spans="2:13">
      <c r="B79">
        <f t="shared" si="28"/>
        <v>2016</v>
      </c>
      <c r="C79" s="2">
        <v>935.76241447752466</v>
      </c>
      <c r="D79" s="2">
        <v>532464.03661474865</v>
      </c>
    </row>
    <row r="80" spans="2:13">
      <c r="B80">
        <f t="shared" si="28"/>
        <v>2017</v>
      </c>
      <c r="C80" s="2">
        <v>3839.3389398490922</v>
      </c>
      <c r="D80" s="2">
        <v>2055466.8171984977</v>
      </c>
    </row>
    <row r="81" spans="2:5">
      <c r="B81">
        <f t="shared" si="28"/>
        <v>2018</v>
      </c>
      <c r="C81" s="2">
        <v>2973.9260772765961</v>
      </c>
      <c r="D81" s="2">
        <v>1145794.989144874</v>
      </c>
    </row>
    <row r="82" spans="2:5">
      <c r="B82">
        <f t="shared" si="28"/>
        <v>2019</v>
      </c>
      <c r="C82" s="2">
        <v>1536.6024000000002</v>
      </c>
      <c r="D82" s="2">
        <v>1193623.04</v>
      </c>
    </row>
    <row r="83" spans="2:5">
      <c r="B83">
        <f t="shared" si="28"/>
        <v>2020</v>
      </c>
      <c r="C83" s="2">
        <v>646.5744000000002</v>
      </c>
      <c r="D83" s="2">
        <v>298132.65000000002</v>
      </c>
    </row>
    <row r="84" spans="2:5">
      <c r="C84" s="2">
        <f>SUM(C74:C83)</f>
        <v>16313.834663609918</v>
      </c>
      <c r="D84" s="2">
        <f>SUM(D74:D83)</f>
        <v>8308523.277005244</v>
      </c>
      <c r="E84">
        <f>C84/D84</f>
        <v>1.9635059227384316E-3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38"/>
  <sheetViews>
    <sheetView workbookViewId="0">
      <selection activeCell="P26" sqref="P26"/>
    </sheetView>
  </sheetViews>
  <sheetFormatPr defaultColWidth="7.85546875" defaultRowHeight="12.75"/>
  <cols>
    <col min="1" max="1" width="2.5703125" style="123" customWidth="1"/>
    <col min="2" max="2" width="16.7109375" style="123" customWidth="1"/>
    <col min="3" max="3" width="16" style="123" customWidth="1"/>
    <col min="4" max="4" width="12.85546875" style="123" customWidth="1"/>
    <col min="5" max="8" width="12.85546875" style="123" bestFit="1" customWidth="1"/>
    <col min="9" max="9" width="13.42578125" style="123" bestFit="1" customWidth="1"/>
    <col min="10" max="10" width="13.5703125" style="123" customWidth="1"/>
    <col min="11" max="14" width="13.42578125" style="123" bestFit="1" customWidth="1"/>
    <col min="15" max="15" width="15.140625" style="123" customWidth="1"/>
    <col min="16" max="16384" width="7.85546875" style="123"/>
  </cols>
  <sheetData>
    <row r="1" spans="2:14" ht="16.5" thickBot="1">
      <c r="B1" s="129" t="s">
        <v>167</v>
      </c>
      <c r="C1" s="129"/>
    </row>
    <row r="2" spans="2:14">
      <c r="B2" s="130" t="s">
        <v>97</v>
      </c>
      <c r="C2" s="131" t="s">
        <v>168</v>
      </c>
      <c r="D2" s="131" t="s">
        <v>169</v>
      </c>
      <c r="E2" s="131" t="s">
        <v>170</v>
      </c>
      <c r="F2" s="131" t="s">
        <v>171</v>
      </c>
      <c r="G2" s="131" t="s">
        <v>176</v>
      </c>
      <c r="H2" s="131" t="s">
        <v>229</v>
      </c>
      <c r="I2" s="131" t="s">
        <v>177</v>
      </c>
      <c r="J2" s="131" t="s">
        <v>178</v>
      </c>
      <c r="K2" s="131" t="s">
        <v>230</v>
      </c>
      <c r="L2" s="131" t="s">
        <v>231</v>
      </c>
      <c r="M2" s="131" t="s">
        <v>232</v>
      </c>
      <c r="N2" s="132" t="s">
        <v>233</v>
      </c>
    </row>
    <row r="3" spans="2:14">
      <c r="B3" s="133" t="s">
        <v>89</v>
      </c>
      <c r="C3" s="124">
        <f ca="1">OFFSET('Normalized Annual Summary'!$C$9,COLUMN()-COLUMN($C$3),0)</f>
        <v>119372519.11609088</v>
      </c>
      <c r="D3" s="124">
        <f ca="1">OFFSET('Normalized Annual Summary'!$C$9,COLUMN()-COLUMN($C$3),0)</f>
        <v>116589912.08884086</v>
      </c>
      <c r="E3" s="124">
        <f ca="1">OFFSET('Normalized Annual Summary'!$C$9,COLUMN()-COLUMN($C$3),0)</f>
        <v>127042388.53964818</v>
      </c>
      <c r="F3" s="124">
        <f ca="1">OFFSET('Normalized Annual Summary'!$C$9,COLUMN()-COLUMN($C$3),0)</f>
        <v>125937193.66228408</v>
      </c>
      <c r="G3" s="124">
        <f ca="1">OFFSET('Normalized Annual Summary'!$C$9,COLUMN()-COLUMN($C$3),0)</f>
        <v>134775705.68352982</v>
      </c>
      <c r="H3" s="124">
        <f ca="1">OFFSET('Normalized Annual Summary'!$I$9,COLUMN()-COLUMN($C$3),0)</f>
        <v>139849079.818479</v>
      </c>
      <c r="I3" s="124">
        <f ca="1">OFFSET('Normalized Annual Summary'!$I$9,COLUMN()-COLUMN($C$3),0)</f>
        <v>137535825.59317738</v>
      </c>
      <c r="J3" s="124">
        <f ca="1">OFFSET('Normalized Annual Summary'!$I$9,COLUMN()-COLUMN($C$3),0)</f>
        <v>137753320.800163</v>
      </c>
      <c r="K3" s="124">
        <f ca="1">OFFSET('Normalized Annual Summary'!$I$9,COLUMN()-COLUMN($C$3),0)</f>
        <v>138328762.79634434</v>
      </c>
      <c r="L3" s="124">
        <f ca="1">OFFSET('Normalized Annual Summary'!$I$9,COLUMN()-COLUMN($C$3),0)</f>
        <v>140616584.52141649</v>
      </c>
      <c r="M3" s="124">
        <f ca="1">OFFSET('Normalized Annual Summary'!$I$9,COLUMN()-COLUMN($C$3),0)</f>
        <v>143239488.92708042</v>
      </c>
      <c r="N3" s="134">
        <f ca="1">OFFSET('Normalized Annual Summary'!$I$9,COLUMN()-COLUMN($C$3),0)</f>
        <v>145907218.22556043</v>
      </c>
    </row>
    <row r="4" spans="2:14">
      <c r="B4" s="135" t="s">
        <v>91</v>
      </c>
      <c r="C4" s="124">
        <f ca="1">OFFSET('Normalized Annual Summary'!$L$9,COLUMN()-COLUMN($C$3),0)</f>
        <v>46723063.147793487</v>
      </c>
      <c r="D4" s="124">
        <f ca="1">OFFSET('Normalized Annual Summary'!$L$9,COLUMN()-COLUMN($C$3),0)</f>
        <v>45198527.697477043</v>
      </c>
      <c r="E4" s="124">
        <f ca="1">OFFSET('Normalized Annual Summary'!$L$9,COLUMN()-COLUMN($C$3),0)</f>
        <v>47162012.796490081</v>
      </c>
      <c r="F4" s="124">
        <f ca="1">OFFSET('Normalized Annual Summary'!$L$9,COLUMN()-COLUMN($C$3),0)</f>
        <v>46524843.615444981</v>
      </c>
      <c r="G4" s="124">
        <f ca="1">OFFSET('Normalized Annual Summary'!$L$9,COLUMN()-COLUMN($C$3),0)</f>
        <v>42547308.685365744</v>
      </c>
      <c r="H4" s="124">
        <f ca="1">OFFSET('Normalized Annual Summary'!$R$9,COLUMN()-COLUMN($C$3),0)</f>
        <v>43231842.703329809</v>
      </c>
      <c r="I4" s="124">
        <f ca="1">OFFSET('Normalized Annual Summary'!$R$9,COLUMN()-COLUMN($C$3),0)</f>
        <v>44618238.13095703</v>
      </c>
      <c r="J4" s="124">
        <f ca="1">OFFSET('Normalized Annual Summary'!$R$9,COLUMN()-COLUMN($C$3),0)</f>
        <v>45416700.034494303</v>
      </c>
      <c r="K4" s="124">
        <f ca="1">OFFSET('Normalized Annual Summary'!$R$9,COLUMN()-COLUMN($C$3),0)</f>
        <v>46317695.206860885</v>
      </c>
      <c r="L4" s="124">
        <f ca="1">OFFSET('Normalized Annual Summary'!$R$9,COLUMN()-COLUMN($C$3),0)</f>
        <v>46326983.15280737</v>
      </c>
      <c r="M4" s="124">
        <f ca="1">OFFSET('Normalized Annual Summary'!$R$9,COLUMN()-COLUMN($C$3),0)</f>
        <v>46433209.377035148</v>
      </c>
      <c r="N4" s="134">
        <f ca="1">OFFSET('Normalized Annual Summary'!$R$9,COLUMN()-COLUMN($C$3),0)</f>
        <v>46539435.60126292</v>
      </c>
    </row>
    <row r="5" spans="2:14">
      <c r="B5" s="135" t="s">
        <v>92</v>
      </c>
      <c r="C5" s="124">
        <f ca="1">OFFSET('Normalized Annual Summary'!$U$9,COLUMN()-COLUMN($C$3),0)</f>
        <v>129434913.97257897</v>
      </c>
      <c r="D5" s="124">
        <f ca="1">OFFSET('Normalized Annual Summary'!$U$9,COLUMN()-COLUMN($C$3),0)</f>
        <v>125361028.46165898</v>
      </c>
      <c r="E5" s="124">
        <f ca="1">OFFSET('Normalized Annual Summary'!$U$9,COLUMN()-COLUMN($C$3),0)</f>
        <v>130990632.90670583</v>
      </c>
      <c r="F5" s="124">
        <f ca="1">OFFSET('Normalized Annual Summary'!$U$9,COLUMN()-COLUMN($C$3),0)</f>
        <v>126777959.96350293</v>
      </c>
      <c r="G5" s="124">
        <f ca="1">OFFSET('Normalized Annual Summary'!$U$9,COLUMN()-COLUMN($C$3),0)</f>
        <v>115931845.39301684</v>
      </c>
      <c r="H5" s="124">
        <f ca="1">OFFSET('Normalized Annual Summary'!$AA$9,COLUMN()-COLUMN($C$3),0)</f>
        <v>126434179.08695357</v>
      </c>
      <c r="I5" s="124">
        <f ca="1">OFFSET('Normalized Annual Summary'!$AA$9,COLUMN()-COLUMN($C$3),0)</f>
        <v>130186412.29502398</v>
      </c>
      <c r="J5" s="124">
        <f ca="1">OFFSET('Normalized Annual Summary'!$AA$9,COLUMN()-COLUMN($C$3),0)</f>
        <v>133307695.7800312</v>
      </c>
      <c r="K5" s="124">
        <f ca="1">OFFSET('Normalized Annual Summary'!$AA$9,COLUMN()-COLUMN($C$3),0)</f>
        <v>136765811.86672708</v>
      </c>
      <c r="L5" s="124">
        <f ca="1">OFFSET('Normalized Annual Summary'!$AA$9,COLUMN()-COLUMN($C$3),0)</f>
        <v>139824331.45505065</v>
      </c>
      <c r="M5" s="124">
        <f ca="1">OFFSET('Normalized Annual Summary'!$AA$9,COLUMN()-COLUMN($C$3),0)</f>
        <v>143225192.15467823</v>
      </c>
      <c r="N5" s="134">
        <f ca="1">OFFSET('Normalized Annual Summary'!$AA$9,COLUMN()-COLUMN($C$3),0)</f>
        <v>146724891.88856781</v>
      </c>
    </row>
    <row r="6" spans="2:14">
      <c r="B6" s="135" t="s">
        <v>172</v>
      </c>
      <c r="C6" s="124">
        <f ca="1">OFFSET('Normalized Annual Summary'!$AG$9,COLUMN()-COLUMN($C$3),0)</f>
        <v>2060755.9669889463</v>
      </c>
      <c r="D6" s="124">
        <f ca="1">OFFSET('Normalized Annual Summary'!$AG$9,COLUMN()-COLUMN($C$3),0)</f>
        <v>1230929.4006204633</v>
      </c>
      <c r="E6" s="124">
        <f ca="1">OFFSET('Normalized Annual Summary'!$AG$9,COLUMN()-COLUMN($C$3),0)</f>
        <v>1204476.4371555073</v>
      </c>
      <c r="F6" s="124">
        <f ca="1">OFFSET('Normalized Annual Summary'!$AG$9,COLUMN()-COLUMN($C$3),0)</f>
        <v>1202687.0979789766</v>
      </c>
      <c r="G6" s="124">
        <f ca="1">OFFSET('Normalized Annual Summary'!$AG$9,COLUMN()-COLUMN($C$3),0)</f>
        <v>1224244.7245564894</v>
      </c>
      <c r="H6" s="124">
        <f ca="1">OFFSET('Normalized Annual Summary'!$AG$9,COLUMN()-COLUMN($C$3),0)</f>
        <v>1221562.7077497665</v>
      </c>
      <c r="I6" s="124">
        <f ca="1">OFFSET('Normalized Annual Summary'!$AG$9,COLUMN()-COLUMN($C$3),0)</f>
        <v>1232118.8628138509</v>
      </c>
      <c r="J6" s="124">
        <f ca="1">OFFSET('Normalized Annual Summary'!$AG$9,COLUMN()-COLUMN($C$3),0)</f>
        <v>1242766.2390727461</v>
      </c>
      <c r="K6" s="124">
        <f ca="1">OFFSET('Normalized Annual Summary'!$AG$9,COLUMN()-COLUMN($C$3),0)</f>
        <v>1253513.2516277416</v>
      </c>
      <c r="L6" s="124">
        <f ca="1">OFFSET('Normalized Annual Summary'!$AG$9,COLUMN()-COLUMN($C$3),0)</f>
        <v>1264353.200629855</v>
      </c>
      <c r="M6" s="124">
        <f ca="1">OFFSET('Normalized Annual Summary'!$AG$9,COLUMN()-COLUMN($C$3),0)</f>
        <v>1275286.8897613334</v>
      </c>
      <c r="N6" s="134">
        <f ca="1">OFFSET('Normalized Annual Summary'!$AG$9,COLUMN()-COLUMN($C$3),0)</f>
        <v>1286315.1296543903</v>
      </c>
    </row>
    <row r="7" spans="2:14">
      <c r="B7" s="135" t="s">
        <v>93</v>
      </c>
      <c r="C7" s="124">
        <f ca="1">OFFSET('Normalized Annual Summary'!$AO$9,COLUMN()-COLUMN($C$3),0)</f>
        <v>399176.44803727948</v>
      </c>
      <c r="D7" s="124">
        <f ca="1">OFFSET('Normalized Annual Summary'!$AO$9,COLUMN()-COLUMN($C$3),0)</f>
        <v>400116.31481612264</v>
      </c>
      <c r="E7" s="124">
        <f ca="1">OFFSET('Normalized Annual Summary'!$AO$9,COLUMN()-COLUMN($C$3),0)</f>
        <v>397051.6081530652</v>
      </c>
      <c r="F7" s="124">
        <f ca="1">OFFSET('Normalized Annual Summary'!$AO$9,COLUMN()-COLUMN($C$3),0)</f>
        <v>394004.8908583041</v>
      </c>
      <c r="G7" s="124">
        <f ca="1">OFFSET('Normalized Annual Summary'!$AO$9,COLUMN()-COLUMN($C$3),0)</f>
        <v>396218.85414507356</v>
      </c>
      <c r="H7" s="124">
        <f ca="1">OFFSET('Normalized Annual Summary'!$AO$9,COLUMN()-COLUMN($C$3),0)</f>
        <v>396233.27731092443</v>
      </c>
      <c r="I7" s="124">
        <f ca="1">OFFSET('Normalized Annual Summary'!$AO$9,COLUMN()-COLUMN($C$3),0)</f>
        <v>396233.27731092443</v>
      </c>
      <c r="J7" s="124">
        <f ca="1">OFFSET('Normalized Annual Summary'!$AO$9,COLUMN()-COLUMN($C$3),0)</f>
        <v>396233.27731092443</v>
      </c>
      <c r="K7" s="124">
        <f ca="1">OFFSET('Normalized Annual Summary'!$AO$9,COLUMN()-COLUMN($C$3),0)</f>
        <v>396233.27731092443</v>
      </c>
      <c r="L7" s="124">
        <f ca="1">OFFSET('Normalized Annual Summary'!$AO$9,COLUMN()-COLUMN($C$3),0)</f>
        <v>396233.27731092443</v>
      </c>
      <c r="M7" s="124">
        <f ca="1">OFFSET('Normalized Annual Summary'!$AO$9,COLUMN()-COLUMN($C$3),0)</f>
        <v>396233.27731092443</v>
      </c>
      <c r="N7" s="134">
        <f ca="1">OFFSET('Normalized Annual Summary'!$AO$9,COLUMN()-COLUMN($C$3),0)</f>
        <v>396233.27731092443</v>
      </c>
    </row>
    <row r="8" spans="2:14" ht="13.5" thickBot="1">
      <c r="B8" s="136" t="s">
        <v>146</v>
      </c>
      <c r="C8" s="137">
        <f t="shared" ref="C8:J8" ca="1" si="0">SUM(C3:C7)</f>
        <v>297990428.6514895</v>
      </c>
      <c r="D8" s="137">
        <f t="shared" ca="1" si="0"/>
        <v>288780513.96341348</v>
      </c>
      <c r="E8" s="137">
        <f t="shared" ca="1" si="0"/>
        <v>306796562.28815264</v>
      </c>
      <c r="F8" s="137">
        <f t="shared" ca="1" si="0"/>
        <v>300836689.23006922</v>
      </c>
      <c r="G8" s="137">
        <f t="shared" ca="1" si="0"/>
        <v>294875323.34061396</v>
      </c>
      <c r="H8" s="137">
        <f t="shared" ca="1" si="0"/>
        <v>311132897.59382308</v>
      </c>
      <c r="I8" s="137">
        <f t="shared" ca="1" si="0"/>
        <v>313968828.1592831</v>
      </c>
      <c r="J8" s="137">
        <f t="shared" ca="1" si="0"/>
        <v>318116716.13107216</v>
      </c>
      <c r="K8" s="137">
        <f t="shared" ref="K8:N8" ca="1" si="1">SUM(K3:K7)</f>
        <v>323062016.39887094</v>
      </c>
      <c r="L8" s="137">
        <f t="shared" ca="1" si="1"/>
        <v>328428485.60721523</v>
      </c>
      <c r="M8" s="137">
        <f t="shared" ca="1" si="1"/>
        <v>334569410.625866</v>
      </c>
      <c r="N8" s="138">
        <f t="shared" ca="1" si="1"/>
        <v>340854094.12235647</v>
      </c>
    </row>
    <row r="10" spans="2:14" ht="16.5" thickBot="1">
      <c r="B10" s="129" t="s">
        <v>173</v>
      </c>
      <c r="C10" s="129"/>
      <c r="G10" s="124"/>
      <c r="H10" s="124"/>
    </row>
    <row r="11" spans="2:14" ht="38.25">
      <c r="B11" s="139" t="s">
        <v>97</v>
      </c>
      <c r="C11" s="140" t="s">
        <v>179</v>
      </c>
      <c r="D11" s="140" t="s">
        <v>174</v>
      </c>
      <c r="E11" s="141" t="s">
        <v>180</v>
      </c>
      <c r="G11" s="183" t="s">
        <v>234</v>
      </c>
      <c r="H11" s="140" t="s">
        <v>235</v>
      </c>
      <c r="I11" s="140" t="s">
        <v>236</v>
      </c>
      <c r="J11" s="141" t="s">
        <v>237</v>
      </c>
    </row>
    <row r="12" spans="2:14">
      <c r="B12" s="133" t="str">
        <f>B3</f>
        <v>Residential</v>
      </c>
      <c r="C12" s="124">
        <f ca="1">J3</f>
        <v>137753320.800163</v>
      </c>
      <c r="D12" s="124">
        <f>'CDM Adjustment'!K64</f>
        <v>140636.83198969995</v>
      </c>
      <c r="E12" s="134">
        <f ca="1">C12-D12</f>
        <v>137612683.9681733</v>
      </c>
      <c r="G12" s="184">
        <f ca="1">K3-'CDM Adjustment'!O25</f>
        <v>138113563.89332968</v>
      </c>
      <c r="H12" s="124">
        <f ca="1">L3-'CDM Adjustment'!P25</f>
        <v>140325631.11538494</v>
      </c>
      <c r="I12" s="124">
        <f ca="1">M3-'CDM Adjustment'!Q25</f>
        <v>142872781.01803195</v>
      </c>
      <c r="J12" s="134">
        <f ca="1">N3-'CDM Adjustment'!R25</f>
        <v>145464755.81349507</v>
      </c>
    </row>
    <row r="13" spans="2:14">
      <c r="B13" s="135" t="str">
        <f>B4</f>
        <v>GS &lt; 50</v>
      </c>
      <c r="C13" s="124">
        <f ca="1">J4</f>
        <v>45416700.034494303</v>
      </c>
      <c r="D13" s="124">
        <f>'CDM Adjustment'!L64</f>
        <v>569114.38798440027</v>
      </c>
      <c r="E13" s="134">
        <f ca="1">C13-D13</f>
        <v>44847585.646509901</v>
      </c>
      <c r="G13" s="184">
        <f ca="1">K4-'CDM Adjustment'!O26</f>
        <v>45404852.102608085</v>
      </c>
      <c r="H13" s="124">
        <f ca="1">L4-'CDM Adjustment'!P26</f>
        <v>45069373.538852498</v>
      </c>
      <c r="I13" s="124">
        <f ca="1">M4-'CDM Adjustment'!Q26</f>
        <v>44830833.253378212</v>
      </c>
      <c r="J13" s="134">
        <f ca="1">N4-'CDM Adjustment'!R26</f>
        <v>44592292.967903912</v>
      </c>
    </row>
    <row r="14" spans="2:14">
      <c r="B14" s="135" t="str">
        <f>B5</f>
        <v>GS &gt; 50</v>
      </c>
      <c r="C14" s="124">
        <f ca="1">J5</f>
        <v>133307695.7800312</v>
      </c>
      <c r="D14" s="124">
        <f>'CDM Adjustment'!M64</f>
        <v>1738246.3462001504</v>
      </c>
      <c r="E14" s="134">
        <f t="shared" ref="E14:E15" ca="1" si="2">C14-D14</f>
        <v>131569449.43383105</v>
      </c>
      <c r="G14" s="184">
        <f ca="1">K5-'CDM Adjustment'!O27</f>
        <v>133739075.78640142</v>
      </c>
      <c r="H14" s="124">
        <f ca="1">L5-'CDM Adjustment'!P27</f>
        <v>135507260.67449516</v>
      </c>
      <c r="I14" s="124">
        <f ca="1">M5-'CDM Adjustment'!Q27</f>
        <v>137617786.67389295</v>
      </c>
      <c r="J14" s="134">
        <f ca="1">N5-'CDM Adjustment'!R27</f>
        <v>139827151.7075527</v>
      </c>
    </row>
    <row r="15" spans="2:14">
      <c r="B15" s="135" t="str">
        <f>B6</f>
        <v>Street Light</v>
      </c>
      <c r="C15" s="124">
        <f ca="1">J6</f>
        <v>1242766.2390727461</v>
      </c>
      <c r="D15" s="124"/>
      <c r="E15" s="134">
        <f t="shared" ca="1" si="2"/>
        <v>1242766.2390727461</v>
      </c>
      <c r="G15" s="184">
        <f ca="1">K6-'CDM Adjustment'!O28</f>
        <v>1253513.2516277416</v>
      </c>
      <c r="H15" s="124">
        <f ca="1">L6-'CDM Adjustment'!P28</f>
        <v>1264353.200629855</v>
      </c>
      <c r="I15" s="124">
        <f ca="1">M6-'CDM Adjustment'!Q28</f>
        <v>1275286.8897613334</v>
      </c>
      <c r="J15" s="134">
        <f ca="1">N6-'CDM Adjustment'!R28</f>
        <v>1286315.1296543903</v>
      </c>
    </row>
    <row r="16" spans="2:14">
      <c r="B16" s="135" t="str">
        <f>B7</f>
        <v>USL</v>
      </c>
      <c r="C16" s="124">
        <f ca="1">J7</f>
        <v>396233.27731092443</v>
      </c>
      <c r="D16" s="124"/>
      <c r="E16" s="134">
        <f ca="1">C16-D16</f>
        <v>396233.27731092443</v>
      </c>
      <c r="G16" s="184">
        <f ca="1">K7-'CDM Adjustment'!O29</f>
        <v>396233.27731092443</v>
      </c>
      <c r="H16" s="124">
        <f ca="1">L7-'CDM Adjustment'!P29</f>
        <v>396233.27731092443</v>
      </c>
      <c r="I16" s="124">
        <f ca="1">M7-'CDM Adjustment'!Q29</f>
        <v>396233.27731092443</v>
      </c>
      <c r="J16" s="134">
        <f ca="1">N7-'CDM Adjustment'!R29</f>
        <v>396233.27731092443</v>
      </c>
    </row>
    <row r="17" spans="2:14" ht="13.5" thickBot="1">
      <c r="B17" s="136" t="s">
        <v>146</v>
      </c>
      <c r="C17" s="137">
        <f ca="1">SUM(C12:C16)</f>
        <v>318116716.13107216</v>
      </c>
      <c r="D17" s="137">
        <f>SUM(D12:D16)</f>
        <v>2447997.5661742506</v>
      </c>
      <c r="E17" s="138">
        <f ca="1">SUM(E12:E16)</f>
        <v>315668718.56489789</v>
      </c>
      <c r="G17" s="185">
        <f t="shared" ref="G17:J17" ca="1" si="3">SUM(G12:G16)</f>
        <v>318907238.31127787</v>
      </c>
      <c r="H17" s="137">
        <f t="shared" ca="1" si="3"/>
        <v>322562851.80667335</v>
      </c>
      <c r="I17" s="137">
        <f t="shared" ca="1" si="3"/>
        <v>326992921.11237532</v>
      </c>
      <c r="J17" s="138">
        <f t="shared" ca="1" si="3"/>
        <v>331566748.895917</v>
      </c>
    </row>
    <row r="19" spans="2:14" ht="16.5" thickBot="1">
      <c r="B19" s="129" t="s">
        <v>167</v>
      </c>
      <c r="C19" s="129"/>
    </row>
    <row r="20" spans="2:14">
      <c r="B20" s="130" t="s">
        <v>98</v>
      </c>
      <c r="C20" s="131" t="s">
        <v>168</v>
      </c>
      <c r="D20" s="131" t="s">
        <v>169</v>
      </c>
      <c r="E20" s="131" t="s">
        <v>170</v>
      </c>
      <c r="F20" s="131" t="s">
        <v>171</v>
      </c>
      <c r="G20" s="131" t="s">
        <v>176</v>
      </c>
      <c r="H20" s="131" t="s">
        <v>229</v>
      </c>
      <c r="I20" s="131" t="s">
        <v>177</v>
      </c>
      <c r="J20" s="131" t="s">
        <v>178</v>
      </c>
      <c r="K20" s="131" t="s">
        <v>230</v>
      </c>
      <c r="L20" s="131" t="s">
        <v>231</v>
      </c>
      <c r="M20" s="131" t="s">
        <v>232</v>
      </c>
      <c r="N20" s="132" t="s">
        <v>233</v>
      </c>
    </row>
    <row r="21" spans="2:14">
      <c r="B21" s="135" t="s">
        <v>92</v>
      </c>
      <c r="C21" s="124">
        <f ca="1">OFFSET('kW Forecast'!$D$9,COLUMN()-COLUMN($C$21),0)</f>
        <v>317291.69</v>
      </c>
      <c r="D21" s="124">
        <f ca="1">OFFSET('kW Forecast'!$D$9,COLUMN()-COLUMN($C$21),0)</f>
        <v>308322.29000000004</v>
      </c>
      <c r="E21" s="124">
        <f ca="1">OFFSET('kW Forecast'!$D$9,COLUMN()-COLUMN($C$21),0)</f>
        <v>320420.02</v>
      </c>
      <c r="F21" s="124">
        <f ca="1">OFFSET('kW Forecast'!$D$9,COLUMN()-COLUMN($C$21),0)</f>
        <v>305981.37</v>
      </c>
      <c r="G21" s="124">
        <f ca="1">OFFSET('kW Forecast'!$D$9,COLUMN()-COLUMN($C$21),0)</f>
        <v>289744.00000000012</v>
      </c>
      <c r="H21" s="124">
        <f ca="1">OFFSET('kW Forecast'!$D$18,COLUMN()-COLUMN($H$21),0)</f>
        <v>310765.30354798707</v>
      </c>
      <c r="I21" s="124">
        <f ca="1">OFFSET('kW Forecast'!$D$18,COLUMN()-COLUMN($H$21),0)</f>
        <v>319987.99871087412</v>
      </c>
      <c r="J21" s="124">
        <f ca="1">OFFSET('kW Forecast'!$D$18,COLUMN()-COLUMN($H$21),0)</f>
        <v>327659.86890200723</v>
      </c>
      <c r="K21" s="124">
        <f ca="1">OFFSET('kW Forecast'!$D$18,COLUMN()-COLUMN($H$21),0)</f>
        <v>336159.64723051712</v>
      </c>
      <c r="L21" s="124">
        <f ca="1">OFFSET('kW Forecast'!$D$18,COLUMN()-COLUMN($H$21),0)</f>
        <v>343677.24868240894</v>
      </c>
      <c r="M21" s="124">
        <f ca="1">OFFSET('kW Forecast'!$D$18,COLUMN()-COLUMN($H$21),0)</f>
        <v>352036.29775661015</v>
      </c>
      <c r="N21" s="134">
        <f ca="1">OFFSET('kW Forecast'!$D$18,COLUMN()-COLUMN($H$21),0)</f>
        <v>360638.28543101129</v>
      </c>
    </row>
    <row r="22" spans="2:14">
      <c r="B22" s="135" t="s">
        <v>172</v>
      </c>
      <c r="C22" s="124">
        <f ca="1">OFFSET('kW Forecast'!$J$9,COLUMN()-COLUMN($C$21),0)</f>
        <v>5824.64</v>
      </c>
      <c r="D22" s="124">
        <f ca="1">OFFSET('kW Forecast'!$J$9,COLUMN()-COLUMN($C$21),0)</f>
        <v>3777.5200000000013</v>
      </c>
      <c r="E22" s="124">
        <f ca="1">OFFSET('kW Forecast'!$J$9,COLUMN()-COLUMN($C$21),0)</f>
        <v>3393.8000000000006</v>
      </c>
      <c r="F22" s="124">
        <f ca="1">OFFSET('kW Forecast'!$J$9,COLUMN()-COLUMN($C$21),0)</f>
        <v>3373.1799999999989</v>
      </c>
      <c r="G22" s="124">
        <f ca="1">OFFSET('kW Forecast'!$J$9,COLUMN()-COLUMN($C$21),0)</f>
        <v>3430.1999999999994</v>
      </c>
      <c r="H22" s="124">
        <f ca="1">OFFSET('kW Forecast'!$J$18,COLUMN()-COLUMN($H$21),0)</f>
        <v>3436.5826745161694</v>
      </c>
      <c r="I22" s="124">
        <f ca="1">OFFSET('kW Forecast'!$J$18,COLUMN()-COLUMN($H$21),0)</f>
        <v>3466.2799625658058</v>
      </c>
      <c r="J22" s="124">
        <f ca="1">OFFSET('kW Forecast'!$J$18,COLUMN()-COLUMN($H$21),0)</f>
        <v>3496.2338802388308</v>
      </c>
      <c r="K22" s="124">
        <f ca="1">OFFSET('kW Forecast'!$J$18,COLUMN()-COLUMN($H$21),0)</f>
        <v>3526.4681014662779</v>
      </c>
      <c r="L22" s="124">
        <f ca="1">OFFSET('kW Forecast'!$J$18,COLUMN()-COLUMN($H$21),0)</f>
        <v>3556.9637777806965</v>
      </c>
      <c r="M22" s="124">
        <f ca="1">OFFSET('kW Forecast'!$J$18,COLUMN()-COLUMN($H$21),0)</f>
        <v>3587.7231701552391</v>
      </c>
      <c r="N22" s="134">
        <f ca="1">OFFSET('kW Forecast'!$J$18,COLUMN()-COLUMN($H$21),0)</f>
        <v>3618.748559115174</v>
      </c>
    </row>
    <row r="23" spans="2:14" ht="13.5" thickBot="1">
      <c r="B23" s="136" t="s">
        <v>146</v>
      </c>
      <c r="C23" s="137">
        <f t="shared" ref="C23:J23" ca="1" si="4">SUM(C18:C22)</f>
        <v>323116.33</v>
      </c>
      <c r="D23" s="137">
        <f t="shared" ca="1" si="4"/>
        <v>312099.81000000006</v>
      </c>
      <c r="E23" s="137">
        <f t="shared" ca="1" si="4"/>
        <v>323813.82</v>
      </c>
      <c r="F23" s="137">
        <f t="shared" ca="1" si="4"/>
        <v>309354.55</v>
      </c>
      <c r="G23" s="137">
        <f t="shared" ca="1" si="4"/>
        <v>293174.20000000013</v>
      </c>
      <c r="H23" s="137">
        <f t="shared" ca="1" si="4"/>
        <v>314201.88622250326</v>
      </c>
      <c r="I23" s="137">
        <f t="shared" ca="1" si="4"/>
        <v>323454.27867343993</v>
      </c>
      <c r="J23" s="137">
        <f t="shared" ca="1" si="4"/>
        <v>331156.10278224607</v>
      </c>
      <c r="K23" s="137">
        <f t="shared" ref="K23:N23" ca="1" si="5">SUM(K18:K22)</f>
        <v>339686.11533198337</v>
      </c>
      <c r="L23" s="137">
        <f t="shared" ca="1" si="5"/>
        <v>347234.21246018965</v>
      </c>
      <c r="M23" s="137">
        <f t="shared" ca="1" si="5"/>
        <v>355624.0209267654</v>
      </c>
      <c r="N23" s="138">
        <f t="shared" ca="1" si="5"/>
        <v>364257.03399012645</v>
      </c>
    </row>
    <row r="25" spans="2:14" ht="16.5" thickBot="1">
      <c r="B25" s="129" t="s">
        <v>173</v>
      </c>
      <c r="C25" s="129"/>
    </row>
    <row r="26" spans="2:14" ht="38.25">
      <c r="B26" s="139" t="s">
        <v>98</v>
      </c>
      <c r="C26" s="140" t="s">
        <v>179</v>
      </c>
      <c r="D26" s="140" t="s">
        <v>174</v>
      </c>
      <c r="E26" s="141" t="s">
        <v>180</v>
      </c>
      <c r="G26" s="183" t="s">
        <v>234</v>
      </c>
      <c r="H26" s="140" t="s">
        <v>235</v>
      </c>
      <c r="I26" s="140" t="s">
        <v>236</v>
      </c>
      <c r="J26" s="141" t="s">
        <v>237</v>
      </c>
    </row>
    <row r="27" spans="2:14">
      <c r="B27" s="135" t="str">
        <f>B21</f>
        <v>GS &gt; 50</v>
      </c>
      <c r="C27" s="124">
        <f ca="1">J21</f>
        <v>327659.86890200723</v>
      </c>
      <c r="D27" s="124">
        <f>D14*'CDM Adjustment'!$E$84</f>
        <v>3413.0569959424338</v>
      </c>
      <c r="E27" s="134">
        <f ca="1">C27-D27</f>
        <v>324246.8119060648</v>
      </c>
      <c r="G27" s="184">
        <f ca="1">K21-'CDM Adjustment'!O27*'CDM Adjustment'!$E$84</f>
        <v>330216.63301023154</v>
      </c>
      <c r="H27" s="124">
        <f ca="1">L21-'CDM Adjustment'!P27*'CDM Adjustment'!$E$84</f>
        <v>335200.65463590721</v>
      </c>
      <c r="I27" s="124">
        <f ca="1">M21-'CDM Adjustment'!Q27*'CDM Adjustment'!$E$84</f>
        <v>341026.12388389226</v>
      </c>
      <c r="J27" s="134">
        <f ca="1">N21-'CDM Adjustment'!R27*'CDM Adjustment'!$E$84</f>
        <v>347094.53173207724</v>
      </c>
      <c r="M27" s="186"/>
    </row>
    <row r="28" spans="2:14">
      <c r="B28" s="135" t="str">
        <f>B22</f>
        <v>Street Light</v>
      </c>
      <c r="C28" s="124">
        <f ca="1">J22</f>
        <v>3496.2338802388308</v>
      </c>
      <c r="D28" s="124"/>
      <c r="E28" s="134">
        <f t="shared" ref="E28" ca="1" si="6">C28-D28</f>
        <v>3496.2338802388308</v>
      </c>
      <c r="G28" s="184">
        <f ca="1">K22</f>
        <v>3526.4681014662779</v>
      </c>
      <c r="H28" s="124">
        <f t="shared" ref="H28:J28" ca="1" si="7">L22</f>
        <v>3556.9637777806965</v>
      </c>
      <c r="I28" s="124">
        <f t="shared" ca="1" si="7"/>
        <v>3587.7231701552391</v>
      </c>
      <c r="J28" s="134">
        <f t="shared" ca="1" si="7"/>
        <v>3618.748559115174</v>
      </c>
      <c r="M28" s="186"/>
    </row>
    <row r="29" spans="2:14" ht="13.5" thickBot="1">
      <c r="B29" s="136" t="s">
        <v>146</v>
      </c>
      <c r="C29" s="137">
        <f ca="1">SUM(C27:C28)</f>
        <v>331156.10278224607</v>
      </c>
      <c r="D29" s="137">
        <f>SUM(D27:D28)</f>
        <v>3413.0569959424338</v>
      </c>
      <c r="E29" s="138">
        <f ca="1">SUM(E27:E28)</f>
        <v>327743.04578630364</v>
      </c>
      <c r="G29" s="185">
        <f t="shared" ref="G29:I29" ca="1" si="8">SUM(G27:G28)</f>
        <v>333743.10111169779</v>
      </c>
      <c r="H29" s="137">
        <f t="shared" ca="1" si="8"/>
        <v>338757.61841368792</v>
      </c>
      <c r="I29" s="137">
        <f t="shared" ca="1" si="8"/>
        <v>344613.84705404751</v>
      </c>
      <c r="J29" s="138">
        <f ca="1">SUM(J27:J28)</f>
        <v>350713.28029119241</v>
      </c>
    </row>
    <row r="31" spans="2:14" ht="16.5" thickBot="1">
      <c r="B31" s="129" t="s">
        <v>175</v>
      </c>
      <c r="C31" s="129"/>
    </row>
    <row r="32" spans="2:14">
      <c r="B32" s="130" t="s">
        <v>94</v>
      </c>
      <c r="C32" s="131" t="s">
        <v>168</v>
      </c>
      <c r="D32" s="131" t="s">
        <v>169</v>
      </c>
      <c r="E32" s="131" t="s">
        <v>170</v>
      </c>
      <c r="F32" s="131" t="s">
        <v>171</v>
      </c>
      <c r="G32" s="131" t="s">
        <v>176</v>
      </c>
      <c r="H32" s="131" t="s">
        <v>229</v>
      </c>
      <c r="I32" s="131" t="s">
        <v>177</v>
      </c>
      <c r="J32" s="131" t="s">
        <v>178</v>
      </c>
      <c r="K32" s="131" t="s">
        <v>230</v>
      </c>
      <c r="L32" s="131" t="s">
        <v>231</v>
      </c>
      <c r="M32" s="131" t="s">
        <v>232</v>
      </c>
      <c r="N32" s="132" t="s">
        <v>233</v>
      </c>
    </row>
    <row r="33" spans="2:14">
      <c r="B33" s="133" t="str">
        <f>B3</f>
        <v>Residential</v>
      </c>
      <c r="C33" s="124">
        <f ca="1">OFFSET('Customer Count'!$C$8,COLUMN()-COLUMN($C$33),0)</f>
        <v>14798</v>
      </c>
      <c r="D33" s="124">
        <f ca="1">OFFSET('Customer Count'!$C$8,COLUMN()-COLUMN($C$33),0)</f>
        <v>15092.833333333334</v>
      </c>
      <c r="E33" s="124">
        <f ca="1">OFFSET('Customer Count'!$C$8,COLUMN()-COLUMN($C$33),0)</f>
        <v>15386.666666666666</v>
      </c>
      <c r="F33" s="124">
        <f ca="1">OFFSET('Customer Count'!$C$8,COLUMN()-COLUMN($C$33),0)</f>
        <v>15721.5</v>
      </c>
      <c r="G33" s="124">
        <f ca="1">OFFSET('Customer Count'!$C$8,COLUMN()-COLUMN($C$33),0)</f>
        <v>16164.166666666666</v>
      </c>
      <c r="H33" s="124">
        <f ca="1">OFFSET('Customer Count'!$C$8,COLUMN()-COLUMN($C$33),0)</f>
        <v>16421.416666666668</v>
      </c>
      <c r="I33" s="124">
        <f ca="1">OFFSET('Customer Count'!$C$8,COLUMN()-COLUMN($C$33),0)</f>
        <v>16713.900722594739</v>
      </c>
      <c r="J33" s="124">
        <f ca="1">OFFSET('Customer Count'!$C$8,COLUMN()-COLUMN($C$33),0)</f>
        <v>17011.594251292951</v>
      </c>
      <c r="K33" s="124">
        <f ca="1">J33*'Customer Count'!$D$14</f>
        <v>17314.590039379898</v>
      </c>
      <c r="L33" s="124">
        <f ca="1">K33*'Customer Count'!$D$14</f>
        <v>17622.982526109095</v>
      </c>
      <c r="M33" s="124">
        <f ca="1">L33*'Customer Count'!$D$14</f>
        <v>17936.86783280427</v>
      </c>
      <c r="N33" s="134">
        <f ca="1">M33*'Customer Count'!$D$14</f>
        <v>18256.343792818945</v>
      </c>
    </row>
    <row r="34" spans="2:14">
      <c r="B34" s="135" t="str">
        <f>B4</f>
        <v>GS &lt; 50</v>
      </c>
      <c r="C34" s="124">
        <f ca="1">OFFSET('Customer Count'!$G$8,COLUMN()-COLUMN($C$33),0)</f>
        <v>1738.25</v>
      </c>
      <c r="D34" s="124">
        <f ca="1">OFFSET('Customer Count'!$G$8,COLUMN()-COLUMN($C$33),0)</f>
        <v>1740.8333333333333</v>
      </c>
      <c r="E34" s="124">
        <f ca="1">OFFSET('Customer Count'!$G$8,COLUMN()-COLUMN($C$33),0)</f>
        <v>1751.3333333333333</v>
      </c>
      <c r="F34" s="124">
        <f ca="1">OFFSET('Customer Count'!$G$8,COLUMN()-COLUMN($C$33),0)</f>
        <v>1761.0833333333333</v>
      </c>
      <c r="G34" s="124">
        <f ca="1">OFFSET('Customer Count'!$G$8,COLUMN()-COLUMN($C$33),0)</f>
        <v>1779.1666666666667</v>
      </c>
      <c r="H34" s="124">
        <f ca="1">OFFSET('Customer Count'!$G$8,COLUMN()-COLUMN($C$33),0)</f>
        <v>1805.5</v>
      </c>
      <c r="I34" s="124">
        <f ca="1">OFFSET('Customer Count'!$G$8,COLUMN()-COLUMN($C$33),0)</f>
        <v>1819.0353851420145</v>
      </c>
      <c r="J34" s="124">
        <f ca="1">OFFSET('Customer Count'!$G$8,COLUMN()-COLUMN($C$33),0)</f>
        <v>1832.6722417052104</v>
      </c>
      <c r="K34" s="124">
        <f ca="1">J34*'Customer Count'!$H$14</f>
        <v>1846.4113303956337</v>
      </c>
      <c r="L34" s="124">
        <f ca="1">K34*'Customer Count'!$H$14</f>
        <v>1860.2534176221552</v>
      </c>
      <c r="M34" s="124">
        <f ca="1">L34*'Customer Count'!$H$14</f>
        <v>1874.1992755392225</v>
      </c>
      <c r="N34" s="134">
        <f ca="1">M34*'Customer Count'!$H$14</f>
        <v>1888.2496820899332</v>
      </c>
    </row>
    <row r="35" spans="2:14" ht="13.5" customHeight="1">
      <c r="B35" s="135" t="str">
        <f>B5</f>
        <v>GS &gt; 50</v>
      </c>
      <c r="C35" s="124">
        <f ca="1">OFFSET('Customer Count'!$K$8,COLUMN()-COLUMN($C$33),0)</f>
        <v>129.66666666666666</v>
      </c>
      <c r="D35" s="124">
        <f ca="1">OFFSET('Customer Count'!$K$8,COLUMN()-COLUMN($C$33),0)</f>
        <v>126.91666666666667</v>
      </c>
      <c r="E35" s="124">
        <f ca="1">OFFSET('Customer Count'!$K$8,COLUMN()-COLUMN($C$33),0)</f>
        <v>128.16666666666666</v>
      </c>
      <c r="F35" s="124">
        <f ca="1">OFFSET('Customer Count'!$K$8,COLUMN()-COLUMN($C$33),0)</f>
        <v>125.08333333333333</v>
      </c>
      <c r="G35" s="124">
        <f ca="1">OFFSET('Customer Count'!$K$8,COLUMN()-COLUMN($C$33),0)</f>
        <v>126.83333333333333</v>
      </c>
      <c r="H35" s="124">
        <f ca="1">OFFSET('Customer Count'!$K$8,COLUMN()-COLUMN($C$33),0)</f>
        <v>124.41666666666667</v>
      </c>
      <c r="I35" s="124">
        <f ca="1">OFFSET('Customer Count'!$K$8,COLUMN()-COLUMN($C$33),0)</f>
        <v>125.52967517418369</v>
      </c>
      <c r="J35" s="124">
        <f ca="1">OFFSET('Customer Count'!$K$8,COLUMN()-COLUMN($C$33),0)</f>
        <v>126.65264045012246</v>
      </c>
      <c r="K35" s="124">
        <f ca="1">J35*'Customer Count'!$L$14</f>
        <v>127.78565156589323</v>
      </c>
      <c r="L35" s="124">
        <f ca="1">K35*'Customer Count'!$L$14</f>
        <v>128.92879838972266</v>
      </c>
      <c r="M35" s="124">
        <f ca="1">L35*'Customer Count'!$L$14</f>
        <v>130.08217159378194</v>
      </c>
      <c r="N35" s="134">
        <f ca="1">M35*'Customer Count'!$L$14</f>
        <v>131.24586266137874</v>
      </c>
    </row>
    <row r="36" spans="2:14">
      <c r="B36" s="135" t="str">
        <f>B6</f>
        <v>Street Light</v>
      </c>
      <c r="C36" s="124">
        <f ca="1">OFFSET('Customer Count'!$O$8,COLUMN()-COLUMN($C$33),0)</f>
        <v>3064.75</v>
      </c>
      <c r="D36" s="124">
        <f ca="1">OFFSET('Customer Count'!$O$8,COLUMN()-COLUMN($C$33),0)</f>
        <v>3069</v>
      </c>
      <c r="E36" s="124">
        <f ca="1">OFFSET('Customer Count'!$O$8,COLUMN()-COLUMN($C$33),0)</f>
        <v>3130.4166666666665</v>
      </c>
      <c r="F36" s="124">
        <f ca="1">OFFSET('Customer Count'!$O$8,COLUMN()-COLUMN($C$33),0)</f>
        <v>3250.5833333333335</v>
      </c>
      <c r="G36" s="124">
        <f ca="1">OFFSET('Customer Count'!$O$8,COLUMN()-COLUMN($C$33),0)</f>
        <v>3261</v>
      </c>
      <c r="H36" s="124">
        <f ca="1">OFFSET('Customer Count'!$O$8,COLUMN()-COLUMN($C$33),0)</f>
        <v>3261</v>
      </c>
      <c r="I36" s="124">
        <f ca="1">OFFSET('Customer Count'!$O$8,COLUMN()-COLUMN($C$33),0)</f>
        <v>3289.1799873601176</v>
      </c>
      <c r="J36" s="124">
        <f ca="1">OFFSET('Customer Count'!$O$8,COLUMN()-COLUMN($C$33),0)</f>
        <v>3317.6034925637241</v>
      </c>
      <c r="K36" s="124">
        <f ca="1">J36*'Customer Count'!$P$14</f>
        <v>3346.2726199744352</v>
      </c>
      <c r="L36" s="124">
        <f ca="1">K36*'Customer Count'!$P$14</f>
        <v>3375.1894921407606</v>
      </c>
      <c r="M36" s="124">
        <f ca="1">L36*'Customer Count'!$P$14</f>
        <v>3404.3562499532504</v>
      </c>
      <c r="N36" s="134">
        <f ca="1">M36*'Customer Count'!$P$14</f>
        <v>3433.775052802996</v>
      </c>
    </row>
    <row r="37" spans="2:14">
      <c r="B37" s="135" t="str">
        <f>B7</f>
        <v>USL</v>
      </c>
      <c r="C37" s="124">
        <f ca="1">OFFSET('Customer Count'!$S$8,COLUMN()-COLUMN($C$33),0)</f>
        <v>30</v>
      </c>
      <c r="D37" s="124">
        <f ca="1">OFFSET('Customer Count'!$S$8,COLUMN()-COLUMN($C$33),0)</f>
        <v>30</v>
      </c>
      <c r="E37" s="124">
        <f ca="1">OFFSET('Customer Count'!$S$8,COLUMN()-COLUMN($C$33),0)</f>
        <v>30</v>
      </c>
      <c r="F37" s="124">
        <f ca="1">OFFSET('Customer Count'!$S$8,COLUMN()-COLUMN($C$33),0)</f>
        <v>30</v>
      </c>
      <c r="G37" s="124">
        <f ca="1">OFFSET('Customer Count'!$S$8,COLUMN()-COLUMN($C$33),0)</f>
        <v>30</v>
      </c>
      <c r="H37" s="124">
        <f ca="1">OFFSET('Customer Count'!$S$8,COLUMN()-COLUMN($C$33),0)</f>
        <v>30</v>
      </c>
      <c r="I37" s="124">
        <f ca="1">OFFSET('Customer Count'!$S$8,COLUMN()-COLUMN($C$33),0)</f>
        <v>30</v>
      </c>
      <c r="J37" s="124">
        <f ca="1">OFFSET('Customer Count'!$S$8,COLUMN()-COLUMN($C$33),0)</f>
        <v>30</v>
      </c>
      <c r="K37" s="124">
        <f ca="1">J37*'Customer Count'!$T$14</f>
        <v>30</v>
      </c>
      <c r="L37" s="124">
        <f ca="1">K37*'Customer Count'!$T$14</f>
        <v>30</v>
      </c>
      <c r="M37" s="124">
        <f ca="1">L37*'Customer Count'!$T$14</f>
        <v>30</v>
      </c>
      <c r="N37" s="134">
        <f ca="1">M37*'Customer Count'!$T$14</f>
        <v>30</v>
      </c>
    </row>
    <row r="38" spans="2:14" ht="13.5" thickBot="1">
      <c r="B38" s="136" t="s">
        <v>146</v>
      </c>
      <c r="C38" s="137">
        <f ca="1">SUM(C33:C37)</f>
        <v>19760.666666666668</v>
      </c>
      <c r="D38" s="137">
        <f t="shared" ref="D38:N38" ca="1" si="9">SUM(D33:D37)</f>
        <v>20059.583333333336</v>
      </c>
      <c r="E38" s="137">
        <f t="shared" ca="1" si="9"/>
        <v>20426.583333333336</v>
      </c>
      <c r="F38" s="137">
        <f t="shared" ca="1" si="9"/>
        <v>20888.249999999996</v>
      </c>
      <c r="G38" s="137">
        <f t="shared" ca="1" si="9"/>
        <v>21361.166666666664</v>
      </c>
      <c r="H38" s="137">
        <f t="shared" ca="1" si="9"/>
        <v>21642.333333333336</v>
      </c>
      <c r="I38" s="137">
        <f t="shared" ca="1" si="9"/>
        <v>21977.645770271054</v>
      </c>
      <c r="J38" s="137">
        <f t="shared" ca="1" si="9"/>
        <v>22318.522626012011</v>
      </c>
      <c r="K38" s="137">
        <f t="shared" ca="1" si="9"/>
        <v>22665.05964131586</v>
      </c>
      <c r="L38" s="137">
        <f t="shared" ca="1" si="9"/>
        <v>23017.354234261737</v>
      </c>
      <c r="M38" s="137">
        <f t="shared" ca="1" si="9"/>
        <v>23375.505529890524</v>
      </c>
      <c r="N38" s="138">
        <f t="shared" ca="1" si="9"/>
        <v>23739.614390373252</v>
      </c>
    </row>
  </sheetData>
  <phoneticPr fontId="27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CF52-A088-4C7F-92B0-21213D12D209}">
  <sheetPr>
    <pageSetUpPr fitToPage="1"/>
  </sheetPr>
  <dimension ref="B1:U136"/>
  <sheetViews>
    <sheetView workbookViewId="0">
      <selection activeCell="N38" sqref="N38"/>
    </sheetView>
  </sheetViews>
  <sheetFormatPr defaultRowHeight="12.75"/>
  <cols>
    <col min="1" max="1" width="1.42578125" style="25" customWidth="1"/>
    <col min="2" max="2" width="40.5703125" style="25" customWidth="1"/>
    <col min="3" max="3" width="18.85546875" style="25" customWidth="1"/>
    <col min="4" max="4" width="17" style="25" customWidth="1"/>
    <col min="5" max="5" width="14" style="25" bestFit="1" customWidth="1"/>
    <col min="6" max="6" width="14.42578125" style="25" customWidth="1"/>
    <col min="7" max="7" width="14" style="25" bestFit="1" customWidth="1"/>
    <col min="8" max="8" width="16.5703125" style="25" bestFit="1" customWidth="1"/>
    <col min="9" max="9" width="14" style="25" bestFit="1" customWidth="1"/>
    <col min="10" max="10" width="13.140625" style="25" customWidth="1"/>
    <col min="11" max="11" width="14" style="25" bestFit="1" customWidth="1"/>
    <col min="12" max="14" width="11.28515625" style="25" bestFit="1" customWidth="1"/>
    <col min="15" max="15" width="12.28515625" style="25" customWidth="1"/>
    <col min="16" max="16" width="15.28515625" style="25" customWidth="1"/>
    <col min="17" max="17" width="12.7109375" style="25" customWidth="1"/>
    <col min="18" max="18" width="15.28515625" style="25" bestFit="1" customWidth="1"/>
    <col min="19" max="19" width="11.7109375" style="25" bestFit="1" customWidth="1"/>
    <col min="20" max="20" width="9.140625" style="25"/>
    <col min="21" max="21" width="27.140625" style="25" customWidth="1"/>
    <col min="22" max="22" width="12.85546875" style="25" customWidth="1"/>
    <col min="23" max="16384" width="9.140625" style="25"/>
  </cols>
  <sheetData>
    <row r="1" spans="2:17" ht="13.5" thickBot="1"/>
    <row r="2" spans="2:17" ht="13.5" thickBot="1">
      <c r="B2" s="374" t="s">
        <v>252</v>
      </c>
      <c r="C2" s="375"/>
      <c r="D2" s="375"/>
      <c r="E2" s="376"/>
    </row>
    <row r="3" spans="2:17">
      <c r="B3" s="187" t="s">
        <v>253</v>
      </c>
      <c r="C3" s="188" t="s">
        <v>97</v>
      </c>
      <c r="D3" s="188" t="s">
        <v>98</v>
      </c>
      <c r="E3" s="189" t="s">
        <v>254</v>
      </c>
      <c r="G3" s="188" t="s">
        <v>255</v>
      </c>
      <c r="H3" s="188" t="s">
        <v>256</v>
      </c>
    </row>
    <row r="4" spans="2:17">
      <c r="B4" s="190" t="s">
        <v>257</v>
      </c>
      <c r="C4" s="191">
        <f ca="1">'Summary Tables'!E12</f>
        <v>137612683.9681733</v>
      </c>
      <c r="D4" s="192"/>
      <c r="E4" s="193">
        <v>0.98</v>
      </c>
      <c r="F4" s="194">
        <f t="shared" ref="F4:F8" si="0">1-E4</f>
        <v>2.0000000000000018E-2</v>
      </c>
      <c r="I4" s="195"/>
      <c r="J4" s="196"/>
      <c r="K4" s="196"/>
      <c r="L4" s="196"/>
      <c r="O4" s="197"/>
      <c r="P4" s="198"/>
    </row>
    <row r="5" spans="2:17">
      <c r="B5" s="190" t="s">
        <v>258</v>
      </c>
      <c r="C5" s="191">
        <f ca="1">'Summary Tables'!E13</f>
        <v>44847585.646509901</v>
      </c>
      <c r="D5" s="192"/>
      <c r="E5" s="193">
        <v>0.87</v>
      </c>
      <c r="F5" s="194">
        <f t="shared" si="0"/>
        <v>0.13</v>
      </c>
      <c r="I5" s="194"/>
      <c r="J5" s="196"/>
      <c r="K5" s="199"/>
      <c r="L5" s="196"/>
      <c r="Q5" s="200"/>
    </row>
    <row r="6" spans="2:17">
      <c r="B6" s="190" t="s">
        <v>259</v>
      </c>
      <c r="C6" s="191">
        <f ca="1">'Summary Tables'!E14</f>
        <v>131569449.43383105</v>
      </c>
      <c r="D6" s="201">
        <f ca="1">'Summary Tables'!E27</f>
        <v>324246.8119060648</v>
      </c>
      <c r="E6" s="193">
        <v>0.04</v>
      </c>
      <c r="F6" s="194">
        <f t="shared" si="0"/>
        <v>0.96</v>
      </c>
      <c r="G6" s="202">
        <f ca="1">C6*0.1</f>
        <v>13156944.943383105</v>
      </c>
      <c r="H6" s="203">
        <f ca="1">C6-G6</f>
        <v>118412504.49044794</v>
      </c>
      <c r="I6" s="194"/>
      <c r="J6" s="196"/>
      <c r="K6" s="196"/>
      <c r="L6" s="196"/>
      <c r="O6" s="197"/>
      <c r="P6" s="198"/>
    </row>
    <row r="7" spans="2:17">
      <c r="B7" s="190" t="s">
        <v>172</v>
      </c>
      <c r="C7" s="191">
        <f ca="1">'Summary Tables'!E15</f>
        <v>1242766.2390727461</v>
      </c>
      <c r="D7" s="201">
        <f ca="1">'Summary Tables'!E28</f>
        <v>3496.2338802388308</v>
      </c>
      <c r="E7" s="193">
        <v>0</v>
      </c>
      <c r="F7" s="194">
        <f t="shared" si="0"/>
        <v>1</v>
      </c>
      <c r="I7" s="194"/>
      <c r="J7" s="196"/>
      <c r="K7" s="196"/>
      <c r="L7" s="196"/>
      <c r="O7" s="197"/>
      <c r="P7" s="198"/>
    </row>
    <row r="8" spans="2:17">
      <c r="B8" s="190" t="s">
        <v>93</v>
      </c>
      <c r="C8" s="191">
        <f ca="1">'Summary Tables'!E16</f>
        <v>396233.27731092443</v>
      </c>
      <c r="D8" s="201"/>
      <c r="E8" s="193">
        <v>0</v>
      </c>
      <c r="F8" s="194">
        <f t="shared" si="0"/>
        <v>1</v>
      </c>
      <c r="G8" s="204"/>
      <c r="H8" s="202"/>
      <c r="I8" s="194"/>
      <c r="J8" s="196"/>
      <c r="K8" s="196"/>
      <c r="L8" s="196"/>
      <c r="Q8" s="200"/>
    </row>
    <row r="9" spans="2:17" ht="13.5" thickBot="1">
      <c r="B9" s="205" t="s">
        <v>260</v>
      </c>
      <c r="C9" s="206">
        <f ca="1">SUM(C4:C8)</f>
        <v>315668718.56489789</v>
      </c>
      <c r="D9" s="206">
        <f ca="1">SUM(D4:D8)</f>
        <v>327743.04578630364</v>
      </c>
      <c r="E9" s="207"/>
      <c r="J9" s="208"/>
      <c r="K9" s="208"/>
      <c r="L9" s="208"/>
      <c r="M9" s="208"/>
      <c r="O9" s="197"/>
      <c r="P9" s="198"/>
    </row>
    <row r="10" spans="2:17">
      <c r="C10" s="208"/>
      <c r="D10" s="208"/>
      <c r="Q10" s="200"/>
    </row>
    <row r="11" spans="2:17">
      <c r="O11" s="197"/>
      <c r="P11" s="198"/>
    </row>
    <row r="12" spans="2:17">
      <c r="B12" s="209" t="s">
        <v>261</v>
      </c>
      <c r="C12" s="366" t="s">
        <v>262</v>
      </c>
      <c r="D12" s="366" t="s">
        <v>263</v>
      </c>
      <c r="E12" s="369">
        <v>2023</v>
      </c>
      <c r="F12" s="370"/>
      <c r="G12" s="371"/>
      <c r="Q12" s="200"/>
    </row>
    <row r="13" spans="2:17">
      <c r="B13" s="210" t="s">
        <v>264</v>
      </c>
      <c r="C13" s="367"/>
      <c r="D13" s="368"/>
      <c r="E13" s="372"/>
      <c r="F13" s="364"/>
      <c r="G13" s="365"/>
      <c r="O13" s="197"/>
      <c r="P13" s="198"/>
    </row>
    <row r="14" spans="2:17" ht="15">
      <c r="B14" s="211" t="str">
        <f>B4</f>
        <v xml:space="preserve">Residential </v>
      </c>
      <c r="C14" s="191">
        <f ca="1">C4*E4</f>
        <v>134860430.28880984</v>
      </c>
      <c r="D14" s="212">
        <v>1.071</v>
      </c>
      <c r="E14" s="191">
        <f t="shared" ref="E14:E18" ca="1" si="1">C14*D14</f>
        <v>144435520.83931533</v>
      </c>
      <c r="F14" s="213">
        <f>103.64/1000</f>
        <v>0.10364</v>
      </c>
      <c r="G14" s="214">
        <f t="shared" ref="G14:G18" ca="1" si="2">E14*F14</f>
        <v>14969297.37978664</v>
      </c>
      <c r="H14" s="215"/>
      <c r="I14" s="215"/>
      <c r="J14" s="216"/>
      <c r="K14" s="217"/>
      <c r="L14" s="217"/>
      <c r="M14" s="218"/>
      <c r="Q14" s="200"/>
    </row>
    <row r="15" spans="2:17" ht="15">
      <c r="B15" s="211" t="str">
        <f>B5</f>
        <v>General Service &lt; 50 kW</v>
      </c>
      <c r="C15" s="191">
        <f ca="1">C5*E5</f>
        <v>39017399.512463614</v>
      </c>
      <c r="D15" s="219">
        <f>D14</f>
        <v>1.071</v>
      </c>
      <c r="E15" s="191">
        <f t="shared" ca="1" si="1"/>
        <v>41787634.877848528</v>
      </c>
      <c r="F15" s="213">
        <f t="shared" ref="F15:F18" si="3">F14</f>
        <v>0.10364</v>
      </c>
      <c r="G15" s="214">
        <f t="shared" ca="1" si="2"/>
        <v>4330870.4787402209</v>
      </c>
      <c r="H15" s="215"/>
      <c r="I15" s="215"/>
      <c r="J15" s="216"/>
      <c r="K15" s="217"/>
      <c r="L15" s="217"/>
      <c r="M15" s="218"/>
      <c r="O15" s="197"/>
      <c r="P15" s="198"/>
    </row>
    <row r="16" spans="2:17" ht="15">
      <c r="B16" s="211" t="str">
        <f>B6</f>
        <v>General Service &gt; 50 kW</v>
      </c>
      <c r="C16" s="191">
        <f ca="1">H6*E6</f>
        <v>4736500.1796179181</v>
      </c>
      <c r="D16" s="219">
        <f>(1.071*0.66+1.0603*0.34)</f>
        <v>1.0673620000000001</v>
      </c>
      <c r="E16" s="191">
        <f t="shared" ca="1" si="1"/>
        <v>5055560.3047173414</v>
      </c>
      <c r="F16" s="213">
        <f t="shared" si="3"/>
        <v>0.10364</v>
      </c>
      <c r="G16" s="214">
        <f t="shared" ca="1" si="2"/>
        <v>523958.26998090523</v>
      </c>
      <c r="H16" s="215"/>
      <c r="I16" s="215"/>
      <c r="J16" s="216"/>
      <c r="K16" s="217"/>
      <c r="L16" s="217"/>
      <c r="M16" s="218"/>
      <c r="Q16" s="200"/>
    </row>
    <row r="17" spans="2:21" ht="15">
      <c r="B17" s="211" t="str">
        <f>B7</f>
        <v>Street Light</v>
      </c>
      <c r="C17" s="191">
        <f ca="1">C7*E7</f>
        <v>0</v>
      </c>
      <c r="D17" s="219">
        <f>D15</f>
        <v>1.071</v>
      </c>
      <c r="E17" s="191">
        <f t="shared" ca="1" si="1"/>
        <v>0</v>
      </c>
      <c r="F17" s="213">
        <f t="shared" si="3"/>
        <v>0.10364</v>
      </c>
      <c r="G17" s="214">
        <f t="shared" ca="1" si="2"/>
        <v>0</v>
      </c>
      <c r="H17" s="215"/>
      <c r="I17" s="215"/>
      <c r="J17" s="216"/>
      <c r="Q17" s="200"/>
    </row>
    <row r="18" spans="2:21" ht="15">
      <c r="B18" s="211" t="str">
        <f>B8</f>
        <v>USL</v>
      </c>
      <c r="C18" s="191">
        <f ca="1">C8*E8</f>
        <v>0</v>
      </c>
      <c r="D18" s="219">
        <f t="shared" ref="D18" si="4">D17</f>
        <v>1.071</v>
      </c>
      <c r="E18" s="191">
        <f t="shared" ca="1" si="1"/>
        <v>0</v>
      </c>
      <c r="F18" s="213">
        <f t="shared" si="3"/>
        <v>0.10364</v>
      </c>
      <c r="G18" s="214">
        <f t="shared" ca="1" si="2"/>
        <v>0</v>
      </c>
      <c r="H18" s="215"/>
      <c r="I18" s="215"/>
      <c r="J18" s="216"/>
      <c r="O18" s="197"/>
      <c r="P18" s="198"/>
    </row>
    <row r="19" spans="2:21">
      <c r="B19" s="220" t="s">
        <v>260</v>
      </c>
      <c r="C19" s="221">
        <f ca="1">SUM(C14:C18)</f>
        <v>178614329.98089138</v>
      </c>
      <c r="D19" s="222"/>
      <c r="E19" s="221">
        <f ca="1">SUM(E14:E18)</f>
        <v>191278716.02188119</v>
      </c>
      <c r="F19" s="223"/>
      <c r="G19" s="224">
        <f ca="1">SUM(G14:G18)</f>
        <v>19824126.128507767</v>
      </c>
      <c r="Q19" s="200"/>
    </row>
    <row r="20" spans="2:21">
      <c r="B20" s="225"/>
      <c r="C20" s="226"/>
      <c r="D20" s="227"/>
      <c r="E20" s="226"/>
      <c r="F20" s="228"/>
      <c r="G20" s="229"/>
      <c r="O20" s="197"/>
      <c r="P20" s="198"/>
    </row>
    <row r="21" spans="2:21">
      <c r="B21" s="209" t="s">
        <v>265</v>
      </c>
      <c r="C21" s="366" t="s">
        <v>262</v>
      </c>
      <c r="D21" s="366" t="s">
        <v>263</v>
      </c>
      <c r="E21" s="369">
        <v>2023</v>
      </c>
      <c r="F21" s="370"/>
      <c r="G21" s="371"/>
      <c r="Q21" s="200"/>
    </row>
    <row r="22" spans="2:21">
      <c r="B22" s="210" t="s">
        <v>266</v>
      </c>
      <c r="C22" s="367"/>
      <c r="D22" s="368"/>
      <c r="E22" s="372"/>
      <c r="F22" s="364"/>
      <c r="G22" s="365"/>
      <c r="O22" s="197"/>
      <c r="P22" s="198"/>
    </row>
    <row r="23" spans="2:21" ht="15">
      <c r="B23" s="211" t="str">
        <f>B14</f>
        <v xml:space="preserve">Residential </v>
      </c>
      <c r="C23" s="191">
        <f ca="1">C4-C14</f>
        <v>2752253.6793634593</v>
      </c>
      <c r="D23" s="192">
        <f>D14</f>
        <v>1.071</v>
      </c>
      <c r="E23" s="191">
        <f t="shared" ref="E23:E27" ca="1" si="5">C23*D23</f>
        <v>2947663.6905982648</v>
      </c>
      <c r="F23" s="213">
        <v>1.925E-2</v>
      </c>
      <c r="G23" s="214">
        <f t="shared" ref="G23:G27" ca="1" si="6">E23*F23</f>
        <v>56742.526044016595</v>
      </c>
      <c r="H23" s="215"/>
      <c r="I23" s="215"/>
      <c r="J23" s="216"/>
      <c r="K23" s="203"/>
      <c r="Q23" s="200"/>
      <c r="S23" s="230"/>
    </row>
    <row r="24" spans="2:21" ht="15">
      <c r="B24" s="211" t="str">
        <f>B15</f>
        <v>General Service &lt; 50 kW</v>
      </c>
      <c r="C24" s="191">
        <f ca="1">C5-C15</f>
        <v>5830186.1340462863</v>
      </c>
      <c r="D24" s="192">
        <f>D15</f>
        <v>1.071</v>
      </c>
      <c r="E24" s="191">
        <f t="shared" ca="1" si="5"/>
        <v>6244129.3495635726</v>
      </c>
      <c r="F24" s="213">
        <f>F23</f>
        <v>1.925E-2</v>
      </c>
      <c r="G24" s="214">
        <f t="shared" ca="1" si="6"/>
        <v>120199.48997909877</v>
      </c>
      <c r="H24" s="215"/>
      <c r="I24" s="215"/>
      <c r="J24" s="216"/>
      <c r="K24" s="203"/>
      <c r="O24" s="197"/>
      <c r="P24" s="198"/>
      <c r="S24" s="203"/>
      <c r="U24" s="203"/>
    </row>
    <row r="25" spans="2:21" ht="15">
      <c r="B25" s="211" t="str">
        <f>B16</f>
        <v>General Service &gt; 50 kW</v>
      </c>
      <c r="C25" s="191">
        <f ca="1">H6-C16</f>
        <v>113676004.31083003</v>
      </c>
      <c r="D25" s="192">
        <f>D16</f>
        <v>1.0673620000000001</v>
      </c>
      <c r="E25" s="191">
        <f t="shared" ca="1" si="5"/>
        <v>121333447.31321618</v>
      </c>
      <c r="F25" s="213">
        <f>F24</f>
        <v>1.925E-2</v>
      </c>
      <c r="G25" s="214">
        <f ca="1">E25*F25</f>
        <v>2335668.8607794116</v>
      </c>
      <c r="H25" s="215"/>
      <c r="I25" s="215"/>
      <c r="J25" s="216"/>
      <c r="O25" s="197"/>
      <c r="P25" s="198"/>
      <c r="S25" s="203"/>
      <c r="U25" s="203"/>
    </row>
    <row r="26" spans="2:21" ht="15">
      <c r="B26" s="211" t="str">
        <f>B17</f>
        <v>Street Light</v>
      </c>
      <c r="C26" s="191">
        <f ca="1">C7-C17</f>
        <v>1242766.2390727461</v>
      </c>
      <c r="D26" s="192">
        <f>D17</f>
        <v>1.071</v>
      </c>
      <c r="E26" s="191">
        <f t="shared" ca="1" si="5"/>
        <v>1331002.6420469109</v>
      </c>
      <c r="F26" s="213">
        <f t="shared" ref="F26:F27" si="7">F25</f>
        <v>1.925E-2</v>
      </c>
      <c r="G26" s="214">
        <f t="shared" ca="1" si="6"/>
        <v>25621.800859403036</v>
      </c>
      <c r="H26" s="215"/>
      <c r="I26" s="215"/>
      <c r="J26" s="216"/>
      <c r="O26" s="197"/>
      <c r="P26" s="198"/>
      <c r="S26" s="203"/>
      <c r="U26" s="203"/>
    </row>
    <row r="27" spans="2:21" ht="15">
      <c r="B27" s="211" t="str">
        <f>B18</f>
        <v>USL</v>
      </c>
      <c r="C27" s="191">
        <f ca="1">C8-C18</f>
        <v>396233.27731092443</v>
      </c>
      <c r="D27" s="192">
        <f>D18</f>
        <v>1.071</v>
      </c>
      <c r="E27" s="191">
        <f t="shared" ca="1" si="5"/>
        <v>424365.84</v>
      </c>
      <c r="F27" s="213">
        <f t="shared" si="7"/>
        <v>1.925E-2</v>
      </c>
      <c r="G27" s="214">
        <f t="shared" ca="1" si="6"/>
        <v>8169.0424200000007</v>
      </c>
      <c r="H27" s="215"/>
      <c r="I27" s="215"/>
      <c r="J27" s="216"/>
      <c r="O27" s="197"/>
      <c r="P27" s="198"/>
      <c r="S27" s="203"/>
      <c r="U27" s="203"/>
    </row>
    <row r="28" spans="2:21">
      <c r="B28" s="220" t="s">
        <v>260</v>
      </c>
      <c r="C28" s="221">
        <f ca="1">SUM(C23:C27)</f>
        <v>123897443.64062344</v>
      </c>
      <c r="D28" s="222"/>
      <c r="E28" s="221">
        <f ca="1">SUM(E23:E27)</f>
        <v>132280608.83542493</v>
      </c>
      <c r="F28" s="223"/>
      <c r="G28" s="224">
        <f ca="1">SUM(G23:G27)</f>
        <v>2546401.7200819296</v>
      </c>
      <c r="O28" s="197"/>
      <c r="P28" s="198"/>
      <c r="S28" s="203"/>
      <c r="U28" s="203"/>
    </row>
    <row r="29" spans="2:21">
      <c r="O29" s="197"/>
      <c r="P29" s="198"/>
      <c r="S29" s="203"/>
      <c r="U29" s="203"/>
    </row>
    <row r="30" spans="2:21">
      <c r="B30" s="209" t="s">
        <v>267</v>
      </c>
      <c r="C30" s="366" t="s">
        <v>262</v>
      </c>
      <c r="D30" s="366" t="s">
        <v>268</v>
      </c>
      <c r="E30" s="369">
        <v>2023</v>
      </c>
      <c r="F30" s="370"/>
      <c r="G30" s="371"/>
      <c r="O30" s="197"/>
      <c r="P30" s="198"/>
      <c r="S30" s="203"/>
      <c r="U30" s="203"/>
    </row>
    <row r="31" spans="2:21">
      <c r="B31" s="210" t="s">
        <v>266</v>
      </c>
      <c r="C31" s="367"/>
      <c r="D31" s="368"/>
      <c r="E31" s="372"/>
      <c r="F31" s="364"/>
      <c r="G31" s="365"/>
      <c r="I31" s="203"/>
      <c r="J31" s="231"/>
      <c r="O31" s="197"/>
      <c r="P31" s="198"/>
      <c r="S31" s="203"/>
      <c r="U31" s="203"/>
    </row>
    <row r="32" spans="2:21">
      <c r="B32" s="211" t="str">
        <f>B23</f>
        <v xml:space="preserve">Residential </v>
      </c>
      <c r="C32" s="191">
        <f>G4</f>
        <v>0</v>
      </c>
      <c r="D32" s="192">
        <f>D23</f>
        <v>1.071</v>
      </c>
      <c r="E32" s="191">
        <f t="shared" ref="E32:E36" si="8">C32*D32</f>
        <v>0</v>
      </c>
      <c r="F32" s="213"/>
      <c r="G32" s="214">
        <f t="shared" ref="G32:G36" si="9">E32*F32</f>
        <v>0</v>
      </c>
      <c r="O32" s="197"/>
      <c r="P32" s="198"/>
      <c r="S32" s="203"/>
      <c r="U32" s="203"/>
    </row>
    <row r="33" spans="2:21">
      <c r="B33" s="211" t="str">
        <f>B24</f>
        <v>General Service &lt; 50 kW</v>
      </c>
      <c r="C33" s="191">
        <f>G5</f>
        <v>0</v>
      </c>
      <c r="D33" s="192">
        <f>D24</f>
        <v>1.071</v>
      </c>
      <c r="E33" s="191">
        <f t="shared" si="8"/>
        <v>0</v>
      </c>
      <c r="F33" s="213"/>
      <c r="G33" s="214">
        <f t="shared" si="9"/>
        <v>0</v>
      </c>
      <c r="O33" s="197"/>
      <c r="P33" s="198"/>
      <c r="S33" s="203"/>
      <c r="U33" s="203"/>
    </row>
    <row r="34" spans="2:21">
      <c r="B34" s="211" t="str">
        <f>B25</f>
        <v>General Service &gt; 50 kW</v>
      </c>
      <c r="C34" s="191">
        <f ca="1">G6</f>
        <v>13156944.943383105</v>
      </c>
      <c r="D34" s="192">
        <v>1</v>
      </c>
      <c r="E34" s="191">
        <f ca="1">C34*D34</f>
        <v>13156944.943383105</v>
      </c>
      <c r="F34" s="213">
        <f>F25</f>
        <v>1.925E-2</v>
      </c>
      <c r="G34" s="214">
        <f t="shared" ca="1" si="9"/>
        <v>253271.19016012477</v>
      </c>
      <c r="H34" s="215"/>
      <c r="I34" s="215"/>
      <c r="J34" s="203"/>
      <c r="P34" s="198"/>
      <c r="S34" s="203"/>
      <c r="U34" s="203"/>
    </row>
    <row r="35" spans="2:21">
      <c r="B35" s="211" t="str">
        <f>B26</f>
        <v>Street Light</v>
      </c>
      <c r="C35" s="191">
        <f>G7</f>
        <v>0</v>
      </c>
      <c r="D35" s="192">
        <f>D26</f>
        <v>1.071</v>
      </c>
      <c r="E35" s="191">
        <f t="shared" si="8"/>
        <v>0</v>
      </c>
      <c r="F35" s="213"/>
      <c r="G35" s="214">
        <f t="shared" si="9"/>
        <v>0</v>
      </c>
    </row>
    <row r="36" spans="2:21">
      <c r="B36" s="211" t="str">
        <f>B27</f>
        <v>USL</v>
      </c>
      <c r="C36" s="191">
        <f>G8</f>
        <v>0</v>
      </c>
      <c r="D36" s="192">
        <f>D27</f>
        <v>1.071</v>
      </c>
      <c r="E36" s="191">
        <f t="shared" si="8"/>
        <v>0</v>
      </c>
      <c r="F36" s="213"/>
      <c r="G36" s="214">
        <f t="shared" si="9"/>
        <v>0</v>
      </c>
    </row>
    <row r="37" spans="2:21">
      <c r="B37" s="220" t="s">
        <v>260</v>
      </c>
      <c r="C37" s="221">
        <f ca="1">SUM(C32:C36)</f>
        <v>13156944.943383105</v>
      </c>
      <c r="D37" s="222"/>
      <c r="E37" s="221">
        <f ca="1">SUM(E32:E36)</f>
        <v>13156944.943383105</v>
      </c>
      <c r="F37" s="223"/>
      <c r="G37" s="224">
        <f ca="1">SUM(G32:G36)</f>
        <v>253271.19016012477</v>
      </c>
    </row>
    <row r="39" spans="2:21">
      <c r="B39" s="209" t="s">
        <v>267</v>
      </c>
      <c r="C39" s="366" t="s">
        <v>262</v>
      </c>
      <c r="D39" s="366" t="s">
        <v>268</v>
      </c>
      <c r="E39" s="369">
        <v>2023</v>
      </c>
      <c r="F39" s="370"/>
      <c r="G39" s="371"/>
    </row>
    <row r="40" spans="2:21">
      <c r="B40" s="210" t="s">
        <v>266</v>
      </c>
      <c r="C40" s="367"/>
      <c r="D40" s="368"/>
      <c r="E40" s="372"/>
      <c r="F40" s="364"/>
      <c r="G40" s="365"/>
    </row>
    <row r="41" spans="2:21">
      <c r="B41" s="211" t="str">
        <f>B32</f>
        <v xml:space="preserve">Residential </v>
      </c>
      <c r="C41" s="191">
        <f ca="1">C4-C14</f>
        <v>2752253.6793634593</v>
      </c>
      <c r="D41" s="192">
        <f>D32</f>
        <v>1.071</v>
      </c>
      <c r="E41" s="191">
        <f t="shared" ref="E41:E42" ca="1" si="10">C41*D41</f>
        <v>2947663.6905982648</v>
      </c>
      <c r="F41" s="213">
        <v>8.5180000000000006E-2</v>
      </c>
      <c r="G41" s="214">
        <f t="shared" ref="G41:G45" ca="1" si="11">E41*F41</f>
        <v>251081.99316516021</v>
      </c>
    </row>
    <row r="42" spans="2:21">
      <c r="B42" s="211" t="str">
        <f>B33</f>
        <v>General Service &lt; 50 kW</v>
      </c>
      <c r="C42" s="191">
        <f ca="1">C5-C15</f>
        <v>5830186.1340462863</v>
      </c>
      <c r="D42" s="192">
        <f>D33</f>
        <v>1.071</v>
      </c>
      <c r="E42" s="191">
        <f t="shared" ca="1" si="10"/>
        <v>6244129.3495635726</v>
      </c>
      <c r="F42" s="213">
        <f>F41</f>
        <v>8.5180000000000006E-2</v>
      </c>
      <c r="G42" s="214">
        <f t="shared" ca="1" si="11"/>
        <v>531874.9379958252</v>
      </c>
    </row>
    <row r="43" spans="2:21">
      <c r="B43" s="211" t="str">
        <f>B34</f>
        <v>General Service &gt; 50 kW</v>
      </c>
      <c r="C43" s="191">
        <f ca="1">C6-C16</f>
        <v>126832949.25421314</v>
      </c>
      <c r="D43" s="192">
        <f>D42</f>
        <v>1.071</v>
      </c>
      <c r="E43" s="191">
        <f ca="1">C43*D43-E34*D43</f>
        <v>121747000.61689895</v>
      </c>
      <c r="F43" s="213">
        <f t="shared" ref="F43:F45" si="12">F42</f>
        <v>8.5180000000000006E-2</v>
      </c>
      <c r="G43" s="214">
        <f t="shared" ca="1" si="11"/>
        <v>10370409.512547454</v>
      </c>
    </row>
    <row r="44" spans="2:21">
      <c r="B44" s="211" t="str">
        <f>B35</f>
        <v>Street Light</v>
      </c>
      <c r="C44" s="191">
        <f ca="1">C7-C17</f>
        <v>1242766.2390727461</v>
      </c>
      <c r="D44" s="192">
        <f>D35</f>
        <v>1.071</v>
      </c>
      <c r="E44" s="191">
        <f t="shared" ref="E44:E45" ca="1" si="13">C44*D44</f>
        <v>1331002.6420469109</v>
      </c>
      <c r="F44" s="213">
        <f t="shared" si="12"/>
        <v>8.5180000000000006E-2</v>
      </c>
      <c r="G44" s="214">
        <f t="shared" ca="1" si="11"/>
        <v>113374.80504955589</v>
      </c>
    </row>
    <row r="45" spans="2:21">
      <c r="B45" s="211" t="str">
        <f>B36</f>
        <v>USL</v>
      </c>
      <c r="C45" s="191">
        <f ca="1">C8-C18</f>
        <v>396233.27731092443</v>
      </c>
      <c r="D45" s="192">
        <f>D36</f>
        <v>1.071</v>
      </c>
      <c r="E45" s="191">
        <f t="shared" ca="1" si="13"/>
        <v>424365.84</v>
      </c>
      <c r="F45" s="213">
        <f t="shared" si="12"/>
        <v>8.5180000000000006E-2</v>
      </c>
      <c r="G45" s="214">
        <f t="shared" ca="1" si="11"/>
        <v>36147.482251200003</v>
      </c>
    </row>
    <row r="46" spans="2:21">
      <c r="B46" s="220" t="s">
        <v>260</v>
      </c>
      <c r="C46" s="221">
        <f ca="1">SUM(C41:C45)</f>
        <v>137054388.58400658</v>
      </c>
      <c r="D46" s="222"/>
      <c r="E46" s="221">
        <f ca="1">SUM(E41:E45)</f>
        <v>132694162.1391077</v>
      </c>
      <c r="F46" s="223"/>
      <c r="G46" s="224">
        <f ca="1">SUM(G41:G45)</f>
        <v>11302888.731009195</v>
      </c>
    </row>
    <row r="48" spans="2:21">
      <c r="B48" s="232" t="s">
        <v>269</v>
      </c>
      <c r="C48" s="233"/>
      <c r="D48" s="234" t="s">
        <v>270</v>
      </c>
      <c r="E48" s="235"/>
      <c r="F48" s="236"/>
      <c r="G48" s="233"/>
      <c r="K48" s="237"/>
    </row>
    <row r="49" spans="2:14">
      <c r="B49" s="210" t="s">
        <v>266</v>
      </c>
      <c r="C49" s="238"/>
      <c r="D49" s="239" t="s">
        <v>271</v>
      </c>
      <c r="E49" s="372">
        <v>2023</v>
      </c>
      <c r="F49" s="364"/>
      <c r="G49" s="365"/>
    </row>
    <row r="50" spans="2:14">
      <c r="B50" s="240" t="str">
        <f>B23</f>
        <v xml:space="preserve">Residential </v>
      </c>
      <c r="C50" s="191"/>
      <c r="D50" s="241" t="s">
        <v>97</v>
      </c>
      <c r="E50" s="191">
        <f ca="1">E14+E23+E32</f>
        <v>147383184.5299136</v>
      </c>
      <c r="F50" s="242">
        <v>8.0528173627243006E-3</v>
      </c>
      <c r="G50" s="214">
        <f t="shared" ref="G50:G54" ca="1" si="14">E50*F50</f>
        <v>1186849.8673560878</v>
      </c>
      <c r="I50" s="237"/>
      <c r="K50" s="243"/>
      <c r="L50" s="243"/>
      <c r="M50" s="243"/>
      <c r="N50" s="243"/>
    </row>
    <row r="51" spans="2:14">
      <c r="B51" s="240" t="str">
        <f>B24</f>
        <v>General Service &lt; 50 kW</v>
      </c>
      <c r="C51" s="191"/>
      <c r="D51" s="241" t="s">
        <v>97</v>
      </c>
      <c r="E51" s="191">
        <f ca="1">E15+E24+E33</f>
        <v>48031764.227412105</v>
      </c>
      <c r="F51" s="242">
        <v>7.0734208547081961E-3</v>
      </c>
      <c r="G51" s="214">
        <f t="shared" ca="1" si="14"/>
        <v>339748.8827746039</v>
      </c>
      <c r="I51" s="237"/>
      <c r="K51" s="243"/>
      <c r="L51" s="243"/>
      <c r="M51" s="243"/>
      <c r="N51" s="243"/>
    </row>
    <row r="52" spans="2:14">
      <c r="B52" s="240" t="str">
        <f>B25</f>
        <v>General Service &gt; 50 kW</v>
      </c>
      <c r="C52" s="191"/>
      <c r="D52" s="241" t="s">
        <v>98</v>
      </c>
      <c r="E52" s="191">
        <f ca="1">D6</f>
        <v>324246.8119060648</v>
      </c>
      <c r="F52" s="242">
        <v>2.9719248608941697</v>
      </c>
      <c r="G52" s="214">
        <f t="shared" ca="1" si="14"/>
        <v>963637.16136930964</v>
      </c>
      <c r="I52" s="237"/>
      <c r="K52" s="243"/>
      <c r="L52" s="243"/>
      <c r="M52" s="243"/>
      <c r="N52" s="243"/>
    </row>
    <row r="53" spans="2:14">
      <c r="B53" s="240" t="str">
        <f>B26</f>
        <v>Street Light</v>
      </c>
      <c r="C53" s="191"/>
      <c r="D53" s="241" t="s">
        <v>98</v>
      </c>
      <c r="E53" s="191">
        <f ca="1">D7</f>
        <v>3496.2338802388308</v>
      </c>
      <c r="F53" s="242">
        <v>7.073445007589196E-3</v>
      </c>
      <c r="G53" s="214">
        <f t="shared" ca="1" si="14"/>
        <v>24.730418085539561</v>
      </c>
      <c r="I53" s="237"/>
      <c r="K53" s="243"/>
      <c r="L53" s="243"/>
      <c r="M53" s="243"/>
      <c r="N53" s="243"/>
    </row>
    <row r="54" spans="2:14">
      <c r="B54" s="240" t="str">
        <f>B27</f>
        <v>USL</v>
      </c>
      <c r="C54" s="191"/>
      <c r="D54" s="241" t="s">
        <v>97</v>
      </c>
      <c r="E54" s="191">
        <f ca="1">E45</f>
        <v>424365.84</v>
      </c>
      <c r="F54" s="242">
        <v>2.2524935015122072</v>
      </c>
      <c r="G54" s="214">
        <f t="shared" ca="1" si="14"/>
        <v>955881.29686376918</v>
      </c>
      <c r="I54" s="237"/>
      <c r="K54" s="243"/>
      <c r="L54" s="243"/>
      <c r="M54" s="243"/>
      <c r="N54" s="243"/>
    </row>
    <row r="55" spans="2:14">
      <c r="B55" s="220" t="s">
        <v>260</v>
      </c>
      <c r="C55" s="221"/>
      <c r="D55" s="222"/>
      <c r="E55" s="221">
        <f ca="1">SUM(E50:E54)</f>
        <v>196167057.64311203</v>
      </c>
      <c r="F55" s="223"/>
      <c r="G55" s="224">
        <f ca="1">SUM(G50:G54)</f>
        <v>3446141.9387818561</v>
      </c>
    </row>
    <row r="57" spans="2:14">
      <c r="B57" s="232" t="s">
        <v>272</v>
      </c>
      <c r="C57" s="233"/>
      <c r="D57" s="244" t="s">
        <v>270</v>
      </c>
      <c r="E57" s="235"/>
      <c r="F57" s="236"/>
      <c r="G57" s="233"/>
    </row>
    <row r="58" spans="2:14">
      <c r="B58" s="210" t="s">
        <v>266</v>
      </c>
      <c r="C58" s="238"/>
      <c r="D58" s="245" t="s">
        <v>271</v>
      </c>
      <c r="E58" s="372">
        <v>2022</v>
      </c>
      <c r="F58" s="364"/>
      <c r="G58" s="365"/>
    </row>
    <row r="59" spans="2:14">
      <c r="B59" s="240" t="str">
        <f>B50</f>
        <v xml:space="preserve">Residential </v>
      </c>
      <c r="C59" s="191"/>
      <c r="D59" s="241" t="s">
        <v>97</v>
      </c>
      <c r="E59" s="191">
        <f ca="1">E50</f>
        <v>147383184.5299136</v>
      </c>
      <c r="F59" s="242">
        <v>6.1478852178784259E-3</v>
      </c>
      <c r="G59" s="214">
        <f t="shared" ref="G59:G63" ca="1" si="15">E59*F59</f>
        <v>906094.90153530415</v>
      </c>
    </row>
    <row r="60" spans="2:14">
      <c r="B60" s="240" t="str">
        <f>B51</f>
        <v>General Service &lt; 50 kW</v>
      </c>
      <c r="C60" s="191"/>
      <c r="D60" s="241" t="s">
        <v>97</v>
      </c>
      <c r="E60" s="191">
        <f ca="1">E51</f>
        <v>48031764.227412105</v>
      </c>
      <c r="F60" s="242">
        <v>5.3928819789972136E-3</v>
      </c>
      <c r="G60" s="214">
        <f t="shared" ca="1" si="15"/>
        <v>259029.63572145376</v>
      </c>
    </row>
    <row r="61" spans="2:14">
      <c r="B61" s="240" t="str">
        <f>B52</f>
        <v>General Service &gt; 50 kW</v>
      </c>
      <c r="C61" s="191"/>
      <c r="D61" s="241" t="s">
        <v>98</v>
      </c>
      <c r="E61" s="191">
        <f ca="1">E52</f>
        <v>324246.8119060648</v>
      </c>
      <c r="F61" s="242">
        <v>2.1945793061231025</v>
      </c>
      <c r="G61" s="214">
        <f t="shared" ca="1" si="15"/>
        <v>711585.34348543978</v>
      </c>
    </row>
    <row r="62" spans="2:14">
      <c r="B62" s="240" t="str">
        <f>B53</f>
        <v>Street Light</v>
      </c>
      <c r="C62" s="191"/>
      <c r="D62" s="241" t="s">
        <v>98</v>
      </c>
      <c r="E62" s="191">
        <f ca="1">E53</f>
        <v>3496.2338802388308</v>
      </c>
      <c r="F62" s="242">
        <v>5.3928563832768136E-3</v>
      </c>
      <c r="G62" s="214">
        <f t="shared" ca="1" si="15"/>
        <v>18.854687198474643</v>
      </c>
    </row>
    <row r="63" spans="2:14">
      <c r="B63" s="240" t="str">
        <f>B54</f>
        <v>USL</v>
      </c>
      <c r="C63" s="191"/>
      <c r="D63" s="241" t="s">
        <v>97</v>
      </c>
      <c r="E63" s="191">
        <f ca="1">E54</f>
        <v>424365.84</v>
      </c>
      <c r="F63" s="242">
        <v>1.7333766130051058</v>
      </c>
      <c r="G63" s="214">
        <f t="shared" ca="1" si="15"/>
        <v>735585.82241426664</v>
      </c>
    </row>
    <row r="64" spans="2:14">
      <c r="B64" s="220" t="s">
        <v>260</v>
      </c>
      <c r="C64" s="221"/>
      <c r="D64" s="222"/>
      <c r="E64" s="221">
        <f ca="1">SUM(E59:E63)</f>
        <v>196167057.64311203</v>
      </c>
      <c r="F64" s="223"/>
      <c r="G64" s="224">
        <f ca="1">SUM(G59:G63)</f>
        <v>2612314.5578436628</v>
      </c>
    </row>
    <row r="66" spans="2:14">
      <c r="B66" s="232" t="s">
        <v>273</v>
      </c>
      <c r="C66" s="233"/>
      <c r="D66" s="244"/>
      <c r="E66" s="235"/>
      <c r="F66" s="236"/>
      <c r="G66" s="233"/>
    </row>
    <row r="67" spans="2:14">
      <c r="B67" s="210" t="s">
        <v>266</v>
      </c>
      <c r="C67" s="238"/>
      <c r="D67" s="245"/>
      <c r="E67" s="372">
        <v>2022</v>
      </c>
      <c r="F67" s="364"/>
      <c r="G67" s="373"/>
      <c r="K67" s="25" t="s">
        <v>274</v>
      </c>
      <c r="L67" s="25" t="s">
        <v>275</v>
      </c>
    </row>
    <row r="68" spans="2:14">
      <c r="B68" s="240" t="str">
        <f>B4</f>
        <v xml:space="preserve">Residential </v>
      </c>
      <c r="C68" s="191"/>
      <c r="D68" s="241" t="s">
        <v>97</v>
      </c>
      <c r="E68" s="191">
        <f ca="1">E14+E23</f>
        <v>147383184.5299136</v>
      </c>
      <c r="F68" s="246">
        <f t="shared" ref="F68:F72" si="16">0.003+0.0004</f>
        <v>3.4000000000000002E-3</v>
      </c>
      <c r="G68" s="214">
        <f t="shared" ref="G68:G72" ca="1" si="17">E68*F68</f>
        <v>501102.82740170631</v>
      </c>
      <c r="H68" s="243"/>
      <c r="K68" s="243">
        <f ca="1">G68*E4</f>
        <v>491080.77085367218</v>
      </c>
      <c r="L68" s="243">
        <f ca="1">G68*F4</f>
        <v>10022.056548034136</v>
      </c>
      <c r="M68" s="243"/>
      <c r="N68" s="243"/>
    </row>
    <row r="69" spans="2:14">
      <c r="B69" s="240" t="str">
        <f>B5</f>
        <v>General Service &lt; 50 kW</v>
      </c>
      <c r="C69" s="191"/>
      <c r="D69" s="241" t="s">
        <v>97</v>
      </c>
      <c r="E69" s="191">
        <f ca="1">E15+E24</f>
        <v>48031764.227412105</v>
      </c>
      <c r="F69" s="246">
        <f t="shared" si="16"/>
        <v>3.4000000000000002E-3</v>
      </c>
      <c r="G69" s="214">
        <f t="shared" ca="1" si="17"/>
        <v>163307.99837320118</v>
      </c>
      <c r="H69" s="243"/>
      <c r="K69" s="243">
        <f ca="1">G69*E5</f>
        <v>142077.95858468502</v>
      </c>
      <c r="L69" s="243">
        <f ca="1">G69*F5</f>
        <v>21230.039788516155</v>
      </c>
      <c r="M69" s="243"/>
      <c r="N69" s="243"/>
    </row>
    <row r="70" spans="2:14">
      <c r="B70" s="240" t="str">
        <f>B6</f>
        <v>General Service &gt; 50 kW</v>
      </c>
      <c r="C70" s="191"/>
      <c r="D70" s="241" t="s">
        <v>97</v>
      </c>
      <c r="E70" s="191">
        <f ca="1">E16+E25</f>
        <v>126389007.61793353</v>
      </c>
      <c r="F70" s="246">
        <f t="shared" si="16"/>
        <v>3.4000000000000002E-3</v>
      </c>
      <c r="G70" s="214">
        <f t="shared" ca="1" si="17"/>
        <v>429722.62590097403</v>
      </c>
      <c r="H70" s="243"/>
      <c r="K70" s="243">
        <f ca="1">G70*E6</f>
        <v>17188.905036038963</v>
      </c>
      <c r="L70" s="243">
        <f ca="1">G70*F6</f>
        <v>412533.72086493508</v>
      </c>
      <c r="M70" s="243"/>
      <c r="N70" s="243"/>
    </row>
    <row r="71" spans="2:14">
      <c r="B71" s="240" t="str">
        <f>B7</f>
        <v>Street Light</v>
      </c>
      <c r="C71" s="191"/>
      <c r="D71" s="241" t="s">
        <v>97</v>
      </c>
      <c r="E71" s="191">
        <f ca="1">E17+E26</f>
        <v>1331002.6420469109</v>
      </c>
      <c r="F71" s="246">
        <f t="shared" si="16"/>
        <v>3.4000000000000002E-3</v>
      </c>
      <c r="G71" s="214">
        <f t="shared" ca="1" si="17"/>
        <v>4525.4089829594977</v>
      </c>
      <c r="H71" s="243"/>
      <c r="K71" s="243">
        <f ca="1">G71*E7</f>
        <v>0</v>
      </c>
      <c r="L71" s="243">
        <f ca="1">G71*F7</f>
        <v>4525.4089829594977</v>
      </c>
      <c r="M71" s="243"/>
      <c r="N71" s="243"/>
    </row>
    <row r="72" spans="2:14">
      <c r="B72" s="240" t="str">
        <f>B8</f>
        <v>USL</v>
      </c>
      <c r="C72" s="191"/>
      <c r="D72" s="241" t="s">
        <v>97</v>
      </c>
      <c r="E72" s="191">
        <f ca="1">E18+E27</f>
        <v>424365.84</v>
      </c>
      <c r="F72" s="246">
        <f t="shared" si="16"/>
        <v>3.4000000000000002E-3</v>
      </c>
      <c r="G72" s="214">
        <f t="shared" ca="1" si="17"/>
        <v>1442.8438560000002</v>
      </c>
      <c r="H72" s="243"/>
      <c r="K72" s="243">
        <f ca="1">G72*E8</f>
        <v>0</v>
      </c>
      <c r="L72" s="243">
        <f ca="1">G72*F8</f>
        <v>1442.8438560000002</v>
      </c>
      <c r="M72" s="243"/>
      <c r="N72" s="243"/>
    </row>
    <row r="73" spans="2:14">
      <c r="B73" s="220" t="s">
        <v>260</v>
      </c>
      <c r="C73" s="221"/>
      <c r="D73" s="222"/>
      <c r="E73" s="221">
        <f ca="1">SUM(E68:E72)</f>
        <v>323559324.85730612</v>
      </c>
      <c r="F73" s="223"/>
      <c r="G73" s="224">
        <f ca="1">SUM(G68:G72)</f>
        <v>1100101.7045148413</v>
      </c>
      <c r="K73" s="243"/>
      <c r="L73" s="243"/>
    </row>
    <row r="75" spans="2:14">
      <c r="B75" s="232" t="s">
        <v>276</v>
      </c>
      <c r="C75" s="233"/>
      <c r="D75" s="244"/>
      <c r="E75" s="235"/>
      <c r="F75" s="236"/>
      <c r="G75" s="233"/>
    </row>
    <row r="76" spans="2:14">
      <c r="B76" s="210" t="s">
        <v>266</v>
      </c>
      <c r="C76" s="238"/>
      <c r="D76" s="245"/>
      <c r="E76" s="372">
        <v>2022</v>
      </c>
      <c r="F76" s="364"/>
      <c r="G76" s="365"/>
    </row>
    <row r="77" spans="2:14">
      <c r="B77" s="240" t="str">
        <f>B14</f>
        <v xml:space="preserve">Residential </v>
      </c>
      <c r="C77" s="191"/>
      <c r="D77" s="241" t="s">
        <v>97</v>
      </c>
      <c r="E77" s="191">
        <f>E33</f>
        <v>0</v>
      </c>
      <c r="F77" s="246">
        <f t="shared" ref="F77:F80" si="18">0.0004</f>
        <v>4.0000000000000002E-4</v>
      </c>
      <c r="G77" s="214">
        <f t="shared" ref="G77:G80" si="19">E77*F77</f>
        <v>0</v>
      </c>
    </row>
    <row r="78" spans="2:14">
      <c r="B78" s="240" t="str">
        <f>B15</f>
        <v>General Service &lt; 50 kW</v>
      </c>
      <c r="C78" s="191"/>
      <c r="D78" s="241" t="s">
        <v>97</v>
      </c>
      <c r="E78" s="191">
        <f ca="1">E34</f>
        <v>13156944.943383105</v>
      </c>
      <c r="F78" s="246">
        <f t="shared" si="18"/>
        <v>4.0000000000000002E-4</v>
      </c>
      <c r="G78" s="214">
        <f t="shared" ca="1" si="19"/>
        <v>5262.777977353242</v>
      </c>
    </row>
    <row r="79" spans="2:14">
      <c r="B79" s="240" t="str">
        <f>B16</f>
        <v>General Service &gt; 50 kW</v>
      </c>
      <c r="C79" s="191"/>
      <c r="D79" s="241" t="s">
        <v>97</v>
      </c>
      <c r="E79" s="191">
        <f>E35</f>
        <v>0</v>
      </c>
      <c r="F79" s="246">
        <f t="shared" si="18"/>
        <v>4.0000000000000002E-4</v>
      </c>
      <c r="G79" s="214">
        <f t="shared" si="19"/>
        <v>0</v>
      </c>
    </row>
    <row r="80" spans="2:14">
      <c r="B80" s="240" t="str">
        <f>B17</f>
        <v>Street Light</v>
      </c>
      <c r="C80" s="191"/>
      <c r="D80" s="241" t="s">
        <v>97</v>
      </c>
      <c r="E80" s="191">
        <f>E36</f>
        <v>0</v>
      </c>
      <c r="F80" s="246">
        <f t="shared" si="18"/>
        <v>4.0000000000000002E-4</v>
      </c>
      <c r="G80" s="214">
        <f t="shared" si="19"/>
        <v>0</v>
      </c>
    </row>
    <row r="81" spans="2:13">
      <c r="B81" s="240" t="str">
        <f>B18</f>
        <v>USL</v>
      </c>
      <c r="C81" s="191"/>
      <c r="D81" s="241" t="s">
        <v>97</v>
      </c>
      <c r="E81" s="191"/>
      <c r="F81" s="246"/>
      <c r="G81" s="214">
        <f>E81*F81</f>
        <v>0</v>
      </c>
    </row>
    <row r="82" spans="2:13">
      <c r="B82" s="220" t="s">
        <v>260</v>
      </c>
      <c r="C82" s="221"/>
      <c r="D82" s="222"/>
      <c r="E82" s="221">
        <f ca="1">SUM(E77:E81)</f>
        <v>13156944.943383105</v>
      </c>
      <c r="F82" s="223"/>
      <c r="G82" s="224">
        <f ca="1">SUM(G77:G81)</f>
        <v>5262.777977353242</v>
      </c>
    </row>
    <row r="84" spans="2:13">
      <c r="B84" s="232" t="s">
        <v>277</v>
      </c>
      <c r="C84" s="233"/>
      <c r="D84" s="244"/>
      <c r="E84" s="235"/>
      <c r="F84" s="236"/>
      <c r="G84" s="233"/>
    </row>
    <row r="85" spans="2:13">
      <c r="B85" s="210" t="s">
        <v>266</v>
      </c>
      <c r="C85" s="238"/>
      <c r="D85" s="245"/>
      <c r="E85" s="363">
        <v>2022</v>
      </c>
      <c r="F85" s="364"/>
      <c r="G85" s="365"/>
    </row>
    <row r="86" spans="2:13">
      <c r="B86" s="240" t="str">
        <f>B68</f>
        <v xml:space="preserve">Residential </v>
      </c>
      <c r="C86" s="191"/>
      <c r="D86" s="241" t="str">
        <f t="shared" ref="D86:E90" si="20">D68</f>
        <v>kWh</v>
      </c>
      <c r="E86" s="191">
        <f t="shared" ca="1" si="20"/>
        <v>147383184.5299136</v>
      </c>
      <c r="F86" s="247">
        <v>5.0000000000000001E-4</v>
      </c>
      <c r="G86" s="214">
        <f t="shared" ref="G86:G90" ca="1" si="21">E86*F86</f>
        <v>73691.592264956809</v>
      </c>
    </row>
    <row r="87" spans="2:13">
      <c r="B87" s="240" t="str">
        <f>B69</f>
        <v>General Service &lt; 50 kW</v>
      </c>
      <c r="C87" s="191"/>
      <c r="D87" s="241" t="str">
        <f t="shared" si="20"/>
        <v>kWh</v>
      </c>
      <c r="E87" s="191">
        <f t="shared" ca="1" si="20"/>
        <v>48031764.227412105</v>
      </c>
      <c r="F87" s="247">
        <v>5.0000000000000001E-4</v>
      </c>
      <c r="G87" s="214">
        <f t="shared" ca="1" si="21"/>
        <v>24015.882113706051</v>
      </c>
    </row>
    <row r="88" spans="2:13">
      <c r="B88" s="240" t="str">
        <f>B70</f>
        <v>General Service &gt; 50 kW</v>
      </c>
      <c r="C88" s="191"/>
      <c r="D88" s="241" t="str">
        <f t="shared" si="20"/>
        <v>kWh</v>
      </c>
      <c r="E88" s="191">
        <f t="shared" ca="1" si="20"/>
        <v>126389007.61793353</v>
      </c>
      <c r="F88" s="247">
        <v>5.0000000000000001E-4</v>
      </c>
      <c r="G88" s="214">
        <f t="shared" ca="1" si="21"/>
        <v>63194.503808966765</v>
      </c>
      <c r="I88" s="25" t="s">
        <v>278</v>
      </c>
      <c r="J88" s="25" t="s">
        <v>278</v>
      </c>
      <c r="K88" s="25" t="s">
        <v>278</v>
      </c>
      <c r="L88" s="25" t="s">
        <v>278</v>
      </c>
      <c r="M88" s="25" t="s">
        <v>278</v>
      </c>
    </row>
    <row r="89" spans="2:13">
      <c r="B89" s="240" t="str">
        <f>B71</f>
        <v>Street Light</v>
      </c>
      <c r="C89" s="191"/>
      <c r="D89" s="241" t="str">
        <f t="shared" si="20"/>
        <v>kWh</v>
      </c>
      <c r="E89" s="191">
        <f t="shared" ca="1" si="20"/>
        <v>1331002.6420469109</v>
      </c>
      <c r="F89" s="247">
        <v>5.0000000000000001E-4</v>
      </c>
      <c r="G89" s="214">
        <f t="shared" ca="1" si="21"/>
        <v>665.50132102345549</v>
      </c>
    </row>
    <row r="90" spans="2:13">
      <c r="B90" s="240" t="str">
        <f>B72</f>
        <v>USL</v>
      </c>
      <c r="C90" s="191"/>
      <c r="D90" s="241" t="str">
        <f t="shared" si="20"/>
        <v>kWh</v>
      </c>
      <c r="E90" s="191">
        <f t="shared" ca="1" si="20"/>
        <v>424365.84</v>
      </c>
      <c r="F90" s="247">
        <v>5.0000000000000001E-4</v>
      </c>
      <c r="G90" s="214">
        <f t="shared" ca="1" si="21"/>
        <v>212.18292000000002</v>
      </c>
    </row>
    <row r="91" spans="2:13">
      <c r="B91" s="220" t="s">
        <v>260</v>
      </c>
      <c r="C91" s="221"/>
      <c r="D91" s="222"/>
      <c r="E91" s="221">
        <f ca="1">SUM(E86:E90)</f>
        <v>323559324.85730612</v>
      </c>
      <c r="F91" s="223"/>
      <c r="G91" s="224">
        <f ca="1">SUM(G86:G90)</f>
        <v>161779.66242865304</v>
      </c>
    </row>
    <row r="93" spans="2:13">
      <c r="B93" s="232" t="s">
        <v>279</v>
      </c>
      <c r="C93" s="233"/>
      <c r="D93" s="244"/>
      <c r="E93" s="235"/>
      <c r="F93" s="236"/>
      <c r="G93" s="233"/>
    </row>
    <row r="94" spans="2:13">
      <c r="B94" s="210" t="s">
        <v>266</v>
      </c>
      <c r="C94" s="238"/>
      <c r="D94" s="245"/>
      <c r="E94" s="363">
        <v>2022</v>
      </c>
      <c r="F94" s="364"/>
      <c r="G94" s="365"/>
    </row>
    <row r="95" spans="2:13">
      <c r="B95" s="240" t="str">
        <f>B86</f>
        <v xml:space="preserve">Residential </v>
      </c>
      <c r="C95" s="191"/>
      <c r="D95" s="241" t="s">
        <v>94</v>
      </c>
      <c r="E95" s="191">
        <f ca="1">'Summary Tables'!J33</f>
        <v>17011.594251292951</v>
      </c>
      <c r="F95" s="247">
        <v>0.56999999999999995</v>
      </c>
      <c r="G95" s="214">
        <f ca="1">E95*F95*12</f>
        <v>116359.30467884376</v>
      </c>
    </row>
    <row r="96" spans="2:13">
      <c r="B96" s="240" t="str">
        <f>B87</f>
        <v>General Service &lt; 50 kW</v>
      </c>
      <c r="C96" s="191"/>
      <c r="D96" s="241" t="s">
        <v>94</v>
      </c>
      <c r="E96" s="191">
        <f ca="1">'Summary Tables'!J34</f>
        <v>1832.6722417052104</v>
      </c>
      <c r="F96" s="247">
        <f>F95</f>
        <v>0.56999999999999995</v>
      </c>
      <c r="G96" s="214">
        <f ca="1">E96*F96*12</f>
        <v>12535.478133263638</v>
      </c>
    </row>
    <row r="97" spans="2:9">
      <c r="B97" s="240" t="str">
        <f>B88</f>
        <v>General Service &gt; 50 kW</v>
      </c>
      <c r="C97" s="191"/>
      <c r="D97" s="241"/>
      <c r="E97" s="191"/>
      <c r="F97" s="247"/>
      <c r="G97" s="214">
        <f t="shared" ref="G97:G99" si="22">E97*F97</f>
        <v>0</v>
      </c>
    </row>
    <row r="98" spans="2:9">
      <c r="B98" s="240" t="str">
        <f>B89</f>
        <v>Street Light</v>
      </c>
      <c r="C98" s="191"/>
      <c r="D98" s="241"/>
      <c r="E98" s="191"/>
      <c r="F98" s="247"/>
      <c r="G98" s="214">
        <f t="shared" si="22"/>
        <v>0</v>
      </c>
    </row>
    <row r="99" spans="2:9">
      <c r="B99" s="240" t="str">
        <f>B90</f>
        <v>USL</v>
      </c>
      <c r="C99" s="191"/>
      <c r="D99" s="241"/>
      <c r="E99" s="191"/>
      <c r="F99" s="247"/>
      <c r="G99" s="214">
        <f t="shared" si="22"/>
        <v>0</v>
      </c>
    </row>
    <row r="100" spans="2:9">
      <c r="B100" s="220" t="s">
        <v>260</v>
      </c>
      <c r="C100" s="221"/>
      <c r="D100" s="222"/>
      <c r="E100" s="221">
        <f ca="1">SUM(E95:E99)</f>
        <v>18844.266492998162</v>
      </c>
      <c r="F100" s="223"/>
      <c r="G100" s="224">
        <f ca="1">SUM(G95:G99)</f>
        <v>128894.7828121074</v>
      </c>
    </row>
    <row r="102" spans="2:9">
      <c r="B102" s="248"/>
      <c r="C102" s="249">
        <v>2022</v>
      </c>
      <c r="D102" s="25" t="s">
        <v>274</v>
      </c>
      <c r="E102" s="25" t="s">
        <v>280</v>
      </c>
    </row>
    <row r="103" spans="2:9">
      <c r="B103" s="250"/>
      <c r="C103" s="251"/>
    </row>
    <row r="104" spans="2:9">
      <c r="B104" s="252" t="s">
        <v>281</v>
      </c>
      <c r="C104" s="253">
        <f ca="1">G19+G28+G37+G46</f>
        <v>33926687.769759014</v>
      </c>
      <c r="D104" s="243">
        <f ca="1">G19</f>
        <v>19824126.128507767</v>
      </c>
      <c r="E104" s="243">
        <f ca="1">G46+G37+G28</f>
        <v>14102561.641251249</v>
      </c>
      <c r="F104" s="243">
        <f ca="1">C104-D104-E104</f>
        <v>0</v>
      </c>
      <c r="G104" s="264">
        <f ca="1">D104*(1-$G$112)</f>
        <v>16454024.686661446</v>
      </c>
      <c r="H104" s="264">
        <f ca="1">E104</f>
        <v>14102561.641251249</v>
      </c>
      <c r="I104" s="264">
        <f ca="1">H104+G104</f>
        <v>30556586.327912696</v>
      </c>
    </row>
    <row r="105" spans="2:9">
      <c r="B105" s="252" t="s">
        <v>282</v>
      </c>
      <c r="C105" s="253">
        <f ca="1">G73+G82+G91-C108</f>
        <v>1105364.4824921945</v>
      </c>
      <c r="D105" s="254">
        <f ca="1">SUM(K68:K72)/SUM($K$68:$L$72)*$G$73</f>
        <v>650347.63447439612</v>
      </c>
      <c r="E105" s="243">
        <f ca="1">SUM(L68:L72)/SUM($K$68:$L$72)*$G$73+G82</f>
        <v>455016.84801779815</v>
      </c>
      <c r="F105" s="243">
        <f ca="1">C105-D105-E105</f>
        <v>0</v>
      </c>
      <c r="G105" s="264">
        <f t="shared" ref="G105:G110" ca="1" si="23">D105*(1-$G$112)</f>
        <v>539788.53661374876</v>
      </c>
      <c r="H105" s="264">
        <f t="shared" ref="H105:H110" ca="1" si="24">E105</f>
        <v>455016.84801779815</v>
      </c>
      <c r="I105" s="264">
        <f t="shared" ref="I105:I110" ca="1" si="25">H105+G105</f>
        <v>994805.38463154691</v>
      </c>
    </row>
    <row r="106" spans="2:9">
      <c r="B106" s="252" t="s">
        <v>283</v>
      </c>
      <c r="C106" s="253">
        <f ca="1">G55</f>
        <v>3446141.9387818561</v>
      </c>
      <c r="D106" s="255">
        <f ca="1">SUM(K68:K72)/SUM($K$68:$L$72)*$G$55</f>
        <v>2037257.3269834013</v>
      </c>
      <c r="E106" s="243">
        <f ca="1">SUM(L68:L72)/SUM($K$68:$L$72)*$G$55</f>
        <v>1408884.6117984538</v>
      </c>
      <c r="F106" s="243">
        <f t="shared" ref="F106:F110" ca="1" si="26">C106-D106-E106</f>
        <v>0</v>
      </c>
      <c r="G106" s="264">
        <f t="shared" ca="1" si="23"/>
        <v>1690923.581396223</v>
      </c>
      <c r="H106" s="264">
        <f t="shared" ca="1" si="24"/>
        <v>1408884.6117984538</v>
      </c>
      <c r="I106" s="264">
        <f t="shared" ca="1" si="25"/>
        <v>3099808.1931946771</v>
      </c>
    </row>
    <row r="107" spans="2:9">
      <c r="B107" s="252" t="s">
        <v>284</v>
      </c>
      <c r="C107" s="253">
        <f ca="1">G64</f>
        <v>2612314.5578436628</v>
      </c>
      <c r="D107" s="255">
        <f ca="1">SUM(K68:K72)/SUM($K$68:$L$72)*$G$64</f>
        <v>1544323.2077764082</v>
      </c>
      <c r="E107" s="243">
        <f ca="1">SUM(L68:L72)/SUM($K$68:$L$72)*$G$64</f>
        <v>1067991.3500672539</v>
      </c>
      <c r="F107" s="243">
        <f t="shared" ca="1" si="26"/>
        <v>0</v>
      </c>
      <c r="G107" s="264">
        <f t="shared" ca="1" si="23"/>
        <v>1281788.2624544187</v>
      </c>
      <c r="H107" s="264">
        <f t="shared" ca="1" si="24"/>
        <v>1067991.3500672539</v>
      </c>
      <c r="I107" s="264">
        <f t="shared" ca="1" si="25"/>
        <v>2349779.6125216726</v>
      </c>
    </row>
    <row r="108" spans="2:9">
      <c r="B108" s="252" t="s">
        <v>285</v>
      </c>
      <c r="C108" s="253">
        <f ca="1">G91</f>
        <v>161779.66242865304</v>
      </c>
      <c r="D108" s="243">
        <f ca="1">SUM(K68:K72)/SUM($K$68:$L$72)*$G$91</f>
        <v>95639.358010940545</v>
      </c>
      <c r="E108" s="243">
        <f ca="1">SUM(L68:L72)/SUM($K$68:$L$72)*$G$91</f>
        <v>66140.304417712454</v>
      </c>
      <c r="F108" s="243">
        <f t="shared" ca="1" si="26"/>
        <v>0</v>
      </c>
      <c r="G108" s="264">
        <f t="shared" ca="1" si="23"/>
        <v>79380.667149080648</v>
      </c>
      <c r="H108" s="264">
        <f t="shared" ca="1" si="24"/>
        <v>66140.304417712454</v>
      </c>
      <c r="I108" s="264">
        <f t="shared" ca="1" si="25"/>
        <v>145520.9715667931</v>
      </c>
    </row>
    <row r="109" spans="2:9">
      <c r="B109" s="252" t="s">
        <v>286</v>
      </c>
      <c r="C109" s="256">
        <v>500000</v>
      </c>
      <c r="D109" s="243">
        <f ca="1">SUM(K68:K72)/SUM($K$68:$L$72)*$C$109</f>
        <v>295585.23171328398</v>
      </c>
      <c r="E109" s="243">
        <f ca="1">SUM(L68:L72)/SUM($K$68:$L$72)*$C$109</f>
        <v>204414.76828671587</v>
      </c>
      <c r="F109" s="243">
        <f t="shared" ca="1" si="26"/>
        <v>0</v>
      </c>
      <c r="G109" s="264">
        <f t="shared" ca="1" si="23"/>
        <v>245335.7423220257</v>
      </c>
      <c r="H109" s="264">
        <f t="shared" ca="1" si="24"/>
        <v>204414.76828671587</v>
      </c>
      <c r="I109" s="264">
        <f t="shared" ca="1" si="25"/>
        <v>449750.51060874155</v>
      </c>
    </row>
    <row r="110" spans="2:9">
      <c r="B110" s="252" t="s">
        <v>287</v>
      </c>
      <c r="C110" s="256">
        <f ca="1">G100</f>
        <v>128894.7828121074</v>
      </c>
      <c r="D110" s="243">
        <f ca="1">G100</f>
        <v>128894.7828121074</v>
      </c>
      <c r="E110" s="243"/>
      <c r="F110" s="243">
        <f t="shared" ca="1" si="26"/>
        <v>0</v>
      </c>
      <c r="G110" s="264">
        <f t="shared" ca="1" si="23"/>
        <v>106982.66973404914</v>
      </c>
      <c r="H110" s="264">
        <f t="shared" si="24"/>
        <v>0</v>
      </c>
      <c r="I110" s="264">
        <f t="shared" ca="1" si="25"/>
        <v>106982.66973404914</v>
      </c>
    </row>
    <row r="111" spans="2:9">
      <c r="B111" s="257" t="s">
        <v>260</v>
      </c>
      <c r="C111" s="221">
        <f ca="1">SUM(C104:C110)</f>
        <v>41881183.194117494</v>
      </c>
      <c r="D111" s="202">
        <f ca="1">SUM(D104:D110)</f>
        <v>24576173.670278303</v>
      </c>
      <c r="E111" s="202">
        <f ca="1">SUM(E104:E110)</f>
        <v>17305009.523839183</v>
      </c>
    </row>
    <row r="112" spans="2:9">
      <c r="C112" s="202">
        <f ca="1">D112+E112</f>
        <v>37703233.670170173</v>
      </c>
      <c r="D112" s="202">
        <f ca="1">D111*(1-G112)</f>
        <v>20398224.14633099</v>
      </c>
      <c r="E112" s="202">
        <f ca="1">E111</f>
        <v>17305009.523839183</v>
      </c>
      <c r="G112" s="25">
        <v>0.17</v>
      </c>
    </row>
    <row r="114" spans="2:5">
      <c r="B114" s="258" t="s">
        <v>288</v>
      </c>
      <c r="C114" s="259" t="s">
        <v>289</v>
      </c>
      <c r="D114" s="258" t="s">
        <v>97</v>
      </c>
      <c r="E114" s="258" t="s">
        <v>98</v>
      </c>
    </row>
    <row r="115" spans="2:5">
      <c r="B115" s="259" t="str">
        <f>B4</f>
        <v xml:space="preserve">Residential </v>
      </c>
      <c r="C115" s="259">
        <f ca="1">'Summary Tables'!J33</f>
        <v>17011.594251292951</v>
      </c>
      <c r="D115" s="260">
        <f ca="1">'2023 COP Forecast'!C4</f>
        <v>137612683.9681733</v>
      </c>
      <c r="E115" s="260"/>
    </row>
    <row r="116" spans="2:5">
      <c r="B116" s="259" t="str">
        <f>B5</f>
        <v>General Service &lt; 50 kW</v>
      </c>
      <c r="C116" s="259">
        <f ca="1">'Summary Tables'!J34</f>
        <v>1832.6722417052104</v>
      </c>
      <c r="D116" s="260">
        <f ca="1">'2023 COP Forecast'!C5</f>
        <v>44847585.646509901</v>
      </c>
      <c r="E116" s="260"/>
    </row>
    <row r="117" spans="2:5">
      <c r="B117" s="259" t="str">
        <f>B6</f>
        <v>General Service &gt; 50 kW</v>
      </c>
      <c r="C117" s="259">
        <f ca="1">'Summary Tables'!J35</f>
        <v>126.65264045012246</v>
      </c>
      <c r="D117" s="260">
        <f ca="1">'2023 COP Forecast'!C6</f>
        <v>131569449.43383105</v>
      </c>
      <c r="E117" s="260">
        <f ca="1">'2023 COP Forecast'!D6</f>
        <v>324246.8119060648</v>
      </c>
    </row>
    <row r="118" spans="2:5">
      <c r="B118" s="259" t="str">
        <f>B7</f>
        <v>Street Light</v>
      </c>
      <c r="C118" s="259">
        <f ca="1">'Summary Tables'!J36</f>
        <v>3317.6034925637241</v>
      </c>
      <c r="D118" s="260">
        <f ca="1">'2023 COP Forecast'!C7</f>
        <v>1242766.2390727461</v>
      </c>
      <c r="E118" s="260">
        <f ca="1">'2023 COP Forecast'!D7</f>
        <v>3496.2338802388308</v>
      </c>
    </row>
    <row r="119" spans="2:5">
      <c r="B119" s="259" t="str">
        <f>B8</f>
        <v>USL</v>
      </c>
      <c r="C119" s="259">
        <f ca="1">'Summary Tables'!J37</f>
        <v>30</v>
      </c>
      <c r="D119" s="260">
        <f ca="1">'2023 COP Forecast'!C8</f>
        <v>396233.27731092443</v>
      </c>
      <c r="E119" s="260"/>
    </row>
    <row r="120" spans="2:5">
      <c r="B120" s="259" t="s">
        <v>146</v>
      </c>
      <c r="C120" s="259">
        <f ca="1">SUM(C115:C119)</f>
        <v>22318.522626012011</v>
      </c>
      <c r="D120" s="259">
        <f ca="1">SUM(D115:D119)</f>
        <v>315668718.56489789</v>
      </c>
      <c r="E120" s="259">
        <f ca="1">SUM(E115:E119)</f>
        <v>327743.04578630364</v>
      </c>
    </row>
    <row r="122" spans="2:5" ht="25.5">
      <c r="B122" s="258" t="str">
        <f t="shared" ref="B122:B128" si="27">B114</f>
        <v>Rate Class</v>
      </c>
      <c r="C122" s="259" t="s">
        <v>290</v>
      </c>
      <c r="D122" s="261" t="s">
        <v>291</v>
      </c>
    </row>
    <row r="123" spans="2:5">
      <c r="B123" s="259" t="str">
        <f t="shared" si="27"/>
        <v xml:space="preserve">Residential </v>
      </c>
      <c r="C123" s="262">
        <f>F4</f>
        <v>2.0000000000000018E-2</v>
      </c>
      <c r="D123" s="260">
        <f ca="1">C123*D115</f>
        <v>2752253.6793634682</v>
      </c>
    </row>
    <row r="124" spans="2:5">
      <c r="B124" s="259" t="str">
        <f t="shared" si="27"/>
        <v>General Service &lt; 50 kW</v>
      </c>
      <c r="C124" s="262">
        <f>F5</f>
        <v>0.13</v>
      </c>
      <c r="D124" s="260">
        <f ca="1">C124*D116</f>
        <v>5830186.1340462873</v>
      </c>
    </row>
    <row r="125" spans="2:5">
      <c r="B125" s="259" t="str">
        <f t="shared" si="27"/>
        <v>General Service &gt; 50 kW</v>
      </c>
      <c r="C125" s="262">
        <f>F6</f>
        <v>0.96</v>
      </c>
      <c r="D125" s="260">
        <f ca="1">C125*D117-G6</f>
        <v>113149726.51309469</v>
      </c>
    </row>
    <row r="126" spans="2:5">
      <c r="B126" s="259" t="str">
        <f t="shared" si="27"/>
        <v>Street Light</v>
      </c>
      <c r="C126" s="262">
        <f>F7</f>
        <v>1</v>
      </c>
      <c r="D126" s="260">
        <f ca="1">C126*D118</f>
        <v>1242766.2390727461</v>
      </c>
    </row>
    <row r="127" spans="2:5">
      <c r="B127" s="259" t="str">
        <f t="shared" si="27"/>
        <v>USL</v>
      </c>
      <c r="C127" s="262">
        <f>F8</f>
        <v>1</v>
      </c>
      <c r="D127" s="260">
        <f ca="1">C127*D119</f>
        <v>396233.27731092443</v>
      </c>
    </row>
    <row r="128" spans="2:5">
      <c r="B128" s="259" t="str">
        <f t="shared" si="27"/>
        <v>Total</v>
      </c>
      <c r="C128" s="259"/>
      <c r="D128" s="259">
        <f ca="1">SUM(D123:D127)</f>
        <v>123371165.84288812</v>
      </c>
    </row>
    <row r="130" spans="2:6">
      <c r="B130" s="258" t="str">
        <f t="shared" ref="B130:E136" si="28">B114</f>
        <v>Rate Class</v>
      </c>
      <c r="C130" s="259" t="str">
        <f t="shared" si="28"/>
        <v>Customer Numbers</v>
      </c>
      <c r="D130" s="258" t="str">
        <f t="shared" si="28"/>
        <v>kWh</v>
      </c>
      <c r="E130" s="258" t="str">
        <f t="shared" si="28"/>
        <v>kW</v>
      </c>
      <c r="F130" s="258" t="str">
        <f>D122</f>
        <v>2023 kWh Non-RPP less Class A</v>
      </c>
    </row>
    <row r="131" spans="2:6">
      <c r="B131" s="259" t="str">
        <f t="shared" si="28"/>
        <v xml:space="preserve">Residential </v>
      </c>
      <c r="C131" s="259">
        <f t="shared" ca="1" si="28"/>
        <v>17011.594251292951</v>
      </c>
      <c r="D131" s="260">
        <f t="shared" ca="1" si="28"/>
        <v>137612683.9681733</v>
      </c>
      <c r="E131" s="260">
        <f t="shared" si="28"/>
        <v>0</v>
      </c>
      <c r="F131" s="260">
        <f ca="1">D123</f>
        <v>2752253.6793634682</v>
      </c>
    </row>
    <row r="132" spans="2:6">
      <c r="B132" s="259" t="str">
        <f t="shared" si="28"/>
        <v>General Service &lt; 50 kW</v>
      </c>
      <c r="C132" s="259">
        <f t="shared" ca="1" si="28"/>
        <v>1832.6722417052104</v>
      </c>
      <c r="D132" s="260">
        <f t="shared" ca="1" si="28"/>
        <v>44847585.646509901</v>
      </c>
      <c r="E132" s="260">
        <f t="shared" si="28"/>
        <v>0</v>
      </c>
      <c r="F132" s="260">
        <f ca="1">D124</f>
        <v>5830186.1340462873</v>
      </c>
    </row>
    <row r="133" spans="2:6">
      <c r="B133" s="259" t="str">
        <f t="shared" si="28"/>
        <v>General Service &gt; 50 kW</v>
      </c>
      <c r="C133" s="259">
        <f t="shared" ca="1" si="28"/>
        <v>126.65264045012246</v>
      </c>
      <c r="D133" s="260">
        <f t="shared" ca="1" si="28"/>
        <v>131569449.43383105</v>
      </c>
      <c r="E133" s="260">
        <f t="shared" ca="1" si="28"/>
        <v>324246.8119060648</v>
      </c>
      <c r="F133" s="260">
        <f ca="1">D125</f>
        <v>113149726.51309469</v>
      </c>
    </row>
    <row r="134" spans="2:6">
      <c r="B134" s="259" t="str">
        <f t="shared" si="28"/>
        <v>Street Light</v>
      </c>
      <c r="C134" s="259">
        <f t="shared" ca="1" si="28"/>
        <v>3317.6034925637241</v>
      </c>
      <c r="D134" s="260">
        <f t="shared" ca="1" si="28"/>
        <v>1242766.2390727461</v>
      </c>
      <c r="E134" s="260">
        <f t="shared" ca="1" si="28"/>
        <v>3496.2338802388308</v>
      </c>
      <c r="F134" s="260">
        <f t="shared" ref="F134:F136" ca="1" si="29">D126</f>
        <v>1242766.2390727461</v>
      </c>
    </row>
    <row r="135" spans="2:6">
      <c r="B135" s="259" t="str">
        <f t="shared" si="28"/>
        <v>USL</v>
      </c>
      <c r="C135" s="259">
        <f t="shared" ca="1" si="28"/>
        <v>30</v>
      </c>
      <c r="D135" s="260">
        <f t="shared" ca="1" si="28"/>
        <v>396233.27731092443</v>
      </c>
      <c r="E135" s="260">
        <f t="shared" si="28"/>
        <v>0</v>
      </c>
      <c r="F135" s="260">
        <f t="shared" ca="1" si="29"/>
        <v>396233.27731092443</v>
      </c>
    </row>
    <row r="136" spans="2:6">
      <c r="B136" s="259" t="str">
        <f t="shared" si="28"/>
        <v>Total</v>
      </c>
      <c r="C136" s="259">
        <f t="shared" ca="1" si="28"/>
        <v>22318.522626012011</v>
      </c>
      <c r="D136" s="259">
        <f t="shared" ca="1" si="28"/>
        <v>315668718.56489789</v>
      </c>
      <c r="E136" s="259">
        <f t="shared" ca="1" si="28"/>
        <v>327743.04578630364</v>
      </c>
      <c r="F136" s="259">
        <f t="shared" ca="1" si="29"/>
        <v>123371165.84288812</v>
      </c>
    </row>
  </sheetData>
  <mergeCells count="19">
    <mergeCell ref="B2:E2"/>
    <mergeCell ref="C12:C13"/>
    <mergeCell ref="D12:D13"/>
    <mergeCell ref="E12:G13"/>
    <mergeCell ref="C21:C22"/>
    <mergeCell ref="D21:D22"/>
    <mergeCell ref="E21:G22"/>
    <mergeCell ref="E94:G94"/>
    <mergeCell ref="C30:C31"/>
    <mergeCell ref="D30:D31"/>
    <mergeCell ref="E30:G31"/>
    <mergeCell ref="C39:C40"/>
    <mergeCell ref="D39:D40"/>
    <mergeCell ref="E39:G40"/>
    <mergeCell ref="E49:G49"/>
    <mergeCell ref="E58:G58"/>
    <mergeCell ref="E67:G67"/>
    <mergeCell ref="E76:G76"/>
    <mergeCell ref="E85:G85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AE91-9AA4-4436-A987-3AA0441DE225}">
  <dimension ref="B1:AD36"/>
  <sheetViews>
    <sheetView zoomScale="90" zoomScaleNormal="90" workbookViewId="0">
      <selection activeCell="L34" sqref="L34"/>
    </sheetView>
  </sheetViews>
  <sheetFormatPr defaultRowHeight="12.75"/>
  <cols>
    <col min="1" max="1" width="9.140625" style="25"/>
    <col min="2" max="2" width="20.7109375" style="25" customWidth="1"/>
    <col min="3" max="3" width="12.7109375" style="25" customWidth="1"/>
    <col min="4" max="5" width="13" style="25" customWidth="1"/>
    <col min="6" max="6" width="13.28515625" style="25" customWidth="1"/>
    <col min="7" max="7" width="14.140625" style="25" customWidth="1"/>
    <col min="8" max="8" width="15.140625" style="25" customWidth="1"/>
    <col min="9" max="9" width="13.85546875" style="25" customWidth="1"/>
    <col min="10" max="10" width="10.85546875" style="25" customWidth="1"/>
    <col min="11" max="11" width="13.7109375" style="25" customWidth="1"/>
    <col min="12" max="12" width="12.85546875" style="25" bestFit="1" customWidth="1"/>
    <col min="13" max="13" width="11.7109375" style="25" customWidth="1"/>
    <col min="14" max="14" width="13.42578125" style="25" bestFit="1" customWidth="1"/>
    <col min="15" max="20" width="13.42578125" style="25" customWidth="1"/>
    <col min="21" max="22" width="9.140625" style="25"/>
    <col min="23" max="23" width="5" style="25" bestFit="1" customWidth="1"/>
    <col min="24" max="24" width="10.28515625" style="25" bestFit="1" customWidth="1"/>
    <col min="25" max="25" width="14" style="25" customWidth="1"/>
    <col min="26" max="27" width="9.140625" style="25"/>
    <col min="28" max="28" width="11.5703125" style="25" customWidth="1"/>
    <col min="29" max="16384" width="9.140625" style="25"/>
  </cols>
  <sheetData>
    <row r="1" spans="2:30" ht="13.5" thickBot="1"/>
    <row r="2" spans="2:30" s="26" customFormat="1" ht="25.5">
      <c r="B2" s="265"/>
      <c r="C2" s="266" t="s">
        <v>292</v>
      </c>
      <c r="D2" s="266" t="s">
        <v>293</v>
      </c>
      <c r="E2" s="266" t="s">
        <v>294</v>
      </c>
      <c r="F2" s="266" t="s">
        <v>295</v>
      </c>
      <c r="G2" s="266" t="s">
        <v>296</v>
      </c>
      <c r="H2" s="267" t="s">
        <v>297</v>
      </c>
      <c r="I2" s="268"/>
      <c r="J2" s="380" t="s">
        <v>298</v>
      </c>
      <c r="K2" s="380"/>
      <c r="L2" s="26" t="s">
        <v>299</v>
      </c>
      <c r="M2" s="380" t="s">
        <v>300</v>
      </c>
      <c r="N2" s="380"/>
      <c r="O2" s="26" t="s">
        <v>299</v>
      </c>
      <c r="P2" s="380" t="s">
        <v>301</v>
      </c>
      <c r="Q2" s="380"/>
      <c r="W2" s="381" t="s">
        <v>302</v>
      </c>
      <c r="X2" s="382"/>
    </row>
    <row r="3" spans="2:30">
      <c r="B3" s="269" t="s">
        <v>303</v>
      </c>
      <c r="C3" s="25">
        <v>18</v>
      </c>
      <c r="D3" s="25">
        <v>19</v>
      </c>
      <c r="E3" s="25">
        <v>23</v>
      </c>
      <c r="F3" s="25">
        <v>25</v>
      </c>
      <c r="G3" s="25">
        <v>40</v>
      </c>
      <c r="H3" s="270">
        <v>47</v>
      </c>
      <c r="J3" s="258" t="s">
        <v>304</v>
      </c>
      <c r="K3" s="258" t="s">
        <v>305</v>
      </c>
      <c r="M3" s="258" t="s">
        <v>304</v>
      </c>
      <c r="N3" s="258" t="s">
        <v>305</v>
      </c>
      <c r="P3" s="258" t="s">
        <v>304</v>
      </c>
      <c r="Q3" s="258" t="s">
        <v>305</v>
      </c>
      <c r="S3" s="258" t="s">
        <v>306</v>
      </c>
      <c r="T3" s="258" t="s">
        <v>307</v>
      </c>
      <c r="U3" s="258" t="s">
        <v>306</v>
      </c>
      <c r="W3" s="258" t="s">
        <v>308</v>
      </c>
      <c r="X3" s="258" t="s">
        <v>309</v>
      </c>
      <c r="Z3" s="25" t="s">
        <v>342</v>
      </c>
    </row>
    <row r="4" spans="2:30">
      <c r="B4" s="271" t="s">
        <v>89</v>
      </c>
      <c r="C4" s="272">
        <v>5552576.9201516006</v>
      </c>
      <c r="D4" s="272">
        <v>394408.70234826079</v>
      </c>
      <c r="E4" s="272">
        <v>6963309.9960672231</v>
      </c>
      <c r="F4" s="272">
        <f>D4+E4</f>
        <v>7357718.6984154843</v>
      </c>
      <c r="G4" s="272">
        <v>6798103.6146222334</v>
      </c>
      <c r="H4" s="273">
        <f>F4/G4</f>
        <v>1.0823192930730798</v>
      </c>
      <c r="J4" s="274">
        <f>IF(H4&gt;X4,X4,IF(H4&lt;W4,W4,H4))</f>
        <v>1.0823192930730798</v>
      </c>
      <c r="K4" s="272">
        <f>G4*J4</f>
        <v>7357718.6984154843</v>
      </c>
      <c r="L4" s="199"/>
      <c r="M4" s="274">
        <f>L11</f>
        <v>0.94484890990660408</v>
      </c>
      <c r="N4" s="272">
        <f>G4*M4</f>
        <v>6423180.7897079624</v>
      </c>
      <c r="O4" s="199"/>
      <c r="P4" s="274">
        <f>IF(ROUND($O$9,0)=0,M4,IF(O$9&gt;0,IF(M4=N$11,O$11,M4),IF(M4=N$10,O$10,M4)))</f>
        <v>1.0766669496177892</v>
      </c>
      <c r="Q4" s="272">
        <f>G4*P4</f>
        <v>7319293.4819409866</v>
      </c>
      <c r="S4" s="275">
        <f>Q4/$Q$9</f>
        <v>0.68114323637476892</v>
      </c>
      <c r="T4" s="272">
        <f>Q4-D4</f>
        <v>6924884.7795927254</v>
      </c>
      <c r="U4" s="276">
        <f t="shared" ref="U4:U9" si="0">T4/$T$9</f>
        <v>0.68255047083963105</v>
      </c>
      <c r="W4" s="277">
        <v>0.85</v>
      </c>
      <c r="X4" s="277">
        <v>1.1499999999999999</v>
      </c>
      <c r="Z4" s="351">
        <f>T4/C4-1</f>
        <v>0.2471479241396366</v>
      </c>
    </row>
    <row r="5" spans="2:30">
      <c r="B5" s="271" t="s">
        <v>353</v>
      </c>
      <c r="C5" s="272">
        <v>1192701.5871635037</v>
      </c>
      <c r="D5" s="272">
        <v>100515.0006060116</v>
      </c>
      <c r="E5" s="272">
        <v>1495729.1008575736</v>
      </c>
      <c r="F5" s="272">
        <f t="shared" ref="F5:F8" si="1">D5+E5</f>
        <v>1596244.1014635852</v>
      </c>
      <c r="G5" s="272">
        <v>1689417.3076003969</v>
      </c>
      <c r="H5" s="273">
        <f t="shared" ref="H5:H9" si="2">F5/G5</f>
        <v>0.94484890990660408</v>
      </c>
      <c r="J5" s="274">
        <f t="shared" ref="J5:J8" si="3">IF(H5&gt;X5,X5,IF(H5&lt;W5,W5,H5))</f>
        <v>0.94484890990660408</v>
      </c>
      <c r="K5" s="272">
        <f t="shared" ref="K5:K8" si="4">G5*J5</f>
        <v>1596244.1014635852</v>
      </c>
      <c r="L5" s="199"/>
      <c r="M5" s="274">
        <f>IF($L$9&lt;0,IF($J5=$K$11,$L$11,$J5),IF($L$9&gt;0,IF($J5=$K$10,$L$10,$J5),$J5))</f>
        <v>0.94484890990660408</v>
      </c>
      <c r="N5" s="272">
        <f>G5*M5</f>
        <v>1596244.1014635852</v>
      </c>
      <c r="O5" s="199"/>
      <c r="P5" s="274">
        <f>M5</f>
        <v>0.94484890990660408</v>
      </c>
      <c r="Q5" s="272">
        <f>G5*P5</f>
        <v>1596244.1014635852</v>
      </c>
      <c r="S5" s="275">
        <f>Q5/$Q$9</f>
        <v>0.14854861005337233</v>
      </c>
      <c r="T5" s="272">
        <f>Q5-D5</f>
        <v>1495729.1008575736</v>
      </c>
      <c r="U5" s="276">
        <f t="shared" si="0"/>
        <v>0.14742636657976538</v>
      </c>
      <c r="W5" s="277">
        <v>0.8</v>
      </c>
      <c r="X5" s="277">
        <v>1.2</v>
      </c>
      <c r="Z5" s="351">
        <f t="shared" ref="Z5:Z8" si="5">T5/C5-1</f>
        <v>0.25406817342696186</v>
      </c>
    </row>
    <row r="6" spans="2:30">
      <c r="B6" s="271" t="s">
        <v>354</v>
      </c>
      <c r="C6" s="272">
        <v>1120096.1119293154</v>
      </c>
      <c r="D6" s="272">
        <v>101034.765630632</v>
      </c>
      <c r="E6" s="272">
        <v>1404676.8851498384</v>
      </c>
      <c r="F6" s="272">
        <f>D6+E6</f>
        <v>1505711.6507804703</v>
      </c>
      <c r="G6" s="272">
        <v>2168879.4246354215</v>
      </c>
      <c r="H6" s="273">
        <f>F6/G6</f>
        <v>0.69423483559192023</v>
      </c>
      <c r="J6" s="274">
        <f t="shared" si="3"/>
        <v>0.8</v>
      </c>
      <c r="K6" s="272">
        <f>G6*J6</f>
        <v>1735103.5397083373</v>
      </c>
      <c r="L6" s="199"/>
      <c r="M6" s="274">
        <f>IF($L$9&lt;0,IF($J6=$K$11,$L$11,$J6),IF($L$9&gt;0,IF($J6=$K$10,$L$10,$J6),$J6))</f>
        <v>0.8</v>
      </c>
      <c r="N6" s="272">
        <f>G6*M6</f>
        <v>1735103.5397083373</v>
      </c>
      <c r="O6" s="199"/>
      <c r="P6" s="274">
        <f>IF(ROUND($O$9,0)=0,M6,IF(O$9&gt;0,IF(M6=N$11,O$11,M6),IF(M6=N$10,O$10,M6)))</f>
        <v>0.8</v>
      </c>
      <c r="Q6" s="272">
        <f>G6*P6</f>
        <v>1735103.5397083373</v>
      </c>
      <c r="S6" s="275">
        <f>Q6/$Q$9</f>
        <v>0.16147105501347392</v>
      </c>
      <c r="T6" s="272">
        <f t="shared" ref="T6:T8" si="6">Q6-D6</f>
        <v>1634068.7740777053</v>
      </c>
      <c r="U6" s="276">
        <f t="shared" si="0"/>
        <v>0.1610618005396868</v>
      </c>
      <c r="W6" s="277">
        <v>0.8</v>
      </c>
      <c r="X6" s="277">
        <v>1.2</v>
      </c>
      <c r="Z6" s="351">
        <f t="shared" si="5"/>
        <v>0.45886478550764287</v>
      </c>
    </row>
    <row r="7" spans="2:30">
      <c r="B7" s="271" t="s">
        <v>172</v>
      </c>
      <c r="C7" s="272">
        <v>219344.82857180183</v>
      </c>
      <c r="D7" s="272">
        <v>3687.8830446946836</v>
      </c>
      <c r="E7" s="272">
        <v>275073.36851768958</v>
      </c>
      <c r="F7" s="272">
        <f t="shared" si="1"/>
        <v>278761.25156238425</v>
      </c>
      <c r="G7" s="272">
        <v>81542.931303113699</v>
      </c>
      <c r="H7" s="273">
        <f>F7/G7</f>
        <v>3.4185826669164614</v>
      </c>
      <c r="J7" s="274">
        <f t="shared" si="3"/>
        <v>1.2</v>
      </c>
      <c r="K7" s="272">
        <f t="shared" ref="K7" si="7">G7*J7</f>
        <v>97851.51756373643</v>
      </c>
      <c r="L7" s="199"/>
      <c r="M7" s="274">
        <f>L11</f>
        <v>0.94484890990660408</v>
      </c>
      <c r="N7" s="272">
        <f t="shared" ref="N7:N8" si="8">G7*M7</f>
        <v>77045.74975233608</v>
      </c>
      <c r="O7" s="199"/>
      <c r="P7" s="274">
        <f>O11</f>
        <v>1.0766669496177892</v>
      </c>
      <c r="Q7" s="272">
        <f t="shared" ref="Q7:Q8" si="9">G7*P7</f>
        <v>87794.579109016369</v>
      </c>
      <c r="S7" s="275">
        <f>Q7/$Q$9</f>
        <v>8.1702809018415912E-3</v>
      </c>
      <c r="T7" s="272">
        <f t="shared" si="6"/>
        <v>84106.696064321688</v>
      </c>
      <c r="U7" s="276">
        <f t="shared" si="0"/>
        <v>8.289966811959695E-3</v>
      </c>
      <c r="W7" s="277">
        <v>0.8</v>
      </c>
      <c r="X7" s="277">
        <v>1.2</v>
      </c>
      <c r="Z7" s="351">
        <f t="shared" si="5"/>
        <v>-0.61655491669460705</v>
      </c>
    </row>
    <row r="8" spans="2:30" ht="25.5">
      <c r="B8" s="271" t="s">
        <v>241</v>
      </c>
      <c r="C8" s="272">
        <v>5431.6888747149715</v>
      </c>
      <c r="D8" s="272">
        <v>353.648370400864</v>
      </c>
      <c r="E8" s="272">
        <v>6811.7081457373542</v>
      </c>
      <c r="F8" s="272">
        <f t="shared" si="1"/>
        <v>7165.3565161382185</v>
      </c>
      <c r="G8" s="272">
        <v>7657.7805768952803</v>
      </c>
      <c r="H8" s="273">
        <f t="shared" si="2"/>
        <v>0.935696243080824</v>
      </c>
      <c r="J8" s="274">
        <f t="shared" si="3"/>
        <v>0.935696243080824</v>
      </c>
      <c r="K8" s="272">
        <f t="shared" si="4"/>
        <v>7165.3565161382185</v>
      </c>
      <c r="L8" s="199"/>
      <c r="M8" s="274">
        <f>IF($L$9&lt;0,IF($J8=$K$11,$L$11,$J8),IF($L$9&gt;0,IF($J8=$K$10,$L$10,$J8),$J8))</f>
        <v>0.935696243080824</v>
      </c>
      <c r="N8" s="272">
        <f t="shared" si="8"/>
        <v>7165.3565161382185</v>
      </c>
      <c r="O8" s="199"/>
      <c r="P8" s="274">
        <f>M8</f>
        <v>0.935696243080824</v>
      </c>
      <c r="Q8" s="272">
        <f t="shared" si="9"/>
        <v>7165.3565161382185</v>
      </c>
      <c r="S8" s="275">
        <f>Q8/$Q$9</f>
        <v>6.6681765654342108E-4</v>
      </c>
      <c r="T8" s="272">
        <f t="shared" si="6"/>
        <v>6811.7081457373542</v>
      </c>
      <c r="U8" s="276">
        <f t="shared" si="0"/>
        <v>6.7139522895695374E-4</v>
      </c>
      <c r="W8" s="277">
        <v>0.8</v>
      </c>
      <c r="X8" s="277">
        <v>1.2</v>
      </c>
      <c r="Z8" s="351">
        <f t="shared" si="5"/>
        <v>0.25406817342696186</v>
      </c>
    </row>
    <row r="9" spans="2:30" s="227" customFormat="1" ht="13.5" thickBot="1">
      <c r="B9" s="278" t="s">
        <v>146</v>
      </c>
      <c r="C9" s="279">
        <f>SUM(C4:C8)</f>
        <v>8090151.136690937</v>
      </c>
      <c r="D9" s="279">
        <f>SUM(D4:D8)</f>
        <v>600000</v>
      </c>
      <c r="E9" s="279">
        <f>SUM(E4:E8)</f>
        <v>10145601.058738062</v>
      </c>
      <c r="F9" s="279">
        <f>SUM(F4:F8)</f>
        <v>10745601.058738064</v>
      </c>
      <c r="G9" s="279">
        <f>SUM(G4:G8)</f>
        <v>10745601.058738062</v>
      </c>
      <c r="H9" s="280">
        <f t="shared" si="2"/>
        <v>1.0000000000000002</v>
      </c>
      <c r="J9" s="222"/>
      <c r="K9" s="281">
        <f>SUM(K4:K8)</f>
        <v>10794083.213667281</v>
      </c>
      <c r="L9" s="282">
        <f>G9-K9</f>
        <v>-48482.154929218814</v>
      </c>
      <c r="M9" s="222"/>
      <c r="N9" s="281">
        <f>SUM(N4:N8)</f>
        <v>9838739.5371483583</v>
      </c>
      <c r="O9" s="282">
        <f>G9-N9</f>
        <v>906861.52158970386</v>
      </c>
      <c r="P9" s="222"/>
      <c r="Q9" s="281">
        <f>SUM(Q4:Q8)</f>
        <v>10745601.058738062</v>
      </c>
      <c r="R9" s="283">
        <f>G9-Q9</f>
        <v>0</v>
      </c>
      <c r="S9" s="284">
        <f>SUM(S4:S8)</f>
        <v>1.0000000000000002</v>
      </c>
      <c r="T9" s="281">
        <f>SUM(T4:T8)</f>
        <v>10145601.058738064</v>
      </c>
      <c r="U9" s="285">
        <f t="shared" si="0"/>
        <v>1</v>
      </c>
      <c r="V9" s="282"/>
    </row>
    <row r="10" spans="2:30">
      <c r="J10" s="25" t="s">
        <v>308</v>
      </c>
      <c r="K10" s="194">
        <f>MIN(J4:J8)</f>
        <v>0.8</v>
      </c>
      <c r="L10" s="194">
        <f>LARGE(J4:J8,COUNT(J4:J8)-1)</f>
        <v>0.935696243080824</v>
      </c>
      <c r="M10" s="25" t="s">
        <v>308</v>
      </c>
      <c r="N10" s="194">
        <f>MIN(M4:M8)</f>
        <v>0.8</v>
      </c>
      <c r="O10" s="194">
        <v>0.8</v>
      </c>
      <c r="P10" s="25" t="s">
        <v>308</v>
      </c>
      <c r="Q10" s="194">
        <f>MIN(P4:P8)</f>
        <v>0.8</v>
      </c>
      <c r="R10" s="194"/>
      <c r="T10" s="194"/>
      <c r="U10" s="194"/>
    </row>
    <row r="11" spans="2:30">
      <c r="J11" s="25" t="s">
        <v>309</v>
      </c>
      <c r="K11" s="194">
        <f>MAX(J4:J8)</f>
        <v>1.2</v>
      </c>
      <c r="L11" s="194">
        <f>SMALL(J5:J9,COUNT(J5:J9)-1)</f>
        <v>0.94484890990660408</v>
      </c>
      <c r="M11" s="25" t="s">
        <v>309</v>
      </c>
      <c r="N11" s="194">
        <f>MAX(M4:M8)</f>
        <v>0.94484890990660408</v>
      </c>
      <c r="O11" s="286">
        <v>1.0766669496177892</v>
      </c>
      <c r="P11" s="25" t="s">
        <v>309</v>
      </c>
      <c r="Q11" s="194">
        <f>MAX(P4:P8)</f>
        <v>1.0766669496177892</v>
      </c>
      <c r="R11" s="194"/>
      <c r="T11" s="194"/>
      <c r="U11" s="194"/>
    </row>
    <row r="12" spans="2:30" ht="13.5" thickBot="1">
      <c r="K12" s="194"/>
      <c r="N12" s="194"/>
      <c r="Q12" s="194"/>
    </row>
    <row r="13" spans="2:30" ht="13.5" thickBot="1">
      <c r="C13" s="383" t="s">
        <v>310</v>
      </c>
      <c r="D13" s="384"/>
      <c r="E13" s="384"/>
      <c r="F13" s="384"/>
      <c r="G13" s="384"/>
      <c r="H13" s="384"/>
      <c r="I13" s="384"/>
      <c r="J13" s="384"/>
      <c r="K13" s="385"/>
      <c r="L13" s="383" t="s">
        <v>311</v>
      </c>
      <c r="M13" s="384"/>
      <c r="N13" s="384"/>
      <c r="O13" s="384"/>
      <c r="P13" s="384"/>
      <c r="Q13" s="385"/>
      <c r="S13" s="383" t="s">
        <v>312</v>
      </c>
      <c r="T13" s="384"/>
      <c r="U13" s="384"/>
      <c r="V13" s="384"/>
      <c r="W13" s="384"/>
      <c r="X13" s="384"/>
      <c r="Y13" s="385"/>
    </row>
    <row r="14" spans="2:30">
      <c r="C14" s="287" t="s">
        <v>313</v>
      </c>
      <c r="D14" s="288" t="s">
        <v>314</v>
      </c>
      <c r="E14" s="288" t="s">
        <v>315</v>
      </c>
      <c r="F14" s="289" t="s">
        <v>316</v>
      </c>
      <c r="G14" s="287" t="s">
        <v>317</v>
      </c>
      <c r="H14" s="288" t="s">
        <v>318</v>
      </c>
      <c r="I14" s="290" t="s">
        <v>319</v>
      </c>
      <c r="J14" s="291" t="s">
        <v>320</v>
      </c>
      <c r="K14" s="290" t="s">
        <v>321</v>
      </c>
      <c r="L14" s="287" t="s">
        <v>315</v>
      </c>
      <c r="M14" s="288" t="s">
        <v>322</v>
      </c>
      <c r="N14" s="292" t="s">
        <v>323</v>
      </c>
      <c r="O14" s="293" t="s">
        <v>324</v>
      </c>
      <c r="P14" s="293" t="s">
        <v>325</v>
      </c>
      <c r="Q14" s="294" t="s">
        <v>326</v>
      </c>
      <c r="S14" s="295" t="s">
        <v>327</v>
      </c>
      <c r="T14" s="296" t="s">
        <v>328</v>
      </c>
      <c r="U14" s="296" t="s">
        <v>320</v>
      </c>
      <c r="V14" s="297" t="s">
        <v>321</v>
      </c>
      <c r="X14" s="295" t="s">
        <v>329</v>
      </c>
      <c r="Y14" s="297" t="s">
        <v>316</v>
      </c>
    </row>
    <row r="15" spans="2:30">
      <c r="B15" s="298" t="s">
        <v>89</v>
      </c>
      <c r="C15" s="299">
        <f ca="1">'Summary Tables'!J33</f>
        <v>17011.594251292951</v>
      </c>
      <c r="D15" s="300">
        <f ca="1">'Summary Tables'!E12</f>
        <v>137612683.9681733</v>
      </c>
      <c r="E15" s="301">
        <v>27.24</v>
      </c>
      <c r="F15" s="302"/>
      <c r="G15" s="299">
        <f ca="1">C15*E15*12</f>
        <v>5560749.9288626397</v>
      </c>
      <c r="H15" s="300">
        <f ca="1">+D15*F15-N15</f>
        <v>0</v>
      </c>
      <c r="I15" s="303">
        <f ca="1">G15+H15</f>
        <v>5560749.9288626397</v>
      </c>
      <c r="J15" s="304">
        <f t="shared" ref="J15:J16" ca="1" si="10">G15/($I15)</f>
        <v>1</v>
      </c>
      <c r="K15" s="305">
        <f t="shared" ref="K15:K18" ca="1" si="11">H15/$I15</f>
        <v>0</v>
      </c>
      <c r="L15" s="306">
        <f ca="1">J15*T4</f>
        <v>6924884.7795927254</v>
      </c>
      <c r="M15" s="307">
        <f ca="1">K15*T4</f>
        <v>0</v>
      </c>
      <c r="N15" s="308"/>
      <c r="O15" s="309">
        <f t="shared" ref="O15:O19" ca="1" si="12">L15/C15/12</f>
        <v>33.922378062177636</v>
      </c>
      <c r="P15" s="310">
        <f t="shared" ref="P15:P19" ca="1" si="13">M15/D15</f>
        <v>0</v>
      </c>
      <c r="Q15" s="311">
        <v>27.24</v>
      </c>
      <c r="S15" s="299">
        <f t="shared" ref="S15:S19" ca="1" si="14">IF(R15="Over",Q15*12*C15,L15)</f>
        <v>6924884.7795927254</v>
      </c>
      <c r="T15" s="300">
        <f ca="1">T4-S15+N15</f>
        <v>0</v>
      </c>
      <c r="U15" s="275">
        <f t="shared" ref="U15" ca="1" si="15">S15/(S15+T15-N15)</f>
        <v>1</v>
      </c>
      <c r="V15" s="273"/>
      <c r="X15" s="312">
        <f t="shared" ref="X15:X19" ca="1" si="16">S15/C15/12</f>
        <v>33.922378062177636</v>
      </c>
      <c r="Y15" s="313">
        <f t="shared" ref="Y15:Y19" ca="1" si="17">T15/D15</f>
        <v>0</v>
      </c>
      <c r="AC15" s="263"/>
      <c r="AD15" s="314"/>
    </row>
    <row r="16" spans="2:30">
      <c r="B16" s="298" t="s">
        <v>353</v>
      </c>
      <c r="C16" s="299">
        <f ca="1">'Summary Tables'!J34</f>
        <v>1832.6722417052104</v>
      </c>
      <c r="D16" s="300">
        <f ca="1">'Summary Tables'!E13</f>
        <v>44847585.646509901</v>
      </c>
      <c r="E16" s="301">
        <v>23.07</v>
      </c>
      <c r="F16" s="302">
        <v>1.5299999999999999E-2</v>
      </c>
      <c r="G16" s="299">
        <f ca="1">C16*E16*12</f>
        <v>507356.98339367041</v>
      </c>
      <c r="H16" s="300">
        <f t="shared" ref="H16:H19" ca="1" si="18">+D16*F16-N16</f>
        <v>686168.06039160141</v>
      </c>
      <c r="I16" s="303">
        <f t="shared" ref="I16:I19" ca="1" si="19">G16+H16</f>
        <v>1193525.0437852717</v>
      </c>
      <c r="J16" s="304">
        <f t="shared" ca="1" si="10"/>
        <v>0.42509119187359884</v>
      </c>
      <c r="K16" s="305">
        <f t="shared" ca="1" si="11"/>
        <v>0.57490880812640122</v>
      </c>
      <c r="L16" s="306">
        <f ca="1">J16*T5</f>
        <v>635821.26620357228</v>
      </c>
      <c r="M16" s="307">
        <f ca="1">K16*T5</f>
        <v>859907.8346540014</v>
      </c>
      <c r="N16" s="308"/>
      <c r="O16" s="309">
        <f t="shared" ca="1" si="12"/>
        <v>28.911391961535003</v>
      </c>
      <c r="P16" s="310">
        <f t="shared" ca="1" si="13"/>
        <v>1.9174005072019315E-2</v>
      </c>
      <c r="Q16" s="311">
        <v>34.784210946411775</v>
      </c>
      <c r="R16" s="25" t="str">
        <f t="shared" ref="R16:R19" ca="1" si="20">IF(O16&gt;Q16,"Over","")</f>
        <v/>
      </c>
      <c r="S16" s="299">
        <f ca="1">IF(R16="Over",Q16*12*C16,L16)</f>
        <v>635821.26620357228</v>
      </c>
      <c r="T16" s="300">
        <f ca="1">T5-S16+N16</f>
        <v>859907.83465400129</v>
      </c>
      <c r="U16" s="275">
        <f ca="1">S16/(S16+T16-N16)</f>
        <v>0.42509119187359884</v>
      </c>
      <c r="V16" s="273">
        <f ca="1">T16/(S16+T16)</f>
        <v>0.57490880812640111</v>
      </c>
      <c r="X16" s="312">
        <f t="shared" ca="1" si="16"/>
        <v>28.911391961535003</v>
      </c>
      <c r="Y16" s="313">
        <f t="shared" ca="1" si="17"/>
        <v>1.9174005072019312E-2</v>
      </c>
      <c r="AC16" s="263"/>
      <c r="AD16" s="314"/>
    </row>
    <row r="17" spans="2:30">
      <c r="B17" s="298" t="s">
        <v>354</v>
      </c>
      <c r="C17" s="299">
        <f ca="1">'Summary Tables'!J35</f>
        <v>126.65264045012246</v>
      </c>
      <c r="D17" s="300">
        <f ca="1">'Summary Tables'!E27</f>
        <v>324246.8119060648</v>
      </c>
      <c r="E17" s="301">
        <v>110.21</v>
      </c>
      <c r="F17" s="302">
        <v>3.6042000000000001</v>
      </c>
      <c r="G17" s="299">
        <f ca="1">C17*E17*12</f>
        <v>167500.65004809597</v>
      </c>
      <c r="H17" s="300">
        <f ca="1">+D17*F17-N17*0.6</f>
        <v>1106091.1352408591</v>
      </c>
      <c r="I17" s="303">
        <f ca="1">G17+H17</f>
        <v>1273591.7852889551</v>
      </c>
      <c r="J17" s="304">
        <f ca="1">G17/($I17)</f>
        <v>0.13151831849330992</v>
      </c>
      <c r="K17" s="305">
        <f t="shared" ca="1" si="11"/>
        <v>0.86848168150669014</v>
      </c>
      <c r="L17" s="306">
        <f ca="1">J17*T6</f>
        <v>214909.97746912413</v>
      </c>
      <c r="M17" s="307">
        <f ca="1">K17*T6</f>
        <v>1419158.7966085812</v>
      </c>
      <c r="N17" s="308">
        <v>104265.37371829929</v>
      </c>
      <c r="O17" s="309">
        <f ca="1">L17/C17/12</f>
        <v>141.4038011797042</v>
      </c>
      <c r="P17" s="310">
        <f t="shared" ca="1" si="13"/>
        <v>4.3767856598686175</v>
      </c>
      <c r="Q17" s="311">
        <v>110.21</v>
      </c>
      <c r="R17" s="25" t="str">
        <f t="shared" ca="1" si="20"/>
        <v>Over</v>
      </c>
      <c r="S17" s="299">
        <f ca="1">IF(R17="Over",Q17*12*C17,L17)</f>
        <v>167500.65004809597</v>
      </c>
      <c r="T17" s="300">
        <f ca="1">T6-S17+N17*0.6</f>
        <v>1529127.3482605889</v>
      </c>
      <c r="U17" s="275">
        <f ca="1">S17/(S17+T17-N17)</f>
        <v>0.10519001605628825</v>
      </c>
      <c r="V17" s="273">
        <f ca="1">T17/(S17+T17)</f>
        <v>0.9012743805860377</v>
      </c>
      <c r="X17" s="312">
        <f t="shared" ca="1" si="16"/>
        <v>110.21</v>
      </c>
      <c r="Y17" s="313">
        <f ca="1">T17/D17</f>
        <v>4.7159364166811955</v>
      </c>
      <c r="AB17" s="263"/>
      <c r="AC17" s="263"/>
      <c r="AD17" s="314"/>
    </row>
    <row r="18" spans="2:30">
      <c r="B18" s="298" t="s">
        <v>172</v>
      </c>
      <c r="C18" s="299">
        <f ca="1">'Summary Tables'!J36</f>
        <v>3317.6034925637241</v>
      </c>
      <c r="D18" s="300">
        <f ca="1">'Summary Tables'!E28</f>
        <v>3496.2338802388308</v>
      </c>
      <c r="E18" s="301">
        <v>4.03</v>
      </c>
      <c r="F18" s="302">
        <v>16.8079</v>
      </c>
      <c r="G18" s="299">
        <f t="shared" ref="G18:G19" ca="1" si="21">C18*E18*12</f>
        <v>160439.30490038171</v>
      </c>
      <c r="H18" s="300">
        <f t="shared" ca="1" si="18"/>
        <v>58764.349435666241</v>
      </c>
      <c r="I18" s="303">
        <f t="shared" ca="1" si="19"/>
        <v>219203.65433604794</v>
      </c>
      <c r="J18" s="304">
        <f t="shared" ref="J18:J19" ca="1" si="22">G18/($I18)</f>
        <v>0.73191893349744008</v>
      </c>
      <c r="K18" s="305">
        <f t="shared" ca="1" si="11"/>
        <v>0.26808106650255997</v>
      </c>
      <c r="L18" s="306">
        <f ca="1">J18*T7</f>
        <v>61559.283283391669</v>
      </c>
      <c r="M18" s="307">
        <f ca="1">K18*T7+N18</f>
        <v>22547.412780930023</v>
      </c>
      <c r="N18" s="308"/>
      <c r="O18" s="309">
        <f t="shared" ca="1" si="12"/>
        <v>1.5462788983416882</v>
      </c>
      <c r="P18" s="310">
        <f t="shared" ca="1" si="13"/>
        <v>6.4490573437809573</v>
      </c>
      <c r="Q18" s="311">
        <v>4.03</v>
      </c>
      <c r="R18" s="25" t="str">
        <f t="shared" ca="1" si="20"/>
        <v/>
      </c>
      <c r="S18" s="299">
        <f t="shared" ca="1" si="14"/>
        <v>61559.283283391669</v>
      </c>
      <c r="T18" s="300">
        <f ca="1">T7-S18+N18</f>
        <v>22547.412780930019</v>
      </c>
      <c r="U18" s="275">
        <f t="shared" ref="U18:U19" ca="1" si="23">S18/(S18+T18-N18)</f>
        <v>0.73191893349744008</v>
      </c>
      <c r="V18" s="273">
        <f t="shared" ref="V18:V19" ca="1" si="24">T18/(S18+T18)</f>
        <v>0.26808106650255992</v>
      </c>
      <c r="X18" s="312">
        <f t="shared" ca="1" si="16"/>
        <v>1.5462788983416882</v>
      </c>
      <c r="Y18" s="313">
        <f t="shared" ca="1" si="17"/>
        <v>6.4490573437809555</v>
      </c>
      <c r="AC18" s="263"/>
      <c r="AD18" s="314"/>
    </row>
    <row r="19" spans="2:30" ht="26.25" thickBot="1">
      <c r="B19" s="298" t="s">
        <v>241</v>
      </c>
      <c r="C19" s="299">
        <f ca="1">'Summary Tables'!J37</f>
        <v>30</v>
      </c>
      <c r="D19" s="300">
        <f ca="1">'Summary Tables'!E16</f>
        <v>396233.27731092443</v>
      </c>
      <c r="E19" s="301">
        <v>0.56000000000000005</v>
      </c>
      <c r="F19" s="302">
        <v>1.32E-2</v>
      </c>
      <c r="G19" s="299">
        <f t="shared" ca="1" si="21"/>
        <v>201.60000000000002</v>
      </c>
      <c r="H19" s="300">
        <f t="shared" ca="1" si="18"/>
        <v>5230.2792605042023</v>
      </c>
      <c r="I19" s="303">
        <f t="shared" ca="1" si="19"/>
        <v>5431.8792605042026</v>
      </c>
      <c r="J19" s="304">
        <f t="shared" ca="1" si="22"/>
        <v>3.7114227016394864E-2</v>
      </c>
      <c r="K19" s="305">
        <f ca="1">H19/$I19</f>
        <v>0.96288577298360511</v>
      </c>
      <c r="L19" s="306">
        <f ca="1">J19*T8</f>
        <v>252.81128249032227</v>
      </c>
      <c r="M19" s="307">
        <f ca="1">K19*T8+N19</f>
        <v>6558.8968632470314</v>
      </c>
      <c r="N19" s="308"/>
      <c r="O19" s="309">
        <f t="shared" ca="1" si="12"/>
        <v>0.70225356247311732</v>
      </c>
      <c r="P19" s="310">
        <f t="shared" ca="1" si="13"/>
        <v>1.6553119686866336E-2</v>
      </c>
      <c r="Q19" s="311">
        <v>5.859961543646155</v>
      </c>
      <c r="R19" s="25" t="str">
        <f t="shared" ca="1" si="20"/>
        <v/>
      </c>
      <c r="S19" s="315">
        <f t="shared" ca="1" si="14"/>
        <v>252.81128249032227</v>
      </c>
      <c r="T19" s="316">
        <f ca="1">T8-S19+N19</f>
        <v>6558.8968632470323</v>
      </c>
      <c r="U19" s="317">
        <f t="shared" ca="1" si="23"/>
        <v>3.7114227016394864E-2</v>
      </c>
      <c r="V19" s="318">
        <f t="shared" ca="1" si="24"/>
        <v>0.96288577298360523</v>
      </c>
      <c r="W19" s="319"/>
      <c r="X19" s="320">
        <f t="shared" ca="1" si="16"/>
        <v>0.70225356247311732</v>
      </c>
      <c r="Y19" s="321">
        <f t="shared" ca="1" si="17"/>
        <v>1.655311968686634E-2</v>
      </c>
      <c r="AC19" s="263"/>
      <c r="AD19" s="314"/>
    </row>
    <row r="20" spans="2:30" ht="13.5" thickBot="1">
      <c r="C20" s="322">
        <f ca="1">SUM(C15:C19)</f>
        <v>22318.522626012011</v>
      </c>
      <c r="D20" s="323">
        <f ca="1">SUM(D15:D19)</f>
        <v>183184245.93778047</v>
      </c>
      <c r="E20" s="323"/>
      <c r="F20" s="324"/>
      <c r="G20" s="322">
        <f ca="1">SUM(G15:G19)</f>
        <v>6396248.4672047868</v>
      </c>
      <c r="H20" s="323">
        <f ca="1">SUM(H15:H19)</f>
        <v>1856253.8243286312</v>
      </c>
      <c r="I20" s="325">
        <f ca="1">SUM(I15:I19)</f>
        <v>8252502.2915334189</v>
      </c>
      <c r="J20" s="326">
        <f t="shared" ref="J20" ca="1" si="25">G20/$I20</f>
        <v>0.77506776020734469</v>
      </c>
      <c r="K20" s="327">
        <f ca="1">H20/$I20</f>
        <v>0.22493223979265517</v>
      </c>
      <c r="L20" s="278"/>
      <c r="M20" s="328"/>
      <c r="N20" s="329"/>
      <c r="O20" s="328"/>
      <c r="P20" s="330"/>
      <c r="Q20" s="331"/>
      <c r="AC20" s="263"/>
    </row>
    <row r="21" spans="2:30" ht="13.5" thickBot="1">
      <c r="P21" s="198"/>
    </row>
    <row r="22" spans="2:30">
      <c r="B22" s="332"/>
      <c r="C22" s="377" t="s">
        <v>330</v>
      </c>
      <c r="D22" s="378"/>
      <c r="E22" s="377" t="s">
        <v>331</v>
      </c>
      <c r="F22" s="379"/>
      <c r="G22" s="377" t="s">
        <v>332</v>
      </c>
      <c r="H22" s="378"/>
    </row>
    <row r="23" spans="2:30">
      <c r="B23" s="333"/>
      <c r="C23" s="334" t="s">
        <v>333</v>
      </c>
      <c r="D23" s="335" t="s">
        <v>334</v>
      </c>
      <c r="E23" s="334" t="s">
        <v>333</v>
      </c>
      <c r="F23" s="336" t="s">
        <v>334</v>
      </c>
      <c r="G23" s="334" t="s">
        <v>333</v>
      </c>
      <c r="H23" s="335" t="s">
        <v>334</v>
      </c>
    </row>
    <row r="24" spans="2:30">
      <c r="B24" s="333" t="str">
        <f>B15</f>
        <v>Residential</v>
      </c>
      <c r="C24" s="337">
        <f t="shared" ref="C24:D28" si="26">E15</f>
        <v>27.24</v>
      </c>
      <c r="D24" s="338">
        <f t="shared" si="26"/>
        <v>0</v>
      </c>
      <c r="E24" s="337">
        <f t="shared" ref="E24:F28" ca="1" si="27">X15</f>
        <v>33.922378062177636</v>
      </c>
      <c r="F24" s="339">
        <f t="shared" ca="1" si="27"/>
        <v>0</v>
      </c>
      <c r="G24" s="340">
        <f t="shared" ref="G24:H25" ca="1" si="28">E24/C24-1</f>
        <v>0.24531490683471513</v>
      </c>
      <c r="H24" s="341"/>
      <c r="I24" s="194">
        <f>H4</f>
        <v>1.0823192930730798</v>
      </c>
      <c r="J24" s="194">
        <f>P4</f>
        <v>1.0766669496177892</v>
      </c>
      <c r="K24" s="314" t="s">
        <v>339</v>
      </c>
      <c r="L24" s="263"/>
      <c r="M24" s="314"/>
      <c r="N24" s="215"/>
      <c r="P24" s="342" t="s">
        <v>336</v>
      </c>
    </row>
    <row r="25" spans="2:30">
      <c r="B25" s="333" t="str">
        <f>B16</f>
        <v>GS &lt;50</v>
      </c>
      <c r="C25" s="337">
        <f t="shared" si="26"/>
        <v>23.07</v>
      </c>
      <c r="D25" s="343">
        <f t="shared" si="26"/>
        <v>1.5299999999999999E-2</v>
      </c>
      <c r="E25" s="337">
        <f t="shared" ca="1" si="27"/>
        <v>28.911391961535003</v>
      </c>
      <c r="F25" s="339">
        <f t="shared" ca="1" si="27"/>
        <v>1.9174005072019312E-2</v>
      </c>
      <c r="G25" s="340">
        <f t="shared" ca="1" si="28"/>
        <v>0.25320294588361514</v>
      </c>
      <c r="H25" s="341">
        <f t="shared" ca="1" si="28"/>
        <v>0.25320294588361514</v>
      </c>
      <c r="I25" s="194">
        <f>H5</f>
        <v>0.94484890990660408</v>
      </c>
      <c r="J25" s="194">
        <f>P5</f>
        <v>0.94484890990660408</v>
      </c>
      <c r="K25" s="314" t="s">
        <v>337</v>
      </c>
      <c r="L25" s="263"/>
      <c r="M25" s="314"/>
      <c r="N25" s="215"/>
      <c r="P25" s="342" t="s">
        <v>338</v>
      </c>
    </row>
    <row r="26" spans="2:30">
      <c r="B26" s="333" t="str">
        <f>B17</f>
        <v>GS &gt;50</v>
      </c>
      <c r="C26" s="337">
        <f t="shared" si="26"/>
        <v>110.21</v>
      </c>
      <c r="D26" s="343">
        <f t="shared" si="26"/>
        <v>3.6042000000000001</v>
      </c>
      <c r="E26" s="337">
        <f t="shared" ca="1" si="27"/>
        <v>110.21</v>
      </c>
      <c r="F26" s="339">
        <f t="shared" ca="1" si="27"/>
        <v>4.7159364166811955</v>
      </c>
      <c r="G26" s="340">
        <f ca="1">E26/C26-1</f>
        <v>0</v>
      </c>
      <c r="H26" s="341">
        <f ca="1">F26/D26-1</f>
        <v>0.30845580619310686</v>
      </c>
      <c r="I26" s="194">
        <f>H6</f>
        <v>0.69423483559192023</v>
      </c>
      <c r="J26" s="194">
        <f>P6</f>
        <v>0.8</v>
      </c>
      <c r="K26" s="314" t="s">
        <v>335</v>
      </c>
      <c r="L26" s="263"/>
      <c r="M26" s="314"/>
      <c r="N26" s="215"/>
      <c r="P26" s="342" t="s">
        <v>341</v>
      </c>
    </row>
    <row r="27" spans="2:30">
      <c r="B27" s="333" t="str">
        <f>B18</f>
        <v>Street Light</v>
      </c>
      <c r="C27" s="337">
        <f t="shared" si="26"/>
        <v>4.03</v>
      </c>
      <c r="D27" s="343">
        <f t="shared" si="26"/>
        <v>16.8079</v>
      </c>
      <c r="E27" s="337">
        <f t="shared" ca="1" si="27"/>
        <v>1.5462788983416882</v>
      </c>
      <c r="F27" s="339">
        <f t="shared" ca="1" si="27"/>
        <v>6.4490573437809555</v>
      </c>
      <c r="G27" s="340">
        <f t="shared" ref="G27:H28" ca="1" si="29">E27/C27-1</f>
        <v>-0.61630796567203772</v>
      </c>
      <c r="H27" s="341">
        <f t="shared" ca="1" si="29"/>
        <v>-0.61630796567203783</v>
      </c>
      <c r="I27" s="194">
        <f>H7</f>
        <v>3.4185826669164614</v>
      </c>
      <c r="J27" s="194">
        <f>P7</f>
        <v>1.0766669496177892</v>
      </c>
      <c r="K27" s="314" t="s">
        <v>340</v>
      </c>
      <c r="L27" s="263"/>
      <c r="M27" s="314"/>
      <c r="N27" s="215"/>
      <c r="P27" s="342" t="s">
        <v>338</v>
      </c>
    </row>
    <row r="28" spans="2:30" ht="13.5" thickBot="1">
      <c r="B28" s="344" t="str">
        <f>B19</f>
        <v>Unmetered Scattered Load</v>
      </c>
      <c r="C28" s="345">
        <f t="shared" si="26"/>
        <v>0.56000000000000005</v>
      </c>
      <c r="D28" s="346">
        <f t="shared" si="26"/>
        <v>1.32E-2</v>
      </c>
      <c r="E28" s="345">
        <f t="shared" ca="1" si="27"/>
        <v>0.70225356247311732</v>
      </c>
      <c r="F28" s="347">
        <f t="shared" ca="1" si="27"/>
        <v>1.655311968686634E-2</v>
      </c>
      <c r="G28" s="348">
        <f t="shared" ca="1" si="29"/>
        <v>0.25402421870199499</v>
      </c>
      <c r="H28" s="349">
        <f t="shared" ca="1" si="29"/>
        <v>0.25402421870199543</v>
      </c>
      <c r="I28" s="194">
        <f>H8</f>
        <v>0.935696243080824</v>
      </c>
      <c r="J28" s="194">
        <f>P8</f>
        <v>0.935696243080824</v>
      </c>
      <c r="K28" s="314" t="s">
        <v>335</v>
      </c>
      <c r="L28" s="263"/>
      <c r="M28" s="314"/>
      <c r="P28" s="342" t="s">
        <v>338</v>
      </c>
    </row>
    <row r="30" spans="2:30">
      <c r="E30" s="263"/>
      <c r="F30" s="263"/>
      <c r="G30" s="350"/>
      <c r="H30" s="196"/>
    </row>
    <row r="31" spans="2:30">
      <c r="E31" s="263"/>
      <c r="F31" s="263"/>
      <c r="G31" s="350"/>
      <c r="H31" s="196"/>
    </row>
    <row r="32" spans="2:30">
      <c r="E32" s="263"/>
      <c r="F32" s="263"/>
      <c r="G32" s="350"/>
      <c r="H32" s="196"/>
    </row>
    <row r="33" spans="3:8">
      <c r="E33" s="263"/>
      <c r="F33" s="263"/>
      <c r="G33" s="350"/>
      <c r="H33" s="196"/>
    </row>
    <row r="34" spans="3:8">
      <c r="E34" s="263"/>
      <c r="F34" s="263"/>
      <c r="G34" s="350"/>
      <c r="H34" s="196"/>
    </row>
    <row r="35" spans="3:8">
      <c r="E35" s="263"/>
      <c r="F35" s="263"/>
      <c r="G35" s="350"/>
      <c r="H35" s="196"/>
    </row>
    <row r="36" spans="3:8">
      <c r="C36" s="30"/>
      <c r="E36" s="263"/>
      <c r="F36" s="263"/>
      <c r="G36" s="350"/>
      <c r="H36" s="196"/>
    </row>
  </sheetData>
  <mergeCells count="10">
    <mergeCell ref="P2:Q2"/>
    <mergeCell ref="W2:X2"/>
    <mergeCell ref="C13:K13"/>
    <mergeCell ref="L13:Q13"/>
    <mergeCell ref="S13:Y13"/>
    <mergeCell ref="C22:D22"/>
    <mergeCell ref="E22:F22"/>
    <mergeCell ref="G22:H22"/>
    <mergeCell ref="J2:K2"/>
    <mergeCell ref="M2:N2"/>
  </mergeCells>
  <conditionalFormatting sqref="J4:J8">
    <cfRule type="cellIs" dxfId="3" priority="5" operator="equal">
      <formula>$K$11</formula>
    </cfRule>
    <cfRule type="cellIs" dxfId="2" priority="6" operator="equal">
      <formula>$K$10</formula>
    </cfRule>
  </conditionalFormatting>
  <conditionalFormatting sqref="P4:P8 M4:M8">
    <cfRule type="cellIs" dxfId="1" priority="9" operator="equal">
      <formula>$N$11</formula>
    </cfRule>
    <cfRule type="cellIs" dxfId="0" priority="10" operator="equal">
      <formula>$N$10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291E63C3FA64D9BBEEC1EB54A15F7" ma:contentTypeVersion="0" ma:contentTypeDescription="Create a new document." ma:contentTypeScope="" ma:versionID="395f5e16a86aa27d087eb626e96b72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CCFC0-BD47-4069-AEF7-4A1E4757F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6e4e78ed-e166-45ed-a3c0-ce5675481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FCB99-2D87-4E75-B043-04A3BA8E0813}"/>
</file>

<file path=customXml/itemProps3.xml><?xml version="1.0" encoding="utf-8"?>
<ds:datastoreItem xmlns:ds="http://schemas.openxmlformats.org/officeDocument/2006/customXml" ds:itemID="{8C8DB63B-9DDD-4790-8BAA-A699C9E1AE7F}"/>
</file>

<file path=customXml/itemProps4.xml><?xml version="1.0" encoding="utf-8"?>
<ds:datastoreItem xmlns:ds="http://schemas.openxmlformats.org/officeDocument/2006/customXml" ds:itemID="{7C28B164-646F-4158-8858-67B2FAD4E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Monthly Data</vt:lpstr>
      <vt:lpstr>Dataset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  <vt:lpstr>2023 COP Forecast</vt:lpstr>
      <vt:lpstr>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2022-10-28T18:30:32Z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0x010100F8D291E63C3FA64D9BBEEC1EB54A15F7</vt:lpwstr>
  </property>
  <property fmtid="{D5CDD505-2E9C-101B-9397-08002B2CF9AE}" pid="3" name="_dlc_DocIdItemGuid">
    <vt:lpwstr>3e8f63cb-cb2f-4e69-aebd-ac85ccbf460f</vt:lpwstr>
  </property>
</Properties>
</file>