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9090" tabRatio="956" activeTab="0"/>
  </bookViews>
  <sheets>
    <sheet name="Cover Sheet" sheetId="1" r:id="rId1"/>
    <sheet name="Contents" sheetId="2" r:id="rId2"/>
    <sheet name="Revenue Requirement" sheetId="3" r:id="rId3"/>
    <sheet name=" Forecast Data" sheetId="4" r:id="rId4"/>
    <sheet name="Transformation Allowance" sheetId="5" r:id="rId5"/>
    <sheet name="Smart Meters" sheetId="6" r:id="rId6"/>
    <sheet name="Loss Factor" sheetId="7" r:id="rId7"/>
    <sheet name="Monthly Service Charge Analysis" sheetId="8" r:id="rId8"/>
    <sheet name="Regulatory Asset Recovery" sheetId="9" r:id="rId9"/>
    <sheet name="Eliminate TOU From Low Voltage" sheetId="10" r:id="rId10"/>
    <sheet name="Low Voltage Allocation" sheetId="11" r:id="rId11"/>
    <sheet name="Misc Revenue Alloc Adjust" sheetId="12" r:id="rId12"/>
    <sheet name="Cost Allocation Review" sheetId="13" r:id="rId13"/>
    <sheet name="Cost Alloc Revenue Distribution" sheetId="14" r:id="rId14"/>
    <sheet name="Dx Rates CA Distribution" sheetId="15" r:id="rId15"/>
    <sheet name="Other Electricity Charges" sheetId="16" r:id="rId16"/>
    <sheet name="Rate Schedules" sheetId="17" r:id="rId17"/>
    <sheet name="Rate Impact CA" sheetId="18" r:id="rId18"/>
    <sheet name="Bill Impact CA" sheetId="19" r:id="rId19"/>
    <sheet name="2009 EDR Rate Schedule" sheetId="20" r:id="rId20"/>
    <sheet name="Reconciliation of 2009 Rate" sheetId="21" r:id="rId21"/>
    <sheet name="2006 EDR Revenue Distribution" sheetId="22" r:id="rId22"/>
    <sheet name="Dx Rates 2006 EDR Distributions" sheetId="23" r:id="rId23"/>
    <sheet name="Rate Impact 2006 EDR Alloc" sheetId="24" r:id="rId24"/>
    <sheet name="Bill Impact 2006 EDR Alloc" sheetId="25" r:id="rId25"/>
  </sheets>
  <definedNames>
    <definedName name="_xlnm.Print_Titles" localSheetId="16">'Rate Schedules'!$1:$5</definedName>
  </definedNames>
  <calcPr fullCalcOnLoad="1" iterate="1" iterateCount="100" iterateDelta="0.001"/>
</workbook>
</file>

<file path=xl/sharedStrings.xml><?xml version="1.0" encoding="utf-8"?>
<sst xmlns="http://schemas.openxmlformats.org/spreadsheetml/2006/main" count="1324" uniqueCount="323">
  <si>
    <t>Residential</t>
  </si>
  <si>
    <t>Service Charge</t>
  </si>
  <si>
    <t>$</t>
  </si>
  <si>
    <t>Distribution Volumetric Rate</t>
  </si>
  <si>
    <t>$/kWh</t>
  </si>
  <si>
    <t>Rate Rider 1 (if applicable)</t>
  </si>
  <si>
    <t>Rate Rider 2 (if applicable)</t>
  </si>
  <si>
    <t>Regulatory Asset Recovery</t>
  </si>
  <si>
    <t>Retail Transmission Rate – Network Service Rate</t>
  </si>
  <si>
    <t>Retail Transmission Rate – Line and Transformation Connection Service Rate</t>
  </si>
  <si>
    <t>Retail Transmission Rate – Network Service Rate (if applicable)</t>
  </si>
  <si>
    <t>Retail Transmission Rate – Line and Transformation Connection Service Rate (if applicable)</t>
  </si>
  <si>
    <t xml:space="preserve">Wholesale Market Service Rate </t>
  </si>
  <si>
    <t>Rural Rate Protection Charge</t>
  </si>
  <si>
    <t>Standard Supply Service – Administrative Charge (if applicable)</t>
  </si>
  <si>
    <t>General Service Less Than 50 kW</t>
  </si>
  <si>
    <t>General Service 50 to 4,999 kW</t>
  </si>
  <si>
    <t>$/kW</t>
  </si>
  <si>
    <t>Unmetered Scattered Load</t>
  </si>
  <si>
    <t>Sentinel Lighting</t>
  </si>
  <si>
    <t>Street Lighting</t>
  </si>
  <si>
    <t>Cost of Power 1st  600</t>
  </si>
  <si>
    <t>Balance</t>
  </si>
  <si>
    <t>May 1, 2007</t>
  </si>
  <si>
    <t>May 1, 2006</t>
  </si>
  <si>
    <t>May 1, 2008</t>
  </si>
  <si>
    <t>May 1, 2009</t>
  </si>
  <si>
    <t>Less:</t>
  </si>
  <si>
    <t>Revenue Offsets</t>
  </si>
  <si>
    <t>Late Payment Charges</t>
  </si>
  <si>
    <t>Other Distribution revenue</t>
  </si>
  <si>
    <t>Other Income and deductions</t>
  </si>
  <si>
    <t>Total Revenue Offsets</t>
  </si>
  <si>
    <t>Base Revenue Requirements</t>
  </si>
  <si>
    <t>Low Voltage Costs to Hydro One</t>
  </si>
  <si>
    <t>Base Revenue Requirement Net of LV Costs</t>
  </si>
  <si>
    <t>Base Revenue Requirement with Transformation Credit Add Back</t>
  </si>
  <si>
    <t>From Energy Sales</t>
  </si>
  <si>
    <t>2006 EDR</t>
  </si>
  <si>
    <t>2006 Year End</t>
  </si>
  <si>
    <t>2007 Year End</t>
  </si>
  <si>
    <t>2008 Bridge Year</t>
  </si>
  <si>
    <t>Number of Customers</t>
  </si>
  <si>
    <t>GS &lt; 50 kW</t>
  </si>
  <si>
    <t>GS &gt; 50 kW</t>
  </si>
  <si>
    <t>Sentinel Light</t>
  </si>
  <si>
    <t>Number of Connections</t>
  </si>
  <si>
    <t>Street Light</t>
  </si>
  <si>
    <t>Class</t>
  </si>
  <si>
    <t>Overall Allocation to Classes</t>
  </si>
  <si>
    <t>Variable Component</t>
  </si>
  <si>
    <t>Fixed Component</t>
  </si>
  <si>
    <t>%</t>
  </si>
  <si>
    <t>Totals</t>
  </si>
  <si>
    <t>Base Revenue Requirement</t>
  </si>
  <si>
    <t>Less Transformer Credit</t>
  </si>
  <si>
    <t>TARIFF OF RATES AND CHARGES</t>
  </si>
  <si>
    <t>Board Approved</t>
  </si>
  <si>
    <t>Consumption</t>
  </si>
  <si>
    <t>kWh</t>
  </si>
  <si>
    <t>kW</t>
  </si>
  <si>
    <t>Loss Factor</t>
  </si>
  <si>
    <t>May 2008 BILL</t>
  </si>
  <si>
    <t>IMPACT</t>
  </si>
  <si>
    <t>Volume</t>
  </si>
  <si>
    <t>RATE                             $</t>
  </si>
  <si>
    <t>CHARGE
$</t>
  </si>
  <si>
    <t>% of Total Bill</t>
  </si>
  <si>
    <t>Energy First Tier (kWh)</t>
  </si>
  <si>
    <t>Energy Second Tier (kWh)</t>
  </si>
  <si>
    <t>Sub-Total:  Energy</t>
  </si>
  <si>
    <t>Monthly Service Charge</t>
  </si>
  <si>
    <t>Distribution (kWh)</t>
  </si>
  <si>
    <t>Distribution (kW)</t>
  </si>
  <si>
    <t>Regulatory Assets (kWh)</t>
  </si>
  <si>
    <t>Rate Riders</t>
  </si>
  <si>
    <t>Sub-Total:  Delivery</t>
  </si>
  <si>
    <t>Regulated Price Plan – Administration Charge</t>
  </si>
  <si>
    <t>Sub-Total:  Regulatory</t>
  </si>
  <si>
    <t>Debt Retirement Charge (DRC)</t>
  </si>
  <si>
    <t>Total Bill before Taxes</t>
  </si>
  <si>
    <t>GST</t>
  </si>
  <si>
    <t>Total Bill after Taxes</t>
  </si>
  <si>
    <t>Difference</t>
  </si>
  <si>
    <t>Bill Impact</t>
  </si>
  <si>
    <t>Max</t>
  </si>
  <si>
    <t>Min</t>
  </si>
  <si>
    <t>May 2009 BILL</t>
  </si>
  <si>
    <t>Monthly Rate Rider Adjustment           Z-Factor</t>
  </si>
  <si>
    <t>Volumetric Rate Rider Adjustment     Z-Factor</t>
  </si>
  <si>
    <t>Regulatory Assets (kW)</t>
  </si>
  <si>
    <t>May</t>
  </si>
  <si>
    <t>2008 Bill</t>
  </si>
  <si>
    <t>2009 Bill</t>
  </si>
  <si>
    <t>2009 Test Year</t>
  </si>
  <si>
    <t>Number of Customers (Connections)</t>
  </si>
  <si>
    <t>Kwh</t>
  </si>
  <si>
    <t>Fixed Service Charge</t>
  </si>
  <si>
    <t>2006 EDR Allocations</t>
  </si>
  <si>
    <t>2006 CA Allocations</t>
  </si>
  <si>
    <t>Smart Meter Adder</t>
  </si>
  <si>
    <t>With Smart Meter Adder</t>
  </si>
  <si>
    <t>Customer Classes</t>
  </si>
  <si>
    <t>Over /(Under) Contributing</t>
  </si>
  <si>
    <t>Proposed Proportion of Revenue</t>
  </si>
  <si>
    <t>Base Revenue Requirement @ Proposed Proportions</t>
  </si>
  <si>
    <t>Proposed Revenue/Cost Ratio</t>
  </si>
  <si>
    <t>GS &lt;50 kW</t>
  </si>
  <si>
    <t>GS &gt;50 kW</t>
  </si>
  <si>
    <t>Street Lights</t>
  </si>
  <si>
    <t>Sentinel Lights</t>
  </si>
  <si>
    <t>CA Allocations</t>
  </si>
  <si>
    <t>Normalized Forecast</t>
  </si>
  <si>
    <t>Kilowatt-hours</t>
  </si>
  <si>
    <t>Kilowatts</t>
  </si>
  <si>
    <t>Data From 2006 EDR Board Approved Model</t>
  </si>
  <si>
    <t>From Energy Sales Data</t>
  </si>
  <si>
    <t>Forecasted</t>
  </si>
  <si>
    <t>Classification</t>
  </si>
  <si>
    <t>2005 Actual</t>
  </si>
  <si>
    <t>2006 Actual</t>
  </si>
  <si>
    <t>2007 Actual</t>
  </si>
  <si>
    <t>Transformation Allowance Rate</t>
  </si>
  <si>
    <t>Loss Factors</t>
  </si>
  <si>
    <t>Supply Facility Loss Factor</t>
  </si>
  <si>
    <t>Distribution Loss Factors</t>
  </si>
  <si>
    <t>Secondary Metered Customer &lt; 5,000 kW</t>
  </si>
  <si>
    <t>Primary Metered Customer &lt; 5,000 kW</t>
  </si>
  <si>
    <t>Total Loss Factors</t>
  </si>
  <si>
    <t>Base Rvenue Requirement Allocated</t>
  </si>
  <si>
    <t xml:space="preserve"> (adjusted for Transformer Credit)</t>
  </si>
  <si>
    <t>Tab 7-1 Allocation Base Revenue Requirement</t>
  </si>
  <si>
    <t>Customer Classification</t>
  </si>
  <si>
    <t>Annualized Data</t>
  </si>
  <si>
    <t>Base Revenue Allocation</t>
  </si>
  <si>
    <t>Distribution Rates Calculated Consistent with the 2006 EDR Methodology</t>
  </si>
  <si>
    <t>Tab 8-1 Rates - Base Revenue Requirement</t>
  </si>
  <si>
    <t>Service Charge Rate Rider for Storm Damage Cost Recovery - effective until August 31, 2009</t>
  </si>
  <si>
    <t>Distribution Volumetric Rate Rider for Storm Damage Cost Recovery - effective until August 31, 2009</t>
  </si>
  <si>
    <t>Bill Impacts May 2009 Compared To May 2008</t>
  </si>
  <si>
    <t>As On Tab 8-1 Rates - Base Revenue Requirement</t>
  </si>
  <si>
    <t>Transformation Credit (Annualized Amount)</t>
  </si>
  <si>
    <t>CNPI - Eastern Ontario Power Load and Customer Forecast Information</t>
  </si>
  <si>
    <t>CNPI - Eastern Ontario Power Transformation Allowance Forecast Information</t>
  </si>
  <si>
    <t>General Service 50 to 4,999 kW - Time of Use</t>
  </si>
  <si>
    <t>CNPI - Eastern Ontario Power 2006 Board Approved EDR Model</t>
  </si>
  <si>
    <t>Canadian Niagara Power Inc. - Eastern Ontario Power</t>
  </si>
  <si>
    <t>Note 1.  For this exercise the metrics for General Service Less Than 50 kW and Unmetered Scattered Load are combined.</t>
  </si>
  <si>
    <t>2006 EDR Board Approved</t>
  </si>
  <si>
    <t>Description</t>
  </si>
  <si>
    <t>Retail Transmission Connection Rate</t>
  </si>
  <si>
    <t>2006 EDR Allocation</t>
  </si>
  <si>
    <t>Volumetric Distribution Rate Component</t>
  </si>
  <si>
    <t>per kWh</t>
  </si>
  <si>
    <t>per kW</t>
  </si>
  <si>
    <t>Base Rate per kWh</t>
  </si>
  <si>
    <t>Base Rate per kW</t>
  </si>
  <si>
    <t>Low Voltage  Rate per kWh</t>
  </si>
  <si>
    <t>Low Voltage  Rate per kW</t>
  </si>
  <si>
    <t>Combined Rate per kWh</t>
  </si>
  <si>
    <t>Combined Rate per kW</t>
  </si>
  <si>
    <t>Distribution Rates</t>
  </si>
  <si>
    <t>2009 Base Revenue Requirement Divided by the Annualized Forecasted Consumption for the Test Year</t>
  </si>
  <si>
    <t>Base Revenue Requirement Allocation to Class</t>
  </si>
  <si>
    <t>Retail Transmission Rate</t>
  </si>
  <si>
    <t xml:space="preserve"> Commodity Charges - $/kWh</t>
  </si>
  <si>
    <t>Connection Charge</t>
  </si>
  <si>
    <t>Unit</t>
  </si>
  <si>
    <t>Network Charge</t>
  </si>
  <si>
    <t>Rural Rate Protection</t>
  </si>
  <si>
    <t>Debt Retirement</t>
  </si>
  <si>
    <t>Cost of Power 1st Block</t>
  </si>
  <si>
    <t>Cost of Power Balance</t>
  </si>
  <si>
    <t>Fees</t>
  </si>
  <si>
    <t>Administration Fee</t>
  </si>
  <si>
    <t>2006 EDR Billing Determinant</t>
  </si>
  <si>
    <t>2006 EDR Allocator</t>
  </si>
  <si>
    <t>2006 EDR Allocation Percentages</t>
  </si>
  <si>
    <t>Original 2006 EDR Allocation of Low Voltage Wheeling Costs Tab 7-2</t>
  </si>
  <si>
    <t>Methodology to Eliminate the Remaining GS &gt; 50 kW Class</t>
  </si>
  <si>
    <t>Modified Allocation of Low Voltage Wheeling Costs to Eliminate Time of Use</t>
  </si>
  <si>
    <t>Modified Allocator</t>
  </si>
  <si>
    <t>Modified Allocation Percentages</t>
  </si>
  <si>
    <t>2006 EDR Billing Determinant (Modified)</t>
  </si>
  <si>
    <t>Modified Allocation of Base Revenue Requirement to Eliminate Time of Use</t>
  </si>
  <si>
    <t>Direct Allocations</t>
  </si>
  <si>
    <t xml:space="preserve">Remaining Balance in </t>
  </si>
  <si>
    <t>Allocation of Remaining Balance to All Classes based on their respective shares</t>
  </si>
  <si>
    <t>Total</t>
  </si>
  <si>
    <t>Transfer From:</t>
  </si>
  <si>
    <t>Transfer To:</t>
  </si>
  <si>
    <t>Transformer Allowance Allocation</t>
  </si>
  <si>
    <t>Cost Allocation - Revenue Requirement</t>
  </si>
  <si>
    <t>Revenue Requirement Allocation Percentage</t>
  </si>
  <si>
    <t>Cost Allocation - Miscellaneous Requirement</t>
  </si>
  <si>
    <t>Miscellaneous Revenue Allocation Percentage</t>
  </si>
  <si>
    <t>2009 Service Revenue Requirement Allocation</t>
  </si>
  <si>
    <t>2009 Miscellaneous Revenue Offset</t>
  </si>
  <si>
    <t>2009 Base Revenue Requirement Calculation</t>
  </si>
  <si>
    <t>Low Voltage Allocation</t>
  </si>
  <si>
    <t xml:space="preserve">2009 Base Revenue Requirement Less Low Voltage </t>
  </si>
  <si>
    <t>2009 Base Revenue Allocation per Class</t>
  </si>
  <si>
    <t>2009 Base Revenue  per Class with Transformer Allocation</t>
  </si>
  <si>
    <t>2009 Base Revenue with Transformer Allowance Allocation</t>
  </si>
  <si>
    <t>Revenue Allocation to Class Percentage</t>
  </si>
  <si>
    <t>Allocation to Variable Component</t>
  </si>
  <si>
    <t>Allocation to Fixed Component</t>
  </si>
  <si>
    <t>Adjusted Allocation to Variable Component</t>
  </si>
  <si>
    <t>Adjusted Allocation to Fixed Component</t>
  </si>
  <si>
    <t>Revenue Allocation to Class</t>
  </si>
  <si>
    <t>2006 EDR Data</t>
  </si>
  <si>
    <t>Revenue at 100% Rev/Cost Ratio (less Transformer Allowance)</t>
  </si>
  <si>
    <t>Allocation of Revenue at 100% Rev/Cost Ratio (less Transformer Allowance)</t>
  </si>
  <si>
    <t>Revenue/Cost Ratio from the 2006 Cost Allocation</t>
  </si>
  <si>
    <t>Rate Design Model</t>
  </si>
  <si>
    <t>2009 Electricity Distribution Rate Application</t>
  </si>
  <si>
    <t>Eastern Ontario Power Service Territory</t>
  </si>
  <si>
    <t>EB - 2008 - 0222</t>
  </si>
  <si>
    <t>Revenue Requirement</t>
  </si>
  <si>
    <t>Forecast Data</t>
  </si>
  <si>
    <t>Smart Meter Adders</t>
  </si>
  <si>
    <t>2006 EDR Revenue Distribution</t>
  </si>
  <si>
    <t>Dx Rates 2006 EDR Distribution</t>
  </si>
  <si>
    <t>Cost Allocation Review</t>
  </si>
  <si>
    <t>Dx Rates CA Distribution</t>
  </si>
  <si>
    <t>Other Electricity Charges</t>
  </si>
  <si>
    <t>Rate Schedules</t>
  </si>
  <si>
    <t>Rate Impact CA</t>
  </si>
  <si>
    <t>Bill Impact CA</t>
  </si>
  <si>
    <t>Revenue Requirement for 2009 Test Year</t>
  </si>
  <si>
    <t>Prior to 2006, the Unmetered Scattered Load class was classified as GS &lt; 50 kW</t>
  </si>
  <si>
    <t>2009 EDR Proposed</t>
  </si>
  <si>
    <t>The Retail Transmission Connection Rate for the GS &gt; 50 to 4,999 kW has been prorated to reflect the inclusion of the eliminated GS &gt; 50 kW Time of Use Rate.</t>
  </si>
  <si>
    <t>As a proxy to eliminate the General Service 50 to 4,999 kW Time of Use Class given the reality that 4 of the original 6 customers are no longer present in the test year and that the remaining 2 customers represent only 14.85% of the original 2006 EDR determinant of 74,693 kW it is necessary to reallocate the Low Voltage percentages.  CNPI - Eastern Ontario Power proposes to do this by eliminating  85.15% of the determinant and moving the balance into the General Service 50 to 4,999 kW Class.  The Retail Transmission Rate for this exercise is the weighted mix of the two 2006 EDR Classes; the General Service 50 to 4,999 kW Time of Use Class and the General Service 50 to 4,999 kW Class.</t>
  </si>
  <si>
    <t>Eliminate TOU From Low Voltage</t>
  </si>
  <si>
    <t>2009 EDR Allocation</t>
  </si>
  <si>
    <t>2009 Electricity Distribution Rates Calculated Consistent with the 2006 EDR Methodology</t>
  </si>
  <si>
    <t>Allocation of the 2009 Revenue Requirement on the Basis of the Cost Allocation Informational Filing</t>
  </si>
  <si>
    <t xml:space="preserve">Determination of the 2009 EDR Revenue to Cost Ratios </t>
  </si>
  <si>
    <t>Rates - Base Revenue Requirement  - Allocated on the Cost Allocation Informational Filing Distribution of Revenues</t>
  </si>
  <si>
    <t>Other Electricity Charges - Board Approved</t>
  </si>
  <si>
    <t>CNPI - Eastern Ontario Power 2009 EDR</t>
  </si>
  <si>
    <t>Rate Impacts May 2009 Compared To May 2008</t>
  </si>
  <si>
    <t>Distribution Rates Calculated on the Basis of the Cost Allocational Informational Filing</t>
  </si>
  <si>
    <t>Distribution Rates Calculated on the Basis of the Cost Allocation Informational Filing</t>
  </si>
  <si>
    <t>Service Revenue Requirement (Including Low Voltage Charge)</t>
  </si>
  <si>
    <t>Monthly Service Charge Analysis</t>
  </si>
  <si>
    <t>Customer Class</t>
  </si>
  <si>
    <t xml:space="preserve">2006 Board Approved </t>
  </si>
  <si>
    <t>2009 Proposed</t>
  </si>
  <si>
    <t>Lower Bound from Cost Allocation Filing</t>
  </si>
  <si>
    <t>Upper Bound from Cost Allocation Filing</t>
  </si>
  <si>
    <t>120 % of Upper Bound</t>
  </si>
  <si>
    <t>Is the 2006 Board Approved Higher than the Lower Boundary?</t>
  </si>
  <si>
    <t>Is the 2006 Board Approved Lower than the Upper Boundary?</t>
  </si>
  <si>
    <t>Effective May 1, 2009</t>
  </si>
  <si>
    <t>approved schedules of Rates, Charges and Loss Factors</t>
  </si>
  <si>
    <t>Rate Rider</t>
  </si>
  <si>
    <t>CNPI - Eastern Ontario Power</t>
  </si>
  <si>
    <t>2008 Board Approved</t>
  </si>
  <si>
    <t>2009 EDR Rate Schedule</t>
  </si>
  <si>
    <t>Average Customer</t>
  </si>
  <si>
    <t>2009 Volumes</t>
  </si>
  <si>
    <t>Proposed 2009 Rates</t>
  </si>
  <si>
    <t>2009 Revenue</t>
  </si>
  <si>
    <t>No. of Customers / Connections</t>
  </si>
  <si>
    <t>Volumetric Charge</t>
  </si>
  <si>
    <t>Total Class Distribution Revenue</t>
  </si>
  <si>
    <t>2009 Base Revenue Requirement</t>
  </si>
  <si>
    <t>Canadian Niagara Power - Eastern Ontario Power</t>
  </si>
  <si>
    <t>Base Revenue Proposed Allocation</t>
  </si>
  <si>
    <t>Reconciliation of 2009 Revenue Requirement and Actual 2009 Anticipated Revenue</t>
  </si>
  <si>
    <t>557 Connections</t>
  </si>
  <si>
    <t xml:space="preserve">Adjusted Allocation of Misc Revenue </t>
  </si>
  <si>
    <t>Correction Factor for Allocation of Miscellaneous Revenue in Gananoque</t>
  </si>
  <si>
    <t>Fort Erie</t>
  </si>
  <si>
    <t>Port Colborne</t>
  </si>
  <si>
    <t>Gananoque</t>
  </si>
  <si>
    <t>Customers / Connections</t>
  </si>
  <si>
    <t>% by Class</t>
  </si>
  <si>
    <t>Misc Revenue Allocation</t>
  </si>
  <si>
    <t>Weighted Product</t>
  </si>
  <si>
    <t>Average Weightings</t>
  </si>
  <si>
    <t xml:space="preserve">Average Allocation of Misc Revenue </t>
  </si>
  <si>
    <t>CNPI – Eastern Ontario Power has prepared and included an Excel worksheet model, CNPI_EOP_DxRateDesign_20080815.xls, to aid in developing the 2009 electricity distribution rates.  The worksheet is provided electronically with this Application and a copy is provided in Exhibit 9, Tab 1, Schedule 1, Appendix A.  Briefly, the model functions as follows:</t>
  </si>
  <si>
    <t>Tab</t>
  </si>
  <si>
    <t>The revenue requirement for the 2006 Board Approved EDR and the 2009 revenue requirement as determined by this application.</t>
  </si>
  <si>
    <t>This is the actual and forecast customer counts, weather normalized energy and demand quantities for the historical, bridge and test years.</t>
  </si>
  <si>
    <t>Transformer Allowance</t>
  </si>
  <si>
    <t>This is the actual and weather normalized transformer allowance quantities for the historical, bridge and test years.</t>
  </si>
  <si>
    <t>These are the Board Approved smart meter rate adders.</t>
  </si>
  <si>
    <t>These are the Board Approved and forecasted loss factors.</t>
  </si>
  <si>
    <t>This worksheet compares the rate design monthly services charges to the floor and ceiling values determined in CNPI – Eastern Ontario Power’s 2006 Cost Allocation Informational Filing.  The worksheet returns a confirmation that the rate design monthly service charge is within the range suggested by the Board.</t>
  </si>
  <si>
    <t>These are the regulatory asset rate riders calculated by class for those accounts that CNPI – Eastern Ontario Power has elected in this Application for disposal.</t>
  </si>
  <si>
    <t>In preparation to allocate the Low Voltage Charge from Hydro One, it is necessary to re-allocate the Retail Transmission Connection rates based on the loss of load and customers in the former GS &gt; 50 kW Time of Use Class.  This Tab does this by absorbing the residual customers and load into the existing GS &gt; 50 kW Class.</t>
  </si>
  <si>
    <t>This worksheet allocates the forecasted Low Voltage charges from Hydro One to the classes.  The allocation is on the basis of the retail transmission connection revenue requirement.</t>
  </si>
  <si>
    <t>This worksheet is used to calculate the corrected allocator for the miscellaneous revenue.</t>
  </si>
  <si>
    <t>The worksheet is used to extrapolate the 2009 base revenue requirement and other distribution revenue allocation to classes on the basis of the 2006 Cost Allocation Informational Filing.</t>
  </si>
  <si>
    <t>This worksheet allocates the base revenue requirement to the customer classes to achieve cost allocation to the classes consistent with the Cost Allocation Informational Filing and the Report of the Board, Application of Cost Allocation for Electricity Distributors, EB-2007-0667, November 28, 2007.  Column L adjusts the Class Revenue to Costs Ratios and Column F adjusts the fixed and variable class ratios.</t>
  </si>
  <si>
    <t>This is a listing of Board Approved electricity distribution charges for Retail Transmission, Commodity and Administration.  These are used for the bill and rate impact calculations.</t>
  </si>
  <si>
    <t>This tab contains the Board Approved electricity distribution rates from the 2006 EDR, the 2007 IRM, the 2008 IRM, the projected rates using the 2006 EDR allocations and the proposed cost allocation to classes.  The tab is intended to allow easy comparison of rates and provides the expected bill rate impact as calculated in the Rate Impact CA Tab discussed in the following.</t>
  </si>
  <si>
    <t>This worksheet calculates the rate impact of the 2009 electricity distribution rates determined on the basis of proposed distribution of revenues derived from the 2006 Cost Allocation Informational Filing as compared to bills calculated using the Board Approved 2008 electricity distribution rates.</t>
  </si>
  <si>
    <t>This worksheet calculates the bill impact of the 2009 electricity distribution rates determined on the basis of proposed distribution of revenues derived from the 2006 Cost Allocation Informational Filing as compared to the Board Approved 2008 electricity distribution rates.</t>
  </si>
  <si>
    <t>This tab is a summary of the proposed 2009 electricity distribution rates.</t>
  </si>
  <si>
    <t>Reconciliation</t>
  </si>
  <si>
    <t>This worksheet reconciles the proposed electricity rates, the forecasted load and customer growth and the base revenue requirement.</t>
  </si>
  <si>
    <t>This final section of the model calculates electricity distribution rates that are consistent with the methodology and allocations in the Board Approved 2006 EDR.  This has been done to provide a comparison for the proposed allocations which are premised on the CNPI – Eastern Ontario Power Cost Allocation Informational Filing.</t>
  </si>
  <si>
    <t>This is a copy of values found in the Board Approved 2006 EDR, Tab 7-1 Allocation of Base Revenue Requirement.  This is used to allocate the 2009 base revenue requirement on the basis of the 2006 EDR allocation for comparison to the final rate design.</t>
  </si>
  <si>
    <t>This worksheet calculates the 2009 electricity distribution rates on the basis of the Board Approved 2006 EDR allocation to classes.  This serves as a reference for further rate design.</t>
  </si>
  <si>
    <t>This worksheet calculates the rate impact of the 2009 electricity distribution rates determined on the basis of the distribution of revenues in the Board Approved 2006 EDR as compared to bills calculated using the Board Approved 2008 electricity distribution rates.</t>
  </si>
  <si>
    <t>This worksheet calculates the bill impact of the 2009 electricity distribution rates determined on the basis of the distribution of revenues in the Board Approved 2006 EDR as compared bills calculated using the Board Approved 2008 electricity distribution rates.</t>
  </si>
  <si>
    <t>This schedule supersedes and replaces all previously</t>
  </si>
  <si>
    <t>Specific Service Charges</t>
  </si>
  <si>
    <t>Allocation of Low Voltage Charges from Hydro One to the Customer Classes</t>
  </si>
  <si>
    <t>Wholesale Market Service</t>
  </si>
  <si>
    <t>The Retail Transmission Rate for the General Service 50 to 4,999 has been prorated based on the portion of load absorbed from the previous General Service 50 to 4,999 kW Time of Use Retail Transmission Rate.</t>
  </si>
  <si>
    <t>Base Revenue Requirement Allocated</t>
  </si>
  <si>
    <t>Rate Impact 2006 EDR Alloc.</t>
  </si>
  <si>
    <t>Bill Impact 2006 EDR Alloc.</t>
  </si>
  <si>
    <t>Misc Revenue Alloc. Adjust</t>
  </si>
  <si>
    <t>Cost Alloc. Revenue Distribution</t>
  </si>
  <si>
    <t>This worksheet calculates the 2009 electricity distribution rates on the basis of the class Alloc.ation and the fixed and variable splits chosen in the previous tab; Cost Alloc. Revenue Distribution.</t>
  </si>
  <si>
    <t>General Service 50 to 4,999 kW TOU</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</si>
</sst>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0000\)"/>
    <numFmt numFmtId="166" formatCode="[$-409]dddd\,\ mmmm\ dd\,\ yyyy"/>
    <numFmt numFmtId="167" formatCode="[$-409]mmmm\ d\,\ yyyy;@"/>
    <numFmt numFmtId="168" formatCode="_(* #,##0_);_(* \(#,##0\);_(* &quot;-&quot;??_);_(@_)"/>
    <numFmt numFmtId="169" formatCode="_(* #,##0.0_);_(* \(#,##0.0\);_(* &quot;-&quot;??_);_(@_)"/>
    <numFmt numFmtId="170" formatCode="0.00000000"/>
    <numFmt numFmtId="171" formatCode="0.0000000"/>
    <numFmt numFmtId="172" formatCode="0.000000"/>
    <numFmt numFmtId="173" formatCode="0.00000"/>
    <numFmt numFmtId="174" formatCode="0.0000"/>
    <numFmt numFmtId="175" formatCode="0.000"/>
    <numFmt numFmtId="176" formatCode="0.0%;\(0.0\)%"/>
    <numFmt numFmtId="177" formatCode="_-&quot;$&quot;* #,##0.000_-;\-&quot;$&quot;* #,##0.000_-;_-&quot;$&quot;* &quot;-&quot;??_-;_-@_-"/>
    <numFmt numFmtId="178" formatCode="_-&quot;$&quot;* #,##0.0000_-;\-&quot;$&quot;* #,##0.0000_-;_-&quot;$&quot;* &quot;-&quot;??_-;_-@_-"/>
    <numFmt numFmtId="179" formatCode="_-&quot;$&quot;* #,##0.00_-;\-&quot;$&quot;* #,##0.00_-;_-&quot;$&quot;* &quot;-&quot;??_-;_-@_-"/>
    <numFmt numFmtId="180" formatCode="#,##0.0000"/>
    <numFmt numFmtId="181" formatCode="#,##0_ ;\-#,##0\ "/>
    <numFmt numFmtId="182" formatCode="0.0%"/>
    <numFmt numFmtId="183" formatCode="#,##0.0"/>
    <numFmt numFmtId="184" formatCode="0.000%"/>
    <numFmt numFmtId="185" formatCode="0.0000%"/>
    <numFmt numFmtId="186" formatCode="_(* #,##0.0000_);_(* \(#,##0.0000\);_(* &quot;-&quot;????_);_(@_)"/>
    <numFmt numFmtId="187" formatCode="0.00000000000000%"/>
    <numFmt numFmtId="188" formatCode="_(* #,##0.000_);_(* \(#,##0.000\);_(* &quot;-&quot;??_);_(@_)"/>
    <numFmt numFmtId="189" formatCode="_(* #,##0.0000_);_(* \(#,##0.0000\);_(* &quot;-&quot;??_);_(@_)"/>
    <numFmt numFmtId="190" formatCode="0.0"/>
    <numFmt numFmtId="191" formatCode="&quot;Yes&quot;;&quot;Yes&quot;;&quot;No&quot;"/>
    <numFmt numFmtId="192" formatCode="&quot;True&quot;;&quot;True&quot;;&quot;False&quot;"/>
    <numFmt numFmtId="193" formatCode="&quot;On&quot;;&quot;On&quot;;&quot;Off&quot;"/>
    <numFmt numFmtId="194" formatCode="[$€-2]\ #,##0.00_);[Red]\([$€-2]\ #,##0.00\)"/>
    <numFmt numFmtId="195" formatCode="_(&quot;$&quot;* #,##0_);_(&quot;$&quot;* \(#,##0\);_(&quot;$&quot;* &quot;-&quot;??_);_(@_)"/>
    <numFmt numFmtId="196" formatCode="0.000000000"/>
    <numFmt numFmtId="197" formatCode="_(* #,##0.0000000000_);_(* \(#,##0.0000000000\);_(* &quot;-&quot;??????????_);_(@_)"/>
    <numFmt numFmtId="198" formatCode="_(* #,##0.000000000_);_(* \(#,##0.000000000\);_(* &quot;-&quot;?????????_);_(@_)"/>
  </numFmts>
  <fonts count="16">
    <font>
      <sz val="10"/>
      <name val="Arial"/>
      <family val="0"/>
    </font>
    <font>
      <sz val="8"/>
      <name val="Arial"/>
      <family val="0"/>
    </font>
    <font>
      <b/>
      <sz val="10"/>
      <name val="Arial"/>
      <family val="2"/>
    </font>
    <font>
      <b/>
      <u val="single"/>
      <sz val="14"/>
      <name val="Arial"/>
      <family val="2"/>
    </font>
    <font>
      <b/>
      <i/>
      <sz val="14"/>
      <color indexed="12"/>
      <name val="Arial"/>
      <family val="2"/>
    </font>
    <font>
      <b/>
      <sz val="14"/>
      <color indexed="12"/>
      <name val="Arial"/>
      <family val="2"/>
    </font>
    <font>
      <b/>
      <i/>
      <sz val="10"/>
      <name val="Arial"/>
      <family val="2"/>
    </font>
    <font>
      <b/>
      <sz val="16"/>
      <name val="Arial"/>
      <family val="2"/>
    </font>
    <font>
      <b/>
      <sz val="11"/>
      <name val="Arial"/>
      <family val="2"/>
    </font>
    <font>
      <b/>
      <sz val="12"/>
      <color indexed="18"/>
      <name val="Arial"/>
      <family val="2"/>
    </font>
    <font>
      <b/>
      <sz val="10"/>
      <color indexed="18"/>
      <name val="Arial"/>
      <family val="2"/>
    </font>
    <font>
      <u val="single"/>
      <sz val="10"/>
      <color indexed="12"/>
      <name val="Arial"/>
      <family val="0"/>
    </font>
    <font>
      <b/>
      <sz val="14"/>
      <name val="Arial"/>
      <family val="2"/>
    </font>
    <font>
      <b/>
      <sz val="12"/>
      <name val="Arial"/>
      <family val="2"/>
    </font>
    <font>
      <sz val="11"/>
      <name val="Arial"/>
      <family val="2"/>
    </font>
    <font>
      <sz val="6"/>
      <name val="Arial"/>
      <family val="2"/>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5"/>
        <bgColor indexed="64"/>
      </patternFill>
    </fill>
  </fills>
  <borders count="53">
    <border>
      <left/>
      <right/>
      <top/>
      <bottom/>
      <diagonal/>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thin"/>
      <bottom style="thin"/>
    </border>
    <border>
      <left>
        <color indexed="63"/>
      </left>
      <right style="thin"/>
      <top>
        <color indexed="63"/>
      </top>
      <bottom style="thin"/>
    </border>
    <border>
      <left style="thin"/>
      <right style="thin"/>
      <top>
        <color indexed="63"/>
      </top>
      <bottom>
        <color indexed="63"/>
      </bottom>
    </border>
    <border>
      <left style="thin"/>
      <right style="medium"/>
      <top>
        <color indexed="63"/>
      </top>
      <bottom style="thin"/>
    </border>
    <border>
      <left style="medium"/>
      <right style="thin"/>
      <top>
        <color indexed="63"/>
      </top>
      <bottom style="thin"/>
    </border>
    <border>
      <left>
        <color indexed="63"/>
      </left>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style="medium"/>
      <top>
        <color indexed="63"/>
      </top>
      <bottom>
        <color indexed="63"/>
      </bottom>
    </border>
    <border>
      <left style="thin"/>
      <right>
        <color indexed="63"/>
      </right>
      <top style="medium"/>
      <bottom style="medium"/>
    </border>
    <border>
      <left style="medium"/>
      <right style="medium"/>
      <top style="medium"/>
      <bottom style="medium"/>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style="medium"/>
      <right style="thin"/>
      <top>
        <color indexed="63"/>
      </top>
      <bottom>
        <color indexed="63"/>
      </bottom>
    </border>
    <border>
      <left>
        <color indexed="63"/>
      </left>
      <right style="thin"/>
      <top>
        <color indexed="63"/>
      </top>
      <bottom>
        <color indexed="63"/>
      </bottom>
    </border>
    <border>
      <left style="medium"/>
      <right style="medium"/>
      <top style="medium"/>
      <bottom style="thin"/>
    </border>
    <border>
      <left style="medium"/>
      <right style="medium"/>
      <top>
        <color indexed="63"/>
      </top>
      <bottom>
        <color indexed="63"/>
      </botto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style="medium"/>
      <right style="thin"/>
      <top>
        <color indexed="63"/>
      </top>
      <bottom style="medium"/>
    </border>
    <border>
      <left style="thin"/>
      <right style="thin"/>
      <top style="thin"/>
      <bottom style="medium"/>
    </border>
    <border>
      <left style="thin"/>
      <right>
        <color indexed="63"/>
      </right>
      <top style="thin"/>
      <bottom style="medium"/>
    </border>
    <border>
      <left style="thin"/>
      <right style="thin"/>
      <top style="thin"/>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03">
    <xf numFmtId="0" fontId="0" fillId="0" borderId="0" xfId="0" applyAlignment="1">
      <alignment/>
    </xf>
    <xf numFmtId="167" fontId="0" fillId="0" borderId="0" xfId="0" applyNumberFormat="1" applyAlignment="1" quotePrefix="1">
      <alignment/>
    </xf>
    <xf numFmtId="0" fontId="0" fillId="0" borderId="0" xfId="0" applyAlignment="1">
      <alignment horizontal="center"/>
    </xf>
    <xf numFmtId="0" fontId="2" fillId="0" borderId="0" xfId="0" applyFont="1" applyAlignment="1">
      <alignment/>
    </xf>
    <xf numFmtId="0" fontId="2"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168" fontId="0" fillId="0" borderId="0" xfId="15" applyNumberFormat="1" applyAlignment="1">
      <alignment/>
    </xf>
    <xf numFmtId="168" fontId="0" fillId="0" borderId="0" xfId="15" applyNumberFormat="1" applyFont="1" applyAlignment="1">
      <alignment/>
    </xf>
    <xf numFmtId="0" fontId="0" fillId="0" borderId="0" xfId="0" applyAlignment="1">
      <alignment horizontal="center" wrapText="1"/>
    </xf>
    <xf numFmtId="168" fontId="0" fillId="0" borderId="0" xfId="0" applyNumberFormat="1" applyAlignment="1">
      <alignment/>
    </xf>
    <xf numFmtId="167" fontId="2" fillId="0" borderId="0" xfId="0" applyNumberFormat="1" applyFont="1" applyAlignment="1" quotePrefix="1">
      <alignment horizontal="center"/>
    </xf>
    <xf numFmtId="167" fontId="2" fillId="0" borderId="0" xfId="0" applyNumberFormat="1" applyFont="1" applyAlignment="1">
      <alignment horizontal="center" wrapText="1"/>
    </xf>
    <xf numFmtId="0" fontId="0" fillId="2" borderId="0" xfId="0" applyFill="1" applyAlignment="1" applyProtection="1">
      <alignment/>
      <protection/>
    </xf>
    <xf numFmtId="176" fontId="0" fillId="2" borderId="0" xfId="21" applyNumberFormat="1" applyFill="1" applyAlignment="1" applyProtection="1">
      <alignment/>
      <protection/>
    </xf>
    <xf numFmtId="0" fontId="3" fillId="2" borderId="0" xfId="0" applyFont="1" applyFill="1" applyAlignment="1" applyProtection="1">
      <alignment/>
      <protection/>
    </xf>
    <xf numFmtId="0" fontId="6" fillId="2" borderId="0" xfId="0" applyFont="1" applyFill="1" applyAlignment="1" applyProtection="1">
      <alignment/>
      <protection/>
    </xf>
    <xf numFmtId="0" fontId="0" fillId="2" borderId="0" xfId="0" applyFont="1" applyFill="1" applyBorder="1" applyAlignment="1" applyProtection="1">
      <alignment horizontal="left"/>
      <protection/>
    </xf>
    <xf numFmtId="0" fontId="0" fillId="2" borderId="1"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2" fontId="2" fillId="2" borderId="4" xfId="0" applyNumberFormat="1"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176" fontId="2" fillId="2" borderId="3" xfId="21" applyNumberFormat="1" applyFont="1" applyFill="1" applyBorder="1" applyAlignment="1" applyProtection="1">
      <alignment horizontal="center" vertical="center" wrapText="1"/>
      <protection/>
    </xf>
    <xf numFmtId="2" fontId="2" fillId="2" borderId="6" xfId="0" applyNumberFormat="1" applyFont="1" applyFill="1" applyBorder="1" applyAlignment="1" applyProtection="1">
      <alignment horizontal="center" vertical="center" wrapText="1"/>
      <protection/>
    </xf>
    <xf numFmtId="0" fontId="0" fillId="2" borderId="7" xfId="0" applyFont="1" applyFill="1" applyBorder="1" applyAlignment="1" applyProtection="1">
      <alignment horizontal="center" vertical="center" wrapText="1"/>
      <protection/>
    </xf>
    <xf numFmtId="3" fontId="0" fillId="2" borderId="8" xfId="0" applyNumberFormat="1" applyFill="1" applyBorder="1" applyAlignment="1" applyProtection="1">
      <alignment horizontal="center" vertical="center"/>
      <protection/>
    </xf>
    <xf numFmtId="178" fontId="0" fillId="2" borderId="9" xfId="17" applyNumberFormat="1" applyFill="1" applyBorder="1" applyAlignment="1" applyProtection="1">
      <alignment vertical="center"/>
      <protection/>
    </xf>
    <xf numFmtId="179" fontId="0" fillId="2" borderId="10" xfId="0" applyNumberFormat="1" applyFill="1" applyBorder="1" applyAlignment="1" applyProtection="1">
      <alignment vertical="center"/>
      <protection/>
    </xf>
    <xf numFmtId="7" fontId="0" fillId="2" borderId="11" xfId="17" applyNumberFormat="1" applyFill="1" applyBorder="1" applyAlignment="1" applyProtection="1">
      <alignment horizontal="center" vertical="center"/>
      <protection/>
    </xf>
    <xf numFmtId="176" fontId="0" fillId="2" borderId="12" xfId="21" applyNumberFormat="1" applyFill="1" applyBorder="1" applyAlignment="1" applyProtection="1">
      <alignment horizontal="center" vertical="center"/>
      <protection/>
    </xf>
    <xf numFmtId="10" fontId="0" fillId="2" borderId="12" xfId="21" applyNumberFormat="1" applyFill="1" applyBorder="1" applyAlignment="1" applyProtection="1">
      <alignment horizontal="center" vertical="center"/>
      <protection/>
    </xf>
    <xf numFmtId="3" fontId="0" fillId="2" borderId="13" xfId="0" applyNumberFormat="1" applyFill="1" applyBorder="1" applyAlignment="1" applyProtection="1">
      <alignment horizontal="center" vertical="center"/>
      <protection/>
    </xf>
    <xf numFmtId="178" fontId="0" fillId="2" borderId="14" xfId="17" applyNumberFormat="1" applyFill="1" applyBorder="1" applyAlignment="1" applyProtection="1">
      <alignment vertical="center"/>
      <protection/>
    </xf>
    <xf numFmtId="179" fontId="0" fillId="2" borderId="15" xfId="0" applyNumberFormat="1" applyFill="1" applyBorder="1" applyAlignment="1" applyProtection="1">
      <alignment vertical="center"/>
      <protection/>
    </xf>
    <xf numFmtId="179" fontId="0" fillId="2" borderId="16" xfId="0" applyNumberFormat="1" applyFill="1" applyBorder="1" applyAlignment="1" applyProtection="1">
      <alignment vertical="center"/>
      <protection/>
    </xf>
    <xf numFmtId="176" fontId="0" fillId="2" borderId="17" xfId="21" applyNumberFormat="1" applyFill="1" applyBorder="1" applyAlignment="1" applyProtection="1">
      <alignment horizontal="center" vertical="center"/>
      <protection/>
    </xf>
    <xf numFmtId="180" fontId="2" fillId="3" borderId="5" xfId="0" applyNumberFormat="1" applyFont="1" applyFill="1" applyBorder="1" applyAlignment="1" applyProtection="1">
      <alignment horizontal="center" vertical="center"/>
      <protection/>
    </xf>
    <xf numFmtId="179" fontId="2" fillId="3" borderId="18" xfId="19" applyNumberFormat="1" applyFont="1" applyFill="1" applyBorder="1" applyAlignment="1" applyProtection="1">
      <alignment vertical="center"/>
      <protection/>
    </xf>
    <xf numFmtId="7" fontId="2" fillId="3" borderId="19" xfId="0" applyNumberFormat="1" applyFont="1" applyFill="1" applyBorder="1" applyAlignment="1" applyProtection="1">
      <alignment horizontal="center" vertical="center"/>
      <protection/>
    </xf>
    <xf numFmtId="176" fontId="2" fillId="3" borderId="6" xfId="21" applyNumberFormat="1" applyFont="1" applyFill="1" applyBorder="1" applyAlignment="1" applyProtection="1">
      <alignment horizontal="center" vertical="center"/>
      <protection/>
    </xf>
    <xf numFmtId="10" fontId="2" fillId="3" borderId="6" xfId="21" applyNumberFormat="1" applyFont="1" applyFill="1" applyBorder="1" applyAlignment="1" applyProtection="1">
      <alignment horizontal="center" vertical="center"/>
      <protection/>
    </xf>
    <xf numFmtId="0" fontId="0" fillId="2" borderId="20" xfId="0" applyFont="1" applyFill="1" applyBorder="1" applyAlignment="1" applyProtection="1">
      <alignment horizontal="center" vertical="center" wrapText="1"/>
      <protection/>
    </xf>
    <xf numFmtId="0" fontId="0" fillId="4" borderId="21" xfId="0" applyFill="1" applyBorder="1" applyAlignment="1" applyProtection="1">
      <alignment horizontal="center" vertical="center"/>
      <protection/>
    </xf>
    <xf numFmtId="179" fontId="0" fillId="4" borderId="22" xfId="0" applyNumberFormat="1" applyFill="1" applyBorder="1" applyAlignment="1" applyProtection="1">
      <alignment horizontal="right" vertical="center"/>
      <protection/>
    </xf>
    <xf numFmtId="179" fontId="0" fillId="2" borderId="23" xfId="19" applyNumberFormat="1" applyFont="1" applyFill="1" applyBorder="1" applyAlignment="1" applyProtection="1">
      <alignment vertical="center"/>
      <protection/>
    </xf>
    <xf numFmtId="0" fontId="0" fillId="4" borderId="22" xfId="0" applyFill="1" applyBorder="1" applyAlignment="1" applyProtection="1">
      <alignment horizontal="center" vertical="center"/>
      <protection/>
    </xf>
    <xf numFmtId="0" fontId="0" fillId="2" borderId="24" xfId="0" applyFont="1" applyFill="1" applyBorder="1" applyAlignment="1" applyProtection="1">
      <alignment horizontal="center" vertical="center" wrapText="1"/>
      <protection/>
    </xf>
    <xf numFmtId="178" fontId="0" fillId="2" borderId="14" xfId="17" applyNumberFormat="1" applyFont="1" applyFill="1" applyBorder="1" applyAlignment="1" applyProtection="1">
      <alignment vertical="center"/>
      <protection/>
    </xf>
    <xf numFmtId="179" fontId="0" fillId="2" borderId="15" xfId="19" applyNumberFormat="1" applyFill="1" applyBorder="1" applyAlignment="1" applyProtection="1">
      <alignment vertical="center"/>
      <protection/>
    </xf>
    <xf numFmtId="178" fontId="0" fillId="2" borderId="25" xfId="17" applyNumberFormat="1" applyFont="1" applyFill="1" applyBorder="1" applyAlignment="1" applyProtection="1">
      <alignment vertical="center"/>
      <protection/>
    </xf>
    <xf numFmtId="3" fontId="0" fillId="2" borderId="25" xfId="0" applyNumberFormat="1" applyFill="1" applyBorder="1" applyAlignment="1" applyProtection="1">
      <alignment horizontal="center" vertical="center"/>
      <protection/>
    </xf>
    <xf numFmtId="3" fontId="0" fillId="2" borderId="26" xfId="0" applyNumberFormat="1" applyFill="1" applyBorder="1" applyAlignment="1" applyProtection="1">
      <alignment horizontal="center" vertical="center"/>
      <protection/>
    </xf>
    <xf numFmtId="178" fontId="0" fillId="2" borderId="27" xfId="17" applyNumberFormat="1" applyFont="1" applyFill="1" applyBorder="1" applyAlignment="1" applyProtection="1">
      <alignment vertical="center"/>
      <protection/>
    </xf>
    <xf numFmtId="179" fontId="0" fillId="2" borderId="15" xfId="19" applyNumberFormat="1" applyFont="1" applyFill="1" applyBorder="1" applyAlignment="1" applyProtection="1">
      <alignment vertical="center"/>
      <protection/>
    </xf>
    <xf numFmtId="0" fontId="0" fillId="4" borderId="13" xfId="0" applyFill="1" applyBorder="1" applyAlignment="1" applyProtection="1">
      <alignment horizontal="center" vertical="center"/>
      <protection/>
    </xf>
    <xf numFmtId="179" fontId="0" fillId="4" borderId="14" xfId="0" applyNumberFormat="1" applyFill="1" applyBorder="1" applyAlignment="1" applyProtection="1">
      <alignment horizontal="center" vertical="center"/>
      <protection/>
    </xf>
    <xf numFmtId="179" fontId="0" fillId="2" borderId="15" xfId="19" applyNumberFormat="1" applyFont="1" applyFill="1" applyBorder="1" applyAlignment="1" applyProtection="1">
      <alignment horizontal="center" vertical="center"/>
      <protection/>
    </xf>
    <xf numFmtId="179" fontId="0" fillId="4" borderId="14" xfId="0" applyNumberFormat="1" applyFill="1" applyBorder="1" applyAlignment="1" applyProtection="1">
      <alignment horizontal="right" vertical="center"/>
      <protection/>
    </xf>
    <xf numFmtId="178" fontId="0" fillId="2" borderId="25" xfId="17" applyNumberFormat="1" applyFont="1" applyFill="1" applyBorder="1" applyAlignment="1" applyProtection="1">
      <alignment horizontal="center" vertical="center"/>
      <protection/>
    </xf>
    <xf numFmtId="0" fontId="0" fillId="2" borderId="28" xfId="0" applyFont="1" applyFill="1" applyBorder="1" applyAlignment="1" applyProtection="1">
      <alignment horizontal="center" vertical="center" wrapText="1"/>
      <protection/>
    </xf>
    <xf numFmtId="1" fontId="0" fillId="2" borderId="21" xfId="0" applyNumberFormat="1" applyFill="1" applyBorder="1" applyAlignment="1" applyProtection="1">
      <alignment horizontal="center" vertical="center"/>
      <protection/>
    </xf>
    <xf numFmtId="178" fontId="0" fillId="2" borderId="22" xfId="17" applyNumberFormat="1" applyFill="1" applyBorder="1" applyAlignment="1" applyProtection="1">
      <alignment vertical="center"/>
      <protection/>
    </xf>
    <xf numFmtId="179" fontId="0" fillId="2" borderId="23" xfId="0" applyNumberFormat="1" applyFill="1" applyBorder="1" applyAlignment="1" applyProtection="1">
      <alignment vertical="center"/>
      <protection/>
    </xf>
    <xf numFmtId="7" fontId="0" fillId="2" borderId="21" xfId="17" applyNumberFormat="1" applyFill="1" applyBorder="1" applyAlignment="1" applyProtection="1">
      <alignment horizontal="center" vertical="center"/>
      <protection/>
    </xf>
    <xf numFmtId="0" fontId="0" fillId="2" borderId="29" xfId="0" applyFont="1" applyFill="1" applyBorder="1" applyAlignment="1" applyProtection="1">
      <alignment horizontal="center" vertical="center" wrapText="1"/>
      <protection/>
    </xf>
    <xf numFmtId="178" fontId="0" fillId="4" borderId="22" xfId="0" applyNumberFormat="1" applyFill="1" applyBorder="1" applyAlignment="1" applyProtection="1">
      <alignment horizontal="right" vertical="center"/>
      <protection/>
    </xf>
    <xf numFmtId="178" fontId="0" fillId="5" borderId="25" xfId="17" applyNumberFormat="1" applyFont="1" applyFill="1" applyBorder="1" applyAlignment="1" applyProtection="1">
      <alignment vertical="center"/>
      <protection locked="0"/>
    </xf>
    <xf numFmtId="179" fontId="2" fillId="3" borderId="30" xfId="19" applyNumberFormat="1" applyFont="1" applyFill="1" applyBorder="1" applyAlignment="1" applyProtection="1">
      <alignment vertical="center"/>
      <protection/>
    </xf>
    <xf numFmtId="44" fontId="0" fillId="2" borderId="13" xfId="17" applyFill="1" applyBorder="1" applyAlignment="1" applyProtection="1">
      <alignment horizontal="center" vertical="center"/>
      <protection/>
    </xf>
    <xf numFmtId="179" fontId="2" fillId="3" borderId="19" xfId="19" applyNumberFormat="1" applyFont="1" applyFill="1" applyBorder="1" applyAlignment="1" applyProtection="1">
      <alignment vertical="center"/>
      <protection/>
    </xf>
    <xf numFmtId="44" fontId="9" fillId="2" borderId="31" xfId="0" applyNumberFormat="1" applyFont="1" applyFill="1" applyBorder="1" applyAlignment="1" applyProtection="1">
      <alignment/>
      <protection/>
    </xf>
    <xf numFmtId="44" fontId="9" fillId="2" borderId="31" xfId="0" applyNumberFormat="1" applyFont="1" applyFill="1" applyBorder="1" applyAlignment="1" applyProtection="1">
      <alignment horizontal="center"/>
      <protection/>
    </xf>
    <xf numFmtId="44" fontId="9" fillId="2" borderId="31" xfId="0" applyNumberFormat="1" applyFont="1" applyFill="1" applyBorder="1" applyAlignment="1" applyProtection="1">
      <alignment horizontal="center" wrapText="1"/>
      <protection/>
    </xf>
    <xf numFmtId="44" fontId="9" fillId="2" borderId="32" xfId="0" applyNumberFormat="1" applyFont="1" applyFill="1" applyBorder="1" applyAlignment="1" applyProtection="1">
      <alignment/>
      <protection/>
    </xf>
    <xf numFmtId="44" fontId="9" fillId="2" borderId="32" xfId="0" applyNumberFormat="1" applyFont="1" applyFill="1" applyBorder="1" applyAlignment="1" applyProtection="1">
      <alignment horizontal="center"/>
      <protection/>
    </xf>
    <xf numFmtId="44" fontId="0" fillId="2" borderId="32" xfId="0" applyNumberFormat="1" applyFill="1" applyBorder="1" applyAlignment="1" applyProtection="1">
      <alignment/>
      <protection/>
    </xf>
    <xf numFmtId="44" fontId="10" fillId="2" borderId="21" xfId="0" applyNumberFormat="1" applyFont="1" applyFill="1" applyBorder="1" applyAlignment="1" applyProtection="1">
      <alignment/>
      <protection/>
    </xf>
    <xf numFmtId="181" fontId="2" fillId="5" borderId="22" xfId="0" applyNumberFormat="1" applyFont="1" applyFill="1" applyBorder="1" applyAlignment="1" applyProtection="1">
      <alignment horizontal="center"/>
      <protection locked="0"/>
    </xf>
    <xf numFmtId="44" fontId="2" fillId="0" borderId="33" xfId="0" applyNumberFormat="1" applyFont="1" applyFill="1" applyBorder="1" applyAlignment="1" applyProtection="1">
      <alignment horizontal="center"/>
      <protection/>
    </xf>
    <xf numFmtId="44" fontId="2" fillId="2" borderId="33" xfId="0" applyNumberFormat="1" applyFont="1" applyFill="1" applyBorder="1" applyAlignment="1" applyProtection="1">
      <alignment horizontal="center"/>
      <protection/>
    </xf>
    <xf numFmtId="182" fontId="0" fillId="2" borderId="33" xfId="21" applyNumberFormat="1" applyFill="1" applyBorder="1" applyAlignment="1" applyProtection="1">
      <alignment/>
      <protection/>
    </xf>
    <xf numFmtId="182" fontId="0" fillId="2" borderId="34" xfId="0" applyNumberFormat="1" applyFill="1" applyBorder="1" applyAlignment="1" applyProtection="1">
      <alignment/>
      <protection/>
    </xf>
    <xf numFmtId="182" fontId="0" fillId="2" borderId="35" xfId="0" applyNumberFormat="1" applyFill="1" applyBorder="1" applyAlignment="1" applyProtection="1">
      <alignment/>
      <protection/>
    </xf>
    <xf numFmtId="44" fontId="2" fillId="2" borderId="26" xfId="0" applyNumberFormat="1" applyFont="1" applyFill="1" applyBorder="1" applyAlignment="1" applyProtection="1">
      <alignment/>
      <protection/>
    </xf>
    <xf numFmtId="181" fontId="2" fillId="5" borderId="14" xfId="0" applyNumberFormat="1" applyFont="1" applyFill="1" applyBorder="1" applyAlignment="1" applyProtection="1">
      <alignment horizontal="center"/>
      <protection locked="0"/>
    </xf>
    <xf numFmtId="181" fontId="2" fillId="5" borderId="36" xfId="0" applyNumberFormat="1" applyFont="1" applyFill="1" applyBorder="1" applyAlignment="1" applyProtection="1">
      <alignment horizontal="center"/>
      <protection locked="0"/>
    </xf>
    <xf numFmtId="44" fontId="2" fillId="0" borderId="14" xfId="0" applyNumberFormat="1" applyFont="1" applyFill="1" applyBorder="1" applyAlignment="1" applyProtection="1">
      <alignment horizontal="center"/>
      <protection/>
    </xf>
    <xf numFmtId="44" fontId="2" fillId="2" borderId="14" xfId="0" applyNumberFormat="1" applyFont="1" applyFill="1" applyBorder="1" applyAlignment="1" applyProtection="1">
      <alignment horizontal="center"/>
      <protection/>
    </xf>
    <xf numFmtId="182" fontId="0" fillId="2" borderId="14" xfId="21" applyNumberFormat="1" applyFill="1" applyBorder="1" applyAlignment="1" applyProtection="1">
      <alignment/>
      <protection/>
    </xf>
    <xf numFmtId="44" fontId="10" fillId="2" borderId="26" xfId="0" applyNumberFormat="1" applyFont="1" applyFill="1" applyBorder="1" applyAlignment="1" applyProtection="1">
      <alignment/>
      <protection/>
    </xf>
    <xf numFmtId="44" fontId="10" fillId="2" borderId="37" xfId="0" applyNumberFormat="1" applyFont="1" applyFill="1" applyBorder="1" applyAlignment="1" applyProtection="1">
      <alignment/>
      <protection/>
    </xf>
    <xf numFmtId="181" fontId="2" fillId="5" borderId="38" xfId="0" applyNumberFormat="1" applyFont="1" applyFill="1" applyBorder="1" applyAlignment="1" applyProtection="1">
      <alignment horizontal="center"/>
      <protection locked="0"/>
    </xf>
    <xf numFmtId="181" fontId="2" fillId="5" borderId="39" xfId="0" applyNumberFormat="1" applyFont="1" applyFill="1" applyBorder="1" applyAlignment="1" applyProtection="1">
      <alignment horizontal="center"/>
      <protection locked="0"/>
    </xf>
    <xf numFmtId="44" fontId="2" fillId="0" borderId="38" xfId="0" applyNumberFormat="1" applyFont="1" applyFill="1" applyBorder="1" applyAlignment="1" applyProtection="1">
      <alignment horizontal="center"/>
      <protection/>
    </xf>
    <xf numFmtId="44" fontId="2" fillId="0" borderId="39" xfId="0" applyNumberFormat="1" applyFont="1" applyFill="1" applyBorder="1" applyAlignment="1" applyProtection="1">
      <alignment horizontal="center"/>
      <protection/>
    </xf>
    <xf numFmtId="44" fontId="2" fillId="2" borderId="38" xfId="0" applyNumberFormat="1" applyFont="1" applyFill="1" applyBorder="1" applyAlignment="1" applyProtection="1">
      <alignment horizontal="center"/>
      <protection/>
    </xf>
    <xf numFmtId="182" fontId="0" fillId="2" borderId="38" xfId="21" applyNumberFormat="1" applyFill="1" applyBorder="1" applyAlignment="1" applyProtection="1">
      <alignment/>
      <protection/>
    </xf>
    <xf numFmtId="181" fontId="2" fillId="5" borderId="40" xfId="0" applyNumberFormat="1" applyFont="1" applyFill="1" applyBorder="1" applyAlignment="1" applyProtection="1">
      <alignment horizontal="center"/>
      <protection locked="0"/>
    </xf>
    <xf numFmtId="44" fontId="10" fillId="2" borderId="11" xfId="0" applyNumberFormat="1" applyFont="1" applyFill="1" applyBorder="1" applyAlignment="1" applyProtection="1">
      <alignment/>
      <protection/>
    </xf>
    <xf numFmtId="181" fontId="2" fillId="5" borderId="33" xfId="0" applyNumberFormat="1" applyFont="1" applyFill="1" applyBorder="1" applyAlignment="1" applyProtection="1">
      <alignment horizontal="center"/>
      <protection locked="0"/>
    </xf>
    <xf numFmtId="44" fontId="10" fillId="2" borderId="13" xfId="0" applyNumberFormat="1" applyFont="1" applyFill="1" applyBorder="1" applyAlignment="1" applyProtection="1">
      <alignment/>
      <protection/>
    </xf>
    <xf numFmtId="9" fontId="0" fillId="2" borderId="25" xfId="21" applyNumberFormat="1" applyFont="1" applyFill="1" applyBorder="1" applyAlignment="1" applyProtection="1">
      <alignment vertical="center"/>
      <protection/>
    </xf>
    <xf numFmtId="167" fontId="2" fillId="0" borderId="0" xfId="0" applyNumberFormat="1" applyFont="1" applyAlignment="1">
      <alignment horizontal="center"/>
    </xf>
    <xf numFmtId="0" fontId="0" fillId="6" borderId="0" xfId="0" applyFill="1" applyAlignment="1">
      <alignment horizontal="center" vertical="center" wrapText="1"/>
    </xf>
    <xf numFmtId="0" fontId="0" fillId="6" borderId="0" xfId="0" applyFill="1" applyAlignment="1">
      <alignment/>
    </xf>
    <xf numFmtId="168" fontId="0" fillId="6" borderId="0" xfId="15" applyNumberFormat="1" applyFill="1" applyAlignment="1">
      <alignment/>
    </xf>
    <xf numFmtId="0" fontId="0" fillId="3" borderId="0" xfId="0" applyFill="1" applyAlignment="1">
      <alignment horizontal="center" vertical="center" wrapText="1"/>
    </xf>
    <xf numFmtId="0" fontId="0" fillId="3" borderId="0" xfId="0" applyFill="1" applyAlignment="1">
      <alignment/>
    </xf>
    <xf numFmtId="168" fontId="0" fillId="3" borderId="0" xfId="15" applyNumberFormat="1" applyFill="1" applyAlignment="1">
      <alignment/>
    </xf>
    <xf numFmtId="168" fontId="0" fillId="0" borderId="0" xfId="15" applyNumberFormat="1" applyFill="1" applyAlignment="1">
      <alignment/>
    </xf>
    <xf numFmtId="10" fontId="0" fillId="0" borderId="0" xfId="21" applyNumberFormat="1" applyAlignment="1">
      <alignment horizontal="center"/>
    </xf>
    <xf numFmtId="43" fontId="0" fillId="0" borderId="0" xfId="0" applyNumberFormat="1" applyAlignment="1">
      <alignment/>
    </xf>
    <xf numFmtId="189" fontId="0" fillId="0" borderId="0" xfId="0" applyNumberFormat="1" applyAlignment="1">
      <alignment/>
    </xf>
    <xf numFmtId="0" fontId="2" fillId="0" borderId="0" xfId="0" applyFont="1" applyAlignment="1">
      <alignment horizontal="center" wrapText="1"/>
    </xf>
    <xf numFmtId="10" fontId="0" fillId="0" borderId="0" xfId="0" applyNumberFormat="1" applyFill="1" applyAlignment="1">
      <alignment/>
    </xf>
    <xf numFmtId="168" fontId="0" fillId="0" borderId="0" xfId="15" applyNumberFormat="1" applyFont="1" applyFill="1" applyAlignment="1">
      <alignment/>
    </xf>
    <xf numFmtId="10" fontId="0" fillId="0" borderId="0" xfId="21" applyNumberFormat="1" applyFont="1" applyFill="1" applyAlignment="1">
      <alignment/>
    </xf>
    <xf numFmtId="10" fontId="0" fillId="0" borderId="0" xfId="21" applyNumberFormat="1" applyFont="1" applyAlignment="1">
      <alignment/>
    </xf>
    <xf numFmtId="3" fontId="0" fillId="0" borderId="0" xfId="0" applyNumberFormat="1" applyFill="1" applyAlignment="1">
      <alignment/>
    </xf>
    <xf numFmtId="0" fontId="0" fillId="0" borderId="0" xfId="0" applyFill="1" applyAlignment="1">
      <alignment/>
    </xf>
    <xf numFmtId="168" fontId="0" fillId="0" borderId="0" xfId="0" applyNumberFormat="1" applyFill="1" applyAlignment="1">
      <alignment/>
    </xf>
    <xf numFmtId="43" fontId="0" fillId="0" borderId="0" xfId="15" applyFont="1" applyAlignment="1">
      <alignment/>
    </xf>
    <xf numFmtId="168" fontId="2" fillId="0" borderId="41" xfId="15" applyNumberFormat="1" applyFont="1" applyBorder="1" applyAlignment="1">
      <alignment/>
    </xf>
    <xf numFmtId="10" fontId="2" fillId="0" borderId="41" xfId="21" applyNumberFormat="1" applyFont="1" applyBorder="1" applyAlignment="1">
      <alignment/>
    </xf>
    <xf numFmtId="3" fontId="2" fillId="0" borderId="41" xfId="15" applyNumberFormat="1" applyFont="1" applyBorder="1" applyAlignment="1">
      <alignment/>
    </xf>
    <xf numFmtId="168" fontId="2" fillId="0" borderId="41" xfId="15" applyNumberFormat="1" applyFont="1" applyFill="1" applyBorder="1" applyAlignment="1">
      <alignment/>
    </xf>
    <xf numFmtId="10" fontId="2" fillId="0" borderId="41" xfId="21" applyNumberFormat="1" applyFont="1" applyFill="1" applyBorder="1" applyAlignment="1">
      <alignment/>
    </xf>
    <xf numFmtId="168" fontId="0" fillId="0" borderId="0" xfId="15" applyNumberFormat="1" applyFill="1" applyAlignment="1">
      <alignment/>
    </xf>
    <xf numFmtId="182" fontId="0" fillId="0" borderId="0" xfId="21" applyNumberFormat="1" applyAlignment="1">
      <alignment horizontal="center"/>
    </xf>
    <xf numFmtId="43" fontId="0" fillId="0" borderId="0" xfId="0" applyNumberFormat="1" applyAlignment="1">
      <alignment horizontal="center"/>
    </xf>
    <xf numFmtId="182" fontId="0" fillId="2" borderId="33" xfId="21" applyNumberFormat="1" applyFill="1" applyBorder="1" applyAlignment="1" applyProtection="1">
      <alignment/>
      <protection/>
    </xf>
    <xf numFmtId="182" fontId="0" fillId="2" borderId="14" xfId="21" applyNumberFormat="1" applyFill="1" applyBorder="1" applyAlignment="1" applyProtection="1">
      <alignment/>
      <protection/>
    </xf>
    <xf numFmtId="182" fontId="0" fillId="2" borderId="38" xfId="21" applyNumberFormat="1" applyFill="1" applyBorder="1" applyAlignment="1" applyProtection="1">
      <alignment/>
      <protection/>
    </xf>
    <xf numFmtId="43" fontId="0" fillId="0" borderId="0" xfId="15" applyAlignment="1">
      <alignment/>
    </xf>
    <xf numFmtId="0" fontId="13" fillId="0" borderId="0" xfId="0" applyFont="1" applyAlignment="1">
      <alignment/>
    </xf>
    <xf numFmtId="0" fontId="13" fillId="0" borderId="0" xfId="0" applyFont="1" applyAlignment="1">
      <alignment/>
    </xf>
    <xf numFmtId="168" fontId="0" fillId="0" borderId="0" xfId="15" applyNumberFormat="1" applyAlignment="1">
      <alignment/>
    </xf>
    <xf numFmtId="0" fontId="14" fillId="0" borderId="0" xfId="0" applyFont="1" applyBorder="1" applyAlignment="1">
      <alignment vertical="top" wrapText="1"/>
    </xf>
    <xf numFmtId="0" fontId="14" fillId="0" borderId="0" xfId="0" applyFont="1" applyBorder="1" applyAlignment="1">
      <alignment horizontal="left" vertical="top" wrapText="1" indent="2"/>
    </xf>
    <xf numFmtId="174" fontId="0" fillId="0" borderId="0" xfId="0" applyNumberFormat="1" applyAlignment="1">
      <alignment/>
    </xf>
    <xf numFmtId="195" fontId="0" fillId="0" borderId="0" xfId="17" applyNumberFormat="1" applyAlignment="1">
      <alignment/>
    </xf>
    <xf numFmtId="0" fontId="0" fillId="0" borderId="0" xfId="0" applyAlignment="1">
      <alignment vertical="center"/>
    </xf>
    <xf numFmtId="174" fontId="14" fillId="0" borderId="0" xfId="0" applyNumberFormat="1" applyFont="1" applyBorder="1" applyAlignment="1">
      <alignment horizontal="center" vertical="top" wrapText="1"/>
    </xf>
    <xf numFmtId="0" fontId="14" fillId="0" borderId="0" xfId="0" applyFont="1" applyBorder="1" applyAlignment="1">
      <alignment horizontal="center" vertical="top" wrapText="1"/>
    </xf>
    <xf numFmtId="0" fontId="0" fillId="0" borderId="0" xfId="0" applyAlignment="1">
      <alignment horizontal="left" wrapText="1"/>
    </xf>
    <xf numFmtId="168" fontId="0" fillId="0" borderId="0" xfId="15" applyNumberFormat="1" applyFont="1" applyFill="1" applyAlignment="1">
      <alignment/>
    </xf>
    <xf numFmtId="10" fontId="0" fillId="0" borderId="0" xfId="21" applyNumberFormat="1" applyFont="1" applyFill="1" applyAlignment="1">
      <alignment/>
    </xf>
    <xf numFmtId="168" fontId="0" fillId="0" borderId="0" xfId="15" applyNumberFormat="1" applyFont="1" applyAlignment="1">
      <alignment/>
    </xf>
    <xf numFmtId="43" fontId="0" fillId="0" borderId="0" xfId="15" applyFont="1" applyAlignment="1">
      <alignment/>
    </xf>
    <xf numFmtId="168" fontId="0" fillId="0" borderId="0" xfId="21" applyNumberFormat="1" applyFont="1" applyAlignment="1">
      <alignment/>
    </xf>
    <xf numFmtId="168" fontId="2" fillId="0" borderId="41" xfId="21" applyNumberFormat="1" applyFont="1" applyBorder="1" applyAlignment="1">
      <alignment/>
    </xf>
    <xf numFmtId="10" fontId="2" fillId="0" borderId="0" xfId="0" applyNumberFormat="1" applyFont="1" applyFill="1" applyAlignment="1">
      <alignment/>
    </xf>
    <xf numFmtId="0" fontId="7" fillId="0" borderId="0" xfId="0" applyFont="1" applyAlignment="1">
      <alignment/>
    </xf>
    <xf numFmtId="0" fontId="0" fillId="0" borderId="0" xfId="0" applyAlignment="1">
      <alignment vertical="top"/>
    </xf>
    <xf numFmtId="0" fontId="0" fillId="0" borderId="0" xfId="0" applyAlignment="1">
      <alignment wrapText="1"/>
    </xf>
    <xf numFmtId="0" fontId="2" fillId="0" borderId="0" xfId="0" applyFont="1" applyAlignment="1">
      <alignment horizontal="center" vertical="center" wrapText="1"/>
    </xf>
    <xf numFmtId="9" fontId="0" fillId="0" borderId="0" xfId="21" applyNumberFormat="1" applyAlignment="1">
      <alignment horizontal="center"/>
    </xf>
    <xf numFmtId="43" fontId="0" fillId="0" borderId="0" xfId="15" applyAlignment="1">
      <alignment/>
    </xf>
    <xf numFmtId="0" fontId="13" fillId="0" borderId="0" xfId="0" applyFont="1" applyAlignment="1">
      <alignment horizontal="center"/>
    </xf>
    <xf numFmtId="189" fontId="0" fillId="0" borderId="0" xfId="15" applyNumberFormat="1" applyAlignment="1">
      <alignment/>
    </xf>
    <xf numFmtId="0" fontId="2" fillId="0" borderId="0" xfId="0" applyFont="1" applyAlignment="1">
      <alignment vertical="center"/>
    </xf>
    <xf numFmtId="182" fontId="0" fillId="2" borderId="42" xfId="0" applyNumberFormat="1" applyFill="1" applyBorder="1" applyAlignment="1" applyProtection="1">
      <alignment/>
      <protection/>
    </xf>
    <xf numFmtId="182" fontId="0" fillId="2" borderId="43" xfId="0" applyNumberFormat="1" applyFill="1" applyBorder="1" applyAlignment="1" applyProtection="1">
      <alignment/>
      <protection/>
    </xf>
    <xf numFmtId="182" fontId="0" fillId="2" borderId="44" xfId="0" applyNumberFormat="1" applyFill="1" applyBorder="1" applyAlignment="1" applyProtection="1">
      <alignment/>
      <protection/>
    </xf>
    <xf numFmtId="182" fontId="0" fillId="2" borderId="17" xfId="0" applyNumberFormat="1" applyFill="1" applyBorder="1" applyAlignment="1" applyProtection="1">
      <alignment/>
      <protection/>
    </xf>
    <xf numFmtId="182" fontId="0" fillId="2" borderId="45" xfId="0" applyNumberFormat="1" applyFill="1" applyBorder="1" applyAlignment="1" applyProtection="1">
      <alignment/>
      <protection/>
    </xf>
    <xf numFmtId="182" fontId="0" fillId="2" borderId="46" xfId="0" applyNumberFormat="1" applyFill="1" applyBorder="1" applyAlignment="1" applyProtection="1">
      <alignment/>
      <protection/>
    </xf>
    <xf numFmtId="182" fontId="0" fillId="2" borderId="9" xfId="0" applyNumberFormat="1" applyFill="1" applyBorder="1" applyAlignment="1" applyProtection="1">
      <alignment/>
      <protection/>
    </xf>
    <xf numFmtId="182" fontId="0" fillId="2" borderId="47" xfId="0" applyNumberFormat="1" applyFill="1" applyBorder="1" applyAlignment="1" applyProtection="1">
      <alignment/>
      <protection/>
    </xf>
    <xf numFmtId="0" fontId="2" fillId="3" borderId="48" xfId="0" applyFont="1" applyFill="1" applyBorder="1" applyAlignment="1">
      <alignment horizontal="center" wrapText="1"/>
    </xf>
    <xf numFmtId="0" fontId="2" fillId="3" borderId="49" xfId="0" applyFont="1" applyFill="1" applyBorder="1" applyAlignment="1">
      <alignment horizontal="center" wrapText="1"/>
    </xf>
    <xf numFmtId="0" fontId="0" fillId="3" borderId="50" xfId="0" applyFill="1" applyBorder="1" applyAlignment="1">
      <alignment/>
    </xf>
    <xf numFmtId="0" fontId="0" fillId="3" borderId="17" xfId="0" applyFill="1" applyBorder="1" applyAlignment="1">
      <alignment/>
    </xf>
    <xf numFmtId="10" fontId="0" fillId="3" borderId="50" xfId="21" applyNumberFormat="1" applyFont="1" applyFill="1" applyBorder="1" applyAlignment="1">
      <alignment/>
    </xf>
    <xf numFmtId="10" fontId="0" fillId="3" borderId="17" xfId="21" applyNumberFormat="1" applyFont="1" applyFill="1" applyBorder="1" applyAlignment="1">
      <alignment/>
    </xf>
    <xf numFmtId="10" fontId="0" fillId="3" borderId="51" xfId="21" applyNumberFormat="1" applyFont="1" applyFill="1" applyBorder="1" applyAlignment="1">
      <alignment/>
    </xf>
    <xf numFmtId="10" fontId="0" fillId="3" borderId="46" xfId="21" applyNumberFormat="1" applyFont="1" applyFill="1" applyBorder="1" applyAlignment="1">
      <alignment/>
    </xf>
    <xf numFmtId="0" fontId="2" fillId="3" borderId="31" xfId="0" applyFont="1" applyFill="1" applyBorder="1" applyAlignment="1">
      <alignment horizontal="center" wrapText="1"/>
    </xf>
    <xf numFmtId="0" fontId="0" fillId="3" borderId="29" xfId="0" applyFill="1" applyBorder="1" applyAlignment="1">
      <alignment/>
    </xf>
    <xf numFmtId="44" fontId="10" fillId="3" borderId="26" xfId="0" applyNumberFormat="1" applyFont="1" applyFill="1" applyBorder="1" applyAlignment="1" applyProtection="1">
      <alignment/>
      <protection/>
    </xf>
    <xf numFmtId="181" fontId="2" fillId="3" borderId="14" xfId="0" applyNumberFormat="1" applyFont="1" applyFill="1" applyBorder="1" applyAlignment="1" applyProtection="1">
      <alignment horizontal="center"/>
      <protection locked="0"/>
    </xf>
    <xf numFmtId="181" fontId="2" fillId="3" borderId="36" xfId="0" applyNumberFormat="1" applyFont="1" applyFill="1" applyBorder="1" applyAlignment="1" applyProtection="1">
      <alignment horizontal="center"/>
      <protection locked="0"/>
    </xf>
    <xf numFmtId="44" fontId="2" fillId="3" borderId="14" xfId="0" applyNumberFormat="1" applyFont="1" applyFill="1" applyBorder="1" applyAlignment="1" applyProtection="1">
      <alignment horizontal="center"/>
      <protection/>
    </xf>
    <xf numFmtId="182" fontId="0" fillId="3" borderId="14" xfId="21" applyNumberFormat="1" applyFill="1" applyBorder="1" applyAlignment="1" applyProtection="1">
      <alignment/>
      <protection/>
    </xf>
    <xf numFmtId="182" fontId="0" fillId="3" borderId="14" xfId="21" applyNumberFormat="1" applyFill="1" applyBorder="1" applyAlignment="1" applyProtection="1">
      <alignment/>
      <protection/>
    </xf>
    <xf numFmtId="184" fontId="0" fillId="3" borderId="29" xfId="0" applyNumberFormat="1" applyFill="1" applyBorder="1" applyAlignment="1">
      <alignment/>
    </xf>
    <xf numFmtId="184" fontId="0" fillId="3" borderId="32" xfId="0" applyNumberFormat="1" applyFill="1" applyBorder="1" applyAlignment="1">
      <alignment/>
    </xf>
    <xf numFmtId="44" fontId="10" fillId="3" borderId="37" xfId="0" applyNumberFormat="1" applyFont="1" applyFill="1" applyBorder="1" applyAlignment="1" applyProtection="1">
      <alignment/>
      <protection/>
    </xf>
    <xf numFmtId="181" fontId="2" fillId="3" borderId="38" xfId="0" applyNumberFormat="1" applyFont="1" applyFill="1" applyBorder="1" applyAlignment="1" applyProtection="1">
      <alignment horizontal="center"/>
      <protection locked="0"/>
    </xf>
    <xf numFmtId="44" fontId="2" fillId="3" borderId="38" xfId="0" applyNumberFormat="1" applyFont="1" applyFill="1" applyBorder="1" applyAlignment="1" applyProtection="1">
      <alignment horizontal="center"/>
      <protection/>
    </xf>
    <xf numFmtId="182" fontId="0" fillId="3" borderId="38" xfId="21" applyNumberFormat="1" applyFill="1" applyBorder="1" applyAlignment="1" applyProtection="1">
      <alignment/>
      <protection/>
    </xf>
    <xf numFmtId="43" fontId="0" fillId="0" borderId="0" xfId="15" applyAlignment="1">
      <alignment/>
    </xf>
    <xf numFmtId="189" fontId="0" fillId="0" borderId="0" xfId="15" applyNumberFormat="1" applyAlignment="1">
      <alignment/>
    </xf>
    <xf numFmtId="0" fontId="14" fillId="0" borderId="0" xfId="0" applyFont="1" applyAlignment="1">
      <alignment horizontal="justify"/>
    </xf>
    <xf numFmtId="0" fontId="14" fillId="0" borderId="0" xfId="0" applyFont="1" applyAlignment="1">
      <alignment horizontal="justify" vertical="top"/>
    </xf>
    <xf numFmtId="0" fontId="0" fillId="0" borderId="48" xfId="0" applyBorder="1" applyAlignment="1">
      <alignment/>
    </xf>
    <xf numFmtId="0" fontId="0" fillId="0" borderId="50" xfId="0" applyBorder="1" applyAlignment="1">
      <alignment/>
    </xf>
    <xf numFmtId="0" fontId="0" fillId="0" borderId="0" xfId="0" applyBorder="1" applyAlignment="1">
      <alignment/>
    </xf>
    <xf numFmtId="0" fontId="0" fillId="0" borderId="17" xfId="0" applyBorder="1" applyAlignment="1">
      <alignment/>
    </xf>
    <xf numFmtId="0" fontId="13" fillId="0" borderId="50" xfId="0" applyFont="1" applyBorder="1" applyAlignment="1">
      <alignment horizontal="center" vertical="center"/>
    </xf>
    <xf numFmtId="0" fontId="0" fillId="0" borderId="17" xfId="0" applyBorder="1" applyAlignment="1">
      <alignment horizontal="center"/>
    </xf>
    <xf numFmtId="0" fontId="2" fillId="0" borderId="50" xfId="0" applyFont="1" applyBorder="1" applyAlignment="1">
      <alignment/>
    </xf>
    <xf numFmtId="168" fontId="0" fillId="0" borderId="17" xfId="15" applyNumberFormat="1" applyBorder="1" applyAlignment="1">
      <alignment/>
    </xf>
    <xf numFmtId="0" fontId="0" fillId="0" borderId="51" xfId="0" applyBorder="1" applyAlignment="1">
      <alignment/>
    </xf>
    <xf numFmtId="0" fontId="0" fillId="0" borderId="1" xfId="0" applyBorder="1" applyAlignment="1">
      <alignment/>
    </xf>
    <xf numFmtId="0" fontId="0" fillId="0" borderId="46" xfId="0" applyBorder="1" applyAlignment="1">
      <alignment/>
    </xf>
    <xf numFmtId="0" fontId="0" fillId="0" borderId="50" xfId="0" applyBorder="1" applyAlignment="1">
      <alignment horizontal="center"/>
    </xf>
    <xf numFmtId="168" fontId="0" fillId="0" borderId="50" xfId="15" applyNumberFormat="1" applyBorder="1" applyAlignment="1">
      <alignment/>
    </xf>
    <xf numFmtId="0" fontId="0" fillId="0" borderId="51" xfId="0" applyBorder="1" applyAlignment="1">
      <alignment horizontal="right"/>
    </xf>
    <xf numFmtId="43" fontId="0" fillId="0" borderId="46" xfId="15" applyBorder="1" applyAlignment="1">
      <alignment/>
    </xf>
    <xf numFmtId="0" fontId="0" fillId="0" borderId="49" xfId="0" applyBorder="1" applyAlignment="1">
      <alignment/>
    </xf>
    <xf numFmtId="43" fontId="0" fillId="0" borderId="50" xfId="0" applyNumberFormat="1" applyBorder="1" applyAlignment="1">
      <alignment/>
    </xf>
    <xf numFmtId="0" fontId="0" fillId="0" borderId="19" xfId="0" applyBorder="1" applyAlignment="1">
      <alignment/>
    </xf>
    <xf numFmtId="10" fontId="0" fillId="0" borderId="17" xfId="21" applyNumberFormat="1" applyBorder="1" applyAlignment="1">
      <alignment/>
    </xf>
    <xf numFmtId="174" fontId="0" fillId="0" borderId="50" xfId="0" applyNumberFormat="1" applyBorder="1" applyAlignment="1">
      <alignment/>
    </xf>
    <xf numFmtId="168" fontId="0" fillId="0" borderId="50" xfId="15" applyNumberFormat="1" applyBorder="1" applyAlignment="1">
      <alignment/>
    </xf>
    <xf numFmtId="168" fontId="0" fillId="0" borderId="17" xfId="15" applyNumberFormat="1" applyBorder="1" applyAlignment="1">
      <alignment/>
    </xf>
    <xf numFmtId="0" fontId="0" fillId="0" borderId="31" xfId="0" applyBorder="1" applyAlignment="1">
      <alignment horizontal="center" wrapText="1"/>
    </xf>
    <xf numFmtId="0" fontId="0" fillId="0" borderId="29" xfId="0" applyBorder="1" applyAlignment="1">
      <alignment/>
    </xf>
    <xf numFmtId="168" fontId="0" fillId="0" borderId="29" xfId="15" applyNumberFormat="1" applyBorder="1" applyAlignment="1">
      <alignment/>
    </xf>
    <xf numFmtId="168" fontId="0" fillId="0" borderId="29" xfId="0" applyNumberFormat="1" applyBorder="1" applyAlignment="1">
      <alignment/>
    </xf>
    <xf numFmtId="168" fontId="0" fillId="0" borderId="32" xfId="0" applyNumberFormat="1" applyBorder="1" applyAlignment="1">
      <alignment/>
    </xf>
    <xf numFmtId="0" fontId="0" fillId="0" borderId="5" xfId="0" applyBorder="1" applyAlignment="1">
      <alignment/>
    </xf>
    <xf numFmtId="0" fontId="0" fillId="0" borderId="6" xfId="0" applyBorder="1" applyAlignment="1">
      <alignment horizontal="center" wrapText="1"/>
    </xf>
    <xf numFmtId="0" fontId="0" fillId="0" borderId="19" xfId="0" applyBorder="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0" fillId="0" borderId="6" xfId="0" applyBorder="1" applyAlignment="1">
      <alignment/>
    </xf>
    <xf numFmtId="174" fontId="0" fillId="0" borderId="17" xfId="0" applyNumberFormat="1" applyBorder="1" applyAlignment="1">
      <alignment/>
    </xf>
    <xf numFmtId="10" fontId="0" fillId="0" borderId="29" xfId="21" applyNumberFormat="1" applyBorder="1" applyAlignment="1">
      <alignment/>
    </xf>
    <xf numFmtId="0" fontId="0" fillId="0" borderId="32" xfId="0" applyBorder="1" applyAlignment="1">
      <alignment/>
    </xf>
    <xf numFmtId="0" fontId="0" fillId="0" borderId="19" xfId="0" applyBorder="1" applyAlignment="1">
      <alignment horizontal="center"/>
    </xf>
    <xf numFmtId="174" fontId="0" fillId="0" borderId="29" xfId="0" applyNumberFormat="1" applyBorder="1" applyAlignment="1">
      <alignment/>
    </xf>
    <xf numFmtId="0" fontId="0" fillId="0" borderId="17" xfId="0" applyBorder="1" applyAlignment="1">
      <alignment horizontal="center" wrapText="1"/>
    </xf>
    <xf numFmtId="182" fontId="0" fillId="0" borderId="46" xfId="21" applyNumberFormat="1" applyBorder="1" applyAlignment="1">
      <alignment/>
    </xf>
    <xf numFmtId="0" fontId="0" fillId="0" borderId="30" xfId="0" applyBorder="1" applyAlignment="1">
      <alignment/>
    </xf>
    <xf numFmtId="0" fontId="0" fillId="0" borderId="31" xfId="0" applyBorder="1" applyAlignment="1">
      <alignment/>
    </xf>
    <xf numFmtId="182" fontId="0" fillId="0" borderId="29" xfId="21" applyNumberFormat="1" applyBorder="1" applyAlignment="1">
      <alignment/>
    </xf>
    <xf numFmtId="182" fontId="0" fillId="0" borderId="32" xfId="21" applyNumberFormat="1" applyBorder="1" applyAlignment="1">
      <alignment/>
    </xf>
    <xf numFmtId="184" fontId="0" fillId="0" borderId="29" xfId="21" applyNumberFormat="1" applyBorder="1" applyAlignment="1">
      <alignment/>
    </xf>
    <xf numFmtId="184" fontId="0" fillId="0" borderId="29" xfId="0" applyNumberFormat="1" applyBorder="1" applyAlignment="1">
      <alignment/>
    </xf>
    <xf numFmtId="10" fontId="0" fillId="0" borderId="32" xfId="21" applyNumberFormat="1" applyBorder="1" applyAlignment="1">
      <alignment/>
    </xf>
    <xf numFmtId="0" fontId="0" fillId="0" borderId="0" xfId="0" applyFill="1" applyAlignment="1">
      <alignment horizontal="center"/>
    </xf>
    <xf numFmtId="0" fontId="0" fillId="0" borderId="0" xfId="0" applyFont="1" applyFill="1" applyAlignment="1">
      <alignment/>
    </xf>
    <xf numFmtId="174" fontId="0" fillId="0" borderId="0" xfId="0" applyNumberFormat="1" applyFont="1" applyFill="1" applyAlignment="1">
      <alignment horizontal="center"/>
    </xf>
    <xf numFmtId="174" fontId="0" fillId="0" borderId="0" xfId="0" applyNumberFormat="1" applyAlignment="1">
      <alignment horizontal="center"/>
    </xf>
    <xf numFmtId="0" fontId="4" fillId="2" borderId="52" xfId="0" applyFont="1" applyFill="1" applyBorder="1" applyAlignment="1" applyProtection="1">
      <alignment horizontal="left" vertical="center"/>
      <protection/>
    </xf>
    <xf numFmtId="0" fontId="4" fillId="2" borderId="49" xfId="0" applyFont="1" applyFill="1" applyBorder="1" applyAlignment="1" applyProtection="1">
      <alignment horizontal="left" vertical="center"/>
      <protection/>
    </xf>
    <xf numFmtId="0" fontId="0" fillId="0" borderId="0" xfId="0" applyAlignment="1">
      <alignment horizontal="center" vertical="center" wrapText="1"/>
    </xf>
    <xf numFmtId="0" fontId="8" fillId="3" borderId="5" xfId="0" applyFont="1" applyFill="1" applyBorder="1" applyAlignment="1" applyProtection="1">
      <alignment horizontal="left" vertical="center"/>
      <protection/>
    </xf>
    <xf numFmtId="0" fontId="8" fillId="3" borderId="30" xfId="0" applyFont="1" applyFill="1" applyBorder="1" applyAlignment="1" applyProtection="1">
      <alignment horizontal="left" vertical="center"/>
      <protection/>
    </xf>
    <xf numFmtId="3" fontId="5" fillId="2" borderId="52" xfId="0" applyNumberFormat="1" applyFont="1" applyFill="1" applyBorder="1" applyAlignment="1" applyProtection="1">
      <alignment horizontal="left" vertical="center"/>
      <protection/>
    </xf>
    <xf numFmtId="3" fontId="5" fillId="2" borderId="1" xfId="0" applyNumberFormat="1" applyFont="1" applyFill="1" applyBorder="1" applyAlignment="1" applyProtection="1">
      <alignment horizontal="left" vertical="center"/>
      <protection/>
    </xf>
    <xf numFmtId="0" fontId="4" fillId="2" borderId="52" xfId="0" applyFont="1" applyFill="1" applyBorder="1" applyAlignment="1" applyProtection="1">
      <alignment horizontal="right" vertical="center"/>
      <protection/>
    </xf>
    <xf numFmtId="0" fontId="4" fillId="2" borderId="1" xfId="0" applyFont="1" applyFill="1" applyBorder="1" applyAlignment="1" applyProtection="1">
      <alignment horizontal="right" vertical="center"/>
      <protection/>
    </xf>
    <xf numFmtId="0" fontId="2" fillId="0" borderId="0" xfId="0" applyFont="1" applyAlignment="1">
      <alignment horizontal="center"/>
    </xf>
    <xf numFmtId="0" fontId="8" fillId="0" borderId="0" xfId="0" applyFont="1" applyAlignment="1">
      <alignment horizontal="center"/>
    </xf>
    <xf numFmtId="0" fontId="14" fillId="0" borderId="0" xfId="0" applyFont="1" applyAlignment="1">
      <alignment horizontal="left" wrapText="1"/>
    </xf>
    <xf numFmtId="0" fontId="12" fillId="0" borderId="0" xfId="0" applyFont="1" applyAlignment="1">
      <alignment horizontal="center"/>
    </xf>
    <xf numFmtId="168" fontId="0" fillId="0" borderId="0" xfId="15" applyNumberFormat="1" applyFont="1" applyAlignment="1">
      <alignment horizontal="center"/>
    </xf>
    <xf numFmtId="168" fontId="0" fillId="0" borderId="0" xfId="15" applyNumberFormat="1" applyAlignment="1">
      <alignment horizontal="center"/>
    </xf>
    <xf numFmtId="0" fontId="13" fillId="0" borderId="0" xfId="0" applyFont="1" applyAlignment="1">
      <alignment horizontal="center"/>
    </xf>
    <xf numFmtId="0" fontId="0" fillId="0" borderId="14" xfId="0" applyBorder="1" applyAlignment="1">
      <alignment horizontal="center" vertical="center" wrapText="1"/>
    </xf>
    <xf numFmtId="0" fontId="0" fillId="0" borderId="52" xfId="0" applyFill="1" applyBorder="1" applyAlignment="1">
      <alignment horizontal="center" vertical="center" wrapText="1"/>
    </xf>
    <xf numFmtId="0" fontId="0" fillId="0" borderId="5" xfId="0" applyFill="1" applyBorder="1" applyAlignment="1">
      <alignment horizontal="center"/>
    </xf>
    <xf numFmtId="0" fontId="0" fillId="0" borderId="30" xfId="0" applyFill="1" applyBorder="1" applyAlignment="1">
      <alignment horizontal="center"/>
    </xf>
    <xf numFmtId="0" fontId="0" fillId="0" borderId="6" xfId="0" applyFill="1" applyBorder="1" applyAlignment="1">
      <alignment horizontal="center"/>
    </xf>
    <xf numFmtId="0" fontId="0" fillId="0" borderId="50" xfId="0" applyBorder="1" applyAlignment="1">
      <alignment horizontal="center" vertical="center" wrapText="1"/>
    </xf>
    <xf numFmtId="0" fontId="0" fillId="0" borderId="17" xfId="0" applyBorder="1" applyAlignment="1">
      <alignment horizontal="center" vertical="center" wrapText="1"/>
    </xf>
    <xf numFmtId="0" fontId="0" fillId="0" borderId="50" xfId="0" applyBorder="1" applyAlignment="1">
      <alignment horizontal="center" vertical="center"/>
    </xf>
    <xf numFmtId="0" fontId="0" fillId="0" borderId="17" xfId="0" applyBorder="1" applyAlignment="1">
      <alignment horizontal="center" vertical="center"/>
    </xf>
    <xf numFmtId="0" fontId="13" fillId="0" borderId="0" xfId="0" applyFont="1" applyBorder="1" applyAlignment="1">
      <alignment horizontal="center" vertical="top" wrapText="1"/>
    </xf>
    <xf numFmtId="0" fontId="14" fillId="0" borderId="0" xfId="0" applyFont="1" applyBorder="1" applyAlignment="1">
      <alignment vertical="top" wrapText="1"/>
    </xf>
    <xf numFmtId="0" fontId="15" fillId="0" borderId="0" xfId="0" applyFont="1" applyBorder="1" applyAlignment="1">
      <alignment vertical="top" wrapText="1"/>
    </xf>
    <xf numFmtId="0" fontId="0" fillId="0" borderId="0" xfId="0" applyAlignment="1">
      <alignment horizontal="center"/>
    </xf>
    <xf numFmtId="0" fontId="0" fillId="0" borderId="0" xfId="0" applyAlignment="1">
      <alignment horizontal="left" wrapText="1"/>
    </xf>
    <xf numFmtId="0" fontId="0" fillId="0" borderId="5" xfId="0" applyBorder="1" applyAlignment="1">
      <alignment horizontal="center" wrapText="1"/>
    </xf>
    <xf numFmtId="0" fontId="0" fillId="0" borderId="6" xfId="0" applyBorder="1" applyAlignment="1">
      <alignment horizontal="center" wrapText="1"/>
    </xf>
    <xf numFmtId="0" fontId="2" fillId="0" borderId="0" xfId="0" applyFont="1" applyAlignment="1">
      <alignment horizontal="center" wrapText="1"/>
    </xf>
    <xf numFmtId="0" fontId="2" fillId="0" borderId="0" xfId="0" applyFont="1" applyAlignment="1">
      <alignment horizontal="center" vertical="center" wrapText="1"/>
    </xf>
    <xf numFmtId="0" fontId="2" fillId="0" borderId="30"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vertical="center"/>
    </xf>
    <xf numFmtId="0" fontId="0" fillId="0" borderId="0" xfId="0" applyAlignment="1">
      <alignment horizontal="center" wrapText="1"/>
    </xf>
    <xf numFmtId="0" fontId="4" fillId="2" borderId="1" xfId="0" applyFont="1" applyFill="1" applyBorder="1" applyAlignment="1" applyProtection="1">
      <alignment horizontal="left" vertical="center"/>
      <protection/>
    </xf>
    <xf numFmtId="0" fontId="4" fillId="2" borderId="46" xfId="0" applyFont="1" applyFill="1" applyBorder="1" applyAlignment="1" applyProtection="1">
      <alignment horizontal="left" vertical="center"/>
      <protection/>
    </xf>
    <xf numFmtId="0" fontId="7" fillId="2" borderId="5" xfId="0" applyFont="1" applyFill="1" applyBorder="1" applyAlignment="1" applyProtection="1">
      <alignment horizontal="center" vertical="center"/>
      <protection/>
    </xf>
    <xf numFmtId="0" fontId="7" fillId="2" borderId="30" xfId="0" applyFont="1" applyFill="1" applyBorder="1" applyAlignment="1" applyProtection="1">
      <alignment horizontal="center" vertical="center"/>
      <protection/>
    </xf>
    <xf numFmtId="0" fontId="7" fillId="2" borderId="6" xfId="0" applyFont="1" applyFill="1" applyBorder="1" applyAlignment="1" applyProtection="1">
      <alignment horizontal="center" vertical="center"/>
      <protection/>
    </xf>
    <xf numFmtId="0" fontId="4" fillId="2" borderId="48" xfId="0" applyFont="1" applyFill="1" applyBorder="1" applyAlignment="1" applyProtection="1">
      <alignment horizontal="center" vertical="center"/>
      <protection/>
    </xf>
    <xf numFmtId="0" fontId="4" fillId="2" borderId="51" xfId="0" applyFont="1" applyFill="1" applyBorder="1" applyAlignment="1" applyProtection="1">
      <alignment horizontal="center" vertical="center"/>
      <protection/>
    </xf>
    <xf numFmtId="3" fontId="5" fillId="5" borderId="52" xfId="0" applyNumberFormat="1" applyFont="1" applyFill="1" applyBorder="1" applyAlignment="1" applyProtection="1">
      <alignment horizontal="center" vertical="center"/>
      <protection locked="0"/>
    </xf>
    <xf numFmtId="3" fontId="5" fillId="5" borderId="1" xfId="0" applyNumberFormat="1" applyFont="1" applyFill="1" applyBorder="1" applyAlignment="1" applyProtection="1">
      <alignment horizontal="center" vertical="center"/>
      <protection locked="0"/>
    </xf>
    <xf numFmtId="182" fontId="0" fillId="2" borderId="42" xfId="0" applyNumberFormat="1" applyFill="1" applyBorder="1" applyAlignment="1" applyProtection="1">
      <alignment horizontal="center"/>
      <protection/>
    </xf>
    <xf numFmtId="182" fontId="0" fillId="2" borderId="43" xfId="0" applyNumberFormat="1" applyFill="1" applyBorder="1" applyAlignment="1" applyProtection="1">
      <alignment horizontal="center"/>
      <protection/>
    </xf>
    <xf numFmtId="182" fontId="0" fillId="2" borderId="44" xfId="0" applyNumberFormat="1" applyFill="1" applyBorder="1" applyAlignment="1" applyProtection="1">
      <alignment horizontal="center"/>
      <protection/>
    </xf>
    <xf numFmtId="182" fontId="0" fillId="2" borderId="17" xfId="0" applyNumberFormat="1" applyFill="1" applyBorder="1" applyAlignment="1" applyProtection="1">
      <alignment horizontal="center"/>
      <protection/>
    </xf>
    <xf numFmtId="182" fontId="0" fillId="2" borderId="45" xfId="0" applyNumberFormat="1" applyFill="1" applyBorder="1" applyAlignment="1" applyProtection="1">
      <alignment horizontal="center"/>
      <protection/>
    </xf>
    <xf numFmtId="182" fontId="0" fillId="2" borderId="46" xfId="0" applyNumberFormat="1" applyFill="1" applyBorder="1" applyAlignment="1" applyProtection="1">
      <alignment horizontal="center"/>
      <protection/>
    </xf>
    <xf numFmtId="0" fontId="2" fillId="0" borderId="0" xfId="0" applyFont="1" applyAlignment="1">
      <alignment horizontal="right"/>
    </xf>
    <xf numFmtId="0" fontId="0" fillId="0" borderId="0" xfId="0" applyAlignment="1">
      <alignment horizontal="center" vertical="center"/>
    </xf>
    <xf numFmtId="0" fontId="0" fillId="0" borderId="14" xfId="0" applyBorder="1" applyAlignment="1">
      <alignment horizontal="center"/>
    </xf>
  </cellXfs>
  <cellStyles count="8">
    <cellStyle name="Normal" xfId="0"/>
    <cellStyle name="Comma" xfId="15"/>
    <cellStyle name="Comma [0]" xfId="16"/>
    <cellStyle name="Currency" xfId="17"/>
    <cellStyle name="Currency [0]" xfId="18"/>
    <cellStyle name="Currency_Final - 2004 RAM for rate schedule - milton"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104775</xdr:rowOff>
    </xdr:from>
    <xdr:to>
      <xdr:col>7</xdr:col>
      <xdr:colOff>438150</xdr:colOff>
      <xdr:row>13</xdr:row>
      <xdr:rowOff>104775</xdr:rowOff>
    </xdr:to>
    <xdr:pic>
      <xdr:nvPicPr>
        <xdr:cNvPr id="1" name="Picture 1"/>
        <xdr:cNvPicPr preferRelativeResize="1">
          <a:picLocks noChangeAspect="1"/>
        </xdr:cNvPicPr>
      </xdr:nvPicPr>
      <xdr:blipFill>
        <a:blip r:embed="rId1"/>
        <a:stretch>
          <a:fillRect/>
        </a:stretch>
      </xdr:blipFill>
      <xdr:spPr>
        <a:xfrm>
          <a:off x="609600" y="1076325"/>
          <a:ext cx="409575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2:B25"/>
  <sheetViews>
    <sheetView tabSelected="1" workbookViewId="0" topLeftCell="A1">
      <selection activeCell="B5" sqref="B5"/>
    </sheetView>
  </sheetViews>
  <sheetFormatPr defaultColWidth="9.140625" defaultRowHeight="12.75"/>
  <sheetData>
    <row r="22" ht="20.25">
      <c r="B22" s="153" t="s">
        <v>216</v>
      </c>
    </row>
    <row r="23" ht="20.25">
      <c r="B23" s="153" t="s">
        <v>214</v>
      </c>
    </row>
    <row r="24" ht="20.25">
      <c r="B24" s="153" t="s">
        <v>215</v>
      </c>
    </row>
    <row r="25" ht="20.25">
      <c r="B25" s="153" t="s">
        <v>217</v>
      </c>
    </row>
  </sheetData>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indexed="11"/>
    <pageSetUpPr fitToPage="1"/>
  </sheetPr>
  <dimension ref="A1:G30"/>
  <sheetViews>
    <sheetView workbookViewId="0" topLeftCell="A1">
      <selection activeCell="J27" sqref="J27"/>
    </sheetView>
  </sheetViews>
  <sheetFormatPr defaultColWidth="9.140625" defaultRowHeight="12.75"/>
  <cols>
    <col min="1" max="1" width="32.28125" style="0" bestFit="1" customWidth="1"/>
    <col min="3" max="3" width="7.00390625" style="0" bestFit="1" customWidth="1"/>
    <col min="4" max="4" width="11.28125" style="0" bestFit="1" customWidth="1"/>
    <col min="5" max="5" width="7.7109375" style="0" bestFit="1" customWidth="1"/>
    <col min="6" max="6" width="9.421875" style="0" bestFit="1" customWidth="1"/>
    <col min="7" max="7" width="11.421875" style="0" bestFit="1" customWidth="1"/>
  </cols>
  <sheetData>
    <row r="1" spans="1:7" ht="12.75">
      <c r="A1" s="256" t="s">
        <v>258</v>
      </c>
      <c r="B1" s="256"/>
      <c r="C1" s="256"/>
      <c r="D1" s="256"/>
      <c r="E1" s="256"/>
      <c r="F1" s="256"/>
      <c r="G1" s="256"/>
    </row>
    <row r="2" spans="1:7" ht="12.75">
      <c r="A2" s="256" t="s">
        <v>179</v>
      </c>
      <c r="B2" s="256"/>
      <c r="C2" s="256"/>
      <c r="D2" s="256"/>
      <c r="E2" s="256"/>
      <c r="F2" s="256"/>
      <c r="G2" s="256"/>
    </row>
    <row r="4" spans="1:7" ht="13.5" thickBot="1">
      <c r="A4" s="256" t="s">
        <v>178</v>
      </c>
      <c r="B4" s="256"/>
      <c r="C4" s="256"/>
      <c r="D4" s="256"/>
      <c r="E4" s="256"/>
      <c r="F4" s="256"/>
      <c r="G4" s="256"/>
    </row>
    <row r="5" spans="1:7" ht="44.25" customHeight="1" thickBot="1">
      <c r="A5" s="223"/>
      <c r="B5" s="277" t="s">
        <v>150</v>
      </c>
      <c r="C5" s="278"/>
      <c r="D5" s="277" t="s">
        <v>175</v>
      </c>
      <c r="E5" s="278"/>
      <c r="F5" s="225" t="s">
        <v>176</v>
      </c>
      <c r="G5" s="224" t="s">
        <v>177</v>
      </c>
    </row>
    <row r="6" spans="1:7" ht="13.5" thickBot="1">
      <c r="A6" s="213"/>
      <c r="B6" s="226" t="s">
        <v>59</v>
      </c>
      <c r="C6" s="227" t="s">
        <v>60</v>
      </c>
      <c r="D6" s="226" t="s">
        <v>59</v>
      </c>
      <c r="E6" s="227" t="s">
        <v>60</v>
      </c>
      <c r="F6" s="213"/>
      <c r="G6" s="228"/>
    </row>
    <row r="7" spans="1:7" ht="12.75">
      <c r="A7" s="197" t="s">
        <v>132</v>
      </c>
      <c r="B7" s="197"/>
      <c r="C7" s="199"/>
      <c r="D7" s="197"/>
      <c r="E7" s="199"/>
      <c r="F7" s="219"/>
      <c r="G7" s="199"/>
    </row>
    <row r="8" spans="1:7" ht="12.75">
      <c r="A8" s="197" t="s">
        <v>0</v>
      </c>
      <c r="B8" s="215">
        <v>0.005</v>
      </c>
      <c r="C8" s="199"/>
      <c r="D8" s="216">
        <v>28565432</v>
      </c>
      <c r="E8" s="199"/>
      <c r="F8" s="220">
        <v>142827.16</v>
      </c>
      <c r="G8" s="214">
        <v>0.34633800705224654</v>
      </c>
    </row>
    <row r="9" spans="1:7" ht="12.75">
      <c r="A9" s="197" t="s">
        <v>15</v>
      </c>
      <c r="B9" s="197">
        <v>0.0045</v>
      </c>
      <c r="C9" s="199"/>
      <c r="D9" s="216">
        <v>13994672</v>
      </c>
      <c r="E9" s="217"/>
      <c r="F9" s="220">
        <v>62976.024</v>
      </c>
      <c r="G9" s="214">
        <v>0.1527089850714279</v>
      </c>
    </row>
    <row r="10" spans="1:7" ht="12.75">
      <c r="A10" s="197" t="s">
        <v>16</v>
      </c>
      <c r="B10" s="197"/>
      <c r="C10" s="199">
        <v>1.7882</v>
      </c>
      <c r="D10" s="216"/>
      <c r="E10" s="217">
        <v>33005</v>
      </c>
      <c r="F10" s="220">
        <v>59019.541</v>
      </c>
      <c r="G10" s="214">
        <v>0.14311500842751723</v>
      </c>
    </row>
    <row r="11" spans="1:7" ht="12.75">
      <c r="A11" s="197" t="s">
        <v>322</v>
      </c>
      <c r="B11" s="197"/>
      <c r="C11" s="199">
        <v>1.9603</v>
      </c>
      <c r="D11" s="216"/>
      <c r="E11" s="217">
        <v>74693</v>
      </c>
      <c r="F11" s="220">
        <v>146949.9689</v>
      </c>
      <c r="G11" s="214">
        <v>0.35633530320994694</v>
      </c>
    </row>
    <row r="12" spans="1:7" ht="12.75">
      <c r="A12" s="197" t="s">
        <v>19</v>
      </c>
      <c r="B12" s="197"/>
      <c r="C12" s="199">
        <v>1.4113</v>
      </c>
      <c r="D12" s="216"/>
      <c r="E12" s="217">
        <v>109</v>
      </c>
      <c r="F12" s="220">
        <v>153.8317</v>
      </c>
      <c r="G12" s="214">
        <v>0.00037302264078806213</v>
      </c>
    </row>
    <row r="13" spans="1:7" ht="12.75">
      <c r="A13" s="197" t="s">
        <v>20</v>
      </c>
      <c r="B13" s="197"/>
      <c r="C13" s="199">
        <v>1.3824</v>
      </c>
      <c r="D13" s="216"/>
      <c r="E13" s="217">
        <v>337</v>
      </c>
      <c r="F13" s="221">
        <v>465.8688</v>
      </c>
      <c r="G13" s="214">
        <v>0.001129673598073515</v>
      </c>
    </row>
    <row r="14" spans="1:7" ht="13.5" thickBot="1">
      <c r="A14" s="204"/>
      <c r="B14" s="204"/>
      <c r="C14" s="206"/>
      <c r="D14" s="204"/>
      <c r="E14" s="206"/>
      <c r="F14" s="222">
        <f>SUM(F8:F13)</f>
        <v>412392.39439999993</v>
      </c>
      <c r="G14" s="206"/>
    </row>
    <row r="17" spans="1:7" ht="90" customHeight="1">
      <c r="A17" s="276" t="s">
        <v>233</v>
      </c>
      <c r="B17" s="276"/>
      <c r="C17" s="276"/>
      <c r="D17" s="276"/>
      <c r="E17" s="276"/>
      <c r="F17" s="276"/>
      <c r="G17" s="276"/>
    </row>
    <row r="18" spans="1:7" ht="21.75" customHeight="1">
      <c r="A18" s="145"/>
      <c r="B18" s="145"/>
      <c r="C18" s="145"/>
      <c r="D18" s="145"/>
      <c r="E18" s="145"/>
      <c r="F18" s="145"/>
      <c r="G18" s="145"/>
    </row>
    <row r="19" spans="1:7" ht="13.5" thickBot="1">
      <c r="A19" s="256" t="s">
        <v>180</v>
      </c>
      <c r="B19" s="256"/>
      <c r="C19" s="256"/>
      <c r="D19" s="256"/>
      <c r="E19" s="256"/>
      <c r="F19" s="256"/>
      <c r="G19" s="256"/>
    </row>
    <row r="20" spans="1:7" ht="46.5" customHeight="1" thickBot="1">
      <c r="A20" s="223"/>
      <c r="B20" s="277" t="s">
        <v>150</v>
      </c>
      <c r="C20" s="278"/>
      <c r="D20" s="277" t="s">
        <v>183</v>
      </c>
      <c r="E20" s="278"/>
      <c r="F20" s="225" t="s">
        <v>181</v>
      </c>
      <c r="G20" s="225" t="s">
        <v>182</v>
      </c>
    </row>
    <row r="21" spans="1:7" ht="13.5" thickBot="1">
      <c r="A21" s="223"/>
      <c r="B21" s="232" t="s">
        <v>59</v>
      </c>
      <c r="C21" s="227" t="s">
        <v>60</v>
      </c>
      <c r="D21" s="226" t="s">
        <v>59</v>
      </c>
      <c r="E21" s="232" t="s">
        <v>60</v>
      </c>
      <c r="F21" s="213"/>
      <c r="G21" s="213"/>
    </row>
    <row r="22" spans="1:7" ht="12.75">
      <c r="A22" s="197" t="s">
        <v>132</v>
      </c>
      <c r="B22" s="219"/>
      <c r="C22" s="199"/>
      <c r="D22" s="197"/>
      <c r="E22" s="219"/>
      <c r="F22" s="219"/>
      <c r="G22" s="219"/>
    </row>
    <row r="23" spans="1:7" ht="12.75">
      <c r="A23" s="197" t="s">
        <v>0</v>
      </c>
      <c r="B23" s="233">
        <v>0.005</v>
      </c>
      <c r="C23" s="199"/>
      <c r="D23" s="216">
        <v>28565432</v>
      </c>
      <c r="E23" s="219"/>
      <c r="F23" s="220">
        <f>B23*D23</f>
        <v>142827.16</v>
      </c>
      <c r="G23" s="230">
        <f>F23/SUM(F$23:F$27)</f>
        <v>0.4915915313537593</v>
      </c>
    </row>
    <row r="24" spans="1:7" ht="12.75">
      <c r="A24" s="197" t="s">
        <v>15</v>
      </c>
      <c r="B24" s="219">
        <v>0.0045</v>
      </c>
      <c r="C24" s="199"/>
      <c r="D24" s="216">
        <v>13994672</v>
      </c>
      <c r="E24" s="220"/>
      <c r="F24" s="220">
        <f>B24*D24</f>
        <v>62976.024</v>
      </c>
      <c r="G24" s="230">
        <f>F24/SUM(F$23:F$27)</f>
        <v>0.2167548530456749</v>
      </c>
    </row>
    <row r="25" spans="1:7" ht="12.75">
      <c r="A25" s="197" t="s">
        <v>16</v>
      </c>
      <c r="B25" s="219"/>
      <c r="C25" s="229">
        <f>((C10*E10)+(C11*E11))/(E10+E11)</f>
        <v>1.9075584402681571</v>
      </c>
      <c r="D25" s="216"/>
      <c r="E25" s="220">
        <f>E10+0.1485*E11</f>
        <v>44096.9105</v>
      </c>
      <c r="F25" s="220">
        <f>C25*E25</f>
        <v>84117.43381402452</v>
      </c>
      <c r="G25" s="230">
        <f>F25/SUM(F$23:F$27)</f>
        <v>0.28952069131798747</v>
      </c>
    </row>
    <row r="26" spans="1:7" ht="12.75">
      <c r="A26" s="197" t="s">
        <v>19</v>
      </c>
      <c r="B26" s="219"/>
      <c r="C26" s="199">
        <v>1.4113</v>
      </c>
      <c r="D26" s="216"/>
      <c r="E26" s="220">
        <v>109</v>
      </c>
      <c r="F26" s="220">
        <f>C26*E26</f>
        <v>153.8317</v>
      </c>
      <c r="G26" s="230">
        <f>F26/SUM(F$23:F$27)</f>
        <v>0.0005294676514869588</v>
      </c>
    </row>
    <row r="27" spans="1:7" ht="12.75">
      <c r="A27" s="197" t="s">
        <v>20</v>
      </c>
      <c r="B27" s="219"/>
      <c r="C27" s="199">
        <v>1.3824</v>
      </c>
      <c r="D27" s="216"/>
      <c r="E27" s="220">
        <v>337</v>
      </c>
      <c r="F27" s="220">
        <f>C27*E27</f>
        <v>465.8688</v>
      </c>
      <c r="G27" s="230">
        <f>F27/SUM(F$23:F$27)</f>
        <v>0.001603456631091301</v>
      </c>
    </row>
    <row r="28" spans="1:7" ht="13.5" thickBot="1">
      <c r="A28" s="204"/>
      <c r="B28" s="231"/>
      <c r="C28" s="206"/>
      <c r="D28" s="204"/>
      <c r="E28" s="231"/>
      <c r="F28" s="222">
        <f>SUM(F23:F27)</f>
        <v>290540.31831402454</v>
      </c>
      <c r="G28" s="231"/>
    </row>
    <row r="30" spans="1:7" ht="30.75" customHeight="1">
      <c r="A30" s="276" t="s">
        <v>232</v>
      </c>
      <c r="B30" s="276"/>
      <c r="C30" s="276"/>
      <c r="D30" s="276"/>
      <c r="E30" s="276"/>
      <c r="F30" s="276"/>
      <c r="G30" s="276"/>
    </row>
  </sheetData>
  <mergeCells count="10">
    <mergeCell ref="A2:G2"/>
    <mergeCell ref="A1:G1"/>
    <mergeCell ref="A30:G30"/>
    <mergeCell ref="A4:G4"/>
    <mergeCell ref="A17:G17"/>
    <mergeCell ref="B20:C20"/>
    <mergeCell ref="D20:E20"/>
    <mergeCell ref="B5:C5"/>
    <mergeCell ref="D5:E5"/>
    <mergeCell ref="A19:G19"/>
  </mergeCells>
  <printOptions/>
  <pageMargins left="0.75" right="0.75" top="1" bottom="1" header="0.5" footer="0.5"/>
  <pageSetup fitToHeight="1" fitToWidth="1" horizontalDpi="600" verticalDpi="600" orientation="portrait"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tabColor indexed="11"/>
    <pageSetUpPr fitToPage="1"/>
  </sheetPr>
  <dimension ref="A1:G14"/>
  <sheetViews>
    <sheetView workbookViewId="0" topLeftCell="A1">
      <selection activeCell="F8" sqref="F8:F14"/>
    </sheetView>
  </sheetViews>
  <sheetFormatPr defaultColWidth="9.140625" defaultRowHeight="12.75"/>
  <cols>
    <col min="1" max="1" width="38.7109375" style="0" bestFit="1" customWidth="1"/>
    <col min="2" max="3" width="11.57421875" style="0" customWidth="1"/>
    <col min="4" max="4" width="11.140625" style="2" customWidth="1"/>
    <col min="5" max="5" width="10.8515625" style="0" customWidth="1"/>
    <col min="6" max="6" width="12.7109375" style="0" customWidth="1"/>
    <col min="7" max="7" width="12.8515625" style="0" customWidth="1"/>
  </cols>
  <sheetData>
    <row r="1" spans="1:7" ht="15.75">
      <c r="A1" s="262" t="s">
        <v>258</v>
      </c>
      <c r="B1" s="262"/>
      <c r="C1" s="262"/>
      <c r="D1" s="262"/>
      <c r="E1" s="262"/>
      <c r="F1" s="262"/>
      <c r="G1" s="262"/>
    </row>
    <row r="2" spans="1:7" ht="15.75">
      <c r="A2" s="262" t="s">
        <v>313</v>
      </c>
      <c r="B2" s="262"/>
      <c r="C2" s="262"/>
      <c r="D2" s="262"/>
      <c r="E2" s="262"/>
      <c r="F2" s="262"/>
      <c r="G2" s="262"/>
    </row>
    <row r="4" spans="1:2" ht="12.75">
      <c r="A4" t="s">
        <v>34</v>
      </c>
      <c r="B4" s="141">
        <f>'Revenue Requirement'!D19</f>
        <v>95837</v>
      </c>
    </row>
    <row r="6" spans="1:7" ht="27.75" customHeight="1">
      <c r="A6" s="3" t="s">
        <v>132</v>
      </c>
      <c r="B6" s="279" t="s">
        <v>150</v>
      </c>
      <c r="C6" s="279"/>
      <c r="D6" s="280" t="s">
        <v>151</v>
      </c>
      <c r="E6" s="280" t="s">
        <v>235</v>
      </c>
      <c r="F6" s="280" t="s">
        <v>152</v>
      </c>
      <c r="G6" s="280"/>
    </row>
    <row r="7" spans="1:7" ht="12.75">
      <c r="A7" s="3"/>
      <c r="B7" s="114" t="s">
        <v>153</v>
      </c>
      <c r="C7" s="114" t="s">
        <v>154</v>
      </c>
      <c r="D7" s="280"/>
      <c r="E7" s="280"/>
      <c r="F7" s="114" t="s">
        <v>153</v>
      </c>
      <c r="G7" s="114" t="s">
        <v>154</v>
      </c>
    </row>
    <row r="8" spans="1:6" ht="12.75">
      <c r="A8" t="s">
        <v>0</v>
      </c>
      <c r="B8">
        <v>0.0041</v>
      </c>
      <c r="D8" s="111">
        <f>'Eliminate TOU From Low Voltage'!G23</f>
        <v>0.4915915313537593</v>
      </c>
      <c r="E8" s="10">
        <f aca="true" t="shared" si="0" ref="E8:E13">D8*B$4</f>
        <v>47112.65759035023</v>
      </c>
      <c r="F8" s="2">
        <f>ROUND(E8/(' Forecast Data'!J7+' Forecast Data'!I7)/2,4)</f>
        <v>0.0004</v>
      </c>
    </row>
    <row r="9" spans="1:6" ht="12.75">
      <c r="A9" t="s">
        <v>15</v>
      </c>
      <c r="B9">
        <v>0.0037</v>
      </c>
      <c r="D9" s="111">
        <f>'Eliminate TOU From Low Voltage'!G24</f>
        <v>0.2167548530456749</v>
      </c>
      <c r="E9" s="10">
        <f t="shared" si="0"/>
        <v>20773.134851338345</v>
      </c>
      <c r="F9" s="246">
        <f>ROUND(E9/((' Forecast Data'!J11+' Forecast Data'!I11)/2+(' Forecast Data'!J20+' Forecast Data'!I20)/2),4)</f>
        <v>0.0015</v>
      </c>
    </row>
    <row r="10" spans="1:7" ht="12.75">
      <c r="A10" t="s">
        <v>16</v>
      </c>
      <c r="C10" s="140">
        <f>'Eliminate TOU From Low Voltage'!C25/'Eliminate TOU From Low Voltage'!C11*1.616</f>
        <v>1.572521777010326</v>
      </c>
      <c r="D10" s="111">
        <f>'Eliminate TOU From Low Voltage'!G25</f>
        <v>0.28952069131798747</v>
      </c>
      <c r="E10" s="10">
        <f t="shared" si="0"/>
        <v>27746.794493841964</v>
      </c>
      <c r="F10" s="2"/>
      <c r="G10">
        <f>ROUND(E10/(' Forecast Data'!J16+' Forecast Data'!I16)/2,4)</f>
        <v>0.1149</v>
      </c>
    </row>
    <row r="11" spans="1:6" ht="12.75">
      <c r="A11" t="s">
        <v>18</v>
      </c>
      <c r="B11">
        <v>0.0037</v>
      </c>
      <c r="D11" s="111"/>
      <c r="E11" s="10">
        <f t="shared" si="0"/>
        <v>0</v>
      </c>
      <c r="F11" s="246">
        <f>F9</f>
        <v>0.0015</v>
      </c>
    </row>
    <row r="12" spans="1:7" ht="12.75">
      <c r="A12" t="s">
        <v>19</v>
      </c>
      <c r="C12">
        <v>1.1635</v>
      </c>
      <c r="D12" s="111">
        <f>'Eliminate TOU From Low Voltage'!G26</f>
        <v>0.0005294676514869588</v>
      </c>
      <c r="E12" s="10">
        <f t="shared" si="0"/>
        <v>50.74259131555567</v>
      </c>
      <c r="F12" s="2"/>
      <c r="G12">
        <f>ROUND(E12/(' Forecast Data'!J25+' Forecast Data'!I25)/2,4)</f>
        <v>0.0532</v>
      </c>
    </row>
    <row r="13" spans="1:7" ht="12.75">
      <c r="A13" t="s">
        <v>20</v>
      </c>
      <c r="C13">
        <v>1.1396</v>
      </c>
      <c r="D13" s="111">
        <f>'Eliminate TOU From Low Voltage'!G27</f>
        <v>0.001603456631091301</v>
      </c>
      <c r="E13" s="10">
        <f t="shared" si="0"/>
        <v>153.670473153897</v>
      </c>
      <c r="F13" s="2"/>
      <c r="G13">
        <f>ROUND(E13/(' Forecast Data'!J30+' Forecast Data'!I30)/2,4)</f>
        <v>0.0232</v>
      </c>
    </row>
    <row r="14" spans="4:6" ht="12.75">
      <c r="D14" s="157">
        <f>SUM(D8:D13)</f>
        <v>1</v>
      </c>
      <c r="E14" s="141">
        <f>SUM(E8:E13)</f>
        <v>95837</v>
      </c>
      <c r="F14" s="2"/>
    </row>
  </sheetData>
  <mergeCells count="6">
    <mergeCell ref="A1:G1"/>
    <mergeCell ref="A2:G2"/>
    <mergeCell ref="B6:C6"/>
    <mergeCell ref="D6:D7"/>
    <mergeCell ref="E6:E7"/>
    <mergeCell ref="F6:G6"/>
  </mergeCells>
  <printOptions/>
  <pageMargins left="0.75" right="0.75" top="1" bottom="1" header="0.5" footer="0.5"/>
  <pageSetup fitToHeight="1" fitToWidth="1" horizontalDpi="600" verticalDpi="600" orientation="landscape"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tabColor indexed="40"/>
    <pageSetUpPr fitToPage="1"/>
  </sheetPr>
  <dimension ref="A1:Q13"/>
  <sheetViews>
    <sheetView workbookViewId="0" topLeftCell="A4">
      <selection activeCell="A3" sqref="A3:Q3"/>
    </sheetView>
  </sheetViews>
  <sheetFormatPr defaultColWidth="9.140625" defaultRowHeight="12.75"/>
  <cols>
    <col min="1" max="1" width="24.28125" style="0" customWidth="1"/>
    <col min="2" max="2" width="13.140625" style="0" customWidth="1"/>
    <col min="5" max="5" width="9.28125" style="0" bestFit="1" customWidth="1"/>
    <col min="6" max="6" width="1.57421875" style="0" customWidth="1"/>
    <col min="7" max="7" width="13.140625" style="0" customWidth="1"/>
    <col min="11" max="11" width="1.57421875" style="0" customWidth="1"/>
    <col min="12" max="12" width="11.140625" style="0" customWidth="1"/>
    <col min="13" max="13" width="13.140625" style="0" customWidth="1"/>
    <col min="16" max="16" width="10.28125" style="0" customWidth="1"/>
    <col min="17" max="17" width="10.57421875" style="0" customWidth="1"/>
  </cols>
  <sheetData>
    <row r="1" spans="1:17" ht="15.75">
      <c r="A1" s="262" t="s">
        <v>258</v>
      </c>
      <c r="B1" s="262"/>
      <c r="C1" s="262"/>
      <c r="D1" s="262"/>
      <c r="E1" s="262"/>
      <c r="F1" s="262"/>
      <c r="G1" s="262"/>
      <c r="H1" s="262"/>
      <c r="I1" s="262"/>
      <c r="J1" s="262"/>
      <c r="K1" s="262"/>
      <c r="L1" s="262"/>
      <c r="M1" s="262"/>
      <c r="N1" s="262"/>
      <c r="O1" s="262"/>
      <c r="P1" s="262"/>
      <c r="Q1" s="262"/>
    </row>
    <row r="3" spans="1:17" ht="15.75">
      <c r="A3" s="262" t="s">
        <v>274</v>
      </c>
      <c r="B3" s="262"/>
      <c r="C3" s="262"/>
      <c r="D3" s="262"/>
      <c r="E3" s="262"/>
      <c r="F3" s="262"/>
      <c r="G3" s="262"/>
      <c r="H3" s="262"/>
      <c r="I3" s="262"/>
      <c r="J3" s="262"/>
      <c r="K3" s="262"/>
      <c r="L3" s="262"/>
      <c r="M3" s="262"/>
      <c r="N3" s="262"/>
      <c r="O3" s="262"/>
      <c r="P3" s="262"/>
      <c r="Q3" s="262"/>
    </row>
    <row r="4" ht="13.5" thickBot="1"/>
    <row r="5" spans="1:17" ht="13.5" thickBot="1">
      <c r="A5" s="223"/>
      <c r="B5" s="281" t="s">
        <v>275</v>
      </c>
      <c r="C5" s="281"/>
      <c r="D5" s="281"/>
      <c r="E5" s="281"/>
      <c r="F5" s="236"/>
      <c r="G5" s="281" t="s">
        <v>276</v>
      </c>
      <c r="H5" s="281"/>
      <c r="I5" s="281"/>
      <c r="J5" s="281"/>
      <c r="K5" s="236"/>
      <c r="L5" s="236"/>
      <c r="M5" s="281" t="s">
        <v>277</v>
      </c>
      <c r="N5" s="281"/>
      <c r="O5" s="281"/>
      <c r="P5" s="281"/>
      <c r="Q5" s="282"/>
    </row>
    <row r="6" spans="1:17" ht="51">
      <c r="A6" s="237"/>
      <c r="B6" s="218" t="s">
        <v>278</v>
      </c>
      <c r="C6" s="218" t="s">
        <v>279</v>
      </c>
      <c r="D6" s="218" t="s">
        <v>280</v>
      </c>
      <c r="E6" s="218" t="s">
        <v>281</v>
      </c>
      <c r="F6" s="198"/>
      <c r="G6" s="218" t="s">
        <v>278</v>
      </c>
      <c r="H6" s="218" t="s">
        <v>279</v>
      </c>
      <c r="I6" s="218" t="s">
        <v>280</v>
      </c>
      <c r="J6" s="218" t="s">
        <v>281</v>
      </c>
      <c r="K6" s="198"/>
      <c r="L6" s="218" t="s">
        <v>282</v>
      </c>
      <c r="M6" s="218" t="s">
        <v>278</v>
      </c>
      <c r="N6" s="218" t="s">
        <v>279</v>
      </c>
      <c r="O6" s="218" t="s">
        <v>280</v>
      </c>
      <c r="P6" s="218" t="s">
        <v>283</v>
      </c>
      <c r="Q6" s="234" t="s">
        <v>273</v>
      </c>
    </row>
    <row r="7" spans="1:17" ht="12.75">
      <c r="A7" s="219" t="s">
        <v>0</v>
      </c>
      <c r="B7" s="220">
        <v>13717</v>
      </c>
      <c r="C7" s="238">
        <f aca="true" t="shared" si="0" ref="C7:C12">B7/B$13</f>
        <v>0.7223655800726737</v>
      </c>
      <c r="D7" s="230">
        <v>0.718</v>
      </c>
      <c r="E7" s="240">
        <f aca="true" t="shared" si="1" ref="E7:E12">D7*C7</f>
        <v>0.5186584864921797</v>
      </c>
      <c r="F7" s="198"/>
      <c r="G7" s="220">
        <v>8064</v>
      </c>
      <c r="H7" s="238">
        <f aca="true" t="shared" si="2" ref="H7:H12">G7/G$13</f>
        <v>0.722645398333184</v>
      </c>
      <c r="I7" s="230">
        <v>0.6471</v>
      </c>
      <c r="J7" s="240">
        <f aca="true" t="shared" si="3" ref="J7:J12">I7*H7</f>
        <v>0.46762383726140333</v>
      </c>
      <c r="K7" s="198"/>
      <c r="L7" s="241">
        <f aca="true" t="shared" si="4" ref="L7:L12">AVERAGE(E7,J7)</f>
        <v>0.4931411618767915</v>
      </c>
      <c r="M7" s="220">
        <v>3072</v>
      </c>
      <c r="N7" s="238">
        <f aca="true" t="shared" si="5" ref="N7:N12">M7/M$13</f>
        <v>0.7441860465116279</v>
      </c>
      <c r="O7" s="230">
        <v>0.8213</v>
      </c>
      <c r="P7" s="230">
        <f>L7/N7</f>
        <v>0.6626584362719387</v>
      </c>
      <c r="Q7" s="214">
        <f aca="true" t="shared" si="6" ref="Q7:Q12">P7/P$13</f>
        <v>0.7186871414739855</v>
      </c>
    </row>
    <row r="8" spans="1:17" ht="12.75">
      <c r="A8" s="219" t="s">
        <v>43</v>
      </c>
      <c r="B8" s="220">
        <v>1150</v>
      </c>
      <c r="C8" s="238">
        <f t="shared" si="0"/>
        <v>0.06056137763968614</v>
      </c>
      <c r="D8" s="230">
        <v>0.1302</v>
      </c>
      <c r="E8" s="240">
        <f t="shared" si="1"/>
        <v>0.007885091368687135</v>
      </c>
      <c r="F8" s="198"/>
      <c r="G8" s="220">
        <v>943</v>
      </c>
      <c r="H8" s="238">
        <f t="shared" si="2"/>
        <v>0.08450578008782149</v>
      </c>
      <c r="I8" s="230">
        <v>0.1584</v>
      </c>
      <c r="J8" s="240">
        <f t="shared" si="3"/>
        <v>0.013385715565910925</v>
      </c>
      <c r="K8" s="198"/>
      <c r="L8" s="241">
        <f t="shared" si="4"/>
        <v>0.010635403467299031</v>
      </c>
      <c r="M8" s="220">
        <v>390</v>
      </c>
      <c r="N8" s="238">
        <f t="shared" si="5"/>
        <v>0.09447674418604651</v>
      </c>
      <c r="O8" s="230">
        <v>0.2324</v>
      </c>
      <c r="P8" s="230">
        <f>L8/N8</f>
        <v>0.11257165516156513</v>
      </c>
      <c r="Q8" s="214">
        <f t="shared" si="6"/>
        <v>0.12208974734286722</v>
      </c>
    </row>
    <row r="9" spans="1:17" ht="12.75">
      <c r="A9" s="219" t="s">
        <v>44</v>
      </c>
      <c r="B9" s="220">
        <v>133</v>
      </c>
      <c r="C9" s="238">
        <f t="shared" si="0"/>
        <v>0.007004054979198484</v>
      </c>
      <c r="D9" s="230">
        <v>0.1187</v>
      </c>
      <c r="E9" s="240">
        <f t="shared" si="1"/>
        <v>0.00083138132603086</v>
      </c>
      <c r="F9" s="198"/>
      <c r="G9" s="220">
        <v>72</v>
      </c>
      <c r="H9" s="238">
        <f t="shared" si="2"/>
        <v>0.006452191056546285</v>
      </c>
      <c r="I9" s="230">
        <v>0.1656</v>
      </c>
      <c r="J9" s="240">
        <f t="shared" si="3"/>
        <v>0.0010684828389640648</v>
      </c>
      <c r="K9" s="198"/>
      <c r="L9" s="241">
        <f t="shared" si="4"/>
        <v>0.0009499320824974624</v>
      </c>
      <c r="M9" s="220">
        <v>34</v>
      </c>
      <c r="N9" s="238">
        <f t="shared" si="5"/>
        <v>0.008236434108527133</v>
      </c>
      <c r="O9" s="230">
        <v>-0.0557</v>
      </c>
      <c r="P9" s="230">
        <f>L9/N9</f>
        <v>0.11533293048675072</v>
      </c>
      <c r="Q9" s="214">
        <f t="shared" si="6"/>
        <v>0.12508449239047406</v>
      </c>
    </row>
    <row r="10" spans="1:17" ht="12.75">
      <c r="A10" s="219" t="s">
        <v>20</v>
      </c>
      <c r="B10" s="220">
        <v>3020</v>
      </c>
      <c r="C10" s="238">
        <f t="shared" si="0"/>
        <v>0.15903944388856706</v>
      </c>
      <c r="D10" s="230">
        <v>0.008</v>
      </c>
      <c r="E10" s="240">
        <f t="shared" si="1"/>
        <v>0.0012723155511085364</v>
      </c>
      <c r="F10" s="198"/>
      <c r="G10" s="220">
        <v>2015</v>
      </c>
      <c r="H10" s="238">
        <f t="shared" si="2"/>
        <v>0.18057173581862174</v>
      </c>
      <c r="I10" s="230">
        <v>0.0145</v>
      </c>
      <c r="J10" s="240">
        <f t="shared" si="3"/>
        <v>0.0026182901693700155</v>
      </c>
      <c r="K10" s="198"/>
      <c r="L10" s="241">
        <f t="shared" si="4"/>
        <v>0.001945302860239276</v>
      </c>
      <c r="M10" s="220">
        <v>566</v>
      </c>
      <c r="N10" s="238">
        <f t="shared" si="5"/>
        <v>0.1371124031007752</v>
      </c>
      <c r="O10" s="230">
        <v>-0.0141</v>
      </c>
      <c r="P10" s="230">
        <f>L10/N10</f>
        <v>0.014187650542522494</v>
      </c>
      <c r="Q10" s="214">
        <f t="shared" si="6"/>
        <v>0.015387236401911506</v>
      </c>
    </row>
    <row r="11" spans="1:17" ht="12.75">
      <c r="A11" s="219" t="s">
        <v>19</v>
      </c>
      <c r="B11" s="220">
        <v>862</v>
      </c>
      <c r="C11" s="238">
        <f t="shared" si="0"/>
        <v>0.04539470219600822</v>
      </c>
      <c r="D11" s="230">
        <v>0.002</v>
      </c>
      <c r="E11" s="240">
        <f t="shared" si="1"/>
        <v>9.078940439201644E-05</v>
      </c>
      <c r="F11" s="198"/>
      <c r="G11" s="220">
        <v>46</v>
      </c>
      <c r="H11" s="238">
        <f t="shared" si="2"/>
        <v>0.004122233175015683</v>
      </c>
      <c r="I11" s="230">
        <v>0.0004</v>
      </c>
      <c r="J11" s="240">
        <f t="shared" si="3"/>
        <v>1.6488932700062733E-06</v>
      </c>
      <c r="K11" s="198"/>
      <c r="L11" s="241">
        <f t="shared" si="4"/>
        <v>4.621914883101136E-05</v>
      </c>
      <c r="M11" s="220">
        <v>58</v>
      </c>
      <c r="N11" s="238">
        <f t="shared" si="5"/>
        <v>0.014050387596899225</v>
      </c>
      <c r="O11" s="230">
        <v>-0.0002</v>
      </c>
      <c r="P11" s="230">
        <f>L11/N11</f>
        <v>0.003289528385765774</v>
      </c>
      <c r="Q11" s="214">
        <f t="shared" si="6"/>
        <v>0.0035676626493491926</v>
      </c>
    </row>
    <row r="12" spans="1:17" ht="12.75">
      <c r="A12" s="219" t="s">
        <v>18</v>
      </c>
      <c r="B12" s="220">
        <v>107</v>
      </c>
      <c r="C12" s="238">
        <f t="shared" si="0"/>
        <v>0.005634841223866449</v>
      </c>
      <c r="D12" s="230">
        <v>0.0228</v>
      </c>
      <c r="E12" s="240">
        <f t="shared" si="1"/>
        <v>0.00012847437990415504</v>
      </c>
      <c r="F12" s="198"/>
      <c r="G12" s="220">
        <v>19</v>
      </c>
      <c r="H12" s="238">
        <f t="shared" si="2"/>
        <v>0.0017026615288108253</v>
      </c>
      <c r="I12" s="230">
        <v>0.014</v>
      </c>
      <c r="J12" s="240">
        <f t="shared" si="3"/>
        <v>2.3837261403351553E-05</v>
      </c>
      <c r="K12" s="198"/>
      <c r="L12" s="241">
        <f t="shared" si="4"/>
        <v>7.615582065375329E-05</v>
      </c>
      <c r="M12" s="220">
        <v>8</v>
      </c>
      <c r="N12" s="238">
        <f t="shared" si="5"/>
        <v>0.001937984496124031</v>
      </c>
      <c r="O12" s="230">
        <v>0.0163</v>
      </c>
      <c r="P12" s="230">
        <v>0.014</v>
      </c>
      <c r="Q12" s="214">
        <f t="shared" si="6"/>
        <v>0.015183719741412537</v>
      </c>
    </row>
    <row r="13" spans="1:17" ht="13.5" thickBot="1">
      <c r="A13" s="231"/>
      <c r="B13" s="222">
        <f>SUM(B7:B12)</f>
        <v>18989</v>
      </c>
      <c r="C13" s="239">
        <f>SUM(C7:C12)</f>
        <v>1.0000000000000002</v>
      </c>
      <c r="D13" s="239">
        <f>SUM(D7:D12)</f>
        <v>0.9997</v>
      </c>
      <c r="E13" s="231"/>
      <c r="F13" s="205"/>
      <c r="G13" s="222">
        <f>SUM(G7:G12)</f>
        <v>11159</v>
      </c>
      <c r="H13" s="239">
        <f>SUM(H7:H12)</f>
        <v>1</v>
      </c>
      <c r="I13" s="239">
        <f>SUM(I7:I12)</f>
        <v>0.9999999999999999</v>
      </c>
      <c r="J13" s="231"/>
      <c r="K13" s="205"/>
      <c r="L13" s="231"/>
      <c r="M13" s="222">
        <f>SUM(M7:M12)</f>
        <v>4128</v>
      </c>
      <c r="N13" s="239">
        <f>SUM(N7:N12)</f>
        <v>1</v>
      </c>
      <c r="O13" s="242">
        <f>SUM(O7:O12)</f>
        <v>1.0000000000000002</v>
      </c>
      <c r="P13" s="239">
        <f>SUM(P7:P12)</f>
        <v>0.9220402008485428</v>
      </c>
      <c r="Q13" s="235">
        <f>SUM(Q7:Q12)</f>
        <v>1</v>
      </c>
    </row>
  </sheetData>
  <mergeCells count="5">
    <mergeCell ref="A1:Q1"/>
    <mergeCell ref="A3:Q3"/>
    <mergeCell ref="B5:E5"/>
    <mergeCell ref="G5:J5"/>
    <mergeCell ref="M5:Q5"/>
  </mergeCells>
  <printOptions/>
  <pageMargins left="0.75" right="0.75" top="1" bottom="1" header="0.5" footer="0.5"/>
  <pageSetup fitToHeight="1" fitToWidth="1" horizontalDpi="600" verticalDpi="600" orientation="landscape" scale="72"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tabColor indexed="40"/>
    <pageSetUpPr fitToPage="1"/>
  </sheetPr>
  <dimension ref="A1:O13"/>
  <sheetViews>
    <sheetView workbookViewId="0" topLeftCell="A1">
      <pane xSplit="1" ySplit="4" topLeftCell="E5" activePane="bottomRight" state="frozen"/>
      <selection pane="topLeft" activeCell="A1" sqref="A1:I27"/>
      <selection pane="topRight" activeCell="A1" sqref="A1:I27"/>
      <selection pane="bottomLeft" activeCell="A1" sqref="A1:I27"/>
      <selection pane="bottomRight" activeCell="A21" sqref="A21"/>
    </sheetView>
  </sheetViews>
  <sheetFormatPr defaultColWidth="9.140625" defaultRowHeight="12.75"/>
  <cols>
    <col min="1" max="1" width="23.28125" style="0" customWidth="1"/>
    <col min="2" max="2" width="12.7109375" style="0" bestFit="1" customWidth="1"/>
    <col min="3" max="3" width="14.57421875" style="0" customWidth="1"/>
    <col min="4" max="4" width="15.28125" style="0" customWidth="1"/>
    <col min="5" max="5" width="14.00390625" style="0" bestFit="1" customWidth="1"/>
    <col min="6" max="6" width="14.00390625" style="0" customWidth="1"/>
    <col min="7" max="7" width="12.7109375" style="0" bestFit="1" customWidth="1"/>
    <col min="8" max="8" width="14.00390625" style="0" customWidth="1"/>
    <col min="9" max="9" width="13.28125" style="0" customWidth="1"/>
    <col min="10" max="10" width="12.00390625" style="0" customWidth="1"/>
    <col min="11" max="11" width="13.57421875" style="0" customWidth="1"/>
    <col min="12" max="12" width="13.421875" style="0" customWidth="1"/>
    <col min="13" max="14" width="12.00390625" style="0" bestFit="1" customWidth="1"/>
    <col min="15" max="15" width="13.28125" style="0" customWidth="1"/>
  </cols>
  <sheetData>
    <row r="1" spans="1:15" ht="15.75">
      <c r="A1" s="262" t="s">
        <v>258</v>
      </c>
      <c r="B1" s="262"/>
      <c r="C1" s="262"/>
      <c r="D1" s="262"/>
      <c r="E1" s="262"/>
      <c r="F1" s="262"/>
      <c r="G1" s="262"/>
      <c r="H1" s="262"/>
      <c r="I1" s="262"/>
      <c r="J1" s="262"/>
      <c r="K1" s="262"/>
      <c r="L1" s="262"/>
      <c r="M1" s="262"/>
      <c r="N1" s="262"/>
      <c r="O1" s="262"/>
    </row>
    <row r="2" spans="1:15" ht="15.75">
      <c r="A2" s="262" t="s">
        <v>237</v>
      </c>
      <c r="B2" s="262"/>
      <c r="C2" s="262"/>
      <c r="D2" s="262"/>
      <c r="E2" s="262"/>
      <c r="F2" s="262"/>
      <c r="G2" s="262"/>
      <c r="H2" s="262"/>
      <c r="I2" s="262"/>
      <c r="J2" s="262"/>
      <c r="K2" s="262"/>
      <c r="L2" s="262"/>
      <c r="M2" s="262"/>
      <c r="N2" s="262"/>
      <c r="O2" s="262"/>
    </row>
    <row r="4" spans="1:15" ht="76.5">
      <c r="A4" s="3" t="s">
        <v>102</v>
      </c>
      <c r="B4" s="114" t="s">
        <v>192</v>
      </c>
      <c r="C4" s="114" t="s">
        <v>193</v>
      </c>
      <c r="D4" s="114" t="s">
        <v>194</v>
      </c>
      <c r="E4" s="114" t="s">
        <v>195</v>
      </c>
      <c r="F4" s="114" t="s">
        <v>273</v>
      </c>
      <c r="G4" s="114" t="s">
        <v>196</v>
      </c>
      <c r="H4" s="114" t="s">
        <v>197</v>
      </c>
      <c r="I4" s="114" t="s">
        <v>198</v>
      </c>
      <c r="J4" s="114" t="s">
        <v>199</v>
      </c>
      <c r="K4" s="114" t="s">
        <v>200</v>
      </c>
      <c r="L4" s="114" t="s">
        <v>201</v>
      </c>
      <c r="M4" s="114" t="s">
        <v>191</v>
      </c>
      <c r="N4" s="114" t="s">
        <v>202</v>
      </c>
      <c r="O4" s="114" t="s">
        <v>203</v>
      </c>
    </row>
    <row r="6" spans="1:15" ht="12.75">
      <c r="A6" t="s">
        <v>0</v>
      </c>
      <c r="B6" s="146">
        <v>1131085.8974186892</v>
      </c>
      <c r="C6" s="147">
        <f aca="true" t="shared" si="0" ref="C6:C11">B6/B$13</f>
        <v>0.6161968765464657</v>
      </c>
      <c r="D6" s="146">
        <v>74319.00037234164</v>
      </c>
      <c r="E6" s="147">
        <f aca="true" t="shared" si="1" ref="E6:E11">D6/D$13</f>
        <v>0.8212660416438058</v>
      </c>
      <c r="F6" s="147">
        <f>'Misc Revenue Alloc Adjust'!Q7</f>
        <v>0.7186871414739855</v>
      </c>
      <c r="G6" s="146">
        <f aca="true" t="shared" si="2" ref="G6:G11">C6*G$13</f>
        <v>1513118.261322464</v>
      </c>
      <c r="H6" s="146">
        <f aca="true" t="shared" si="3" ref="H6:H11">F6*H$13</f>
        <v>97688.98707913443</v>
      </c>
      <c r="I6" s="148">
        <f aca="true" t="shared" si="4" ref="I6:I11">G6-H6</f>
        <v>1415429.2742433297</v>
      </c>
      <c r="J6" s="148">
        <f>'Low Voltage Allocation'!E8</f>
        <v>47112.65759035023</v>
      </c>
      <c r="K6" s="150">
        <f aca="true" t="shared" si="5" ref="K6:K11">I6-J6</f>
        <v>1368316.6166529795</v>
      </c>
      <c r="L6" s="147">
        <f aca="true" t="shared" si="6" ref="L6:L11">K6/K$13</f>
        <v>0.6153022902354065</v>
      </c>
      <c r="M6" s="119"/>
      <c r="N6" s="121">
        <f aca="true" t="shared" si="7" ref="N6:N11">K6+M6</f>
        <v>1368316.6166529795</v>
      </c>
      <c r="O6" s="147">
        <f aca="true" t="shared" si="8" ref="O6:O11">N6/N$13</f>
        <v>0.6128523255250133</v>
      </c>
    </row>
    <row r="7" spans="1:15" ht="12.75">
      <c r="A7" t="s">
        <v>107</v>
      </c>
      <c r="B7" s="146">
        <v>263010.2509143243</v>
      </c>
      <c r="C7" s="147">
        <f t="shared" si="0"/>
        <v>0.1432836316702104</v>
      </c>
      <c r="D7" s="146">
        <v>21034.362078667757</v>
      </c>
      <c r="E7" s="147">
        <f t="shared" si="1"/>
        <v>0.23244132989279265</v>
      </c>
      <c r="F7" s="147">
        <f>'Misc Revenue Alloc Adjust'!Q8</f>
        <v>0.12208974734286722</v>
      </c>
      <c r="G7" s="146">
        <f t="shared" si="2"/>
        <v>351843.8471222086</v>
      </c>
      <c r="H7" s="146">
        <f t="shared" si="3"/>
        <v>16595.29308707391</v>
      </c>
      <c r="I7" s="148">
        <f t="shared" si="4"/>
        <v>335248.55403513473</v>
      </c>
      <c r="J7" s="148">
        <f>'Low Voltage Allocation'!E9</f>
        <v>20773.134851338345</v>
      </c>
      <c r="K7" s="150">
        <f t="shared" si="5"/>
        <v>314475.4191837964</v>
      </c>
      <c r="L7" s="147">
        <f t="shared" si="6"/>
        <v>0.14141277193566562</v>
      </c>
      <c r="M7" s="119"/>
      <c r="N7" s="121">
        <f t="shared" si="7"/>
        <v>314475.4191837964</v>
      </c>
      <c r="O7" s="147">
        <f t="shared" si="8"/>
        <v>0.1408497051206393</v>
      </c>
    </row>
    <row r="8" spans="1:15" ht="12.75">
      <c r="A8" t="s">
        <v>108</v>
      </c>
      <c r="B8" s="146">
        <v>391063.139329766</v>
      </c>
      <c r="C8" s="147">
        <f t="shared" si="0"/>
        <v>0.21304472590224297</v>
      </c>
      <c r="D8" s="146">
        <v>-5038.198676409633</v>
      </c>
      <c r="E8" s="147">
        <f t="shared" si="1"/>
        <v>-0.055674880760773475</v>
      </c>
      <c r="F8" s="147">
        <f>'Misc Revenue Alloc Adjust'!Q9</f>
        <v>0.12508449239047406</v>
      </c>
      <c r="G8" s="146">
        <f t="shared" si="2"/>
        <v>523147.5158521262</v>
      </c>
      <c r="H8" s="146">
        <f t="shared" si="3"/>
        <v>17002.359797159967</v>
      </c>
      <c r="I8" s="148">
        <f t="shared" si="4"/>
        <v>506145.1560549662</v>
      </c>
      <c r="J8" s="148">
        <f>'Low Voltage Allocation'!E10</f>
        <v>27746.794493841964</v>
      </c>
      <c r="K8" s="150">
        <f t="shared" si="5"/>
        <v>478398.3615611243</v>
      </c>
      <c r="L8" s="147">
        <f t="shared" si="6"/>
        <v>0.21512536201851792</v>
      </c>
      <c r="M8" s="119">
        <f>'Revenue Requirement'!D23</f>
        <v>8890.006116696104</v>
      </c>
      <c r="N8" s="121">
        <f t="shared" si="7"/>
        <v>487288.3676778204</v>
      </c>
      <c r="O8" s="147">
        <f t="shared" si="8"/>
        <v>0.21825051724002953</v>
      </c>
    </row>
    <row r="9" spans="1:15" ht="12.75">
      <c r="A9" t="s">
        <v>109</v>
      </c>
      <c r="B9" s="146">
        <v>40666.168760142056</v>
      </c>
      <c r="C9" s="147">
        <f t="shared" si="0"/>
        <v>0.0221542556832315</v>
      </c>
      <c r="D9" s="146">
        <v>-1273.1005792818696</v>
      </c>
      <c r="E9" s="147">
        <f t="shared" si="1"/>
        <v>-0.014068465239346354</v>
      </c>
      <c r="F9" s="147">
        <f>'Misc Revenue Alloc Adjust'!Q10</f>
        <v>0.015387236401911506</v>
      </c>
      <c r="G9" s="146">
        <f t="shared" si="2"/>
        <v>54401.45855360688</v>
      </c>
      <c r="H9" s="146">
        <f t="shared" si="3"/>
        <v>2091.5408824026254</v>
      </c>
      <c r="I9" s="148">
        <f t="shared" si="4"/>
        <v>52309.91767120425</v>
      </c>
      <c r="J9" s="148">
        <f>'Low Voltage Allocation'!E13</f>
        <v>153.670473153897</v>
      </c>
      <c r="K9" s="150">
        <f t="shared" si="5"/>
        <v>52156.247198050354</v>
      </c>
      <c r="L9" s="147">
        <f t="shared" si="6"/>
        <v>0.02345353258191356</v>
      </c>
      <c r="M9" s="119"/>
      <c r="N9" s="121">
        <f t="shared" si="7"/>
        <v>52156.247198050354</v>
      </c>
      <c r="O9" s="147">
        <f t="shared" si="8"/>
        <v>0.023360147057315952</v>
      </c>
    </row>
    <row r="10" spans="1:15" ht="12.75">
      <c r="A10" t="s">
        <v>110</v>
      </c>
      <c r="B10" s="146">
        <v>4526.115503208843</v>
      </c>
      <c r="C10" s="147">
        <f t="shared" si="0"/>
        <v>0.0024657528153526607</v>
      </c>
      <c r="D10" s="146">
        <v>-19.903189786483097</v>
      </c>
      <c r="E10" s="147">
        <f t="shared" si="1"/>
        <v>-0.00021994125069143975</v>
      </c>
      <c r="F10" s="147">
        <f>'Misc Revenue Alloc Adjust'!Q11</f>
        <v>0.0035676626493491926</v>
      </c>
      <c r="G10" s="146">
        <f t="shared" si="2"/>
        <v>6054.843435312425</v>
      </c>
      <c r="H10" s="146">
        <f t="shared" si="3"/>
        <v>484.9416809380877</v>
      </c>
      <c r="I10" s="148">
        <f t="shared" si="4"/>
        <v>5569.9017543743375</v>
      </c>
      <c r="J10" s="148">
        <f>'Low Voltage Allocation'!E12</f>
        <v>50.74259131555567</v>
      </c>
      <c r="K10" s="150">
        <f t="shared" si="5"/>
        <v>5519.159163058782</v>
      </c>
      <c r="L10" s="147">
        <f t="shared" si="6"/>
        <v>0.0024818461106688797</v>
      </c>
      <c r="M10" s="119"/>
      <c r="N10" s="121">
        <f t="shared" si="7"/>
        <v>5519.159163058782</v>
      </c>
      <c r="O10" s="147">
        <f t="shared" si="8"/>
        <v>0.0024719640811619865</v>
      </c>
    </row>
    <row r="11" spans="1:15" ht="12.75">
      <c r="A11" t="s">
        <v>18</v>
      </c>
      <c r="B11" s="146">
        <v>5240.169073869645</v>
      </c>
      <c r="C11" s="147">
        <f t="shared" si="0"/>
        <v>0.0028547573824966588</v>
      </c>
      <c r="D11" s="146">
        <v>1471.049994468572</v>
      </c>
      <c r="E11" s="147">
        <f t="shared" si="1"/>
        <v>0.01625591571421295</v>
      </c>
      <c r="F11" s="147">
        <f>'Misc Revenue Alloc Adjust'!Q12</f>
        <v>0.015183719741412537</v>
      </c>
      <c r="G11" s="146">
        <f t="shared" si="2"/>
        <v>7010.073714281615</v>
      </c>
      <c r="H11" s="146">
        <f t="shared" si="3"/>
        <v>2063.877473290982</v>
      </c>
      <c r="I11" s="148">
        <f t="shared" si="4"/>
        <v>4946.196240990634</v>
      </c>
      <c r="J11" s="148">
        <f>'Low Voltage Allocation'!E11</f>
        <v>0</v>
      </c>
      <c r="K11" s="150">
        <f t="shared" si="5"/>
        <v>4946.196240990634</v>
      </c>
      <c r="L11" s="147">
        <f t="shared" si="6"/>
        <v>0.002224197117827692</v>
      </c>
      <c r="M11" s="119"/>
      <c r="N11" s="121">
        <f t="shared" si="7"/>
        <v>4946.196240990634</v>
      </c>
      <c r="O11" s="147">
        <f t="shared" si="8"/>
        <v>0.002215340975840066</v>
      </c>
    </row>
    <row r="12" spans="2:15" ht="12.75">
      <c r="B12" s="148"/>
      <c r="C12" s="148"/>
      <c r="G12" s="149"/>
      <c r="H12" s="149"/>
      <c r="I12" s="10"/>
      <c r="L12" s="120"/>
      <c r="M12" s="120"/>
      <c r="N12" s="120"/>
      <c r="O12" s="121"/>
    </row>
    <row r="13" spans="2:15" ht="13.5" thickBot="1">
      <c r="B13" s="123">
        <f aca="true" t="shared" si="9" ref="B13:L13">SUM(B6:B11)</f>
        <v>1835591.7410000002</v>
      </c>
      <c r="C13" s="124">
        <f t="shared" si="9"/>
        <v>0.9999999999999999</v>
      </c>
      <c r="D13" s="123">
        <f t="shared" si="9"/>
        <v>90493.20999999998</v>
      </c>
      <c r="E13" s="124">
        <f t="shared" si="9"/>
        <v>1.0000000000000002</v>
      </c>
      <c r="F13" s="124">
        <f t="shared" si="9"/>
        <v>1</v>
      </c>
      <c r="G13" s="125">
        <f>'Revenue Requirement'!D6</f>
        <v>2455576</v>
      </c>
      <c r="H13" s="125">
        <f>'Revenue Requirement'!D15</f>
        <v>135927</v>
      </c>
      <c r="I13" s="123">
        <f t="shared" si="9"/>
        <v>2319648.999999999</v>
      </c>
      <c r="J13" s="123">
        <f t="shared" si="9"/>
        <v>95837</v>
      </c>
      <c r="K13" s="151">
        <f>SUM(K6:K11)</f>
        <v>2223811.9999999995</v>
      </c>
      <c r="L13" s="124">
        <f t="shared" si="9"/>
        <v>1.0000000000000002</v>
      </c>
      <c r="M13" s="126"/>
      <c r="N13" s="151">
        <f>SUM(N6:N11)</f>
        <v>2232702.0061166957</v>
      </c>
      <c r="O13" s="124">
        <f>SUM(O6:O11)</f>
        <v>1.0000000000000002</v>
      </c>
    </row>
    <row r="14" ht="13.5" thickTop="1"/>
  </sheetData>
  <mergeCells count="2">
    <mergeCell ref="A2:O2"/>
    <mergeCell ref="A1:O1"/>
  </mergeCells>
  <printOptions/>
  <pageMargins left="0.75" right="0.75" top="1" bottom="1" header="0.5" footer="0.5"/>
  <pageSetup fitToHeight="1" fitToWidth="1" horizontalDpi="600" verticalDpi="600" orientation="landscape" scale="59"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sheetPr>
    <tabColor indexed="40"/>
    <pageSetUpPr fitToPage="1"/>
  </sheetPr>
  <dimension ref="A1:P14"/>
  <sheetViews>
    <sheetView workbookViewId="0" topLeftCell="A1">
      <pane xSplit="1" ySplit="5" topLeftCell="B6" activePane="bottomRight" state="frozen"/>
      <selection pane="topLeft" activeCell="A1" sqref="A1:I27"/>
      <selection pane="topRight" activeCell="A1" sqref="A1:I27"/>
      <selection pane="bottomLeft" activeCell="A1" sqref="A1:I27"/>
      <selection pane="bottomRight" activeCell="A12" sqref="A12"/>
    </sheetView>
  </sheetViews>
  <sheetFormatPr defaultColWidth="9.140625" defaultRowHeight="12.75"/>
  <cols>
    <col min="1" max="1" width="23.28125" style="0" customWidth="1"/>
    <col min="2" max="2" width="12.28125" style="0" customWidth="1"/>
    <col min="3" max="3" width="14.57421875" style="0" customWidth="1"/>
    <col min="4" max="4" width="11.57421875" style="0" customWidth="1"/>
    <col min="5" max="5" width="13.7109375" style="0" customWidth="1"/>
    <col min="6" max="7" width="12.28125" style="0" customWidth="1"/>
    <col min="8" max="8" width="3.57421875" style="0" customWidth="1"/>
    <col min="9" max="9" width="13.28125" style="0" customWidth="1"/>
    <col min="10" max="10" width="12.00390625" style="0" customWidth="1"/>
    <col min="11" max="11" width="2.00390625" style="0" customWidth="1"/>
    <col min="12" max="12" width="11.57421875" style="0" customWidth="1"/>
    <col min="13" max="13" width="13.28125" style="0" customWidth="1"/>
    <col min="14" max="14" width="12.140625" style="0" customWidth="1"/>
    <col min="15" max="15" width="10.140625" style="0" customWidth="1"/>
    <col min="16" max="16" width="10.28125" style="0" customWidth="1"/>
  </cols>
  <sheetData>
    <row r="1" spans="1:16" ht="15.75">
      <c r="A1" s="262" t="s">
        <v>258</v>
      </c>
      <c r="B1" s="262"/>
      <c r="C1" s="262"/>
      <c r="D1" s="262"/>
      <c r="E1" s="262"/>
      <c r="F1" s="262"/>
      <c r="G1" s="262"/>
      <c r="H1" s="262"/>
      <c r="I1" s="262"/>
      <c r="J1" s="262"/>
      <c r="K1" s="262"/>
      <c r="L1" s="262"/>
      <c r="M1" s="262"/>
      <c r="N1" s="262"/>
      <c r="O1" s="262"/>
      <c r="P1" s="262"/>
    </row>
    <row r="2" spans="1:16" ht="15.75">
      <c r="A2" s="262" t="s">
        <v>238</v>
      </c>
      <c r="B2" s="262"/>
      <c r="C2" s="262"/>
      <c r="D2" s="262"/>
      <c r="E2" s="262"/>
      <c r="F2" s="262"/>
      <c r="G2" s="262"/>
      <c r="H2" s="262"/>
      <c r="I2" s="262"/>
      <c r="J2" s="262"/>
      <c r="K2" s="262"/>
      <c r="L2" s="262"/>
      <c r="M2" s="262"/>
      <c r="N2" s="262"/>
      <c r="O2" s="262"/>
      <c r="P2" s="262"/>
    </row>
    <row r="3" spans="1:16" ht="15.75">
      <c r="A3" s="159"/>
      <c r="B3" s="159"/>
      <c r="C3" s="159"/>
      <c r="D3" s="159"/>
      <c r="E3" s="159"/>
      <c r="F3" s="159"/>
      <c r="G3" s="159"/>
      <c r="H3" s="159"/>
      <c r="I3" s="159"/>
      <c r="J3" s="159"/>
      <c r="K3" s="159"/>
      <c r="L3" s="159"/>
      <c r="M3" s="159"/>
      <c r="N3" s="159"/>
      <c r="O3" s="159"/>
      <c r="P3" s="159"/>
    </row>
    <row r="4" spans="2:5" ht="13.5" thickBot="1">
      <c r="B4" s="283" t="s">
        <v>210</v>
      </c>
      <c r="C4" s="283"/>
      <c r="D4" s="283"/>
      <c r="E4" s="283"/>
    </row>
    <row r="5" spans="1:16" ht="89.25">
      <c r="A5" s="3" t="s">
        <v>102</v>
      </c>
      <c r="B5" s="114" t="s">
        <v>209</v>
      </c>
      <c r="C5" s="114" t="s">
        <v>204</v>
      </c>
      <c r="D5" s="114" t="s">
        <v>205</v>
      </c>
      <c r="E5" s="114" t="s">
        <v>206</v>
      </c>
      <c r="F5" s="170" t="s">
        <v>207</v>
      </c>
      <c r="G5" s="171" t="s">
        <v>208</v>
      </c>
      <c r="H5" s="114"/>
      <c r="I5" s="114" t="s">
        <v>211</v>
      </c>
      <c r="J5" s="114" t="s">
        <v>212</v>
      </c>
      <c r="K5" s="114"/>
      <c r="L5" s="178" t="s">
        <v>104</v>
      </c>
      <c r="M5" s="114" t="s">
        <v>105</v>
      </c>
      <c r="N5" s="114" t="s">
        <v>103</v>
      </c>
      <c r="O5" s="114" t="s">
        <v>106</v>
      </c>
      <c r="P5" s="114" t="s">
        <v>213</v>
      </c>
    </row>
    <row r="6" spans="6:12" ht="12.75">
      <c r="F6" s="172"/>
      <c r="G6" s="173"/>
      <c r="L6" s="179"/>
    </row>
    <row r="7" spans="1:16" ht="12.75">
      <c r="A7" t="s">
        <v>0</v>
      </c>
      <c r="B7" s="116">
        <f>'2006 EDR Revenue Distribution'!B43</f>
        <v>850122.5509653556</v>
      </c>
      <c r="C7" s="117">
        <f aca="true" t="shared" si="0" ref="C7:C12">B7/B$14</f>
        <v>0.48710371656030244</v>
      </c>
      <c r="D7" s="117">
        <f>'2006 EDR Revenue Distribution'!E43</f>
        <v>0.22154689110524917</v>
      </c>
      <c r="E7" s="117">
        <f>'2006 EDR Revenue Distribution'!G43</f>
        <v>0.7784531088947508</v>
      </c>
      <c r="F7" s="174">
        <v>0.445</v>
      </c>
      <c r="G7" s="175">
        <f aca="true" t="shared" si="1" ref="G7:G12">1-F7</f>
        <v>0.5549999999999999</v>
      </c>
      <c r="H7" s="117"/>
      <c r="I7" s="8">
        <f>'Cost Allocation Review'!K6</f>
        <v>1368316.6166529795</v>
      </c>
      <c r="J7" s="118">
        <f>'Cost Allocation Review'!L6</f>
        <v>0.6153022902354065</v>
      </c>
      <c r="K7" s="118"/>
      <c r="L7" s="186">
        <v>0.4925</v>
      </c>
      <c r="M7" s="116">
        <f aca="true" t="shared" si="2" ref="M7:M12">L7*I$14</f>
        <v>1095227.4099999997</v>
      </c>
      <c r="N7" s="10">
        <f aca="true" t="shared" si="3" ref="N7:N12">M7-I7</f>
        <v>-273089.20665297983</v>
      </c>
      <c r="O7" s="115">
        <f aca="true" t="shared" si="4" ref="O7:O12">M7/I7</f>
        <v>0.8004195788245416</v>
      </c>
      <c r="P7" s="152">
        <v>0.7302327809561585</v>
      </c>
    </row>
    <row r="8" spans="1:16" ht="12.75">
      <c r="A8" t="s">
        <v>107</v>
      </c>
      <c r="B8" s="116">
        <f>'2006 EDR Revenue Distribution'!B44</f>
        <v>402289.20143133163</v>
      </c>
      <c r="C8" s="117">
        <f t="shared" si="0"/>
        <v>0.2305039019689097</v>
      </c>
      <c r="D8" s="117">
        <f>'2006 EDR Revenue Distribution'!E44</f>
        <v>0.5672138879057024</v>
      </c>
      <c r="E8" s="117">
        <f>'2006 EDR Revenue Distribution'!G44</f>
        <v>0.4327861120942976</v>
      </c>
      <c r="F8" s="174">
        <v>0.587</v>
      </c>
      <c r="G8" s="175">
        <f t="shared" si="1"/>
        <v>0.41300000000000003</v>
      </c>
      <c r="H8" s="117"/>
      <c r="I8" s="8">
        <f>'Cost Allocation Review'!K7</f>
        <v>314475.4191837964</v>
      </c>
      <c r="J8" s="118">
        <f>'Cost Allocation Review'!L7</f>
        <v>0.14141277193566562</v>
      </c>
      <c r="K8" s="118"/>
      <c r="L8" s="186">
        <v>0.181</v>
      </c>
      <c r="M8" s="116">
        <f t="shared" si="2"/>
        <v>402509.9719999999</v>
      </c>
      <c r="N8" s="10">
        <f t="shared" si="3"/>
        <v>88034.5528162035</v>
      </c>
      <c r="O8" s="115">
        <f t="shared" si="4"/>
        <v>1.2799409665934856</v>
      </c>
      <c r="P8" s="152">
        <v>1.424792461306373</v>
      </c>
    </row>
    <row r="9" spans="1:16" ht="12.75">
      <c r="A9" t="s">
        <v>108</v>
      </c>
      <c r="B9" s="116">
        <f>'2006 EDR Revenue Distribution'!B45</f>
        <v>477044.9584226061</v>
      </c>
      <c r="C9" s="117">
        <f t="shared" si="0"/>
        <v>0.2733374993406992</v>
      </c>
      <c r="D9" s="117">
        <f>'2006 EDR Revenue Distribution'!E45</f>
        <v>0.2687067519795302</v>
      </c>
      <c r="E9" s="117">
        <f>'2006 EDR Revenue Distribution'!G45</f>
        <v>0.7312932480204698</v>
      </c>
      <c r="F9" s="174">
        <v>0.545</v>
      </c>
      <c r="G9" s="175">
        <f t="shared" si="1"/>
        <v>0.45499999999999996</v>
      </c>
      <c r="H9" s="117"/>
      <c r="I9" s="8">
        <f>'Cost Allocation Review'!K8</f>
        <v>478398.3615611243</v>
      </c>
      <c r="J9" s="118">
        <f>'Cost Allocation Review'!L8</f>
        <v>0.21512536201851792</v>
      </c>
      <c r="K9" s="118"/>
      <c r="L9" s="186">
        <v>0.312</v>
      </c>
      <c r="M9" s="116">
        <f t="shared" si="2"/>
        <v>693829.3439999998</v>
      </c>
      <c r="N9" s="10">
        <f t="shared" si="3"/>
        <v>215430.98243887554</v>
      </c>
      <c r="O9" s="115">
        <f t="shared" si="4"/>
        <v>1.4503171410033147</v>
      </c>
      <c r="P9" s="152">
        <v>1.582265724108078</v>
      </c>
    </row>
    <row r="10" spans="1:16" ht="12.75">
      <c r="A10" t="s">
        <v>109</v>
      </c>
      <c r="B10" s="116">
        <f>'2006 EDR Revenue Distribution'!B49</f>
        <v>14154.647499642137</v>
      </c>
      <c r="C10" s="117">
        <f t="shared" si="0"/>
        <v>0.00811033820458864</v>
      </c>
      <c r="D10" s="117">
        <f>'2006 EDR Revenue Distribution'!E49</f>
        <v>0.05339506716194564</v>
      </c>
      <c r="E10" s="117">
        <f>'2006 EDR Revenue Distribution'!G49</f>
        <v>0.9466049328380544</v>
      </c>
      <c r="F10" s="174">
        <v>0.305</v>
      </c>
      <c r="G10" s="175">
        <f t="shared" si="1"/>
        <v>0.6950000000000001</v>
      </c>
      <c r="H10" s="117"/>
      <c r="I10" s="8">
        <f>'Cost Allocation Review'!K9</f>
        <v>52156.247198050354</v>
      </c>
      <c r="J10" s="118">
        <f>'Cost Allocation Review'!L9</f>
        <v>0.02345353258191356</v>
      </c>
      <c r="K10" s="118"/>
      <c r="L10" s="186">
        <f>1-(L7+L8+L9+L11+L12)</f>
        <v>0.010419999999999985</v>
      </c>
      <c r="M10" s="116">
        <f t="shared" si="2"/>
        <v>23172.12103999996</v>
      </c>
      <c r="N10" s="10">
        <f t="shared" si="3"/>
        <v>-28984.126158050392</v>
      </c>
      <c r="O10" s="115">
        <f t="shared" si="4"/>
        <v>0.4442827520164479</v>
      </c>
      <c r="P10" s="152">
        <v>0.27644353435469443</v>
      </c>
    </row>
    <row r="11" spans="1:16" ht="12.75">
      <c r="A11" t="s">
        <v>110</v>
      </c>
      <c r="B11" s="116">
        <f>'2006 EDR Revenue Distribution'!B48</f>
        <v>1648.4745735778938</v>
      </c>
      <c r="C11" s="117">
        <f t="shared" si="0"/>
        <v>0.0009445439255000717</v>
      </c>
      <c r="D11" s="117">
        <f>'2006 EDR Revenue Distribution'!E48</f>
        <v>0.16270808533151937</v>
      </c>
      <c r="E11" s="117">
        <f>'2006 EDR Revenue Distribution'!G48</f>
        <v>0.8372919146684806</v>
      </c>
      <c r="F11" s="174">
        <v>0.21</v>
      </c>
      <c r="G11" s="175">
        <f t="shared" si="1"/>
        <v>0.79</v>
      </c>
      <c r="H11" s="117"/>
      <c r="I11" s="8">
        <f>'Cost Allocation Review'!K10</f>
        <v>5519.159163058782</v>
      </c>
      <c r="J11" s="118">
        <f>'Cost Allocation Review'!L10</f>
        <v>0.0024818461106688797</v>
      </c>
      <c r="K11" s="118"/>
      <c r="L11" s="186">
        <v>0.00186</v>
      </c>
      <c r="M11" s="116">
        <f t="shared" si="2"/>
        <v>4136.290319999999</v>
      </c>
      <c r="N11" s="10">
        <f t="shared" si="3"/>
        <v>-1382.8688430587827</v>
      </c>
      <c r="O11" s="115">
        <f t="shared" si="4"/>
        <v>0.7494421156913365</v>
      </c>
      <c r="P11" s="152">
        <v>0.31773312218699706</v>
      </c>
    </row>
    <row r="12" spans="1:16" ht="13.5" thickBot="1">
      <c r="A12" t="s">
        <v>18</v>
      </c>
      <c r="B12" s="116">
        <f>'2006 EDR Revenue Distribution'!B47</f>
        <v>0</v>
      </c>
      <c r="C12" s="117">
        <f t="shared" si="0"/>
        <v>0</v>
      </c>
      <c r="D12" s="117">
        <f>'2006 EDR Revenue Distribution'!E47</f>
        <v>0.5672138879057024</v>
      </c>
      <c r="E12" s="117">
        <f>'2006 EDR Revenue Distribution'!G47</f>
        <v>0.4327861120942976</v>
      </c>
      <c r="F12" s="176">
        <v>0.35</v>
      </c>
      <c r="G12" s="177">
        <f t="shared" si="1"/>
        <v>0.65</v>
      </c>
      <c r="H12" s="117"/>
      <c r="I12" s="8">
        <f>'Cost Allocation Review'!K11</f>
        <v>4946.196240990634</v>
      </c>
      <c r="J12" s="118">
        <f>'Cost Allocation Review'!L11</f>
        <v>0.002224197117827692</v>
      </c>
      <c r="K12" s="118"/>
      <c r="L12" s="187">
        <v>0.00222</v>
      </c>
      <c r="M12" s="116">
        <f t="shared" si="2"/>
        <v>4936.862639999999</v>
      </c>
      <c r="N12" s="10">
        <f t="shared" si="3"/>
        <v>-9.333600990634295</v>
      </c>
      <c r="O12" s="115">
        <f t="shared" si="4"/>
        <v>0.9981129739832634</v>
      </c>
      <c r="P12" s="152">
        <v>0.6594041671937536</v>
      </c>
    </row>
    <row r="13" spans="2:16" ht="12.75">
      <c r="B13" s="8"/>
      <c r="C13" s="8"/>
      <c r="F13" s="122"/>
      <c r="G13" s="122"/>
      <c r="H13" s="122"/>
      <c r="I13" s="10"/>
      <c r="L13" s="120"/>
      <c r="M13" s="120"/>
      <c r="N13" s="120"/>
      <c r="O13" s="121"/>
      <c r="P13" s="121"/>
    </row>
    <row r="14" spans="2:16" ht="13.5" thickBot="1">
      <c r="B14" s="123">
        <f aca="true" t="shared" si="5" ref="B14:M14">SUM(B7:B12)</f>
        <v>1745259.8328925134</v>
      </c>
      <c r="C14" s="123">
        <f t="shared" si="5"/>
        <v>1</v>
      </c>
      <c r="D14" s="124"/>
      <c r="E14" s="124"/>
      <c r="F14" s="125"/>
      <c r="G14" s="125"/>
      <c r="H14" s="125"/>
      <c r="I14" s="123">
        <f t="shared" si="5"/>
        <v>2223811.9999999995</v>
      </c>
      <c r="J14" s="124">
        <f t="shared" si="5"/>
        <v>1.0000000000000002</v>
      </c>
      <c r="K14" s="124"/>
      <c r="L14" s="124">
        <f t="shared" si="5"/>
        <v>1</v>
      </c>
      <c r="M14" s="123">
        <f t="shared" si="5"/>
        <v>2223811.9999999995</v>
      </c>
      <c r="N14" s="127">
        <f>SUM(L7:L12)</f>
        <v>1</v>
      </c>
      <c r="O14" s="126"/>
      <c r="P14" s="126"/>
    </row>
    <row r="15" ht="13.5" thickTop="1"/>
  </sheetData>
  <mergeCells count="3">
    <mergeCell ref="B4:E4"/>
    <mergeCell ref="A2:P2"/>
    <mergeCell ref="A1:P1"/>
  </mergeCells>
  <printOptions/>
  <pageMargins left="0.75" right="0.75" top="1" bottom="1" header="0.5" footer="0.5"/>
  <pageSetup fitToHeight="1" fitToWidth="1" horizontalDpi="600" verticalDpi="600" orientation="landscape" scale="65"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sheetPr>
    <tabColor indexed="40"/>
    <pageSetUpPr fitToPage="1"/>
  </sheetPr>
  <dimension ref="A1:P15"/>
  <sheetViews>
    <sheetView workbookViewId="0" topLeftCell="A1">
      <selection activeCell="C5" sqref="C5"/>
    </sheetView>
  </sheetViews>
  <sheetFormatPr defaultColWidth="9.140625" defaultRowHeight="12.75"/>
  <cols>
    <col min="1" max="1" width="39.8515625" style="0" customWidth="1"/>
    <col min="2" max="2" width="12.421875" style="0" bestFit="1" customWidth="1"/>
    <col min="3" max="3" width="11.28125" style="0" bestFit="1" customWidth="1"/>
    <col min="4" max="4" width="7.7109375" style="0" bestFit="1" customWidth="1"/>
    <col min="5" max="5" width="11.421875" style="0" bestFit="1" customWidth="1"/>
    <col min="6" max="6" width="11.421875" style="0" customWidth="1"/>
    <col min="7" max="8" width="10.421875" style="0" bestFit="1" customWidth="1"/>
    <col min="9" max="10" width="9.7109375" style="0" bestFit="1" customWidth="1"/>
    <col min="11" max="12" width="8.00390625" style="0" bestFit="1" customWidth="1"/>
    <col min="13" max="13" width="9.421875" style="0" customWidth="1"/>
    <col min="14" max="14" width="9.57421875" style="0" customWidth="1"/>
    <col min="15" max="16" width="9.28125" style="0" bestFit="1" customWidth="1"/>
  </cols>
  <sheetData>
    <row r="1" spans="1:16" ht="15.75">
      <c r="A1" s="262" t="s">
        <v>258</v>
      </c>
      <c r="B1" s="262"/>
      <c r="C1" s="262"/>
      <c r="D1" s="262"/>
      <c r="E1" s="262"/>
      <c r="F1" s="262"/>
      <c r="G1" s="262"/>
      <c r="H1" s="262"/>
      <c r="I1" s="262"/>
      <c r="J1" s="262"/>
      <c r="K1" s="262"/>
      <c r="L1" s="262"/>
      <c r="M1" s="262"/>
      <c r="N1" s="262"/>
      <c r="O1" s="262"/>
      <c r="P1" s="262"/>
    </row>
    <row r="2" spans="1:16" ht="15.75">
      <c r="A2" s="262" t="s">
        <v>239</v>
      </c>
      <c r="B2" s="262"/>
      <c r="C2" s="262"/>
      <c r="D2" s="262"/>
      <c r="E2" s="262"/>
      <c r="F2" s="262"/>
      <c r="G2" s="262"/>
      <c r="H2" s="262"/>
      <c r="I2" s="262"/>
      <c r="J2" s="262"/>
      <c r="K2" s="262"/>
      <c r="L2" s="262"/>
      <c r="M2" s="262"/>
      <c r="N2" s="262"/>
      <c r="O2" s="262"/>
      <c r="P2" s="262"/>
    </row>
    <row r="4" spans="2:15" ht="12.75">
      <c r="B4" s="275" t="s">
        <v>133</v>
      </c>
      <c r="C4" s="275"/>
      <c r="D4" s="275"/>
      <c r="E4" s="275" t="s">
        <v>134</v>
      </c>
      <c r="F4" s="275"/>
      <c r="G4" s="275"/>
      <c r="H4" s="275"/>
      <c r="I4" s="275" t="s">
        <v>161</v>
      </c>
      <c r="J4" s="275"/>
      <c r="K4" s="275"/>
      <c r="L4" s="275"/>
      <c r="M4" s="275"/>
      <c r="N4" s="275"/>
      <c r="O4" s="275"/>
    </row>
    <row r="5" spans="2:16" ht="38.25" customHeight="1">
      <c r="B5" s="9" t="s">
        <v>95</v>
      </c>
      <c r="C5" s="6" t="s">
        <v>96</v>
      </c>
      <c r="D5" s="6" t="s">
        <v>60</v>
      </c>
      <c r="E5" s="6"/>
      <c r="F5" s="6"/>
      <c r="G5" s="284" t="s">
        <v>270</v>
      </c>
      <c r="H5" s="284"/>
      <c r="I5" s="249" t="s">
        <v>162</v>
      </c>
      <c r="J5" s="249"/>
      <c r="K5" s="249"/>
      <c r="L5" s="249"/>
      <c r="M5" s="249"/>
      <c r="N5" s="249"/>
      <c r="O5" s="249"/>
      <c r="P5" s="249"/>
    </row>
    <row r="6" spans="2:16" ht="63.75">
      <c r="B6" s="6">
        <v>2009</v>
      </c>
      <c r="C6" s="6">
        <v>2009</v>
      </c>
      <c r="D6" s="6">
        <v>2009</v>
      </c>
      <c r="E6" s="5" t="s">
        <v>163</v>
      </c>
      <c r="F6" s="5" t="s">
        <v>191</v>
      </c>
      <c r="G6" s="9" t="s">
        <v>50</v>
      </c>
      <c r="H6" s="9" t="s">
        <v>51</v>
      </c>
      <c r="I6" s="5" t="s">
        <v>155</v>
      </c>
      <c r="J6" s="5" t="s">
        <v>156</v>
      </c>
      <c r="K6" s="5" t="s">
        <v>157</v>
      </c>
      <c r="L6" s="5" t="s">
        <v>158</v>
      </c>
      <c r="M6" s="5" t="s">
        <v>159</v>
      </c>
      <c r="N6" s="5" t="s">
        <v>160</v>
      </c>
      <c r="O6" s="9" t="s">
        <v>97</v>
      </c>
      <c r="P6" s="9" t="s">
        <v>101</v>
      </c>
    </row>
    <row r="7" ht="12.75">
      <c r="A7" t="s">
        <v>48</v>
      </c>
    </row>
    <row r="8" spans="1:16" ht="12.75">
      <c r="A8" t="s">
        <v>0</v>
      </c>
      <c r="B8" s="128">
        <f>'Dx Rates 2006 EDR Distributions'!B10</f>
        <v>3114</v>
      </c>
      <c r="C8" s="128">
        <f>'Dx Rates 2006 EDR Distributions'!C10</f>
        <v>29538824.55274267</v>
      </c>
      <c r="E8" s="128">
        <f>'Cost Alloc Revenue Distribution'!M7</f>
        <v>1095227.4099999997</v>
      </c>
      <c r="F8" s="128"/>
      <c r="G8" s="128">
        <f>E8*'Cost Alloc Revenue Distribution'!F7</f>
        <v>487376.19744999986</v>
      </c>
      <c r="H8" s="128">
        <f>E8*'Cost Alloc Revenue Distribution'!G7</f>
        <v>607851.2125499997</v>
      </c>
      <c r="I8" s="113">
        <f>ROUND(+G8/C8,4)</f>
        <v>0.0165</v>
      </c>
      <c r="J8" s="113"/>
      <c r="K8" s="113">
        <f>'Low Voltage Allocation'!F8</f>
        <v>0.0004</v>
      </c>
      <c r="L8" s="113"/>
      <c r="M8" s="113">
        <f>I8+K8</f>
        <v>0.016900000000000002</v>
      </c>
      <c r="O8" s="112">
        <f aca="true" t="shared" si="0" ref="O8:O13">ROUND(+H8/(B8*12),2)</f>
        <v>16.27</v>
      </c>
      <c r="P8" s="112">
        <f>+O8+'Smart Meters'!B6</f>
        <v>16.53</v>
      </c>
    </row>
    <row r="9" spans="1:16" ht="12.75">
      <c r="A9" t="s">
        <v>15</v>
      </c>
      <c r="B9" s="128">
        <f>(' Forecast Data'!J10+' Forecast Data'!I10)/2</f>
        <v>415</v>
      </c>
      <c r="C9" s="128">
        <f>(' Forecast Data'!J11+' Forecast Data'!I11)/2</f>
        <v>13980634.591676692</v>
      </c>
      <c r="E9" s="128">
        <f>'Cost Alloc Revenue Distribution'!M8</f>
        <v>402509.9719999999</v>
      </c>
      <c r="F9" s="128"/>
      <c r="G9" s="128">
        <f>E9*'Cost Alloc Revenue Distribution'!F8</f>
        <v>236273.35356399993</v>
      </c>
      <c r="H9" s="128">
        <f>E9*'Cost Alloc Revenue Distribution'!G8</f>
        <v>166236.61843599996</v>
      </c>
      <c r="I9" s="113">
        <f>ROUND(+G9/C9,4)</f>
        <v>0.0169</v>
      </c>
      <c r="J9" s="113"/>
      <c r="K9" s="113">
        <f>'Low Voltage Allocation'!F9</f>
        <v>0.0015</v>
      </c>
      <c r="L9" s="113"/>
      <c r="M9" s="113">
        <f>I9+K9</f>
        <v>0.0184</v>
      </c>
      <c r="O9" s="112">
        <f t="shared" si="0"/>
        <v>33.38</v>
      </c>
      <c r="P9" s="112">
        <f>+O9+'Smart Meters'!B7</f>
        <v>33.64</v>
      </c>
    </row>
    <row r="10" spans="1:16" ht="12.75">
      <c r="A10" t="s">
        <v>16</v>
      </c>
      <c r="B10" s="128">
        <f>'Dx Rates 2006 EDR Distributions'!B12</f>
        <v>34.5</v>
      </c>
      <c r="C10" s="128">
        <f>'Dx Rates 2006 EDR Distributions'!C12</f>
        <v>19868966.3867055</v>
      </c>
      <c r="D10" s="128">
        <f>'Dx Rates 2006 EDR Distributions'!D12</f>
        <v>60384.843761294804</v>
      </c>
      <c r="E10" s="128">
        <f>'Cost Alloc Revenue Distribution'!M9</f>
        <v>693829.3439999998</v>
      </c>
      <c r="F10" s="128">
        <f>'Revenue Requirement'!D23</f>
        <v>8890.006116696104</v>
      </c>
      <c r="G10" s="128">
        <f>E10*'Cost Alloc Revenue Distribution'!F9+'Dx Rates CA Distribution'!F10</f>
        <v>387026.998596696</v>
      </c>
      <c r="H10" s="128">
        <f>E10*'Cost Alloc Revenue Distribution'!G9</f>
        <v>315692.3515199999</v>
      </c>
      <c r="I10" s="2"/>
      <c r="J10" s="113">
        <f>ROUND(+G10/D10,4)</f>
        <v>6.4093</v>
      </c>
      <c r="K10" s="113"/>
      <c r="L10" s="113">
        <f>'Low Voltage Allocation'!G10</f>
        <v>0.1149</v>
      </c>
      <c r="N10" s="113">
        <f>J10+L10</f>
        <v>6.5242</v>
      </c>
      <c r="O10" s="112">
        <f t="shared" si="0"/>
        <v>762.54</v>
      </c>
      <c r="P10" s="112">
        <f>+O10+'Smart Meters'!B8</f>
        <v>762.8</v>
      </c>
    </row>
    <row r="11" spans="1:16" ht="12.75">
      <c r="A11" t="s">
        <v>18</v>
      </c>
      <c r="B11" s="128">
        <f>(' Forecast Data'!J19+' Forecast Data'!I19)/2</f>
        <v>8</v>
      </c>
      <c r="C11" s="128">
        <f>(' Forecast Data'!J20+' Forecast Data'!I20)/2</f>
        <v>94602</v>
      </c>
      <c r="E11" s="128">
        <f>'Cost Alloc Revenue Distribution'!M12</f>
        <v>4936.862639999999</v>
      </c>
      <c r="F11" s="128"/>
      <c r="G11" s="128">
        <f>E11*'Cost Alloc Revenue Distribution'!F12</f>
        <v>1727.9019239999998</v>
      </c>
      <c r="H11" s="128">
        <f>E11*'Cost Alloc Revenue Distribution'!G12</f>
        <v>3208.9607159999996</v>
      </c>
      <c r="I11" s="113">
        <f>ROUND(+G11/C11,4)</f>
        <v>0.0183</v>
      </c>
      <c r="J11" s="113"/>
      <c r="K11" s="113">
        <f>'Low Voltage Allocation'!F11</f>
        <v>0.0015</v>
      </c>
      <c r="L11" s="113"/>
      <c r="M11" s="113">
        <f>I11+K11</f>
        <v>0.0198</v>
      </c>
      <c r="O11" s="112">
        <f t="shared" si="0"/>
        <v>33.43</v>
      </c>
      <c r="P11" s="112">
        <f>+O11</f>
        <v>33.43</v>
      </c>
    </row>
    <row r="12" spans="1:16" ht="12.75">
      <c r="A12" t="s">
        <v>19</v>
      </c>
      <c r="B12" s="128">
        <f>'Dx Rates 2006 EDR Distributions'!B14</f>
        <v>90</v>
      </c>
      <c r="C12" s="128">
        <f>'Dx Rates 2006 EDR Distributions'!C14</f>
        <v>79731.62790697675</v>
      </c>
      <c r="D12" s="128">
        <f>'Dx Rates 2006 EDR Distributions'!D14</f>
        <v>238.5</v>
      </c>
      <c r="E12" s="128">
        <f>'Cost Alloc Revenue Distribution'!M11</f>
        <v>4136.290319999999</v>
      </c>
      <c r="F12" s="128"/>
      <c r="G12" s="128">
        <f>E12*'Cost Alloc Revenue Distribution'!F11</f>
        <v>868.6209671999998</v>
      </c>
      <c r="H12" s="128">
        <f>E12*'Cost Alloc Revenue Distribution'!G11</f>
        <v>3267.6693527999996</v>
      </c>
      <c r="I12" s="2"/>
      <c r="J12" s="113">
        <f>ROUND(+G12/D12,4)</f>
        <v>3.642</v>
      </c>
      <c r="K12" s="113"/>
      <c r="L12" s="113">
        <f>'Low Voltage Allocation'!G12</f>
        <v>0.0532</v>
      </c>
      <c r="N12" s="113">
        <f>J12+L12</f>
        <v>3.6952</v>
      </c>
      <c r="O12" s="112">
        <f t="shared" si="0"/>
        <v>3.03</v>
      </c>
      <c r="P12" s="112">
        <f>+O12</f>
        <v>3.03</v>
      </c>
    </row>
    <row r="13" spans="1:16" ht="12.75">
      <c r="A13" t="s">
        <v>20</v>
      </c>
      <c r="B13" s="128">
        <f>'Dx Rates 2006 EDR Distributions'!B15</f>
        <v>596.5</v>
      </c>
      <c r="C13" s="128">
        <f>'Dx Rates 2006 EDR Distributions'!C15</f>
        <v>553299.8293718167</v>
      </c>
      <c r="D13" s="128">
        <f>'Dx Rates 2006 EDR Distributions'!D15</f>
        <v>1655.3128183361632</v>
      </c>
      <c r="E13" s="128">
        <f>'Cost Alloc Revenue Distribution'!M10</f>
        <v>23172.12103999996</v>
      </c>
      <c r="F13" s="128"/>
      <c r="G13" s="128">
        <f>E13*'Cost Alloc Revenue Distribution'!F10</f>
        <v>7067.496917199988</v>
      </c>
      <c r="H13" s="128">
        <f>E13*'Cost Alloc Revenue Distribution'!G10</f>
        <v>16104.624122799974</v>
      </c>
      <c r="I13" s="2"/>
      <c r="J13" s="113">
        <f>ROUND(+G13/D13,4)</f>
        <v>4.2696</v>
      </c>
      <c r="K13" s="113"/>
      <c r="L13" s="113">
        <f>'Low Voltage Allocation'!G13</f>
        <v>0.0232</v>
      </c>
      <c r="N13" s="113">
        <f>J13+L13</f>
        <v>4.2928</v>
      </c>
      <c r="O13" s="112">
        <f t="shared" si="0"/>
        <v>2.25</v>
      </c>
      <c r="P13" s="112">
        <f>+O13</f>
        <v>2.25</v>
      </c>
    </row>
    <row r="14" ht="12.75">
      <c r="H14" s="128"/>
    </row>
    <row r="15" spans="1:8" ht="12.75">
      <c r="A15" t="s">
        <v>53</v>
      </c>
      <c r="B15" s="10">
        <f aca="true" t="shared" si="1" ref="B15:H15">SUM(B8:B13)</f>
        <v>4258</v>
      </c>
      <c r="C15" s="10">
        <f t="shared" si="1"/>
        <v>64116058.988403656</v>
      </c>
      <c r="D15" s="10">
        <f t="shared" si="1"/>
        <v>62278.656579630966</v>
      </c>
      <c r="E15" s="10">
        <f t="shared" si="1"/>
        <v>2223811.9999999995</v>
      </c>
      <c r="F15" s="10">
        <f t="shared" si="1"/>
        <v>8890.006116696104</v>
      </c>
      <c r="G15" s="10">
        <f t="shared" si="1"/>
        <v>1120340.5694190958</v>
      </c>
      <c r="H15" s="10">
        <f t="shared" si="1"/>
        <v>1112361.4366975997</v>
      </c>
    </row>
  </sheetData>
  <mergeCells count="7">
    <mergeCell ref="A1:P1"/>
    <mergeCell ref="A2:P2"/>
    <mergeCell ref="G5:H5"/>
    <mergeCell ref="B4:D4"/>
    <mergeCell ref="E4:H4"/>
    <mergeCell ref="I4:O4"/>
    <mergeCell ref="I5:P5"/>
  </mergeCells>
  <printOptions/>
  <pageMargins left="0.75" right="0.75" top="1" bottom="1" header="0.5" footer="0.5"/>
  <pageSetup fitToHeight="1" fitToWidth="1" horizontalDpi="600" verticalDpi="600" orientation="landscape" scale="65"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sheetPr>
    <tabColor indexed="29"/>
    <pageSetUpPr fitToPage="1"/>
  </sheetPr>
  <dimension ref="A1:L22"/>
  <sheetViews>
    <sheetView workbookViewId="0" topLeftCell="A1">
      <selection activeCell="J18" sqref="J18"/>
    </sheetView>
  </sheetViews>
  <sheetFormatPr defaultColWidth="9.140625" defaultRowHeight="12.75"/>
  <cols>
    <col min="1" max="1" width="32.28125" style="0" bestFit="1" customWidth="1"/>
    <col min="2" max="2" width="10.28125" style="0" bestFit="1" customWidth="1"/>
    <col min="3" max="3" width="4.8515625" style="0" bestFit="1" customWidth="1"/>
    <col min="5" max="5" width="4.8515625" style="0" bestFit="1" customWidth="1"/>
    <col min="6" max="6" width="2.57421875" style="0" customWidth="1"/>
    <col min="7" max="7" width="10.00390625" style="0" customWidth="1"/>
    <col min="9" max="9" width="10.140625" style="0" customWidth="1"/>
    <col min="12" max="12" width="13.7109375" style="0" customWidth="1"/>
  </cols>
  <sheetData>
    <row r="1" spans="1:12" ht="15.75">
      <c r="A1" s="262" t="s">
        <v>258</v>
      </c>
      <c r="B1" s="262"/>
      <c r="C1" s="262"/>
      <c r="D1" s="262"/>
      <c r="E1" s="262"/>
      <c r="F1" s="262"/>
      <c r="G1" s="262"/>
      <c r="H1" s="262"/>
      <c r="I1" s="262"/>
      <c r="J1" s="262"/>
      <c r="K1" s="262"/>
      <c r="L1" s="262"/>
    </row>
    <row r="2" spans="1:12" ht="15.75">
      <c r="A2" s="262" t="s">
        <v>240</v>
      </c>
      <c r="B2" s="262"/>
      <c r="C2" s="262"/>
      <c r="D2" s="262"/>
      <c r="E2" s="262"/>
      <c r="F2" s="262"/>
      <c r="G2" s="262"/>
      <c r="H2" s="262"/>
      <c r="I2" s="262"/>
      <c r="J2" s="262"/>
      <c r="K2" s="262"/>
      <c r="L2" s="262"/>
    </row>
    <row r="4" spans="2:12" ht="12.75">
      <c r="B4" s="275" t="s">
        <v>164</v>
      </c>
      <c r="C4" s="275"/>
      <c r="D4" s="275"/>
      <c r="E4" s="275"/>
      <c r="F4" s="2"/>
      <c r="G4" s="275" t="s">
        <v>165</v>
      </c>
      <c r="H4" s="275"/>
      <c r="I4" s="275"/>
      <c r="J4" s="275"/>
      <c r="K4" s="275"/>
      <c r="L4" s="2" t="s">
        <v>173</v>
      </c>
    </row>
    <row r="5" spans="1:12" ht="51">
      <c r="A5" t="s">
        <v>48</v>
      </c>
      <c r="B5" s="5" t="s">
        <v>166</v>
      </c>
      <c r="C5" s="6" t="s">
        <v>167</v>
      </c>
      <c r="D5" s="5" t="s">
        <v>168</v>
      </c>
      <c r="E5" s="6" t="s">
        <v>167</v>
      </c>
      <c r="F5" s="6"/>
      <c r="G5" s="5" t="s">
        <v>314</v>
      </c>
      <c r="H5" s="5" t="s">
        <v>169</v>
      </c>
      <c r="I5" s="5" t="s">
        <v>170</v>
      </c>
      <c r="J5" s="5" t="s">
        <v>171</v>
      </c>
      <c r="K5" s="5" t="s">
        <v>172</v>
      </c>
      <c r="L5" s="5" t="s">
        <v>174</v>
      </c>
    </row>
    <row r="6" spans="2:9" ht="12.75">
      <c r="B6" s="9"/>
      <c r="C6" s="142"/>
      <c r="D6" s="9"/>
      <c r="E6" s="142"/>
      <c r="F6" s="142"/>
      <c r="G6" s="9"/>
      <c r="H6" s="9"/>
      <c r="I6" s="9"/>
    </row>
    <row r="7" spans="1:12" ht="12.75">
      <c r="A7" t="s">
        <v>0</v>
      </c>
      <c r="B7" s="2">
        <v>0.0041</v>
      </c>
      <c r="C7" t="s">
        <v>59</v>
      </c>
      <c r="D7" s="2">
        <v>0.0043</v>
      </c>
      <c r="E7" t="s">
        <v>59</v>
      </c>
      <c r="G7" s="2">
        <v>0.0052</v>
      </c>
      <c r="H7" s="2">
        <v>0.001</v>
      </c>
      <c r="I7" s="2">
        <v>0.0051</v>
      </c>
      <c r="J7" s="2">
        <v>0.053</v>
      </c>
      <c r="K7" s="2">
        <v>0.062</v>
      </c>
      <c r="L7" s="2">
        <v>0.25</v>
      </c>
    </row>
    <row r="8" spans="1:12" ht="12.75">
      <c r="A8" t="s">
        <v>15</v>
      </c>
      <c r="B8" s="2">
        <v>0.0037</v>
      </c>
      <c r="C8" t="s">
        <v>59</v>
      </c>
      <c r="D8" s="2">
        <v>0.0039</v>
      </c>
      <c r="E8" t="s">
        <v>59</v>
      </c>
      <c r="G8" s="2">
        <v>0.0052</v>
      </c>
      <c r="H8" s="2">
        <v>0.001</v>
      </c>
      <c r="I8" s="2">
        <v>0.0051</v>
      </c>
      <c r="J8" s="2">
        <v>0.053</v>
      </c>
      <c r="K8" s="2">
        <v>0.062</v>
      </c>
      <c r="L8" s="2">
        <v>0.25</v>
      </c>
    </row>
    <row r="9" spans="1:12" ht="12.75">
      <c r="A9" t="s">
        <v>16</v>
      </c>
      <c r="B9" s="243">
        <v>1.5725</v>
      </c>
      <c r="C9" t="s">
        <v>60</v>
      </c>
      <c r="D9" s="245">
        <f>1.5794*'Eliminate TOU From Low Voltage'!C11/'Eliminate TOU From Low Voltage'!C25</f>
        <v>1.6230683970891935</v>
      </c>
      <c r="E9" t="s">
        <v>60</v>
      </c>
      <c r="G9" s="2">
        <v>0.0052</v>
      </c>
      <c r="H9" s="2">
        <v>0.001</v>
      </c>
      <c r="I9" s="2">
        <v>0.0051</v>
      </c>
      <c r="J9" s="2">
        <v>0.053</v>
      </c>
      <c r="K9" s="2">
        <v>0.062</v>
      </c>
      <c r="L9" s="2">
        <v>0.25</v>
      </c>
    </row>
    <row r="10" spans="1:12" ht="12.75">
      <c r="A10" t="s">
        <v>18</v>
      </c>
      <c r="B10" s="2">
        <v>0.0037</v>
      </c>
      <c r="C10" t="s">
        <v>59</v>
      </c>
      <c r="D10" s="2">
        <v>0.0039</v>
      </c>
      <c r="E10" t="s">
        <v>59</v>
      </c>
      <c r="G10" s="2">
        <v>0.0052</v>
      </c>
      <c r="H10" s="2">
        <v>0.001</v>
      </c>
      <c r="I10" s="2">
        <v>0.0051</v>
      </c>
      <c r="J10" s="2">
        <v>0.053</v>
      </c>
      <c r="K10" s="2">
        <v>0.062</v>
      </c>
      <c r="L10" s="2">
        <v>0.25</v>
      </c>
    </row>
    <row r="11" spans="1:12" ht="12.75">
      <c r="A11" t="s">
        <v>19</v>
      </c>
      <c r="B11" s="2">
        <v>1.1635</v>
      </c>
      <c r="C11" t="s">
        <v>60</v>
      </c>
      <c r="D11" s="2">
        <v>1.1972</v>
      </c>
      <c r="E11" t="s">
        <v>60</v>
      </c>
      <c r="G11" s="2">
        <v>0.0052</v>
      </c>
      <c r="H11" s="2">
        <v>0.001</v>
      </c>
      <c r="I11" s="2">
        <v>0.0051</v>
      </c>
      <c r="J11" s="2">
        <v>0.053</v>
      </c>
      <c r="K11" s="2">
        <v>0.062</v>
      </c>
      <c r="L11" s="2">
        <v>0.25</v>
      </c>
    </row>
    <row r="12" spans="1:12" ht="12.75">
      <c r="A12" t="s">
        <v>20</v>
      </c>
      <c r="B12" s="2">
        <v>1.1396</v>
      </c>
      <c r="C12" t="s">
        <v>60</v>
      </c>
      <c r="D12" s="2">
        <v>1.1911</v>
      </c>
      <c r="E12" t="s">
        <v>60</v>
      </c>
      <c r="G12" s="2">
        <v>0.0052</v>
      </c>
      <c r="H12" s="2">
        <v>0.001</v>
      </c>
      <c r="I12" s="2">
        <v>0.0051</v>
      </c>
      <c r="J12" s="2">
        <v>0.053</v>
      </c>
      <c r="K12" s="2">
        <v>0.062</v>
      </c>
      <c r="L12" s="2">
        <v>0.25</v>
      </c>
    </row>
    <row r="15" spans="1:12" ht="27.75" customHeight="1">
      <c r="A15" s="276" t="s">
        <v>315</v>
      </c>
      <c r="B15" s="276"/>
      <c r="C15" s="276"/>
      <c r="D15" s="276"/>
      <c r="E15" s="276"/>
      <c r="F15" s="276"/>
      <c r="G15" s="276"/>
      <c r="H15" s="276"/>
      <c r="I15" s="276"/>
      <c r="J15" s="276"/>
      <c r="K15" s="276"/>
      <c r="L15" s="276"/>
    </row>
    <row r="22" ht="12.75">
      <c r="D22" s="244"/>
    </row>
  </sheetData>
  <mergeCells count="5">
    <mergeCell ref="A1:L1"/>
    <mergeCell ref="B4:E4"/>
    <mergeCell ref="G4:K4"/>
    <mergeCell ref="A15:L15"/>
    <mergeCell ref="A2:L2"/>
  </mergeCells>
  <printOptions/>
  <pageMargins left="0.75" right="0.75" top="1" bottom="1" header="0.5" footer="0.5"/>
  <pageSetup fitToHeight="1" fitToWidth="1" horizontalDpi="600" verticalDpi="600" orientation="landscape" scale="97"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tabColor indexed="29"/>
  </sheetPr>
  <dimension ref="A1:N119"/>
  <sheetViews>
    <sheetView workbookViewId="0" topLeftCell="A1">
      <pane xSplit="3" ySplit="5" topLeftCell="F27" activePane="bottomRight" state="frozen"/>
      <selection pane="topLeft" activeCell="A1" sqref="A1:I27"/>
      <selection pane="topRight" activeCell="A1" sqref="A1:I27"/>
      <selection pane="bottomLeft" activeCell="A1" sqref="A1:I27"/>
      <selection pane="bottomRight" activeCell="J5" sqref="A1:N27"/>
    </sheetView>
  </sheetViews>
  <sheetFormatPr defaultColWidth="9.140625" defaultRowHeight="12.75"/>
  <cols>
    <col min="1" max="1" width="86.140625" style="0" bestFit="1" customWidth="1"/>
    <col min="2" max="2" width="6.421875" style="2" bestFit="1" customWidth="1"/>
    <col min="3" max="3" width="1.7109375" style="0" customWidth="1"/>
    <col min="4" max="4" width="11.421875" style="0" bestFit="1" customWidth="1"/>
    <col min="5" max="5" width="1.7109375" style="0" customWidth="1"/>
    <col min="6" max="6" width="11.421875" style="0" bestFit="1" customWidth="1"/>
    <col min="7" max="7" width="1.7109375" style="0" customWidth="1"/>
    <col min="8" max="8" width="11.7109375" style="0" customWidth="1"/>
    <col min="9" max="9" width="1.7109375" style="0" customWidth="1"/>
    <col min="10" max="10" width="11.57421875" style="0" bestFit="1" customWidth="1"/>
    <col min="11" max="11" width="11.421875" style="2" customWidth="1"/>
    <col min="12" max="12" width="1.7109375" style="0" customWidth="1"/>
    <col min="13" max="13" width="11.421875" style="0" bestFit="1" customWidth="1"/>
    <col min="14" max="14" width="11.421875" style="0" customWidth="1"/>
    <col min="15" max="15" width="7.57421875" style="0" bestFit="1" customWidth="1"/>
    <col min="16" max="16" width="13.421875" style="0" customWidth="1"/>
  </cols>
  <sheetData>
    <row r="1" spans="1:14" ht="18">
      <c r="A1" s="259" t="s">
        <v>146</v>
      </c>
      <c r="B1" s="259"/>
      <c r="C1" s="259"/>
      <c r="D1" s="259"/>
      <c r="E1" s="259"/>
      <c r="F1" s="259"/>
      <c r="G1" s="259"/>
      <c r="H1" s="259"/>
      <c r="I1" s="259"/>
      <c r="J1" s="259"/>
      <c r="K1" s="259"/>
      <c r="L1" s="259"/>
      <c r="M1" s="259"/>
      <c r="N1" s="259"/>
    </row>
    <row r="2" spans="1:14" ht="18">
      <c r="A2" s="259" t="s">
        <v>56</v>
      </c>
      <c r="B2" s="259"/>
      <c r="C2" s="259"/>
      <c r="D2" s="259"/>
      <c r="E2" s="259"/>
      <c r="F2" s="259"/>
      <c r="G2" s="259"/>
      <c r="H2" s="259"/>
      <c r="I2" s="259"/>
      <c r="J2" s="259"/>
      <c r="K2" s="259"/>
      <c r="L2" s="259"/>
      <c r="M2" s="259"/>
      <c r="N2" s="259"/>
    </row>
    <row r="4" spans="4:14" ht="12.75">
      <c r="D4" s="11" t="s">
        <v>24</v>
      </c>
      <c r="E4" s="4"/>
      <c r="F4" s="11" t="s">
        <v>23</v>
      </c>
      <c r="G4" s="4"/>
      <c r="H4" s="11" t="s">
        <v>25</v>
      </c>
      <c r="I4" s="4"/>
      <c r="J4" s="11" t="s">
        <v>26</v>
      </c>
      <c r="K4" s="103" t="s">
        <v>84</v>
      </c>
      <c r="L4" s="11"/>
      <c r="M4" s="11" t="s">
        <v>26</v>
      </c>
      <c r="N4" s="103" t="s">
        <v>84</v>
      </c>
    </row>
    <row r="5" spans="4:14" ht="25.5">
      <c r="D5" s="12" t="s">
        <v>57</v>
      </c>
      <c r="E5" s="4"/>
      <c r="F5" s="12" t="s">
        <v>57</v>
      </c>
      <c r="G5" s="4"/>
      <c r="H5" s="12" t="s">
        <v>57</v>
      </c>
      <c r="I5" s="4"/>
      <c r="J5" s="12" t="s">
        <v>98</v>
      </c>
      <c r="K5" s="12" t="s">
        <v>98</v>
      </c>
      <c r="L5" s="12"/>
      <c r="M5" s="12" t="s">
        <v>99</v>
      </c>
      <c r="N5" s="12" t="s">
        <v>111</v>
      </c>
    </row>
    <row r="6" spans="4:14" ht="12.75">
      <c r="D6" s="12"/>
      <c r="E6" s="4"/>
      <c r="F6" s="12"/>
      <c r="G6" s="4"/>
      <c r="H6" s="12"/>
      <c r="I6" s="4"/>
      <c r="J6" s="12"/>
      <c r="K6" s="12"/>
      <c r="L6" s="12"/>
      <c r="M6" s="12"/>
      <c r="N6" s="12"/>
    </row>
    <row r="7" spans="1:14" ht="15.75">
      <c r="A7" s="135" t="s">
        <v>0</v>
      </c>
      <c r="E7" s="1"/>
      <c r="G7" s="1"/>
      <c r="I7" s="1"/>
      <c r="K7" s="129">
        <f>'Rate Impact 2006 EDR Alloc'!I32</f>
        <v>0.07516207290512081</v>
      </c>
      <c r="N7" s="129">
        <f>'Rate Impact CA'!I32</f>
        <v>0.09503960835575875</v>
      </c>
    </row>
    <row r="8" spans="1:13" ht="12.75">
      <c r="A8" t="s">
        <v>1</v>
      </c>
      <c r="B8" s="2" t="s">
        <v>2</v>
      </c>
      <c r="D8">
        <v>16.13</v>
      </c>
      <c r="F8">
        <v>16.18</v>
      </c>
      <c r="H8">
        <v>16.32</v>
      </c>
      <c r="J8" s="112">
        <f>+'Dx Rates 2006 EDR Distributions'!P10</f>
        <v>22.830000000000002</v>
      </c>
      <c r="K8" s="130"/>
      <c r="L8" s="112"/>
      <c r="M8" s="112">
        <f>+'Dx Rates CA Distribution'!P8</f>
        <v>16.53</v>
      </c>
    </row>
    <row r="9" spans="1:13" ht="12.75">
      <c r="A9" t="s">
        <v>137</v>
      </c>
      <c r="B9" s="2" t="s">
        <v>2</v>
      </c>
      <c r="H9">
        <v>0</v>
      </c>
      <c r="J9">
        <v>0</v>
      </c>
      <c r="M9">
        <v>0</v>
      </c>
    </row>
    <row r="10" spans="1:13" ht="12.75">
      <c r="A10" t="s">
        <v>3</v>
      </c>
      <c r="B10" s="2" t="s">
        <v>4</v>
      </c>
      <c r="D10">
        <v>0.0072</v>
      </c>
      <c r="F10">
        <v>0.0072</v>
      </c>
      <c r="H10">
        <v>0.0073</v>
      </c>
      <c r="J10">
        <f>+'Dx Rates 2006 EDR Distributions'!M10</f>
        <v>0.008499999999999999</v>
      </c>
      <c r="M10">
        <f>+'Dx Rates CA Distribution'!M8</f>
        <v>0.016900000000000002</v>
      </c>
    </row>
    <row r="11" spans="1:13" ht="12.75">
      <c r="A11" t="s">
        <v>138</v>
      </c>
      <c r="B11" s="2" t="s">
        <v>4</v>
      </c>
      <c r="H11">
        <v>0</v>
      </c>
      <c r="J11">
        <v>0</v>
      </c>
      <c r="M11">
        <v>0</v>
      </c>
    </row>
    <row r="12" spans="1:10" ht="12.75">
      <c r="A12" t="s">
        <v>5</v>
      </c>
      <c r="H12">
        <v>0</v>
      </c>
      <c r="J12">
        <v>0</v>
      </c>
    </row>
    <row r="13" spans="1:10" ht="12.75">
      <c r="A13" t="s">
        <v>6</v>
      </c>
      <c r="H13">
        <v>0</v>
      </c>
      <c r="J13">
        <v>0</v>
      </c>
    </row>
    <row r="14" spans="1:13" ht="12.75">
      <c r="A14" t="s">
        <v>7</v>
      </c>
      <c r="B14" s="2" t="s">
        <v>4</v>
      </c>
      <c r="D14">
        <v>0.0035</v>
      </c>
      <c r="F14">
        <v>0.0035</v>
      </c>
      <c r="H14">
        <v>0</v>
      </c>
      <c r="J14">
        <f>'Regulatory Asset Recovery'!B6</f>
        <v>0.0002</v>
      </c>
      <c r="M14">
        <f>'Regulatory Asset Recovery'!B6</f>
        <v>0.0002</v>
      </c>
    </row>
    <row r="15" spans="1:13" ht="12.75">
      <c r="A15" t="s">
        <v>8</v>
      </c>
      <c r="B15" s="2" t="s">
        <v>4</v>
      </c>
      <c r="D15">
        <v>0.0052</v>
      </c>
      <c r="F15">
        <v>0.0052</v>
      </c>
      <c r="H15">
        <v>0.0043</v>
      </c>
      <c r="J15">
        <f>'Other Electricity Charges'!D7</f>
        <v>0.0043</v>
      </c>
      <c r="M15">
        <f>'Other Electricity Charges'!D7</f>
        <v>0.0043</v>
      </c>
    </row>
    <row r="16" spans="1:13" ht="12.75">
      <c r="A16" t="s">
        <v>9</v>
      </c>
      <c r="B16" s="2" t="s">
        <v>4</v>
      </c>
      <c r="D16">
        <v>0.0043</v>
      </c>
      <c r="F16">
        <v>0.0043</v>
      </c>
      <c r="H16">
        <v>0.0041</v>
      </c>
      <c r="J16">
        <f>'Other Electricity Charges'!B7</f>
        <v>0.0041</v>
      </c>
      <c r="M16">
        <f>'Other Electricity Charges'!B7</f>
        <v>0.0041</v>
      </c>
    </row>
    <row r="17" spans="1:10" ht="12.75">
      <c r="A17" t="s">
        <v>10</v>
      </c>
      <c r="B17" s="2" t="s">
        <v>4</v>
      </c>
      <c r="H17">
        <v>0</v>
      </c>
      <c r="J17">
        <v>0</v>
      </c>
    </row>
    <row r="18" spans="1:10" ht="12.75">
      <c r="A18" t="s">
        <v>11</v>
      </c>
      <c r="B18" s="2" t="s">
        <v>4</v>
      </c>
      <c r="H18">
        <v>0</v>
      </c>
      <c r="J18">
        <v>0</v>
      </c>
    </row>
    <row r="19" spans="1:10" ht="12.75">
      <c r="A19" t="s">
        <v>10</v>
      </c>
      <c r="B19" s="2" t="s">
        <v>4</v>
      </c>
      <c r="H19">
        <v>0</v>
      </c>
      <c r="J19">
        <v>0</v>
      </c>
    </row>
    <row r="20" spans="1:10" ht="12.75">
      <c r="A20" t="s">
        <v>11</v>
      </c>
      <c r="B20" s="2" t="s">
        <v>4</v>
      </c>
      <c r="H20">
        <v>0</v>
      </c>
      <c r="J20">
        <v>0</v>
      </c>
    </row>
    <row r="21" spans="1:13" ht="12.75">
      <c r="A21" t="s">
        <v>12</v>
      </c>
      <c r="B21" s="2" t="s">
        <v>4</v>
      </c>
      <c r="D21">
        <v>0.0052</v>
      </c>
      <c r="F21">
        <v>0.0052</v>
      </c>
      <c r="H21">
        <v>0.0052</v>
      </c>
      <c r="J21">
        <v>0.0052</v>
      </c>
      <c r="M21">
        <v>0.0052</v>
      </c>
    </row>
    <row r="22" spans="1:13" ht="12.75">
      <c r="A22" t="s">
        <v>13</v>
      </c>
      <c r="B22" s="2" t="s">
        <v>4</v>
      </c>
      <c r="D22">
        <v>0.001</v>
      </c>
      <c r="F22">
        <v>0.001</v>
      </c>
      <c r="H22">
        <v>0.001</v>
      </c>
      <c r="J22">
        <v>0.001</v>
      </c>
      <c r="M22">
        <v>0.001</v>
      </c>
    </row>
    <row r="23" spans="1:13" ht="12.75">
      <c r="A23" t="s">
        <v>14</v>
      </c>
      <c r="B23" s="2" t="s">
        <v>2</v>
      </c>
      <c r="D23">
        <v>0.25</v>
      </c>
      <c r="F23">
        <v>0.25</v>
      </c>
      <c r="H23">
        <v>0.25</v>
      </c>
      <c r="J23">
        <v>0.25</v>
      </c>
      <c r="M23">
        <v>0.25</v>
      </c>
    </row>
    <row r="25" spans="1:14" ht="15.75">
      <c r="A25" s="135" t="s">
        <v>15</v>
      </c>
      <c r="K25" s="129">
        <f>'Rate Impact 2006 EDR Alloc'!I61</f>
        <v>0.109441302226976</v>
      </c>
      <c r="N25" s="129">
        <f>'Rate Impact CA'!I61</f>
        <v>0.03146363899823078</v>
      </c>
    </row>
    <row r="26" spans="1:13" ht="12.75">
      <c r="A26" t="s">
        <v>1</v>
      </c>
      <c r="B26" s="2" t="s">
        <v>2</v>
      </c>
      <c r="D26">
        <v>32.49</v>
      </c>
      <c r="F26">
        <v>32.58</v>
      </c>
      <c r="H26">
        <v>32.87</v>
      </c>
      <c r="J26" s="112">
        <f>+'Dx Rates 2006 EDR Distributions'!P11</f>
        <v>43.96</v>
      </c>
      <c r="K26" s="130"/>
      <c r="L26" s="112"/>
      <c r="M26" s="112">
        <f>+'Dx Rates CA Distribution'!P9</f>
        <v>33.64</v>
      </c>
    </row>
    <row r="27" spans="1:13" ht="12.75">
      <c r="A27" t="s">
        <v>137</v>
      </c>
      <c r="B27" s="2" t="s">
        <v>2</v>
      </c>
      <c r="H27">
        <v>0</v>
      </c>
      <c r="J27">
        <v>0</v>
      </c>
      <c r="M27">
        <v>0</v>
      </c>
    </row>
    <row r="28" spans="1:13" ht="12.75">
      <c r="A28" t="s">
        <v>3</v>
      </c>
      <c r="B28" s="2" t="s">
        <v>4</v>
      </c>
      <c r="D28">
        <v>0.0153</v>
      </c>
      <c r="F28">
        <v>0.0153</v>
      </c>
      <c r="H28">
        <v>0.0154</v>
      </c>
      <c r="J28">
        <f>+'Dx Rates 2006 EDR Distributions'!M11</f>
        <v>0.0222</v>
      </c>
      <c r="M28">
        <f>+'Dx Rates CA Distribution'!M9</f>
        <v>0.0184</v>
      </c>
    </row>
    <row r="29" spans="1:13" ht="12.75">
      <c r="A29" t="s">
        <v>138</v>
      </c>
      <c r="B29" s="2" t="s">
        <v>4</v>
      </c>
      <c r="H29">
        <v>0</v>
      </c>
      <c r="J29">
        <v>0</v>
      </c>
      <c r="M29">
        <v>0</v>
      </c>
    </row>
    <row r="30" spans="1:10" ht="12.75">
      <c r="A30" t="s">
        <v>5</v>
      </c>
      <c r="H30">
        <v>0</v>
      </c>
      <c r="J30">
        <v>0</v>
      </c>
    </row>
    <row r="31" spans="1:10" ht="12.75">
      <c r="A31" t="s">
        <v>6</v>
      </c>
      <c r="H31">
        <v>0</v>
      </c>
      <c r="J31">
        <v>0</v>
      </c>
    </row>
    <row r="32" spans="1:13" ht="12.75">
      <c r="A32" t="s">
        <v>7</v>
      </c>
      <c r="B32" s="2" t="s">
        <v>4</v>
      </c>
      <c r="D32">
        <v>0.0006</v>
      </c>
      <c r="F32">
        <v>0.0006</v>
      </c>
      <c r="H32">
        <v>0</v>
      </c>
      <c r="J32">
        <f>'Regulatory Asset Recovery'!B7</f>
        <v>0.0002</v>
      </c>
      <c r="M32">
        <f>'Regulatory Asset Recovery'!B7</f>
        <v>0.0002</v>
      </c>
    </row>
    <row r="33" spans="1:13" ht="12.75">
      <c r="A33" t="s">
        <v>8</v>
      </c>
      <c r="B33" s="2" t="s">
        <v>4</v>
      </c>
      <c r="D33">
        <v>0.0047</v>
      </c>
      <c r="F33">
        <v>0.0047</v>
      </c>
      <c r="H33">
        <v>0.0039</v>
      </c>
      <c r="J33">
        <f>'Other Electricity Charges'!D8</f>
        <v>0.0039</v>
      </c>
      <c r="M33">
        <f>'Other Electricity Charges'!D8</f>
        <v>0.0039</v>
      </c>
    </row>
    <row r="34" spans="1:13" ht="12.75">
      <c r="A34" t="s">
        <v>9</v>
      </c>
      <c r="B34" s="2" t="s">
        <v>4</v>
      </c>
      <c r="D34">
        <v>0.0039</v>
      </c>
      <c r="F34">
        <v>0.0039</v>
      </c>
      <c r="H34">
        <v>0.0037</v>
      </c>
      <c r="J34">
        <f>'Other Electricity Charges'!B8</f>
        <v>0.0037</v>
      </c>
      <c r="M34">
        <f>'Other Electricity Charges'!B8</f>
        <v>0.0037</v>
      </c>
    </row>
    <row r="35" spans="1:10" ht="12.75">
      <c r="A35" t="s">
        <v>10</v>
      </c>
      <c r="B35" s="2" t="s">
        <v>4</v>
      </c>
      <c r="H35">
        <v>0</v>
      </c>
      <c r="J35">
        <v>0</v>
      </c>
    </row>
    <row r="36" spans="1:10" ht="12.75">
      <c r="A36" t="s">
        <v>11</v>
      </c>
      <c r="B36" s="2" t="s">
        <v>4</v>
      </c>
      <c r="H36">
        <v>0</v>
      </c>
      <c r="J36">
        <v>0</v>
      </c>
    </row>
    <row r="37" spans="1:10" ht="12.75">
      <c r="A37" t="s">
        <v>10</v>
      </c>
      <c r="B37" s="2" t="s">
        <v>4</v>
      </c>
      <c r="H37">
        <v>0</v>
      </c>
      <c r="J37">
        <v>0</v>
      </c>
    </row>
    <row r="38" spans="1:10" ht="12.75">
      <c r="A38" t="s">
        <v>11</v>
      </c>
      <c r="B38" s="2" t="s">
        <v>4</v>
      </c>
      <c r="H38">
        <v>0</v>
      </c>
      <c r="J38">
        <v>0</v>
      </c>
    </row>
    <row r="39" spans="1:13" ht="12.75">
      <c r="A39" t="s">
        <v>12</v>
      </c>
      <c r="B39" s="2" t="s">
        <v>4</v>
      </c>
      <c r="D39">
        <v>0.0052</v>
      </c>
      <c r="F39">
        <v>0.0052</v>
      </c>
      <c r="H39">
        <v>0.0052</v>
      </c>
      <c r="J39">
        <v>0.0052</v>
      </c>
      <c r="M39">
        <v>0.0052</v>
      </c>
    </row>
    <row r="40" spans="1:13" ht="12.75">
      <c r="A40" t="s">
        <v>13</v>
      </c>
      <c r="B40" s="2" t="s">
        <v>4</v>
      </c>
      <c r="D40">
        <v>0.001</v>
      </c>
      <c r="F40">
        <v>0.001</v>
      </c>
      <c r="H40">
        <v>0.001</v>
      </c>
      <c r="J40">
        <v>0.001</v>
      </c>
      <c r="M40">
        <v>0.001</v>
      </c>
    </row>
    <row r="41" spans="1:13" ht="12.75">
      <c r="A41" t="s">
        <v>14</v>
      </c>
      <c r="B41" s="2" t="s">
        <v>2</v>
      </c>
      <c r="D41">
        <v>0.25</v>
      </c>
      <c r="F41">
        <v>0.25</v>
      </c>
      <c r="H41">
        <v>0.25</v>
      </c>
      <c r="J41">
        <v>0.25</v>
      </c>
      <c r="M41">
        <v>0.25</v>
      </c>
    </row>
    <row r="43" spans="1:14" ht="15.75">
      <c r="A43" s="135" t="s">
        <v>16</v>
      </c>
      <c r="K43" s="129">
        <f>'Rate Impact 2006 EDR Alloc'!I90</f>
        <v>0.05109748899460286</v>
      </c>
      <c r="N43" s="129">
        <f>'Rate Impact CA'!I90</f>
        <v>0.08642038680825276</v>
      </c>
    </row>
    <row r="44" spans="1:13" ht="12.75">
      <c r="A44" t="s">
        <v>1</v>
      </c>
      <c r="B44" s="2" t="s">
        <v>2</v>
      </c>
      <c r="D44">
        <v>755.96</v>
      </c>
      <c r="F44">
        <v>758.14</v>
      </c>
      <c r="H44">
        <v>764.96</v>
      </c>
      <c r="J44" s="112">
        <f>+'Dx Rates 2006 EDR Distributions'!P12</f>
        <v>1089.68</v>
      </c>
      <c r="K44" s="130"/>
      <c r="L44" s="112"/>
      <c r="M44" s="112">
        <f>+'Dx Rates CA Distribution'!P10</f>
        <v>762.8</v>
      </c>
    </row>
    <row r="45" spans="1:13" ht="12.75">
      <c r="A45" t="s">
        <v>137</v>
      </c>
      <c r="B45" s="2" t="s">
        <v>2</v>
      </c>
      <c r="H45">
        <v>0</v>
      </c>
      <c r="J45">
        <v>0</v>
      </c>
      <c r="M45">
        <v>0</v>
      </c>
    </row>
    <row r="46" spans="1:13" ht="12.75">
      <c r="A46" t="s">
        <v>3</v>
      </c>
      <c r="B46" s="2" t="s">
        <v>17</v>
      </c>
      <c r="D46">
        <v>3.4821</v>
      </c>
      <c r="F46">
        <v>3.4921</v>
      </c>
      <c r="H46">
        <v>3.5235</v>
      </c>
      <c r="J46">
        <f>+'Dx Rates 2006 EDR Distributions'!N12</f>
        <v>2.8593</v>
      </c>
      <c r="M46">
        <f>+'Dx Rates CA Distribution'!N10</f>
        <v>6.5242</v>
      </c>
    </row>
    <row r="47" spans="1:13" ht="12.75">
      <c r="A47" t="s">
        <v>138</v>
      </c>
      <c r="B47" s="2" t="s">
        <v>17</v>
      </c>
      <c r="H47">
        <v>0</v>
      </c>
      <c r="J47">
        <v>0</v>
      </c>
      <c r="M47">
        <v>0</v>
      </c>
    </row>
    <row r="48" spans="1:10" ht="12.75">
      <c r="A48" t="s">
        <v>5</v>
      </c>
      <c r="H48">
        <v>0</v>
      </c>
      <c r="J48">
        <v>0</v>
      </c>
    </row>
    <row r="49" spans="1:10" ht="12.75">
      <c r="A49" t="s">
        <v>6</v>
      </c>
      <c r="H49">
        <v>0</v>
      </c>
      <c r="J49">
        <v>0</v>
      </c>
    </row>
    <row r="50" spans="1:13" ht="12.75">
      <c r="A50" t="s">
        <v>7</v>
      </c>
      <c r="B50" s="2" t="s">
        <v>17</v>
      </c>
      <c r="D50">
        <v>-0.1374</v>
      </c>
      <c r="F50">
        <v>-0.1374</v>
      </c>
      <c r="H50">
        <v>0</v>
      </c>
      <c r="J50">
        <f>'Regulatory Asset Recovery'!C8</f>
        <v>0.0656</v>
      </c>
      <c r="M50">
        <f>'Regulatory Asset Recovery'!C8</f>
        <v>0.0656</v>
      </c>
    </row>
    <row r="51" spans="1:13" ht="12.75">
      <c r="A51" t="s">
        <v>8</v>
      </c>
      <c r="B51" s="2" t="s">
        <v>17</v>
      </c>
      <c r="D51">
        <v>1.9261</v>
      </c>
      <c r="F51">
        <v>1.9261</v>
      </c>
      <c r="H51">
        <v>1.5794</v>
      </c>
      <c r="J51" s="140">
        <f>'Other Electricity Charges'!D9</f>
        <v>1.6230683970891935</v>
      </c>
      <c r="M51" s="140">
        <f>'Other Electricity Charges'!D9</f>
        <v>1.6230683970891935</v>
      </c>
    </row>
    <row r="52" spans="1:13" ht="12.75">
      <c r="A52" t="s">
        <v>9</v>
      </c>
      <c r="B52" s="2" t="s">
        <v>17</v>
      </c>
      <c r="D52">
        <v>1.5517</v>
      </c>
      <c r="F52">
        <v>1.5517</v>
      </c>
      <c r="H52">
        <v>1.4741</v>
      </c>
      <c r="J52">
        <f>'Other Electricity Charges'!B9</f>
        <v>1.5725</v>
      </c>
      <c r="M52">
        <f>'Other Electricity Charges'!B9</f>
        <v>1.5725</v>
      </c>
    </row>
    <row r="53" spans="1:10" ht="12.75">
      <c r="A53" t="s">
        <v>10</v>
      </c>
      <c r="B53" s="2" t="s">
        <v>17</v>
      </c>
      <c r="H53">
        <v>0</v>
      </c>
      <c r="J53">
        <v>0</v>
      </c>
    </row>
    <row r="54" spans="1:10" ht="12.75">
      <c r="A54" t="s">
        <v>11</v>
      </c>
      <c r="B54" s="2" t="s">
        <v>17</v>
      </c>
      <c r="H54">
        <v>0</v>
      </c>
      <c r="J54">
        <v>0</v>
      </c>
    </row>
    <row r="55" spans="1:10" ht="12.75">
      <c r="A55" t="s">
        <v>10</v>
      </c>
      <c r="B55" s="2" t="s">
        <v>17</v>
      </c>
      <c r="H55">
        <v>0</v>
      </c>
      <c r="J55">
        <v>0</v>
      </c>
    </row>
    <row r="56" spans="1:10" ht="12.75">
      <c r="A56" t="s">
        <v>11</v>
      </c>
      <c r="B56" s="2" t="s">
        <v>17</v>
      </c>
      <c r="H56">
        <v>0</v>
      </c>
      <c r="J56">
        <v>0</v>
      </c>
    </row>
    <row r="57" spans="1:13" ht="12.75">
      <c r="A57" t="s">
        <v>12</v>
      </c>
      <c r="B57" s="2" t="s">
        <v>4</v>
      </c>
      <c r="D57">
        <v>0.0052</v>
      </c>
      <c r="F57">
        <v>0.0052</v>
      </c>
      <c r="H57">
        <v>0.0052</v>
      </c>
      <c r="J57">
        <v>0.0052</v>
      </c>
      <c r="M57">
        <v>0.0052</v>
      </c>
    </row>
    <row r="58" spans="1:13" ht="12.75">
      <c r="A58" t="s">
        <v>13</v>
      </c>
      <c r="B58" s="2" t="s">
        <v>4</v>
      </c>
      <c r="D58">
        <v>0.001</v>
      </c>
      <c r="F58">
        <v>0.001</v>
      </c>
      <c r="H58">
        <v>0.001</v>
      </c>
      <c r="J58">
        <v>0.001</v>
      </c>
      <c r="M58">
        <v>0.001</v>
      </c>
    </row>
    <row r="59" spans="1:13" ht="12.75">
      <c r="A59" t="s">
        <v>14</v>
      </c>
      <c r="B59" s="2" t="s">
        <v>2</v>
      </c>
      <c r="D59">
        <v>0.25</v>
      </c>
      <c r="F59">
        <v>0.25</v>
      </c>
      <c r="H59">
        <v>0.25</v>
      </c>
      <c r="J59">
        <v>0.25</v>
      </c>
      <c r="M59">
        <v>0.25</v>
      </c>
    </row>
    <row r="61" spans="1:14" ht="15.75">
      <c r="A61" s="135" t="s">
        <v>18</v>
      </c>
      <c r="K61" s="129">
        <f>'Rate Impact 2006 EDR Alloc'!I119</f>
        <v>0.15758596782430143</v>
      </c>
      <c r="N61" s="129">
        <f>'Rate Impact CA'!I119</f>
        <v>0.04001314049246667</v>
      </c>
    </row>
    <row r="62" spans="1:13" ht="12.75">
      <c r="A62" t="s">
        <v>1</v>
      </c>
      <c r="B62" s="2" t="s">
        <v>2</v>
      </c>
      <c r="D62">
        <v>32.49</v>
      </c>
      <c r="F62">
        <v>32.58</v>
      </c>
      <c r="H62">
        <v>32.87</v>
      </c>
      <c r="J62" s="112">
        <f>+'Dx Rates 2006 EDR Distributions'!P13</f>
        <v>43.7</v>
      </c>
      <c r="K62" s="130"/>
      <c r="L62" s="112"/>
      <c r="M62" s="112">
        <f>+'Dx Rates CA Distribution'!P11</f>
        <v>33.43</v>
      </c>
    </row>
    <row r="63" spans="1:13" ht="12.75">
      <c r="A63" t="s">
        <v>137</v>
      </c>
      <c r="B63" s="2" t="s">
        <v>2</v>
      </c>
      <c r="H63">
        <v>0</v>
      </c>
      <c r="J63">
        <v>0</v>
      </c>
      <c r="M63">
        <v>0</v>
      </c>
    </row>
    <row r="64" spans="1:13" ht="12.75">
      <c r="A64" t="s">
        <v>3</v>
      </c>
      <c r="B64" s="2" t="s">
        <v>4</v>
      </c>
      <c r="D64">
        <v>0.0153</v>
      </c>
      <c r="F64">
        <v>0.0153</v>
      </c>
      <c r="H64">
        <v>0.0154</v>
      </c>
      <c r="J64">
        <f>+'Dx Rates 2006 EDR Distributions'!M13</f>
        <v>0.0222</v>
      </c>
      <c r="M64">
        <f>+'Dx Rates CA Distribution'!M11</f>
        <v>0.0198</v>
      </c>
    </row>
    <row r="65" spans="1:13" ht="12.75">
      <c r="A65" t="s">
        <v>138</v>
      </c>
      <c r="B65" s="2" t="s">
        <v>4</v>
      </c>
      <c r="H65">
        <v>0</v>
      </c>
      <c r="J65">
        <v>0</v>
      </c>
      <c r="M65">
        <v>0</v>
      </c>
    </row>
    <row r="66" spans="1:10" ht="12.75">
      <c r="A66" t="s">
        <v>5</v>
      </c>
      <c r="H66">
        <v>0</v>
      </c>
      <c r="J66">
        <v>0</v>
      </c>
    </row>
    <row r="67" spans="1:10" ht="12.75">
      <c r="A67" t="s">
        <v>6</v>
      </c>
      <c r="H67">
        <v>0</v>
      </c>
      <c r="J67">
        <v>0</v>
      </c>
    </row>
    <row r="68" spans="1:13" ht="12.75">
      <c r="A68" t="s">
        <v>7</v>
      </c>
      <c r="B68" s="2" t="s">
        <v>4</v>
      </c>
      <c r="D68">
        <v>0.0006</v>
      </c>
      <c r="F68">
        <v>0.0006</v>
      </c>
      <c r="H68">
        <v>0</v>
      </c>
      <c r="J68">
        <f>'Regulatory Asset Recovery'!B9</f>
        <v>0.0003</v>
      </c>
      <c r="M68">
        <f>'Regulatory Asset Recovery'!B9</f>
        <v>0.0003</v>
      </c>
    </row>
    <row r="69" spans="1:13" ht="12.75">
      <c r="A69" t="s">
        <v>8</v>
      </c>
      <c r="B69" s="2" t="s">
        <v>4</v>
      </c>
      <c r="D69">
        <v>0.0047</v>
      </c>
      <c r="F69">
        <v>0.0047</v>
      </c>
      <c r="H69">
        <v>0.0039</v>
      </c>
      <c r="J69">
        <f>'Other Electricity Charges'!D10</f>
        <v>0.0039</v>
      </c>
      <c r="M69">
        <f>'Other Electricity Charges'!D10</f>
        <v>0.0039</v>
      </c>
    </row>
    <row r="70" spans="1:13" ht="12.75">
      <c r="A70" t="s">
        <v>9</v>
      </c>
      <c r="B70" s="2" t="s">
        <v>4</v>
      </c>
      <c r="D70">
        <v>0.0039</v>
      </c>
      <c r="F70">
        <v>0.0039</v>
      </c>
      <c r="H70">
        <v>0.0037</v>
      </c>
      <c r="J70">
        <f>'Other Electricity Charges'!B10</f>
        <v>0.0037</v>
      </c>
      <c r="M70">
        <f>'Other Electricity Charges'!B10</f>
        <v>0.0037</v>
      </c>
    </row>
    <row r="71" spans="1:10" ht="12.75">
      <c r="A71" t="s">
        <v>10</v>
      </c>
      <c r="B71" s="2" t="s">
        <v>4</v>
      </c>
      <c r="H71">
        <v>0</v>
      </c>
      <c r="J71">
        <v>0</v>
      </c>
    </row>
    <row r="72" spans="1:10" ht="12.75">
      <c r="A72" t="s">
        <v>11</v>
      </c>
      <c r="B72" s="2" t="s">
        <v>4</v>
      </c>
      <c r="H72">
        <v>0</v>
      </c>
      <c r="J72">
        <v>0</v>
      </c>
    </row>
    <row r="73" spans="1:10" ht="12.75">
      <c r="A73" t="s">
        <v>10</v>
      </c>
      <c r="B73" s="2" t="s">
        <v>4</v>
      </c>
      <c r="H73">
        <v>0</v>
      </c>
      <c r="J73">
        <v>0</v>
      </c>
    </row>
    <row r="74" spans="1:10" ht="12.75">
      <c r="A74" t="s">
        <v>11</v>
      </c>
      <c r="B74" s="2" t="s">
        <v>4</v>
      </c>
      <c r="H74">
        <v>0</v>
      </c>
      <c r="J74">
        <v>0</v>
      </c>
    </row>
    <row r="75" spans="1:13" ht="12.75">
      <c r="A75" t="s">
        <v>12</v>
      </c>
      <c r="B75" s="2" t="s">
        <v>4</v>
      </c>
      <c r="D75">
        <v>0.0052</v>
      </c>
      <c r="F75">
        <v>0.0052</v>
      </c>
      <c r="H75">
        <v>0.0052</v>
      </c>
      <c r="J75">
        <v>0.0052</v>
      </c>
      <c r="M75">
        <v>0.0052</v>
      </c>
    </row>
    <row r="76" spans="1:13" ht="12.75">
      <c r="A76" t="s">
        <v>13</v>
      </c>
      <c r="B76" s="2" t="s">
        <v>4</v>
      </c>
      <c r="D76">
        <v>0.001</v>
      </c>
      <c r="F76">
        <v>0.001</v>
      </c>
      <c r="H76">
        <v>0.001</v>
      </c>
      <c r="J76">
        <v>0.001</v>
      </c>
      <c r="M76">
        <v>0.001</v>
      </c>
    </row>
    <row r="77" spans="1:13" ht="12.75">
      <c r="A77" t="s">
        <v>14</v>
      </c>
      <c r="B77" s="2" t="s">
        <v>2</v>
      </c>
      <c r="D77">
        <v>0.25</v>
      </c>
      <c r="F77">
        <v>0.25</v>
      </c>
      <c r="H77">
        <v>0.25</v>
      </c>
      <c r="J77">
        <v>0.25</v>
      </c>
      <c r="M77">
        <v>0.25</v>
      </c>
    </row>
    <row r="79" spans="1:14" ht="15.75">
      <c r="A79" s="135" t="s">
        <v>19</v>
      </c>
      <c r="K79" s="129">
        <f>'Rate Impact 2006 EDR Alloc'!I148</f>
        <v>-0.040429581319100114</v>
      </c>
      <c r="N79" s="129">
        <f>'Rate Impact CA'!I148</f>
        <v>0.09900988669270121</v>
      </c>
    </row>
    <row r="80" spans="1:13" ht="12.75">
      <c r="A80" t="s">
        <v>1</v>
      </c>
      <c r="B80" s="2" t="s">
        <v>2</v>
      </c>
      <c r="D80">
        <v>1.75</v>
      </c>
      <c r="F80">
        <v>1.76</v>
      </c>
      <c r="H80">
        <v>1.78</v>
      </c>
      <c r="J80" s="112">
        <f>+'Dx Rates 2006 EDR Distributions'!P14</f>
        <v>1.63</v>
      </c>
      <c r="K80" s="130"/>
      <c r="L80" s="112"/>
      <c r="M80" s="112">
        <f>+'Dx Rates CA Distribution'!P12</f>
        <v>3.03</v>
      </c>
    </row>
    <row r="81" spans="1:13" ht="12.75">
      <c r="A81" t="s">
        <v>137</v>
      </c>
      <c r="B81" s="2" t="s">
        <v>2</v>
      </c>
      <c r="H81">
        <v>0</v>
      </c>
      <c r="J81">
        <v>0</v>
      </c>
      <c r="M81">
        <v>0</v>
      </c>
    </row>
    <row r="82" spans="1:13" ht="12.75">
      <c r="A82" t="s">
        <v>3</v>
      </c>
      <c r="B82" s="2" t="s">
        <v>17</v>
      </c>
      <c r="D82">
        <v>2.5892</v>
      </c>
      <c r="F82">
        <v>2.5967</v>
      </c>
      <c r="H82">
        <v>2.6201</v>
      </c>
      <c r="J82">
        <f>+'Dx Rates 2006 EDR Distributions'!N14</f>
        <v>1.4862</v>
      </c>
      <c r="M82">
        <f>+'Dx Rates CA Distribution'!N12</f>
        <v>3.6952</v>
      </c>
    </row>
    <row r="83" spans="1:13" ht="12.75">
      <c r="A83" t="s">
        <v>138</v>
      </c>
      <c r="B83" s="2" t="s">
        <v>17</v>
      </c>
      <c r="H83">
        <v>0</v>
      </c>
      <c r="J83">
        <v>0</v>
      </c>
      <c r="M83">
        <v>0</v>
      </c>
    </row>
    <row r="84" spans="1:10" ht="12.75">
      <c r="A84" t="s">
        <v>5</v>
      </c>
      <c r="H84">
        <v>0</v>
      </c>
      <c r="J84">
        <v>0</v>
      </c>
    </row>
    <row r="85" spans="1:10" ht="12.75">
      <c r="A85" t="s">
        <v>6</v>
      </c>
      <c r="H85">
        <v>0</v>
      </c>
      <c r="J85">
        <v>0</v>
      </c>
    </row>
    <row r="86" spans="1:13" ht="12.75">
      <c r="A86" t="s">
        <v>7</v>
      </c>
      <c r="B86" s="2" t="s">
        <v>17</v>
      </c>
      <c r="D86">
        <v>1.5041</v>
      </c>
      <c r="F86">
        <v>1.5041</v>
      </c>
      <c r="H86">
        <v>0</v>
      </c>
      <c r="J86">
        <f>'Regulatory Asset Recovery'!C10</f>
        <v>0.0727</v>
      </c>
      <c r="M86">
        <f>'Regulatory Asset Recovery'!C10</f>
        <v>0.0727</v>
      </c>
    </row>
    <row r="87" spans="1:13" ht="12.75">
      <c r="A87" t="s">
        <v>8</v>
      </c>
      <c r="B87" s="2" t="s">
        <v>17</v>
      </c>
      <c r="D87">
        <v>1.46</v>
      </c>
      <c r="F87">
        <v>1.46</v>
      </c>
      <c r="H87">
        <v>1.1972</v>
      </c>
      <c r="J87">
        <f>'Other Electricity Charges'!D11</f>
        <v>1.1972</v>
      </c>
      <c r="M87">
        <f>'Other Electricity Charges'!D11</f>
        <v>1.1972</v>
      </c>
    </row>
    <row r="88" spans="1:13" ht="12.75">
      <c r="A88" t="s">
        <v>9</v>
      </c>
      <c r="B88" s="2" t="s">
        <v>17</v>
      </c>
      <c r="D88">
        <v>1.2247</v>
      </c>
      <c r="F88">
        <v>1.2247</v>
      </c>
      <c r="H88">
        <v>1.1635</v>
      </c>
      <c r="J88">
        <f>'Other Electricity Charges'!B11</f>
        <v>1.1635</v>
      </c>
      <c r="M88">
        <f>'Other Electricity Charges'!B11</f>
        <v>1.1635</v>
      </c>
    </row>
    <row r="89" spans="1:10" ht="12.75">
      <c r="A89" t="s">
        <v>10</v>
      </c>
      <c r="B89" s="2" t="s">
        <v>17</v>
      </c>
      <c r="H89">
        <v>0</v>
      </c>
      <c r="J89">
        <v>0</v>
      </c>
    </row>
    <row r="90" spans="1:10" ht="12.75">
      <c r="A90" t="s">
        <v>11</v>
      </c>
      <c r="B90" s="2" t="s">
        <v>17</v>
      </c>
      <c r="H90">
        <v>0</v>
      </c>
      <c r="J90">
        <v>0</v>
      </c>
    </row>
    <row r="91" spans="1:10" ht="12.75">
      <c r="A91" t="s">
        <v>10</v>
      </c>
      <c r="B91" s="2" t="s">
        <v>17</v>
      </c>
      <c r="H91">
        <v>0</v>
      </c>
      <c r="J91">
        <v>0</v>
      </c>
    </row>
    <row r="92" spans="1:10" ht="12.75">
      <c r="A92" t="s">
        <v>11</v>
      </c>
      <c r="B92" s="2" t="s">
        <v>17</v>
      </c>
      <c r="H92">
        <v>0</v>
      </c>
      <c r="J92">
        <v>0</v>
      </c>
    </row>
    <row r="93" spans="1:13" ht="12.75">
      <c r="A93" t="s">
        <v>12</v>
      </c>
      <c r="B93" s="2" t="s">
        <v>4</v>
      </c>
      <c r="D93">
        <v>0.0052</v>
      </c>
      <c r="F93">
        <v>0.0052</v>
      </c>
      <c r="H93">
        <v>0.0052</v>
      </c>
      <c r="J93">
        <v>0.0052</v>
      </c>
      <c r="M93">
        <v>0.0052</v>
      </c>
    </row>
    <row r="94" spans="1:13" ht="12.75">
      <c r="A94" t="s">
        <v>13</v>
      </c>
      <c r="B94" s="2" t="s">
        <v>4</v>
      </c>
      <c r="D94">
        <v>0.001</v>
      </c>
      <c r="F94">
        <v>0.001</v>
      </c>
      <c r="H94">
        <v>0.001</v>
      </c>
      <c r="J94">
        <v>0.001</v>
      </c>
      <c r="M94">
        <v>0.001</v>
      </c>
    </row>
    <row r="95" spans="1:13" ht="12.75">
      <c r="A95" t="s">
        <v>14</v>
      </c>
      <c r="B95" s="2" t="s">
        <v>2</v>
      </c>
      <c r="D95">
        <v>0.25</v>
      </c>
      <c r="F95">
        <v>0.25</v>
      </c>
      <c r="H95">
        <v>0.25</v>
      </c>
      <c r="J95">
        <v>0.25</v>
      </c>
      <c r="M95">
        <v>0.25</v>
      </c>
    </row>
    <row r="97" spans="1:14" ht="15.75">
      <c r="A97" s="135" t="s">
        <v>20</v>
      </c>
      <c r="K97" s="129">
        <f>'Rate Impact 2006 EDR Alloc'!I177</f>
        <v>0.02340144316642301</v>
      </c>
      <c r="N97" s="129">
        <f>'Rate Impact CA'!I177</f>
        <v>0.09975347377758718</v>
      </c>
    </row>
    <row r="98" spans="1:13" ht="12.75">
      <c r="A98" t="s">
        <v>1</v>
      </c>
      <c r="B98" s="2" t="s">
        <v>2</v>
      </c>
      <c r="D98">
        <v>1.74</v>
      </c>
      <c r="F98">
        <v>1.75</v>
      </c>
      <c r="H98">
        <v>1.77</v>
      </c>
      <c r="J98" s="112">
        <f>+'Dx Rates 2006 EDR Distributions'!P15</f>
        <v>2.39</v>
      </c>
      <c r="K98" s="130"/>
      <c r="L98" s="112"/>
      <c r="M98" s="112">
        <f>+'Dx Rates CA Distribution'!P13</f>
        <v>2.25</v>
      </c>
    </row>
    <row r="99" spans="1:13" ht="12.75">
      <c r="A99" t="s">
        <v>137</v>
      </c>
      <c r="B99" s="2" t="s">
        <v>2</v>
      </c>
      <c r="H99">
        <v>0</v>
      </c>
      <c r="J99">
        <v>0</v>
      </c>
      <c r="M99">
        <v>0</v>
      </c>
    </row>
    <row r="100" spans="1:13" ht="12.75">
      <c r="A100" t="s">
        <v>3</v>
      </c>
      <c r="B100" s="2" t="s">
        <v>17</v>
      </c>
      <c r="D100">
        <v>2.3879</v>
      </c>
      <c r="F100">
        <v>2.3948</v>
      </c>
      <c r="H100">
        <v>2.4164</v>
      </c>
      <c r="J100">
        <f>+'Dx Rates 2006 EDR Distributions'!N15</f>
        <v>0.605</v>
      </c>
      <c r="M100">
        <f>+'Dx Rates CA Distribution'!N13</f>
        <v>4.2928</v>
      </c>
    </row>
    <row r="101" spans="1:13" ht="12.75">
      <c r="A101" t="s">
        <v>138</v>
      </c>
      <c r="B101" s="2" t="s">
        <v>17</v>
      </c>
      <c r="H101">
        <v>0</v>
      </c>
      <c r="J101">
        <v>0</v>
      </c>
      <c r="M101">
        <v>0</v>
      </c>
    </row>
    <row r="102" spans="1:10" ht="12.75">
      <c r="A102" t="s">
        <v>5</v>
      </c>
      <c r="H102">
        <v>0</v>
      </c>
      <c r="J102">
        <v>0</v>
      </c>
    </row>
    <row r="103" spans="1:10" ht="12.75">
      <c r="A103" t="s">
        <v>6</v>
      </c>
      <c r="H103">
        <v>0</v>
      </c>
      <c r="J103">
        <v>0</v>
      </c>
    </row>
    <row r="104" spans="1:13" ht="12.75">
      <c r="A104" t="s">
        <v>7</v>
      </c>
      <c r="B104" s="2" t="s">
        <v>17</v>
      </c>
      <c r="D104">
        <v>0.9996</v>
      </c>
      <c r="F104">
        <v>0.9996</v>
      </c>
      <c r="H104">
        <v>0</v>
      </c>
      <c r="J104">
        <f>'Regulatory Asset Recovery'!C11</f>
        <v>0.0687</v>
      </c>
      <c r="M104">
        <f>'Regulatory Asset Recovery'!C11</f>
        <v>0.0687</v>
      </c>
    </row>
    <row r="105" spans="1:13" ht="12.75">
      <c r="A105" t="s">
        <v>8</v>
      </c>
      <c r="B105" s="2" t="s">
        <v>17</v>
      </c>
      <c r="D105">
        <v>1.4526</v>
      </c>
      <c r="F105">
        <v>1.4526</v>
      </c>
      <c r="H105">
        <v>1.1911</v>
      </c>
      <c r="J105">
        <f>'Other Electricity Charges'!D12</f>
        <v>1.1911</v>
      </c>
      <c r="M105">
        <f>'Other Electricity Charges'!D12</f>
        <v>1.1911</v>
      </c>
    </row>
    <row r="106" spans="1:13" ht="12.75">
      <c r="A106" t="s">
        <v>9</v>
      </c>
      <c r="B106" s="2" t="s">
        <v>17</v>
      </c>
      <c r="D106">
        <v>1.1996</v>
      </c>
      <c r="F106">
        <v>1.1996</v>
      </c>
      <c r="H106">
        <v>1.1396</v>
      </c>
      <c r="J106">
        <f>'Other Electricity Charges'!B12</f>
        <v>1.1396</v>
      </c>
      <c r="M106">
        <f>'Other Electricity Charges'!B12</f>
        <v>1.1396</v>
      </c>
    </row>
    <row r="107" spans="1:10" ht="12.75">
      <c r="A107" t="s">
        <v>10</v>
      </c>
      <c r="B107" s="2" t="s">
        <v>17</v>
      </c>
      <c r="H107">
        <v>0</v>
      </c>
      <c r="J107">
        <v>0</v>
      </c>
    </row>
    <row r="108" spans="1:10" ht="12.75">
      <c r="A108" t="s">
        <v>11</v>
      </c>
      <c r="B108" s="2" t="s">
        <v>17</v>
      </c>
      <c r="H108">
        <v>0</v>
      </c>
      <c r="J108">
        <v>0</v>
      </c>
    </row>
    <row r="109" spans="1:10" ht="12.75">
      <c r="A109" t="s">
        <v>10</v>
      </c>
      <c r="B109" s="2" t="s">
        <v>17</v>
      </c>
      <c r="H109">
        <v>0</v>
      </c>
      <c r="J109">
        <v>0</v>
      </c>
    </row>
    <row r="110" spans="1:10" ht="12.75">
      <c r="A110" t="s">
        <v>11</v>
      </c>
      <c r="B110" s="2" t="s">
        <v>17</v>
      </c>
      <c r="H110">
        <v>0</v>
      </c>
      <c r="J110">
        <v>0</v>
      </c>
    </row>
    <row r="111" spans="1:13" ht="12.75">
      <c r="A111" t="s">
        <v>12</v>
      </c>
      <c r="B111" s="2" t="s">
        <v>4</v>
      </c>
      <c r="D111">
        <v>0.0052</v>
      </c>
      <c r="F111">
        <v>0.0052</v>
      </c>
      <c r="H111">
        <v>0.0052</v>
      </c>
      <c r="J111">
        <v>0.0052</v>
      </c>
      <c r="M111">
        <v>0.0052</v>
      </c>
    </row>
    <row r="112" spans="1:13" ht="12.75">
      <c r="A112" t="s">
        <v>13</v>
      </c>
      <c r="B112" s="2" t="s">
        <v>4</v>
      </c>
      <c r="D112">
        <v>0.001</v>
      </c>
      <c r="F112">
        <v>0.001</v>
      </c>
      <c r="H112">
        <v>0.001</v>
      </c>
      <c r="J112">
        <v>0.001</v>
      </c>
      <c r="M112">
        <v>0.001</v>
      </c>
    </row>
    <row r="113" spans="1:13" ht="12.75">
      <c r="A113" t="s">
        <v>14</v>
      </c>
      <c r="B113" s="2" t="s">
        <v>2</v>
      </c>
      <c r="D113">
        <v>0.25</v>
      </c>
      <c r="F113">
        <v>0.25</v>
      </c>
      <c r="H113">
        <v>0.25</v>
      </c>
      <c r="J113">
        <v>0.25</v>
      </c>
      <c r="M113">
        <v>0.25</v>
      </c>
    </row>
    <row r="116" spans="1:13" ht="12.75">
      <c r="A116" t="s">
        <v>21</v>
      </c>
      <c r="B116" s="2" t="s">
        <v>4</v>
      </c>
      <c r="H116">
        <v>0.053</v>
      </c>
      <c r="J116">
        <v>0.053</v>
      </c>
      <c r="M116">
        <v>0.053</v>
      </c>
    </row>
    <row r="117" spans="1:13" ht="12.75">
      <c r="A117" t="s">
        <v>22</v>
      </c>
      <c r="B117" s="2" t="s">
        <v>4</v>
      </c>
      <c r="H117">
        <v>0.062</v>
      </c>
      <c r="J117">
        <v>0.062</v>
      </c>
      <c r="M117">
        <v>0.062</v>
      </c>
    </row>
    <row r="119" spans="1:13" ht="12.75">
      <c r="A119" t="s">
        <v>61</v>
      </c>
      <c r="D119">
        <v>1.0715</v>
      </c>
      <c r="F119">
        <v>1.0715</v>
      </c>
      <c r="H119">
        <v>1.0715</v>
      </c>
      <c r="J119">
        <f>'Loss Factor'!C11</f>
        <v>1.0719</v>
      </c>
      <c r="M119">
        <f>'Loss Factor'!C11</f>
        <v>1.0719</v>
      </c>
    </row>
  </sheetData>
  <mergeCells count="2">
    <mergeCell ref="A1:N1"/>
    <mergeCell ref="A2:N2"/>
  </mergeCells>
  <printOptions/>
  <pageMargins left="0.75" right="0.75" top="1" bottom="1" header="0.5" footer="0.5"/>
  <pageSetup fitToHeight="2" horizontalDpi="600" verticalDpi="600" orientation="landscape" scale="55"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sheetPr>
    <tabColor indexed="40"/>
    <pageSetUpPr fitToPage="1"/>
  </sheetPr>
  <dimension ref="A1:J177"/>
  <sheetViews>
    <sheetView showGridLines="0" workbookViewId="0" topLeftCell="A193">
      <selection activeCell="A89" sqref="A89"/>
    </sheetView>
  </sheetViews>
  <sheetFormatPr defaultColWidth="9.140625" defaultRowHeight="12.75"/>
  <cols>
    <col min="1" max="1" width="31.7109375" style="0" customWidth="1"/>
    <col min="2" max="2" width="14.140625" style="0" customWidth="1"/>
    <col min="3" max="3" width="14.57421875" style="0" customWidth="1"/>
    <col min="4" max="4" width="15.8515625" style="0" customWidth="1"/>
    <col min="5" max="5" width="14.421875" style="0" customWidth="1"/>
    <col min="6" max="6" width="15.8515625" style="0" customWidth="1"/>
    <col min="7" max="7" width="16.28125" style="0" customWidth="1"/>
    <col min="8" max="8" width="14.8515625" style="0" customWidth="1"/>
    <col min="9" max="10" width="12.28125" style="0" customWidth="1"/>
  </cols>
  <sheetData>
    <row r="1" spans="1:10" ht="15.75">
      <c r="A1" s="262" t="s">
        <v>241</v>
      </c>
      <c r="B1" s="262"/>
      <c r="C1" s="262"/>
      <c r="D1" s="262"/>
      <c r="E1" s="262"/>
      <c r="F1" s="262"/>
      <c r="G1" s="262"/>
      <c r="H1" s="262"/>
      <c r="I1" s="262"/>
      <c r="J1" s="262"/>
    </row>
    <row r="2" spans="1:10" ht="15.75">
      <c r="A2" s="262" t="s">
        <v>242</v>
      </c>
      <c r="B2" s="262"/>
      <c r="C2" s="262"/>
      <c r="D2" s="262"/>
      <c r="E2" s="262"/>
      <c r="F2" s="262"/>
      <c r="G2" s="262"/>
      <c r="H2" s="262"/>
      <c r="I2" s="262"/>
      <c r="J2" s="262"/>
    </row>
    <row r="3" spans="1:10" ht="15.75">
      <c r="A3" s="262" t="s">
        <v>243</v>
      </c>
      <c r="B3" s="262"/>
      <c r="C3" s="262"/>
      <c r="D3" s="262"/>
      <c r="E3" s="262"/>
      <c r="F3" s="262"/>
      <c r="G3" s="262"/>
      <c r="H3" s="262"/>
      <c r="I3" s="262"/>
      <c r="J3" s="262"/>
    </row>
    <row r="5" spans="1:10" ht="18">
      <c r="A5" s="15" t="s">
        <v>0</v>
      </c>
      <c r="B5" s="13"/>
      <c r="C5" s="13"/>
      <c r="D5" s="13"/>
      <c r="E5" s="13"/>
      <c r="F5" s="13"/>
      <c r="G5" s="13"/>
      <c r="H5" s="13"/>
      <c r="I5" s="14"/>
      <c r="J5" s="13"/>
    </row>
    <row r="6" spans="1:10" ht="13.5" thickBot="1">
      <c r="A6" s="13"/>
      <c r="B6" s="13"/>
      <c r="C6" s="13"/>
      <c r="D6" s="13"/>
      <c r="E6" s="13"/>
      <c r="F6" s="13"/>
      <c r="G6" s="13"/>
      <c r="H6" s="13"/>
      <c r="I6" s="14"/>
      <c r="J6" s="13"/>
    </row>
    <row r="7" spans="1:10" ht="12.75">
      <c r="A7" s="290" t="s">
        <v>58</v>
      </c>
      <c r="B7" s="292">
        <v>1000</v>
      </c>
      <c r="C7" s="252" t="s">
        <v>59</v>
      </c>
      <c r="D7" s="292">
        <v>0</v>
      </c>
      <c r="E7" s="252" t="s">
        <v>60</v>
      </c>
      <c r="F7" s="254" t="s">
        <v>61</v>
      </c>
      <c r="G7" s="254"/>
      <c r="H7" s="247">
        <f>'Loss Factor'!C11</f>
        <v>1.0719</v>
      </c>
      <c r="I7" s="248"/>
      <c r="J7" s="13"/>
    </row>
    <row r="8" spans="1:10" ht="13.5" thickBot="1">
      <c r="A8" s="291"/>
      <c r="B8" s="293"/>
      <c r="C8" s="253"/>
      <c r="D8" s="293"/>
      <c r="E8" s="253"/>
      <c r="F8" s="255"/>
      <c r="G8" s="255"/>
      <c r="H8" s="285"/>
      <c r="I8" s="286"/>
      <c r="J8" s="13"/>
    </row>
    <row r="9" spans="1:10" ht="13.5" thickBot="1">
      <c r="A9" s="16"/>
      <c r="B9" s="13"/>
      <c r="C9" s="13"/>
      <c r="D9" s="13"/>
      <c r="E9" s="13"/>
      <c r="F9" s="13"/>
      <c r="G9" s="13"/>
      <c r="H9" s="13"/>
      <c r="I9" s="14"/>
      <c r="J9" s="13"/>
    </row>
    <row r="10" spans="1:10" ht="21" thickBot="1">
      <c r="A10" s="17"/>
      <c r="B10" s="287" t="s">
        <v>62</v>
      </c>
      <c r="C10" s="288"/>
      <c r="D10" s="289"/>
      <c r="E10" s="287" t="s">
        <v>87</v>
      </c>
      <c r="F10" s="288"/>
      <c r="G10" s="289"/>
      <c r="H10" s="287" t="s">
        <v>63</v>
      </c>
      <c r="I10" s="288"/>
      <c r="J10" s="289"/>
    </row>
    <row r="11" spans="1:10" ht="26.25" thickBot="1">
      <c r="A11" s="18"/>
      <c r="B11" s="19" t="s">
        <v>64</v>
      </c>
      <c r="C11" s="20" t="s">
        <v>65</v>
      </c>
      <c r="D11" s="21" t="s">
        <v>66</v>
      </c>
      <c r="E11" s="20" t="s">
        <v>64</v>
      </c>
      <c r="F11" s="20" t="s">
        <v>65</v>
      </c>
      <c r="G11" s="21" t="s">
        <v>66</v>
      </c>
      <c r="H11" s="22" t="s">
        <v>2</v>
      </c>
      <c r="I11" s="23" t="s">
        <v>52</v>
      </c>
      <c r="J11" s="24" t="s">
        <v>67</v>
      </c>
    </row>
    <row r="12" spans="1:10" ht="12.75">
      <c r="A12" s="25" t="s">
        <v>68</v>
      </c>
      <c r="B12" s="26">
        <v>600</v>
      </c>
      <c r="C12" s="27">
        <v>0.053</v>
      </c>
      <c r="D12" s="28">
        <f>+B12*C12</f>
        <v>31.8</v>
      </c>
      <c r="E12" s="26">
        <v>600</v>
      </c>
      <c r="F12" s="27">
        <v>0.053</v>
      </c>
      <c r="G12" s="28">
        <f>+E12*F12</f>
        <v>31.8</v>
      </c>
      <c r="H12" s="29">
        <f>+G12-D12</f>
        <v>0</v>
      </c>
      <c r="I12" s="30">
        <f aca="true" t="shared" si="0" ref="I12:I32">IF(ISERROR(H12/D12),0,H12/D12)</f>
        <v>0</v>
      </c>
      <c r="J12" s="31">
        <f aca="true" t="shared" si="1" ref="J12:J32">IF(ISERROR(G12/$G$32),0,G12/$G$32)</f>
        <v>0.2617889038500973</v>
      </c>
    </row>
    <row r="13" spans="1:10" ht="13.5" thickBot="1">
      <c r="A13" s="25" t="s">
        <v>69</v>
      </c>
      <c r="B13" s="32">
        <f>(B7*'Rate Schedules'!H119)-B12</f>
        <v>471.5</v>
      </c>
      <c r="C13" s="33">
        <v>0.062</v>
      </c>
      <c r="D13" s="34">
        <f>+B13*C13</f>
        <v>29.233</v>
      </c>
      <c r="E13" s="32">
        <f>+(B7*H7)-E12</f>
        <v>471.9000000000001</v>
      </c>
      <c r="F13" s="33">
        <v>0.062</v>
      </c>
      <c r="G13" s="35">
        <f>+E13*F13</f>
        <v>29.257800000000007</v>
      </c>
      <c r="H13" s="29">
        <f>+G13-D13</f>
        <v>0.02480000000000615</v>
      </c>
      <c r="I13" s="30">
        <f t="shared" si="0"/>
        <v>0.0008483563096502634</v>
      </c>
      <c r="J13" s="31">
        <f t="shared" si="1"/>
        <v>0.2408606097819301</v>
      </c>
    </row>
    <row r="14" spans="1:10" ht="13.5" thickBot="1">
      <c r="A14" s="37" t="s">
        <v>70</v>
      </c>
      <c r="B14" s="37"/>
      <c r="C14" s="37"/>
      <c r="D14" s="38">
        <f>SUM(D12:D13)</f>
        <v>61.033</v>
      </c>
      <c r="E14" s="38"/>
      <c r="F14" s="38"/>
      <c r="G14" s="38">
        <f>SUM(G12:G13)</f>
        <v>61.05780000000001</v>
      </c>
      <c r="H14" s="39">
        <f>SUM(H12:H13)</f>
        <v>0.02480000000000615</v>
      </c>
      <c r="I14" s="40">
        <f t="shared" si="0"/>
        <v>0.0004063375550932471</v>
      </c>
      <c r="J14" s="41">
        <f t="shared" si="1"/>
        <v>0.5026495136320274</v>
      </c>
    </row>
    <row r="15" spans="1:10" ht="12.75">
      <c r="A15" s="42" t="s">
        <v>71</v>
      </c>
      <c r="B15" s="43">
        <v>1</v>
      </c>
      <c r="C15" s="44">
        <f>+'Rate Schedules'!H8</f>
        <v>16.32</v>
      </c>
      <c r="D15" s="45">
        <f aca="true" t="shared" si="2" ref="D15:D23">+B15*C15</f>
        <v>16.32</v>
      </c>
      <c r="E15" s="46">
        <v>1</v>
      </c>
      <c r="F15" s="44">
        <f>+'Rate Schedules'!M8</f>
        <v>16.53</v>
      </c>
      <c r="G15" s="45">
        <f aca="true" t="shared" si="3" ref="G15:G23">+E15*F15</f>
        <v>16.53</v>
      </c>
      <c r="H15" s="29">
        <f aca="true" t="shared" si="4" ref="H15:H23">+G15-D15</f>
        <v>0.21000000000000085</v>
      </c>
      <c r="I15" s="30">
        <f t="shared" si="0"/>
        <v>0.01286764705882358</v>
      </c>
      <c r="J15" s="31">
        <f t="shared" si="1"/>
        <v>0.13608083586924868</v>
      </c>
    </row>
    <row r="16" spans="1:10" ht="12.75">
      <c r="A16" s="47" t="s">
        <v>72</v>
      </c>
      <c r="B16" s="32">
        <f>+B7</f>
        <v>1000</v>
      </c>
      <c r="C16" s="48">
        <f>+'Rate Schedules'!H10</f>
        <v>0.0073</v>
      </c>
      <c r="D16" s="49">
        <f t="shared" si="2"/>
        <v>7.3</v>
      </c>
      <c r="E16" s="32">
        <f>+B7</f>
        <v>1000</v>
      </c>
      <c r="F16" s="48">
        <f>+'Rate Schedules'!M10</f>
        <v>0.016900000000000002</v>
      </c>
      <c r="G16" s="49">
        <f t="shared" si="3"/>
        <v>16.900000000000002</v>
      </c>
      <c r="H16" s="29">
        <f t="shared" si="4"/>
        <v>9.600000000000001</v>
      </c>
      <c r="I16" s="30">
        <f t="shared" si="0"/>
        <v>1.315068493150685</v>
      </c>
      <c r="J16" s="31">
        <f t="shared" si="1"/>
        <v>0.13912680739203284</v>
      </c>
    </row>
    <row r="17" spans="1:10" ht="12.75">
      <c r="A17" s="47" t="s">
        <v>73</v>
      </c>
      <c r="B17" s="32">
        <f>+D7</f>
        <v>0</v>
      </c>
      <c r="C17" s="50">
        <v>0</v>
      </c>
      <c r="D17" s="49">
        <f t="shared" si="2"/>
        <v>0</v>
      </c>
      <c r="E17" s="51">
        <f>+D7</f>
        <v>0</v>
      </c>
      <c r="F17" s="50">
        <v>0</v>
      </c>
      <c r="G17" s="49">
        <f t="shared" si="3"/>
        <v>0</v>
      </c>
      <c r="H17" s="29">
        <f t="shared" si="4"/>
        <v>0</v>
      </c>
      <c r="I17" s="30">
        <f t="shared" si="0"/>
        <v>0</v>
      </c>
      <c r="J17" s="31">
        <f t="shared" si="1"/>
        <v>0</v>
      </c>
    </row>
    <row r="18" spans="1:10" ht="12.75">
      <c r="A18" s="25" t="s">
        <v>74</v>
      </c>
      <c r="B18" s="32">
        <f>+B7</f>
        <v>1000</v>
      </c>
      <c r="C18" s="50">
        <f>+'Rate Schedules'!H14</f>
        <v>0</v>
      </c>
      <c r="D18" s="49">
        <f t="shared" si="2"/>
        <v>0</v>
      </c>
      <c r="E18" s="32">
        <f>+B7</f>
        <v>1000</v>
      </c>
      <c r="F18" s="50">
        <f>+'Rate Schedules'!M14</f>
        <v>0.0002</v>
      </c>
      <c r="G18" s="49">
        <f t="shared" si="3"/>
        <v>0.2</v>
      </c>
      <c r="H18" s="29">
        <f t="shared" si="4"/>
        <v>0.2</v>
      </c>
      <c r="I18" s="30">
        <f t="shared" si="0"/>
        <v>0</v>
      </c>
      <c r="J18" s="31">
        <f t="shared" si="1"/>
        <v>0.0016464710933968383</v>
      </c>
    </row>
    <row r="19" spans="1:10" ht="12.75">
      <c r="A19" s="25" t="s">
        <v>75</v>
      </c>
      <c r="B19" s="52">
        <f>+B7</f>
        <v>1000</v>
      </c>
      <c r="C19" s="53">
        <v>0</v>
      </c>
      <c r="D19" s="49">
        <f t="shared" si="2"/>
        <v>0</v>
      </c>
      <c r="E19" s="52">
        <f>+B7</f>
        <v>1000</v>
      </c>
      <c r="F19" s="53">
        <v>0</v>
      </c>
      <c r="G19" s="54">
        <f t="shared" si="3"/>
        <v>0</v>
      </c>
      <c r="H19" s="29">
        <f t="shared" si="4"/>
        <v>0</v>
      </c>
      <c r="I19" s="30">
        <f t="shared" si="0"/>
        <v>0</v>
      </c>
      <c r="J19" s="31">
        <f t="shared" si="1"/>
        <v>0</v>
      </c>
    </row>
    <row r="20" spans="1:10" ht="25.5">
      <c r="A20" s="25" t="s">
        <v>88</v>
      </c>
      <c r="B20" s="55">
        <v>1</v>
      </c>
      <c r="C20" s="56">
        <f>+'Rate Schedules'!H9</f>
        <v>0</v>
      </c>
      <c r="D20" s="57">
        <f t="shared" si="2"/>
        <v>0</v>
      </c>
      <c r="E20" s="55">
        <v>1</v>
      </c>
      <c r="F20" s="58">
        <f>+'Rate Schedules'!M9</f>
        <v>0</v>
      </c>
      <c r="G20" s="49">
        <f t="shared" si="3"/>
        <v>0</v>
      </c>
      <c r="H20" s="29">
        <f t="shared" si="4"/>
        <v>0</v>
      </c>
      <c r="I20" s="30">
        <f t="shared" si="0"/>
        <v>0</v>
      </c>
      <c r="J20" s="31">
        <f t="shared" si="1"/>
        <v>0</v>
      </c>
    </row>
    <row r="21" spans="1:10" ht="25.5">
      <c r="A21" s="25" t="s">
        <v>89</v>
      </c>
      <c r="B21" s="32">
        <f>+B7</f>
        <v>1000</v>
      </c>
      <c r="C21" s="59">
        <f>+'Rate Schedules'!H11</f>
        <v>0</v>
      </c>
      <c r="D21" s="57">
        <f t="shared" si="2"/>
        <v>0</v>
      </c>
      <c r="E21" s="52">
        <f>+B7</f>
        <v>1000</v>
      </c>
      <c r="F21" s="50">
        <f>+'Rate Schedules'!M11</f>
        <v>0</v>
      </c>
      <c r="G21" s="49">
        <f t="shared" si="3"/>
        <v>0</v>
      </c>
      <c r="H21" s="29">
        <f t="shared" si="4"/>
        <v>0</v>
      </c>
      <c r="I21" s="30">
        <f t="shared" si="0"/>
        <v>0</v>
      </c>
      <c r="J21" s="31">
        <f t="shared" si="1"/>
        <v>0</v>
      </c>
    </row>
    <row r="22" spans="1:10" ht="25.5">
      <c r="A22" s="25" t="s">
        <v>8</v>
      </c>
      <c r="B22" s="32">
        <f>+B7*'Rate Schedules'!H119</f>
        <v>1071.5</v>
      </c>
      <c r="C22" s="50">
        <f>+'Rate Schedules'!H15</f>
        <v>0.0043</v>
      </c>
      <c r="D22" s="49">
        <f t="shared" si="2"/>
        <v>4.60745</v>
      </c>
      <c r="E22" s="32">
        <f>+B7*H7</f>
        <v>1071.9</v>
      </c>
      <c r="F22" s="50">
        <f>+'Rate Schedules'!M15</f>
        <v>0.0043</v>
      </c>
      <c r="G22" s="49">
        <f t="shared" si="3"/>
        <v>4.609170000000001</v>
      </c>
      <c r="H22" s="29">
        <f t="shared" si="4"/>
        <v>0.00172000000000061</v>
      </c>
      <c r="I22" s="30">
        <f t="shared" si="0"/>
        <v>0.00037330844610372545</v>
      </c>
      <c r="J22" s="31">
        <f t="shared" si="1"/>
        <v>0.03794432584775953</v>
      </c>
    </row>
    <row r="23" spans="1:10" ht="39" thickBot="1">
      <c r="A23" s="25" t="s">
        <v>9</v>
      </c>
      <c r="B23" s="32">
        <f>+B7*'Rate Schedules'!H119</f>
        <v>1071.5</v>
      </c>
      <c r="C23" s="50">
        <f>+'Rate Schedules'!H16</f>
        <v>0.0041</v>
      </c>
      <c r="D23" s="49">
        <f t="shared" si="2"/>
        <v>4.39315</v>
      </c>
      <c r="E23" s="32">
        <f>+B7*H7</f>
        <v>1071.9</v>
      </c>
      <c r="F23" s="50">
        <f>+'Rate Schedules'!M16</f>
        <v>0.0041</v>
      </c>
      <c r="G23" s="49">
        <f t="shared" si="3"/>
        <v>4.39479</v>
      </c>
      <c r="H23" s="29">
        <f t="shared" si="4"/>
        <v>0.0016400000000000858</v>
      </c>
      <c r="I23" s="30">
        <f t="shared" si="0"/>
        <v>0.0003733084461036126</v>
      </c>
      <c r="J23" s="31">
        <f t="shared" si="1"/>
        <v>0.03617947348274746</v>
      </c>
    </row>
    <row r="24" spans="1:10" ht="13.5" thickBot="1">
      <c r="A24" s="37" t="s">
        <v>76</v>
      </c>
      <c r="B24" s="37"/>
      <c r="C24" s="37"/>
      <c r="D24" s="38">
        <f>SUM(D15:D23)</f>
        <v>32.6206</v>
      </c>
      <c r="E24" s="38"/>
      <c r="F24" s="38"/>
      <c r="G24" s="38">
        <f>SUM(G15:G23)</f>
        <v>42.63396000000001</v>
      </c>
      <c r="H24" s="39">
        <f>SUM(H15:H23)</f>
        <v>10.013360000000002</v>
      </c>
      <c r="I24" s="40">
        <f t="shared" si="0"/>
        <v>0.3069643108955691</v>
      </c>
      <c r="J24" s="41">
        <f t="shared" si="1"/>
        <v>0.3509779136851854</v>
      </c>
    </row>
    <row r="25" spans="1:10" ht="13.5" thickBot="1">
      <c r="A25" s="60" t="s">
        <v>12</v>
      </c>
      <c r="B25" s="32">
        <f>+B7*'Rate Schedules'!H119</f>
        <v>1071.5</v>
      </c>
      <c r="C25" s="62">
        <f>+'Rate Schedules'!H21</f>
        <v>0.0052</v>
      </c>
      <c r="D25" s="63">
        <f>+B25*C25</f>
        <v>5.5718</v>
      </c>
      <c r="E25" s="61">
        <f>+B7*H7</f>
        <v>1071.9</v>
      </c>
      <c r="F25" s="50">
        <f>+'Rate Schedules'!M21</f>
        <v>0.0052</v>
      </c>
      <c r="G25" s="63">
        <f>+E25*F25</f>
        <v>5.57388</v>
      </c>
      <c r="H25" s="64">
        <f>+G25-D25</f>
        <v>0.002080000000000304</v>
      </c>
      <c r="I25" s="30">
        <f t="shared" si="0"/>
        <v>0.00037330844610364766</v>
      </c>
      <c r="J25" s="31">
        <f t="shared" si="1"/>
        <v>0.04588616149031384</v>
      </c>
    </row>
    <row r="26" spans="1:10" ht="13.5" thickBot="1">
      <c r="A26" s="65" t="s">
        <v>13</v>
      </c>
      <c r="B26" s="32">
        <f>+B7*'Rate Schedules'!H119</f>
        <v>1071.5</v>
      </c>
      <c r="C26" s="27">
        <f>+'Rate Schedules'!H22</f>
        <v>0.001</v>
      </c>
      <c r="D26" s="34">
        <f>+B26*C26</f>
        <v>1.0715000000000001</v>
      </c>
      <c r="E26" s="61">
        <f>+B7*H7</f>
        <v>1071.9</v>
      </c>
      <c r="F26" s="50">
        <f>+'Rate Schedules'!M22</f>
        <v>0.001</v>
      </c>
      <c r="G26" s="49">
        <f>+E26*F26</f>
        <v>1.0719</v>
      </c>
      <c r="H26" s="29">
        <f>+G26-D26</f>
        <v>0.00039999999999995595</v>
      </c>
      <c r="I26" s="30">
        <f t="shared" si="0"/>
        <v>0.0003733084461035519</v>
      </c>
      <c r="J26" s="31">
        <f t="shared" si="1"/>
        <v>0.008824261825060355</v>
      </c>
    </row>
    <row r="27" spans="1:10" ht="26.25" thickBot="1">
      <c r="A27" s="25" t="s">
        <v>77</v>
      </c>
      <c r="B27" s="43">
        <v>1</v>
      </c>
      <c r="C27" s="66">
        <f>+'Rate Schedules'!H23</f>
        <v>0.25</v>
      </c>
      <c r="D27" s="49">
        <f>+B27*C27</f>
        <v>0.25</v>
      </c>
      <c r="E27" s="43">
        <v>1</v>
      </c>
      <c r="F27" s="66">
        <f>+'Rate Schedules'!M23</f>
        <v>0.25</v>
      </c>
      <c r="G27" s="45">
        <f>+E27*F27</f>
        <v>0.25</v>
      </c>
      <c r="H27" s="29">
        <f>+G27-D27</f>
        <v>0</v>
      </c>
      <c r="I27" s="30">
        <f t="shared" si="0"/>
        <v>0</v>
      </c>
      <c r="J27" s="31">
        <f t="shared" si="1"/>
        <v>0.0020580888667460478</v>
      </c>
    </row>
    <row r="28" spans="1:10" ht="13.5" thickBot="1">
      <c r="A28" s="37" t="s">
        <v>78</v>
      </c>
      <c r="B28" s="37"/>
      <c r="C28" s="37"/>
      <c r="D28" s="38">
        <f>SUM(D25:D27)</f>
        <v>6.8933</v>
      </c>
      <c r="E28" s="38"/>
      <c r="F28" s="38"/>
      <c r="G28" s="38">
        <f>SUM(G25:G27)</f>
        <v>6.89578</v>
      </c>
      <c r="H28" s="39">
        <f>SUM(H25:H27)</f>
        <v>0.0024800000000002598</v>
      </c>
      <c r="I28" s="40">
        <f t="shared" si="0"/>
        <v>0.00035976963138123393</v>
      </c>
      <c r="J28" s="41">
        <f t="shared" si="1"/>
        <v>0.05676851218212024</v>
      </c>
    </row>
    <row r="29" spans="1:10" ht="13.5" thickBot="1">
      <c r="A29" s="37" t="s">
        <v>79</v>
      </c>
      <c r="B29" s="32">
        <f>+B7</f>
        <v>1000</v>
      </c>
      <c r="C29" s="67">
        <v>0.0051</v>
      </c>
      <c r="D29" s="38">
        <f>+B29*C29</f>
        <v>5.1000000000000005</v>
      </c>
      <c r="E29" s="32">
        <f>+B7</f>
        <v>1000</v>
      </c>
      <c r="F29" s="67">
        <v>0.0051</v>
      </c>
      <c r="G29" s="38">
        <f>+E29*F29</f>
        <v>5.1000000000000005</v>
      </c>
      <c r="H29" s="39">
        <f>+G29-D29</f>
        <v>0</v>
      </c>
      <c r="I29" s="40">
        <f t="shared" si="0"/>
        <v>0</v>
      </c>
      <c r="J29" s="40">
        <f t="shared" si="1"/>
        <v>0.04198501288161938</v>
      </c>
    </row>
    <row r="30" spans="1:10" ht="13.5" thickBot="1">
      <c r="A30" s="37" t="s">
        <v>80</v>
      </c>
      <c r="B30" s="37"/>
      <c r="C30" s="37"/>
      <c r="D30" s="68">
        <f>+D14+D24+D28+D29</f>
        <v>105.6469</v>
      </c>
      <c r="E30" s="38"/>
      <c r="F30" s="38"/>
      <c r="G30" s="68">
        <f>+G14+G24+G28+G29</f>
        <v>115.68754000000001</v>
      </c>
      <c r="H30" s="39">
        <f>+H14+H24+H28+H29</f>
        <v>10.040640000000009</v>
      </c>
      <c r="I30" s="40">
        <f t="shared" si="0"/>
        <v>0.09503960835575874</v>
      </c>
      <c r="J30" s="41">
        <f t="shared" si="1"/>
        <v>0.9523809523809523</v>
      </c>
    </row>
    <row r="31" spans="1:10" ht="13.5" thickBot="1">
      <c r="A31" s="37" t="s">
        <v>81</v>
      </c>
      <c r="B31" s="69">
        <f>+D30</f>
        <v>105.6469</v>
      </c>
      <c r="C31" s="102">
        <v>0.05</v>
      </c>
      <c r="D31" s="38">
        <f>+B31*C31</f>
        <v>5.282345</v>
      </c>
      <c r="E31" s="69">
        <f>+G30</f>
        <v>115.68754000000001</v>
      </c>
      <c r="F31" s="102">
        <v>0.05</v>
      </c>
      <c r="G31" s="38">
        <f>+E31*F31</f>
        <v>5.784377000000001</v>
      </c>
      <c r="H31" s="39">
        <f>+G31-D31</f>
        <v>0.5020320000000007</v>
      </c>
      <c r="I31" s="40">
        <f t="shared" si="0"/>
        <v>0.0950396083557588</v>
      </c>
      <c r="J31" s="41">
        <f t="shared" si="1"/>
        <v>0.047619047619047616</v>
      </c>
    </row>
    <row r="32" spans="1:10" ht="15.75" thickBot="1">
      <c r="A32" s="250" t="s">
        <v>82</v>
      </c>
      <c r="B32" s="251"/>
      <c r="C32" s="251"/>
      <c r="D32" s="70">
        <f>SUM(D30:D31)</f>
        <v>110.92924500000001</v>
      </c>
      <c r="E32" s="38"/>
      <c r="F32" s="38"/>
      <c r="G32" s="70">
        <f>SUM(G30:G31)</f>
        <v>121.47191700000002</v>
      </c>
      <c r="H32" s="39">
        <f>SUM(H30:H31)</f>
        <v>10.54267200000001</v>
      </c>
      <c r="I32" s="40">
        <f t="shared" si="0"/>
        <v>0.09503960835575875</v>
      </c>
      <c r="J32" s="41">
        <f t="shared" si="1"/>
        <v>1</v>
      </c>
    </row>
    <row r="33" spans="1:10" ht="12.75">
      <c r="A33" s="13"/>
      <c r="B33" s="13"/>
      <c r="C33" s="13"/>
      <c r="D33" s="13"/>
      <c r="E33" s="13"/>
      <c r="F33" s="13"/>
      <c r="G33" s="13"/>
      <c r="H33" s="13"/>
      <c r="I33" s="14"/>
      <c r="J33" s="13"/>
    </row>
    <row r="34" spans="1:10" ht="18">
      <c r="A34" s="15" t="s">
        <v>15</v>
      </c>
      <c r="B34" s="13"/>
      <c r="C34" s="13"/>
      <c r="D34" s="13"/>
      <c r="E34" s="13"/>
      <c r="F34" s="13"/>
      <c r="G34" s="13"/>
      <c r="H34" s="13"/>
      <c r="I34" s="14"/>
      <c r="J34" s="13"/>
    </row>
    <row r="35" spans="1:10" ht="13.5" thickBot="1">
      <c r="A35" s="13"/>
      <c r="B35" s="13"/>
      <c r="C35" s="13"/>
      <c r="D35" s="13"/>
      <c r="E35" s="13"/>
      <c r="F35" s="13"/>
      <c r="G35" s="13"/>
      <c r="H35" s="13"/>
      <c r="I35" s="14"/>
      <c r="J35" s="13"/>
    </row>
    <row r="36" spans="1:10" ht="12.75">
      <c r="A36" s="290" t="s">
        <v>58</v>
      </c>
      <c r="B36" s="292">
        <v>2000</v>
      </c>
      <c r="C36" s="252" t="s">
        <v>59</v>
      </c>
      <c r="D36" s="292">
        <v>0</v>
      </c>
      <c r="E36" s="252" t="s">
        <v>60</v>
      </c>
      <c r="F36" s="254" t="s">
        <v>61</v>
      </c>
      <c r="G36" s="254"/>
      <c r="H36" s="247">
        <f>H7</f>
        <v>1.0719</v>
      </c>
      <c r="I36" s="248"/>
      <c r="J36" s="13"/>
    </row>
    <row r="37" spans="1:10" ht="13.5" thickBot="1">
      <c r="A37" s="291"/>
      <c r="B37" s="293"/>
      <c r="C37" s="253"/>
      <c r="D37" s="293"/>
      <c r="E37" s="253"/>
      <c r="F37" s="255"/>
      <c r="G37" s="255"/>
      <c r="H37" s="285"/>
      <c r="I37" s="286"/>
      <c r="J37" s="13"/>
    </row>
    <row r="38" spans="1:10" ht="13.5" thickBot="1">
      <c r="A38" s="16"/>
      <c r="B38" s="13"/>
      <c r="C38" s="13"/>
      <c r="D38" s="13"/>
      <c r="E38" s="13"/>
      <c r="F38" s="13"/>
      <c r="G38" s="13"/>
      <c r="H38" s="13"/>
      <c r="I38" s="14"/>
      <c r="J38" s="13"/>
    </row>
    <row r="39" spans="1:10" ht="21" thickBot="1">
      <c r="A39" s="17"/>
      <c r="B39" s="287" t="s">
        <v>62</v>
      </c>
      <c r="C39" s="288"/>
      <c r="D39" s="289"/>
      <c r="E39" s="287" t="s">
        <v>87</v>
      </c>
      <c r="F39" s="288"/>
      <c r="G39" s="289"/>
      <c r="H39" s="287" t="s">
        <v>63</v>
      </c>
      <c r="I39" s="288"/>
      <c r="J39" s="289"/>
    </row>
    <row r="40" spans="1:10" ht="26.25" thickBot="1">
      <c r="A40" s="18"/>
      <c r="B40" s="19" t="s">
        <v>64</v>
      </c>
      <c r="C40" s="20" t="s">
        <v>65</v>
      </c>
      <c r="D40" s="21" t="s">
        <v>66</v>
      </c>
      <c r="E40" s="20" t="s">
        <v>64</v>
      </c>
      <c r="F40" s="20" t="s">
        <v>65</v>
      </c>
      <c r="G40" s="21" t="s">
        <v>66</v>
      </c>
      <c r="H40" s="22" t="s">
        <v>2</v>
      </c>
      <c r="I40" s="23" t="s">
        <v>52</v>
      </c>
      <c r="J40" s="24" t="s">
        <v>67</v>
      </c>
    </row>
    <row r="41" spans="1:10" ht="12.75">
      <c r="A41" s="25" t="s">
        <v>68</v>
      </c>
      <c r="B41" s="26">
        <v>750</v>
      </c>
      <c r="C41" s="27">
        <v>0.053</v>
      </c>
      <c r="D41" s="28">
        <f>+B41*C41</f>
        <v>39.75</v>
      </c>
      <c r="E41" s="26">
        <v>750</v>
      </c>
      <c r="F41" s="27">
        <v>0.053</v>
      </c>
      <c r="G41" s="28">
        <f>+E41*F41</f>
        <v>39.75</v>
      </c>
      <c r="H41" s="29">
        <f>+G41-D41</f>
        <v>0</v>
      </c>
      <c r="I41" s="30">
        <f aca="true" t="shared" si="5" ref="I41:I61">IF(ISERROR(H41/D41),0,H41/D41)</f>
        <v>0</v>
      </c>
      <c r="J41" s="31">
        <f aca="true" t="shared" si="6" ref="J41:J61">IF(ISERROR(G41/$G$61),0,G41/$G$61)</f>
        <v>0.15970779813040384</v>
      </c>
    </row>
    <row r="42" spans="1:10" ht="13.5" thickBot="1">
      <c r="A42" s="25" t="s">
        <v>69</v>
      </c>
      <c r="B42" s="32">
        <f>(B36*'Rate Schedules'!H119)-B41</f>
        <v>1393</v>
      </c>
      <c r="C42" s="33">
        <v>0.062</v>
      </c>
      <c r="D42" s="34">
        <f>+B42*C42</f>
        <v>86.366</v>
      </c>
      <c r="E42" s="32">
        <f>(B36*H36)-E41</f>
        <v>1393.8000000000002</v>
      </c>
      <c r="F42" s="33">
        <v>0.062</v>
      </c>
      <c r="G42" s="35">
        <f>+E42*F42</f>
        <v>86.41560000000001</v>
      </c>
      <c r="H42" s="29">
        <f>+G42-D42</f>
        <v>0.0496000000000123</v>
      </c>
      <c r="I42" s="36">
        <f t="shared" si="5"/>
        <v>0.0005743000717876514</v>
      </c>
      <c r="J42" s="31">
        <f t="shared" si="6"/>
        <v>0.34720113710987993</v>
      </c>
    </row>
    <row r="43" spans="1:10" ht="13.5" thickBot="1">
      <c r="A43" s="37" t="s">
        <v>70</v>
      </c>
      <c r="B43" s="37"/>
      <c r="C43" s="37"/>
      <c r="D43" s="38">
        <f>SUM(D41:D42)</f>
        <v>126.116</v>
      </c>
      <c r="E43" s="38"/>
      <c r="F43" s="38"/>
      <c r="G43" s="38">
        <f>SUM(G41:G42)</f>
        <v>126.16560000000001</v>
      </c>
      <c r="H43" s="39">
        <f>SUM(H41:H42)</f>
        <v>0.0496000000000123</v>
      </c>
      <c r="I43" s="40">
        <f t="shared" si="5"/>
        <v>0.00039328871832291145</v>
      </c>
      <c r="J43" s="41">
        <f t="shared" si="6"/>
        <v>0.5069089352402838</v>
      </c>
    </row>
    <row r="44" spans="1:10" ht="12.75">
      <c r="A44" s="42" t="s">
        <v>71</v>
      </c>
      <c r="B44" s="43">
        <v>1</v>
      </c>
      <c r="C44" s="44">
        <f>+'Rate Schedules'!H26</f>
        <v>32.87</v>
      </c>
      <c r="D44" s="45">
        <f aca="true" t="shared" si="7" ref="D44:D52">+B44*C44</f>
        <v>32.87</v>
      </c>
      <c r="E44" s="46">
        <v>1</v>
      </c>
      <c r="F44" s="44">
        <f>+'Rate Schedules'!M26</f>
        <v>33.64</v>
      </c>
      <c r="G44" s="45">
        <f aca="true" t="shared" si="8" ref="G44:G52">+E44*F44</f>
        <v>33.64</v>
      </c>
      <c r="H44" s="29">
        <f aca="true" t="shared" si="9" ref="H44:H52">+G44-D44</f>
        <v>0.7700000000000031</v>
      </c>
      <c r="I44" s="30">
        <f t="shared" si="5"/>
        <v>0.023425616063279683</v>
      </c>
      <c r="J44" s="31">
        <f t="shared" si="6"/>
        <v>0.1351590019901078</v>
      </c>
    </row>
    <row r="45" spans="1:10" ht="12.75">
      <c r="A45" s="47" t="s">
        <v>72</v>
      </c>
      <c r="B45" s="32">
        <f>+B36</f>
        <v>2000</v>
      </c>
      <c r="C45" s="48">
        <f>+'Rate Schedules'!H28</f>
        <v>0.0154</v>
      </c>
      <c r="D45" s="49">
        <f t="shared" si="7"/>
        <v>30.8</v>
      </c>
      <c r="E45" s="32">
        <f>+B36</f>
        <v>2000</v>
      </c>
      <c r="F45" s="48">
        <f>+'Rate Schedules'!M28</f>
        <v>0.0184</v>
      </c>
      <c r="G45" s="49">
        <f t="shared" si="8"/>
        <v>36.8</v>
      </c>
      <c r="H45" s="29">
        <f t="shared" si="9"/>
        <v>5.9999999999999964</v>
      </c>
      <c r="I45" s="30">
        <f t="shared" si="5"/>
        <v>0.19480519480519468</v>
      </c>
      <c r="J45" s="31">
        <f t="shared" si="6"/>
        <v>0.14785526971569463</v>
      </c>
    </row>
    <row r="46" spans="1:10" ht="12.75">
      <c r="A46" s="47" t="s">
        <v>73</v>
      </c>
      <c r="B46" s="32">
        <f>+D36</f>
        <v>0</v>
      </c>
      <c r="C46" s="50">
        <v>0</v>
      </c>
      <c r="D46" s="49">
        <f t="shared" si="7"/>
        <v>0</v>
      </c>
      <c r="E46" s="51">
        <f>+B36</f>
        <v>2000</v>
      </c>
      <c r="F46" s="50">
        <v>0</v>
      </c>
      <c r="G46" s="49">
        <f t="shared" si="8"/>
        <v>0</v>
      </c>
      <c r="H46" s="29">
        <f t="shared" si="9"/>
        <v>0</v>
      </c>
      <c r="I46" s="30">
        <f t="shared" si="5"/>
        <v>0</v>
      </c>
      <c r="J46" s="31">
        <f t="shared" si="6"/>
        <v>0</v>
      </c>
    </row>
    <row r="47" spans="1:10" ht="12.75">
      <c r="A47" s="25" t="s">
        <v>74</v>
      </c>
      <c r="B47" s="32">
        <f>+B36</f>
        <v>2000</v>
      </c>
      <c r="C47" s="50">
        <f>+'Rate Schedules'!H32</f>
        <v>0</v>
      </c>
      <c r="D47" s="49">
        <f t="shared" si="7"/>
        <v>0</v>
      </c>
      <c r="E47" s="32">
        <f>+B36</f>
        <v>2000</v>
      </c>
      <c r="F47" s="50">
        <f>+'Rate Schedules'!J32</f>
        <v>0.0002</v>
      </c>
      <c r="G47" s="49">
        <f t="shared" si="8"/>
        <v>0.4</v>
      </c>
      <c r="H47" s="29">
        <f t="shared" si="9"/>
        <v>0.4</v>
      </c>
      <c r="I47" s="30">
        <f t="shared" si="5"/>
        <v>0</v>
      </c>
      <c r="J47" s="31">
        <f t="shared" si="6"/>
        <v>0.0016071224969097242</v>
      </c>
    </row>
    <row r="48" spans="1:10" ht="12.75">
      <c r="A48" s="25" t="s">
        <v>75</v>
      </c>
      <c r="B48" s="52">
        <f>+B36</f>
        <v>2000</v>
      </c>
      <c r="C48" s="53">
        <v>0</v>
      </c>
      <c r="D48" s="49">
        <f t="shared" si="7"/>
        <v>0</v>
      </c>
      <c r="E48" s="52">
        <f>+B36</f>
        <v>2000</v>
      </c>
      <c r="F48" s="53">
        <v>0</v>
      </c>
      <c r="G48" s="54">
        <f t="shared" si="8"/>
        <v>0</v>
      </c>
      <c r="H48" s="29">
        <f t="shared" si="9"/>
        <v>0</v>
      </c>
      <c r="I48" s="30">
        <f t="shared" si="5"/>
        <v>0</v>
      </c>
      <c r="J48" s="31">
        <f t="shared" si="6"/>
        <v>0</v>
      </c>
    </row>
    <row r="49" spans="1:10" ht="25.5">
      <c r="A49" s="25" t="s">
        <v>88</v>
      </c>
      <c r="B49" s="55">
        <v>1</v>
      </c>
      <c r="C49" s="56">
        <f>+'Rate Schedules'!H27</f>
        <v>0</v>
      </c>
      <c r="D49" s="57">
        <f t="shared" si="7"/>
        <v>0</v>
      </c>
      <c r="E49" s="55">
        <v>1</v>
      </c>
      <c r="F49" s="58">
        <f>+'Rate Schedules'!M27</f>
        <v>0</v>
      </c>
      <c r="G49" s="49">
        <f t="shared" si="8"/>
        <v>0</v>
      </c>
      <c r="H49" s="29">
        <f t="shared" si="9"/>
        <v>0</v>
      </c>
      <c r="I49" s="30">
        <f t="shared" si="5"/>
        <v>0</v>
      </c>
      <c r="J49" s="31">
        <f t="shared" si="6"/>
        <v>0</v>
      </c>
    </row>
    <row r="50" spans="1:10" ht="25.5">
      <c r="A50" s="25" t="s">
        <v>89</v>
      </c>
      <c r="B50" s="32">
        <f>+B36</f>
        <v>2000</v>
      </c>
      <c r="C50" s="59">
        <f>+'Rate Schedules'!H29</f>
        <v>0</v>
      </c>
      <c r="D50" s="57">
        <f t="shared" si="7"/>
        <v>0</v>
      </c>
      <c r="E50" s="52">
        <f>+B36</f>
        <v>2000</v>
      </c>
      <c r="F50" s="50">
        <f>+'Rate Schedules'!M29</f>
        <v>0</v>
      </c>
      <c r="G50" s="49">
        <f t="shared" si="8"/>
        <v>0</v>
      </c>
      <c r="H50" s="29">
        <f t="shared" si="9"/>
        <v>0</v>
      </c>
      <c r="I50" s="30">
        <f t="shared" si="5"/>
        <v>0</v>
      </c>
      <c r="J50" s="31">
        <f t="shared" si="6"/>
        <v>0</v>
      </c>
    </row>
    <row r="51" spans="1:10" ht="25.5">
      <c r="A51" s="25" t="s">
        <v>8</v>
      </c>
      <c r="B51" s="32">
        <f>+B36*'Rate Schedules'!H119</f>
        <v>2143</v>
      </c>
      <c r="C51" s="50">
        <f>+'Rate Schedules'!H33</f>
        <v>0.0039</v>
      </c>
      <c r="D51" s="49">
        <f t="shared" si="7"/>
        <v>8.3577</v>
      </c>
      <c r="E51" s="32">
        <f>+B36*H36</f>
        <v>2143.8</v>
      </c>
      <c r="F51" s="50">
        <f>+'Rate Schedules'!M33</f>
        <v>0.0039</v>
      </c>
      <c r="G51" s="49">
        <f t="shared" si="8"/>
        <v>8.36082</v>
      </c>
      <c r="H51" s="29">
        <f t="shared" si="9"/>
        <v>0.0031200000000009</v>
      </c>
      <c r="I51" s="30">
        <f t="shared" si="5"/>
        <v>0.0003733084461037008</v>
      </c>
      <c r="J51" s="31">
        <f t="shared" si="6"/>
        <v>0.0335921547865319</v>
      </c>
    </row>
    <row r="52" spans="1:10" ht="39" thickBot="1">
      <c r="A52" s="25" t="s">
        <v>9</v>
      </c>
      <c r="B52" s="32">
        <f>+B36*'Rate Schedules'!H119</f>
        <v>2143</v>
      </c>
      <c r="C52" s="50">
        <f>+'Rate Schedules'!H34</f>
        <v>0.0037</v>
      </c>
      <c r="D52" s="49">
        <f t="shared" si="7"/>
        <v>7.9291</v>
      </c>
      <c r="E52" s="32">
        <f>+B36*H36</f>
        <v>2143.8</v>
      </c>
      <c r="F52" s="50">
        <f>+'Rate Schedules'!M34</f>
        <v>0.0037</v>
      </c>
      <c r="G52" s="49">
        <f t="shared" si="8"/>
        <v>7.932060000000001</v>
      </c>
      <c r="H52" s="29">
        <f t="shared" si="9"/>
        <v>0.00296000000000074</v>
      </c>
      <c r="I52" s="30">
        <f t="shared" si="5"/>
        <v>0.0003733084461036864</v>
      </c>
      <c r="J52" s="31">
        <f t="shared" si="6"/>
        <v>0.03186948018209437</v>
      </c>
    </row>
    <row r="53" spans="1:10" ht="13.5" thickBot="1">
      <c r="A53" s="37" t="s">
        <v>76</v>
      </c>
      <c r="B53" s="37"/>
      <c r="C53" s="37"/>
      <c r="D53" s="38">
        <f>SUM(D44:D52)</f>
        <v>79.9568</v>
      </c>
      <c r="E53" s="38"/>
      <c r="F53" s="38"/>
      <c r="G53" s="38">
        <f>SUM(G44:G52)</f>
        <v>87.13288000000001</v>
      </c>
      <c r="H53" s="39">
        <f>SUM(H44:H52)</f>
        <v>7.176080000000002</v>
      </c>
      <c r="I53" s="40">
        <f t="shared" si="5"/>
        <v>0.08974946471094393</v>
      </c>
      <c r="J53" s="41">
        <f t="shared" si="6"/>
        <v>0.3500830291713385</v>
      </c>
    </row>
    <row r="54" spans="1:10" ht="13.5" thickBot="1">
      <c r="A54" s="60" t="s">
        <v>12</v>
      </c>
      <c r="B54" s="32">
        <f>+B36*'Rate Schedules'!H119</f>
        <v>2143</v>
      </c>
      <c r="C54" s="62">
        <f>+'Rate Schedules'!H39</f>
        <v>0.0052</v>
      </c>
      <c r="D54" s="63">
        <f>+B54*C54</f>
        <v>11.1436</v>
      </c>
      <c r="E54" s="61">
        <f>+B36*H36</f>
        <v>2143.8</v>
      </c>
      <c r="F54" s="50">
        <f>+'Rate Schedules'!M39</f>
        <v>0.0052</v>
      </c>
      <c r="G54" s="63">
        <f>+E54*F54</f>
        <v>11.14776</v>
      </c>
      <c r="H54" s="64">
        <f>+G54-D54</f>
        <v>0.004160000000000608</v>
      </c>
      <c r="I54" s="30">
        <f t="shared" si="5"/>
        <v>0.00037330844610364766</v>
      </c>
      <c r="J54" s="31">
        <f t="shared" si="6"/>
        <v>0.044789539715375866</v>
      </c>
    </row>
    <row r="55" spans="1:10" ht="13.5" thickBot="1">
      <c r="A55" s="65" t="s">
        <v>13</v>
      </c>
      <c r="B55" s="32">
        <f>+B36*'Rate Schedules'!H119</f>
        <v>2143</v>
      </c>
      <c r="C55" s="27">
        <f>+'Rate Schedules'!H40</f>
        <v>0.001</v>
      </c>
      <c r="D55" s="34">
        <f>+B55*C55</f>
        <v>2.1430000000000002</v>
      </c>
      <c r="E55" s="61">
        <f>+B36*H36</f>
        <v>2143.8</v>
      </c>
      <c r="F55" s="50">
        <f>+'Rate Schedules'!M40</f>
        <v>0.001</v>
      </c>
      <c r="G55" s="49">
        <f>+E55*F55</f>
        <v>2.1438</v>
      </c>
      <c r="H55" s="29">
        <f>+G55-D55</f>
        <v>0.0007999999999999119</v>
      </c>
      <c r="I55" s="30">
        <f t="shared" si="5"/>
        <v>0.0003733084461035519</v>
      </c>
      <c r="J55" s="31">
        <f t="shared" si="6"/>
        <v>0.008613373022187667</v>
      </c>
    </row>
    <row r="56" spans="1:10" ht="26.25" thickBot="1">
      <c r="A56" s="25" t="s">
        <v>77</v>
      </c>
      <c r="B56" s="43">
        <v>1</v>
      </c>
      <c r="C56" s="66">
        <f>+'Rate Schedules'!H41</f>
        <v>0.25</v>
      </c>
      <c r="D56" s="49">
        <f>+B56*C56</f>
        <v>0.25</v>
      </c>
      <c r="E56" s="43">
        <v>1</v>
      </c>
      <c r="F56" s="66">
        <f>+'Rate Schedules'!J41</f>
        <v>0.25</v>
      </c>
      <c r="G56" s="45">
        <f>+E56*F56</f>
        <v>0.25</v>
      </c>
      <c r="H56" s="29">
        <f>+G56-D56</f>
        <v>0</v>
      </c>
      <c r="I56" s="30">
        <f t="shared" si="5"/>
        <v>0</v>
      </c>
      <c r="J56" s="31">
        <f t="shared" si="6"/>
        <v>0.0010044515605685776</v>
      </c>
    </row>
    <row r="57" spans="1:10" ht="13.5" thickBot="1">
      <c r="A57" s="37" t="s">
        <v>78</v>
      </c>
      <c r="B57" s="37"/>
      <c r="C57" s="37"/>
      <c r="D57" s="38">
        <f>SUM(D54:D56)</f>
        <v>13.5366</v>
      </c>
      <c r="E57" s="38"/>
      <c r="F57" s="38"/>
      <c r="G57" s="38">
        <f>SUM(G54:G56)</f>
        <v>13.54156</v>
      </c>
      <c r="H57" s="39">
        <f>SUM(H54:H56)</f>
        <v>0.0049600000000005195</v>
      </c>
      <c r="I57" s="40">
        <f t="shared" si="5"/>
        <v>0.00036641401829118976</v>
      </c>
      <c r="J57" s="41">
        <f t="shared" si="6"/>
        <v>0.054407364298132116</v>
      </c>
    </row>
    <row r="58" spans="1:10" ht="13.5" thickBot="1">
      <c r="A58" s="37" t="s">
        <v>79</v>
      </c>
      <c r="B58" s="32">
        <f>+B36</f>
        <v>2000</v>
      </c>
      <c r="C58" s="67">
        <v>0.0051</v>
      </c>
      <c r="D58" s="38">
        <f>+B58*C58</f>
        <v>10.200000000000001</v>
      </c>
      <c r="E58" s="32">
        <f>+B36</f>
        <v>2000</v>
      </c>
      <c r="F58" s="67">
        <v>0.0051</v>
      </c>
      <c r="G58" s="38">
        <f>+E58*F58</f>
        <v>10.200000000000001</v>
      </c>
      <c r="H58" s="39">
        <f>+G58-D58</f>
        <v>0</v>
      </c>
      <c r="I58" s="40">
        <f t="shared" si="5"/>
        <v>0</v>
      </c>
      <c r="J58" s="41">
        <f t="shared" si="6"/>
        <v>0.040981623671197974</v>
      </c>
    </row>
    <row r="59" spans="1:10" ht="13.5" thickBot="1">
      <c r="A59" s="37" t="s">
        <v>80</v>
      </c>
      <c r="B59" s="37"/>
      <c r="C59" s="37"/>
      <c r="D59" s="68">
        <f>+D43+D53+D57+D58</f>
        <v>229.80939999999998</v>
      </c>
      <c r="E59" s="38"/>
      <c r="F59" s="38"/>
      <c r="G59" s="68">
        <f>+G43+G53+G57+G58</f>
        <v>237.04004000000003</v>
      </c>
      <c r="H59" s="39">
        <f>+H43+H53+H57+H58</f>
        <v>7.230640000000014</v>
      </c>
      <c r="I59" s="40">
        <f t="shared" si="5"/>
        <v>0.03146363899823077</v>
      </c>
      <c r="J59" s="41">
        <f t="shared" si="6"/>
        <v>0.9523809523809524</v>
      </c>
    </row>
    <row r="60" spans="1:10" ht="13.5" thickBot="1">
      <c r="A60" s="37" t="s">
        <v>81</v>
      </c>
      <c r="B60" s="69">
        <f>+D59</f>
        <v>229.80939999999998</v>
      </c>
      <c r="C60" s="102">
        <v>0.05</v>
      </c>
      <c r="D60" s="38">
        <f>+B60*C60</f>
        <v>11.49047</v>
      </c>
      <c r="E60" s="69">
        <f>+G59</f>
        <v>237.04004000000003</v>
      </c>
      <c r="F60" s="102">
        <v>0.05</v>
      </c>
      <c r="G60" s="38">
        <f>+E60*F60</f>
        <v>11.852002000000002</v>
      </c>
      <c r="H60" s="39">
        <f>+G60-D60</f>
        <v>0.3615320000000022</v>
      </c>
      <c r="I60" s="40">
        <f t="shared" si="5"/>
        <v>0.031463638998230896</v>
      </c>
      <c r="J60" s="41">
        <f t="shared" si="6"/>
        <v>0.04761904761904762</v>
      </c>
    </row>
    <row r="61" spans="1:10" ht="15.75" thickBot="1">
      <c r="A61" s="250" t="s">
        <v>82</v>
      </c>
      <c r="B61" s="251"/>
      <c r="C61" s="251"/>
      <c r="D61" s="70">
        <f>SUM(D59:D60)</f>
        <v>241.29986999999997</v>
      </c>
      <c r="E61" s="38"/>
      <c r="F61" s="38"/>
      <c r="G61" s="70">
        <f>SUM(G59:G60)</f>
        <v>248.89204200000003</v>
      </c>
      <c r="H61" s="39">
        <f>SUM(H59:H60)</f>
        <v>7.592172000000017</v>
      </c>
      <c r="I61" s="40">
        <f t="shared" si="5"/>
        <v>0.03146363899823078</v>
      </c>
      <c r="J61" s="41">
        <f t="shared" si="6"/>
        <v>1</v>
      </c>
    </row>
    <row r="62" spans="1:10" ht="12.75">
      <c r="A62" s="13"/>
      <c r="B62" s="13"/>
      <c r="C62" s="13"/>
      <c r="D62" s="13"/>
      <c r="E62" s="13"/>
      <c r="F62" s="13"/>
      <c r="G62" s="13"/>
      <c r="H62" s="13"/>
      <c r="I62" s="14"/>
      <c r="J62" s="13"/>
    </row>
    <row r="63" spans="1:10" ht="18">
      <c r="A63" s="15" t="s">
        <v>16</v>
      </c>
      <c r="B63" s="13"/>
      <c r="C63" s="13"/>
      <c r="D63" s="13"/>
      <c r="E63" s="13"/>
      <c r="F63" s="13"/>
      <c r="G63" s="13"/>
      <c r="H63" s="13"/>
      <c r="I63" s="14"/>
      <c r="J63" s="13"/>
    </row>
    <row r="64" spans="1:10" ht="13.5" thickBot="1">
      <c r="A64" s="13"/>
      <c r="B64" s="13"/>
      <c r="C64" s="13"/>
      <c r="D64" s="13"/>
      <c r="E64" s="13"/>
      <c r="F64" s="13"/>
      <c r="G64" s="13"/>
      <c r="H64" s="13"/>
      <c r="I64" s="14"/>
      <c r="J64" s="13"/>
    </row>
    <row r="65" spans="1:10" ht="12.75">
      <c r="A65" s="290" t="s">
        <v>58</v>
      </c>
      <c r="B65" s="292">
        <v>44320</v>
      </c>
      <c r="C65" s="252" t="s">
        <v>59</v>
      </c>
      <c r="D65" s="292">
        <v>139</v>
      </c>
      <c r="E65" s="252" t="s">
        <v>60</v>
      </c>
      <c r="F65" s="254" t="s">
        <v>61</v>
      </c>
      <c r="G65" s="254"/>
      <c r="H65" s="247">
        <f>H7</f>
        <v>1.0719</v>
      </c>
      <c r="I65" s="248"/>
      <c r="J65" s="13"/>
    </row>
    <row r="66" spans="1:10" ht="13.5" thickBot="1">
      <c r="A66" s="291"/>
      <c r="B66" s="293"/>
      <c r="C66" s="253"/>
      <c r="D66" s="293"/>
      <c r="E66" s="253"/>
      <c r="F66" s="255"/>
      <c r="G66" s="255"/>
      <c r="H66" s="285"/>
      <c r="I66" s="286"/>
      <c r="J66" s="13"/>
    </row>
    <row r="67" spans="1:10" ht="13.5" thickBot="1">
      <c r="A67" s="16"/>
      <c r="B67" s="13"/>
      <c r="C67" s="13"/>
      <c r="D67" s="13"/>
      <c r="E67" s="13"/>
      <c r="F67" s="13"/>
      <c r="G67" s="13"/>
      <c r="H67" s="13"/>
      <c r="I67" s="14"/>
      <c r="J67" s="13"/>
    </row>
    <row r="68" spans="1:10" ht="21" thickBot="1">
      <c r="A68" s="17"/>
      <c r="B68" s="287" t="s">
        <v>62</v>
      </c>
      <c r="C68" s="288"/>
      <c r="D68" s="289"/>
      <c r="E68" s="287" t="s">
        <v>87</v>
      </c>
      <c r="F68" s="288"/>
      <c r="G68" s="289"/>
      <c r="H68" s="287" t="s">
        <v>63</v>
      </c>
      <c r="I68" s="288"/>
      <c r="J68" s="289"/>
    </row>
    <row r="69" spans="1:10" ht="26.25" thickBot="1">
      <c r="A69" s="18"/>
      <c r="B69" s="19" t="s">
        <v>64</v>
      </c>
      <c r="C69" s="20" t="s">
        <v>65</v>
      </c>
      <c r="D69" s="21" t="s">
        <v>66</v>
      </c>
      <c r="E69" s="20" t="s">
        <v>64</v>
      </c>
      <c r="F69" s="20" t="s">
        <v>65</v>
      </c>
      <c r="G69" s="21" t="s">
        <v>66</v>
      </c>
      <c r="H69" s="22" t="s">
        <v>2</v>
      </c>
      <c r="I69" s="23" t="s">
        <v>52</v>
      </c>
      <c r="J69" s="24" t="s">
        <v>67</v>
      </c>
    </row>
    <row r="70" spans="1:10" ht="12.75">
      <c r="A70" s="25" t="s">
        <v>68</v>
      </c>
      <c r="B70" s="26">
        <v>750</v>
      </c>
      <c r="C70" s="27">
        <v>0.053</v>
      </c>
      <c r="D70" s="28">
        <f>+B70*C70</f>
        <v>39.75</v>
      </c>
      <c r="E70" s="26">
        <v>750</v>
      </c>
      <c r="F70" s="27">
        <v>0.053</v>
      </c>
      <c r="G70" s="28">
        <f>+E70*F70</f>
        <v>39.75</v>
      </c>
      <c r="H70" s="29">
        <f>+G70-D70</f>
        <v>0</v>
      </c>
      <c r="I70" s="30">
        <f aca="true" t="shared" si="10" ref="I70:I90">IF(ISERROR(H70/D70),0,H70/D70)</f>
        <v>0</v>
      </c>
      <c r="J70" s="31">
        <f aca="true" t="shared" si="11" ref="J70:J90">IF(ISERROR(G70/$G$90),0,G70/$G$90)</f>
        <v>0.00674288245595641</v>
      </c>
    </row>
    <row r="71" spans="1:10" ht="13.5" thickBot="1">
      <c r="A71" s="25" t="s">
        <v>69</v>
      </c>
      <c r="B71" s="32">
        <f>(B65*'Rate Schedules'!H119)-B70</f>
        <v>46738.88</v>
      </c>
      <c r="C71" s="33">
        <v>0.062</v>
      </c>
      <c r="D71" s="34">
        <f>+B71*C71</f>
        <v>2897.81056</v>
      </c>
      <c r="E71" s="32">
        <f>(B65*H65)-B70</f>
        <v>46756.608</v>
      </c>
      <c r="F71" s="33">
        <v>0.062</v>
      </c>
      <c r="G71" s="35">
        <f>+E71*F71</f>
        <v>2898.909696</v>
      </c>
      <c r="H71" s="29">
        <f>+G71-D71</f>
        <v>1.0991360000002715</v>
      </c>
      <c r="I71" s="36">
        <f t="shared" si="10"/>
        <v>0.0003792987765219102</v>
      </c>
      <c r="J71" s="31">
        <f t="shared" si="11"/>
        <v>0.49174861208956805</v>
      </c>
    </row>
    <row r="72" spans="1:10" ht="13.5" thickBot="1">
      <c r="A72" s="37" t="s">
        <v>70</v>
      </c>
      <c r="B72" s="37"/>
      <c r="C72" s="37"/>
      <c r="D72" s="38">
        <f>SUM(D70:D71)</f>
        <v>2937.56056</v>
      </c>
      <c r="E72" s="38"/>
      <c r="F72" s="38"/>
      <c r="G72" s="38">
        <f>SUM(G70:G71)</f>
        <v>2938.659696</v>
      </c>
      <c r="H72" s="39">
        <f>SUM(H70:H71)</f>
        <v>1.0991360000002715</v>
      </c>
      <c r="I72" s="40">
        <f t="shared" si="10"/>
        <v>0.00037416624357193557</v>
      </c>
      <c r="J72" s="41">
        <f t="shared" si="11"/>
        <v>0.4984914945455245</v>
      </c>
    </row>
    <row r="73" spans="1:10" ht="12.75">
      <c r="A73" s="42" t="s">
        <v>71</v>
      </c>
      <c r="B73" s="43">
        <v>1</v>
      </c>
      <c r="C73" s="44">
        <f>+'Rate Schedules'!H44</f>
        <v>764.96</v>
      </c>
      <c r="D73" s="45">
        <f aca="true" t="shared" si="12" ref="D73:D81">+B73*C73</f>
        <v>764.96</v>
      </c>
      <c r="E73" s="46">
        <v>1</v>
      </c>
      <c r="F73" s="44">
        <f>+'Rate Schedules'!M44</f>
        <v>762.8</v>
      </c>
      <c r="G73" s="45">
        <f aca="true" t="shared" si="13" ref="G73:G81">+E73*F73</f>
        <v>762.8</v>
      </c>
      <c r="H73" s="29">
        <f aca="true" t="shared" si="14" ref="H73:H81">+G73-D73</f>
        <v>-2.160000000000082</v>
      </c>
      <c r="I73" s="30">
        <f t="shared" si="10"/>
        <v>-0.002823677055009519</v>
      </c>
      <c r="J73" s="31">
        <f t="shared" si="11"/>
        <v>0.1293954902491459</v>
      </c>
    </row>
    <row r="74" spans="1:10" ht="12.75">
      <c r="A74" s="47" t="s">
        <v>72</v>
      </c>
      <c r="B74" s="32">
        <f>+B65</f>
        <v>44320</v>
      </c>
      <c r="C74" s="48">
        <v>0</v>
      </c>
      <c r="D74" s="49">
        <f t="shared" si="12"/>
        <v>0</v>
      </c>
      <c r="E74" s="32">
        <f>+B65</f>
        <v>44320</v>
      </c>
      <c r="F74" s="48">
        <v>0</v>
      </c>
      <c r="G74" s="49">
        <f t="shared" si="13"/>
        <v>0</v>
      </c>
      <c r="H74" s="29">
        <f t="shared" si="14"/>
        <v>0</v>
      </c>
      <c r="I74" s="30">
        <f t="shared" si="10"/>
        <v>0</v>
      </c>
      <c r="J74" s="31">
        <f t="shared" si="11"/>
        <v>0</v>
      </c>
    </row>
    <row r="75" spans="1:10" ht="12.75">
      <c r="A75" s="47" t="s">
        <v>73</v>
      </c>
      <c r="B75" s="32">
        <f>+D65</f>
        <v>139</v>
      </c>
      <c r="C75" s="50">
        <f>+'Rate Schedules'!H46</f>
        <v>3.5235</v>
      </c>
      <c r="D75" s="49">
        <f t="shared" si="12"/>
        <v>489.7665</v>
      </c>
      <c r="E75" s="51">
        <f>+D65</f>
        <v>139</v>
      </c>
      <c r="F75" s="50">
        <f>+'Rate Schedules'!M46</f>
        <v>6.5242</v>
      </c>
      <c r="G75" s="49">
        <f t="shared" si="13"/>
        <v>906.8638000000001</v>
      </c>
      <c r="H75" s="29">
        <f t="shared" si="14"/>
        <v>417.0973000000001</v>
      </c>
      <c r="I75" s="30">
        <f t="shared" si="10"/>
        <v>0.85162480488151</v>
      </c>
      <c r="J75" s="31">
        <f t="shared" si="11"/>
        <v>0.15383335866570977</v>
      </c>
    </row>
    <row r="76" spans="1:10" ht="12.75">
      <c r="A76" s="25" t="s">
        <v>90</v>
      </c>
      <c r="B76" s="32">
        <f>+D65</f>
        <v>139</v>
      </c>
      <c r="C76" s="50">
        <f>+'Rate Schedules'!H50</f>
        <v>0</v>
      </c>
      <c r="D76" s="49">
        <f t="shared" si="12"/>
        <v>0</v>
      </c>
      <c r="E76" s="32">
        <f>+D65</f>
        <v>139</v>
      </c>
      <c r="F76" s="50">
        <f>+'Rate Schedules'!M50</f>
        <v>0.0656</v>
      </c>
      <c r="G76" s="49">
        <f t="shared" si="13"/>
        <v>9.118400000000001</v>
      </c>
      <c r="H76" s="29">
        <f t="shared" si="14"/>
        <v>9.118400000000001</v>
      </c>
      <c r="I76" s="30">
        <f t="shared" si="10"/>
        <v>0</v>
      </c>
      <c r="J76" s="31">
        <f t="shared" si="11"/>
        <v>0.0015467748273306399</v>
      </c>
    </row>
    <row r="77" spans="1:10" ht="12.75">
      <c r="A77" s="25" t="s">
        <v>75</v>
      </c>
      <c r="B77" s="52">
        <f>+D65</f>
        <v>139</v>
      </c>
      <c r="C77" s="53">
        <v>0</v>
      </c>
      <c r="D77" s="49">
        <f t="shared" si="12"/>
        <v>0</v>
      </c>
      <c r="E77" s="52">
        <f>+D65</f>
        <v>139</v>
      </c>
      <c r="F77" s="53">
        <v>0</v>
      </c>
      <c r="G77" s="54">
        <f t="shared" si="13"/>
        <v>0</v>
      </c>
      <c r="H77" s="29">
        <f t="shared" si="14"/>
        <v>0</v>
      </c>
      <c r="I77" s="30">
        <f t="shared" si="10"/>
        <v>0</v>
      </c>
      <c r="J77" s="31">
        <f t="shared" si="11"/>
        <v>0</v>
      </c>
    </row>
    <row r="78" spans="1:10" ht="25.5">
      <c r="A78" s="25" t="s">
        <v>88</v>
      </c>
      <c r="B78" s="55">
        <v>1</v>
      </c>
      <c r="C78" s="56">
        <f>+'Rate Schedules'!H45</f>
        <v>0</v>
      </c>
      <c r="D78" s="57">
        <f t="shared" si="12"/>
        <v>0</v>
      </c>
      <c r="E78" s="55">
        <v>1</v>
      </c>
      <c r="F78" s="58">
        <f>+'Rate Schedules'!M45</f>
        <v>0</v>
      </c>
      <c r="G78" s="49">
        <f t="shared" si="13"/>
        <v>0</v>
      </c>
      <c r="H78" s="29">
        <f t="shared" si="14"/>
        <v>0</v>
      </c>
      <c r="I78" s="30">
        <f t="shared" si="10"/>
        <v>0</v>
      </c>
      <c r="J78" s="31">
        <f t="shared" si="11"/>
        <v>0</v>
      </c>
    </row>
    <row r="79" spans="1:10" ht="25.5">
      <c r="A79" s="25" t="s">
        <v>89</v>
      </c>
      <c r="B79" s="32">
        <f>+D65</f>
        <v>139</v>
      </c>
      <c r="C79" s="59">
        <f>+'Rate Schedules'!H47</f>
        <v>0</v>
      </c>
      <c r="D79" s="57">
        <f t="shared" si="12"/>
        <v>0</v>
      </c>
      <c r="E79" s="52">
        <f>+D65</f>
        <v>139</v>
      </c>
      <c r="F79" s="50">
        <f>+'Rate Schedules'!M47</f>
        <v>0</v>
      </c>
      <c r="G79" s="49">
        <f t="shared" si="13"/>
        <v>0</v>
      </c>
      <c r="H79" s="29">
        <f t="shared" si="14"/>
        <v>0</v>
      </c>
      <c r="I79" s="30">
        <f t="shared" si="10"/>
        <v>0</v>
      </c>
      <c r="J79" s="31">
        <f t="shared" si="11"/>
        <v>0</v>
      </c>
    </row>
    <row r="80" spans="1:10" ht="25.5">
      <c r="A80" s="25" t="s">
        <v>8</v>
      </c>
      <c r="B80" s="32">
        <f>+D65*'Rate Schedules'!H119</f>
        <v>148.93849999999998</v>
      </c>
      <c r="C80" s="50">
        <f>+'Rate Schedules'!H51</f>
        <v>1.5794</v>
      </c>
      <c r="D80" s="49">
        <f t="shared" si="12"/>
        <v>235.23346689999994</v>
      </c>
      <c r="E80" s="32">
        <f>+D65*H65</f>
        <v>148.9941</v>
      </c>
      <c r="F80" s="50">
        <f>+'Rate Schedules'!M51</f>
        <v>1.6230683970891935</v>
      </c>
      <c r="G80" s="49">
        <f t="shared" si="13"/>
        <v>241.82761506274701</v>
      </c>
      <c r="H80" s="29">
        <f t="shared" si="14"/>
        <v>6.594148162747075</v>
      </c>
      <c r="I80" s="30">
        <f t="shared" si="10"/>
        <v>0.02803235547070482</v>
      </c>
      <c r="J80" s="31">
        <f t="shared" si="11"/>
        <v>0.041021765609367974</v>
      </c>
    </row>
    <row r="81" spans="1:10" ht="39" thickBot="1">
      <c r="A81" s="25" t="s">
        <v>9</v>
      </c>
      <c r="B81" s="32">
        <f>+D65*'Rate Schedules'!H119</f>
        <v>148.93849999999998</v>
      </c>
      <c r="C81" s="50">
        <f>+'Rate Schedules'!H52</f>
        <v>1.4741</v>
      </c>
      <c r="D81" s="49">
        <f t="shared" si="12"/>
        <v>219.55024284999996</v>
      </c>
      <c r="E81" s="32">
        <f>+D65*H65</f>
        <v>148.9941</v>
      </c>
      <c r="F81" s="50">
        <f>+'Rate Schedules'!M52</f>
        <v>1.5725</v>
      </c>
      <c r="G81" s="49">
        <f t="shared" si="13"/>
        <v>234.29322225</v>
      </c>
      <c r="H81" s="29">
        <f t="shared" si="14"/>
        <v>14.742979400000053</v>
      </c>
      <c r="I81" s="30">
        <f t="shared" si="10"/>
        <v>0.06715082255715235</v>
      </c>
      <c r="J81" s="31">
        <f t="shared" si="11"/>
        <v>0.039743689505887324</v>
      </c>
    </row>
    <row r="82" spans="1:10" ht="13.5" thickBot="1">
      <c r="A82" s="37" t="s">
        <v>76</v>
      </c>
      <c r="B82" s="37"/>
      <c r="C82" s="37"/>
      <c r="D82" s="38">
        <f>SUM(D73:D81)</f>
        <v>1709.5102097499998</v>
      </c>
      <c r="E82" s="38"/>
      <c r="F82" s="38"/>
      <c r="G82" s="38">
        <f>SUM(G73:G81)</f>
        <v>2154.903037312747</v>
      </c>
      <c r="H82" s="39">
        <f>SUM(H73:H81)</f>
        <v>445.39282756274713</v>
      </c>
      <c r="I82" s="40">
        <f t="shared" si="10"/>
        <v>0.2605382670559667</v>
      </c>
      <c r="J82" s="41">
        <f t="shared" si="11"/>
        <v>0.3655410788574416</v>
      </c>
    </row>
    <row r="83" spans="1:10" ht="13.5" thickBot="1">
      <c r="A83" s="60" t="s">
        <v>12</v>
      </c>
      <c r="B83" s="32">
        <f>+B65*'Rate Schedules'!H119</f>
        <v>47488.88</v>
      </c>
      <c r="C83" s="62">
        <f>+'Rate Schedules'!H57</f>
        <v>0.0052</v>
      </c>
      <c r="D83" s="63">
        <f>+B83*C83</f>
        <v>246.942176</v>
      </c>
      <c r="E83" s="61">
        <f>+B65*H65</f>
        <v>47506.608</v>
      </c>
      <c r="F83" s="50">
        <f>+'Rate Schedules'!M57</f>
        <v>0.0052</v>
      </c>
      <c r="G83" s="63">
        <f>+E83*F83</f>
        <v>247.03436159999998</v>
      </c>
      <c r="H83" s="64">
        <f>+G83-D83</f>
        <v>0.09218559999999343</v>
      </c>
      <c r="I83" s="30">
        <f t="shared" si="10"/>
        <v>0.0003733084461035665</v>
      </c>
      <c r="J83" s="31">
        <f t="shared" si="11"/>
        <v>0.041904997807573126</v>
      </c>
    </row>
    <row r="84" spans="1:10" ht="13.5" thickBot="1">
      <c r="A84" s="65" t="s">
        <v>13</v>
      </c>
      <c r="B84" s="32">
        <f>+B65*'Rate Schedules'!H119</f>
        <v>47488.88</v>
      </c>
      <c r="C84" s="27">
        <f>+'Rate Schedules'!H58</f>
        <v>0.001</v>
      </c>
      <c r="D84" s="34">
        <f>+B84*C84</f>
        <v>47.48888</v>
      </c>
      <c r="E84" s="61">
        <f>+B65*H65</f>
        <v>47506.608</v>
      </c>
      <c r="F84" s="50">
        <f>+'Rate Schedules'!M58</f>
        <v>0.001</v>
      </c>
      <c r="G84" s="49">
        <f>+E84*F84</f>
        <v>47.506608</v>
      </c>
      <c r="H84" s="29">
        <f>+G84-D84</f>
        <v>0.01772799999999819</v>
      </c>
      <c r="I84" s="30">
        <f t="shared" si="10"/>
        <v>0.00037330844610355496</v>
      </c>
      <c r="J84" s="31">
        <f t="shared" si="11"/>
        <v>0.008058653424533295</v>
      </c>
    </row>
    <row r="85" spans="1:10" ht="26.25" thickBot="1">
      <c r="A85" s="25" t="s">
        <v>77</v>
      </c>
      <c r="B85" s="43">
        <v>1</v>
      </c>
      <c r="C85" s="66">
        <f>+'Rate Schedules'!H59</f>
        <v>0.25</v>
      </c>
      <c r="D85" s="49">
        <f>+B85*C85</f>
        <v>0.25</v>
      </c>
      <c r="E85" s="43">
        <v>1</v>
      </c>
      <c r="F85" s="66">
        <f>+'Rate Schedules'!M59</f>
        <v>0.25</v>
      </c>
      <c r="G85" s="45">
        <f>+E85*F85</f>
        <v>0.25</v>
      </c>
      <c r="H85" s="29">
        <f>+G85-D85</f>
        <v>0</v>
      </c>
      <c r="I85" s="30">
        <f t="shared" si="10"/>
        <v>0</v>
      </c>
      <c r="J85" s="31">
        <f t="shared" si="11"/>
        <v>4.240806576073214E-05</v>
      </c>
    </row>
    <row r="86" spans="1:10" ht="13.5" thickBot="1">
      <c r="A86" s="37" t="s">
        <v>78</v>
      </c>
      <c r="B86" s="37"/>
      <c r="C86" s="37"/>
      <c r="D86" s="38">
        <f>SUM(D83:D85)</f>
        <v>294.681056</v>
      </c>
      <c r="E86" s="38"/>
      <c r="F86" s="38"/>
      <c r="G86" s="38">
        <f>SUM(G83:G85)</f>
        <v>294.7909696</v>
      </c>
      <c r="H86" s="39">
        <f>SUM(H83:H85)</f>
        <v>0.10991359999999162</v>
      </c>
      <c r="I86" s="40">
        <f t="shared" si="10"/>
        <v>0.0003729917406023942</v>
      </c>
      <c r="J86" s="41">
        <f t="shared" si="11"/>
        <v>0.05000605929786715</v>
      </c>
    </row>
    <row r="87" spans="1:10" ht="13.5" thickBot="1">
      <c r="A87" s="37" t="s">
        <v>79</v>
      </c>
      <c r="B87" s="32">
        <f>+B65</f>
        <v>44320</v>
      </c>
      <c r="C87" s="67">
        <v>0.0051</v>
      </c>
      <c r="D87" s="38">
        <f>+B87*C87</f>
        <v>226.032</v>
      </c>
      <c r="E87" s="32">
        <f>+B65</f>
        <v>44320</v>
      </c>
      <c r="F87" s="67">
        <v>0.0051</v>
      </c>
      <c r="G87" s="38">
        <f>+E87*F87</f>
        <v>226.032</v>
      </c>
      <c r="H87" s="39">
        <f>+G87-D87</f>
        <v>0</v>
      </c>
      <c r="I87" s="40">
        <f t="shared" si="10"/>
        <v>0</v>
      </c>
      <c r="J87" s="41">
        <f t="shared" si="11"/>
        <v>0.03834231968011923</v>
      </c>
    </row>
    <row r="88" spans="1:10" ht="13.5" thickBot="1">
      <c r="A88" s="37" t="s">
        <v>80</v>
      </c>
      <c r="B88" s="37"/>
      <c r="C88" s="37"/>
      <c r="D88" s="68">
        <f>+D72+D82+D86+D87</f>
        <v>5167.783825750001</v>
      </c>
      <c r="E88" s="38"/>
      <c r="F88" s="38"/>
      <c r="G88" s="68">
        <f>+G72+G82+G86+G87</f>
        <v>5614.385702912747</v>
      </c>
      <c r="H88" s="39">
        <f>+H72+H82+H86+H87</f>
        <v>446.60187716274737</v>
      </c>
      <c r="I88" s="40">
        <f t="shared" si="10"/>
        <v>0.08642038680825277</v>
      </c>
      <c r="J88" s="41">
        <f t="shared" si="11"/>
        <v>0.9523809523809523</v>
      </c>
    </row>
    <row r="89" spans="1:10" ht="13.5" thickBot="1">
      <c r="A89" s="37" t="s">
        <v>81</v>
      </c>
      <c r="B89" s="69">
        <f>+D88</f>
        <v>5167.783825750001</v>
      </c>
      <c r="C89" s="102">
        <v>0.05</v>
      </c>
      <c r="D89" s="38">
        <f>+B89*C89</f>
        <v>258.38919128750007</v>
      </c>
      <c r="E89" s="69">
        <f>+G88</f>
        <v>5614.385702912747</v>
      </c>
      <c r="F89" s="102">
        <v>0.05</v>
      </c>
      <c r="G89" s="38">
        <f>+E89*F89</f>
        <v>280.71928514563734</v>
      </c>
      <c r="H89" s="39">
        <f>+G89-D89</f>
        <v>22.330093858137275</v>
      </c>
      <c r="I89" s="40">
        <f t="shared" si="10"/>
        <v>0.0864203868082524</v>
      </c>
      <c r="J89" s="41">
        <f t="shared" si="11"/>
        <v>0.047619047619047616</v>
      </c>
    </row>
    <row r="90" spans="1:10" ht="15.75" thickBot="1">
      <c r="A90" s="250" t="s">
        <v>82</v>
      </c>
      <c r="B90" s="251"/>
      <c r="C90" s="251"/>
      <c r="D90" s="70">
        <f>SUM(D88:D89)</f>
        <v>5426.1730170375</v>
      </c>
      <c r="E90" s="38"/>
      <c r="F90" s="38"/>
      <c r="G90" s="70">
        <f>SUM(G88:G89)</f>
        <v>5895.104988058384</v>
      </c>
      <c r="H90" s="39">
        <f>SUM(H88:H89)</f>
        <v>468.93197102088465</v>
      </c>
      <c r="I90" s="40">
        <f t="shared" si="10"/>
        <v>0.08642038680825276</v>
      </c>
      <c r="J90" s="41">
        <f t="shared" si="11"/>
        <v>1</v>
      </c>
    </row>
    <row r="91" spans="1:10" ht="12.75">
      <c r="A91" s="13"/>
      <c r="B91" s="13"/>
      <c r="C91" s="13"/>
      <c r="D91" s="13"/>
      <c r="E91" s="13"/>
      <c r="F91" s="13"/>
      <c r="G91" s="13"/>
      <c r="H91" s="13"/>
      <c r="I91" s="14"/>
      <c r="J91" s="13"/>
    </row>
    <row r="92" spans="1:10" ht="18">
      <c r="A92" s="15" t="s">
        <v>18</v>
      </c>
      <c r="B92" s="13"/>
      <c r="C92" s="13"/>
      <c r="D92" s="13"/>
      <c r="E92" s="13"/>
      <c r="F92" s="13"/>
      <c r="G92" s="13"/>
      <c r="H92" s="13"/>
      <c r="I92" s="14"/>
      <c r="J92" s="13"/>
    </row>
    <row r="93" spans="1:10" ht="13.5" thickBot="1">
      <c r="A93" s="13"/>
      <c r="B93" s="13"/>
      <c r="C93" s="13"/>
      <c r="D93" s="13"/>
      <c r="E93" s="13"/>
      <c r="F93" s="13"/>
      <c r="G93" s="13"/>
      <c r="H93" s="13"/>
      <c r="I93" s="14"/>
      <c r="J93" s="13"/>
    </row>
    <row r="94" spans="1:10" ht="12.75">
      <c r="A94" s="290" t="s">
        <v>58</v>
      </c>
      <c r="B94" s="292">
        <v>750</v>
      </c>
      <c r="C94" s="252" t="s">
        <v>59</v>
      </c>
      <c r="D94" s="292">
        <v>0</v>
      </c>
      <c r="E94" s="252" t="s">
        <v>60</v>
      </c>
      <c r="F94" s="254" t="s">
        <v>61</v>
      </c>
      <c r="G94" s="254"/>
      <c r="H94" s="247">
        <f>H7</f>
        <v>1.0719</v>
      </c>
      <c r="I94" s="248"/>
      <c r="J94" s="13"/>
    </row>
    <row r="95" spans="1:10" ht="13.5" thickBot="1">
      <c r="A95" s="291"/>
      <c r="B95" s="293"/>
      <c r="C95" s="253"/>
      <c r="D95" s="293"/>
      <c r="E95" s="253"/>
      <c r="F95" s="255"/>
      <c r="G95" s="255"/>
      <c r="H95" s="285"/>
      <c r="I95" s="286"/>
      <c r="J95" s="13"/>
    </row>
    <row r="96" spans="1:10" ht="13.5" thickBot="1">
      <c r="A96" s="16"/>
      <c r="B96" s="13"/>
      <c r="C96" s="13"/>
      <c r="D96" s="13"/>
      <c r="E96" s="13"/>
      <c r="F96" s="13"/>
      <c r="G96" s="13"/>
      <c r="H96" s="13"/>
      <c r="I96" s="14"/>
      <c r="J96" s="13"/>
    </row>
    <row r="97" spans="1:10" ht="21" thickBot="1">
      <c r="A97" s="17"/>
      <c r="B97" s="287" t="s">
        <v>62</v>
      </c>
      <c r="C97" s="288"/>
      <c r="D97" s="289"/>
      <c r="E97" s="287" t="s">
        <v>87</v>
      </c>
      <c r="F97" s="288"/>
      <c r="G97" s="289"/>
      <c r="H97" s="287" t="s">
        <v>63</v>
      </c>
      <c r="I97" s="288"/>
      <c r="J97" s="289"/>
    </row>
    <row r="98" spans="1:10" ht="26.25" thickBot="1">
      <c r="A98" s="18"/>
      <c r="B98" s="19" t="s">
        <v>64</v>
      </c>
      <c r="C98" s="20" t="s">
        <v>65</v>
      </c>
      <c r="D98" s="21" t="s">
        <v>66</v>
      </c>
      <c r="E98" s="20" t="s">
        <v>64</v>
      </c>
      <c r="F98" s="20" t="s">
        <v>65</v>
      </c>
      <c r="G98" s="21" t="s">
        <v>66</v>
      </c>
      <c r="H98" s="22" t="s">
        <v>2</v>
      </c>
      <c r="I98" s="23" t="s">
        <v>52</v>
      </c>
      <c r="J98" s="24" t="s">
        <v>67</v>
      </c>
    </row>
    <row r="99" spans="1:10" ht="12.75">
      <c r="A99" s="25" t="s">
        <v>68</v>
      </c>
      <c r="B99" s="26">
        <v>750</v>
      </c>
      <c r="C99" s="27">
        <v>0.053</v>
      </c>
      <c r="D99" s="28">
        <f>+B99*C99</f>
        <v>39.75</v>
      </c>
      <c r="E99" s="26">
        <v>750</v>
      </c>
      <c r="F99" s="27">
        <v>0.053</v>
      </c>
      <c r="G99" s="28">
        <f>+E99*F99</f>
        <v>39.75</v>
      </c>
      <c r="H99" s="29">
        <f>+G99-D99</f>
        <v>0</v>
      </c>
      <c r="I99" s="30">
        <f aca="true" t="shared" si="15" ref="I99:I119">IF(ISERROR(H99/D99),0,H99/D99)</f>
        <v>0</v>
      </c>
      <c r="J99" s="31">
        <f aca="true" t="shared" si="16" ref="J99:J119">IF(ISERROR(G99/$G$119),0,G99/$G$119)</f>
        <v>0.3545754797902982</v>
      </c>
    </row>
    <row r="100" spans="1:10" ht="13.5" thickBot="1">
      <c r="A100" s="25" t="s">
        <v>69</v>
      </c>
      <c r="B100" s="32">
        <f>(B94*'Rate Schedules'!H119)-B99</f>
        <v>53.624999999999886</v>
      </c>
      <c r="C100" s="33">
        <v>0.062</v>
      </c>
      <c r="D100" s="34">
        <f>+B100*C100</f>
        <v>3.3247499999999928</v>
      </c>
      <c r="E100" s="32">
        <f>(B94*H94)-E99</f>
        <v>53.92500000000007</v>
      </c>
      <c r="F100" s="33">
        <v>0.062</v>
      </c>
      <c r="G100" s="35">
        <f>+E100*F100</f>
        <v>3.343350000000004</v>
      </c>
      <c r="H100" s="29">
        <f>+G100-D100</f>
        <v>0.018600000000011274</v>
      </c>
      <c r="I100" s="36">
        <f t="shared" si="15"/>
        <v>0.005594405594408998</v>
      </c>
      <c r="J100" s="31">
        <f t="shared" si="16"/>
        <v>0.029823142902060246</v>
      </c>
    </row>
    <row r="101" spans="1:10" ht="13.5" thickBot="1">
      <c r="A101" s="37" t="s">
        <v>70</v>
      </c>
      <c r="B101" s="37"/>
      <c r="C101" s="37"/>
      <c r="D101" s="38">
        <f>SUM(D99:D100)</f>
        <v>43.074749999999995</v>
      </c>
      <c r="E101" s="38"/>
      <c r="F101" s="38"/>
      <c r="G101" s="38">
        <f>SUM(G99:G100)</f>
        <v>43.09335</v>
      </c>
      <c r="H101" s="39">
        <f>SUM(H99:H100)</f>
        <v>0.018600000000011274</v>
      </c>
      <c r="I101" s="40">
        <f t="shared" si="15"/>
        <v>0.00043180749743205186</v>
      </c>
      <c r="J101" s="41">
        <f t="shared" si="16"/>
        <v>0.3843986226923584</v>
      </c>
    </row>
    <row r="102" spans="1:10" ht="12.75">
      <c r="A102" s="42" t="s">
        <v>71</v>
      </c>
      <c r="B102" s="43">
        <v>1</v>
      </c>
      <c r="C102" s="44">
        <f>+'Rate Schedules'!H62</f>
        <v>32.87</v>
      </c>
      <c r="D102" s="45">
        <f aca="true" t="shared" si="17" ref="D102:D110">+B102*C102</f>
        <v>32.87</v>
      </c>
      <c r="E102" s="46">
        <v>1</v>
      </c>
      <c r="F102" s="44">
        <f>+'Rate Schedules'!M62</f>
        <v>33.43</v>
      </c>
      <c r="G102" s="45">
        <f aca="true" t="shared" si="18" ref="G102:G110">+E102*F102</f>
        <v>33.43</v>
      </c>
      <c r="H102" s="29">
        <f aca="true" t="shared" si="19" ref="H102:H110">+G102-D102</f>
        <v>0.5600000000000023</v>
      </c>
      <c r="I102" s="30">
        <f t="shared" si="15"/>
        <v>0.017036811682385224</v>
      </c>
      <c r="J102" s="31">
        <f t="shared" si="16"/>
        <v>0.29820020853810486</v>
      </c>
    </row>
    <row r="103" spans="1:10" ht="12.75">
      <c r="A103" s="47" t="s">
        <v>72</v>
      </c>
      <c r="B103" s="32">
        <f>+B94</f>
        <v>750</v>
      </c>
      <c r="C103" s="48">
        <f>+'Rate Schedules'!H64</f>
        <v>0.0154</v>
      </c>
      <c r="D103" s="49">
        <f t="shared" si="17"/>
        <v>11.55</v>
      </c>
      <c r="E103" s="32">
        <f>+B94</f>
        <v>750</v>
      </c>
      <c r="F103" s="48">
        <f>+'Rate Schedules'!M64</f>
        <v>0.0198</v>
      </c>
      <c r="G103" s="49">
        <f t="shared" si="18"/>
        <v>14.850000000000001</v>
      </c>
      <c r="H103" s="29">
        <f t="shared" si="19"/>
        <v>3.3000000000000007</v>
      </c>
      <c r="I103" s="30">
        <f t="shared" si="15"/>
        <v>0.28571428571428575</v>
      </c>
      <c r="J103" s="31">
        <f t="shared" si="16"/>
        <v>0.1324640471669416</v>
      </c>
    </row>
    <row r="104" spans="1:10" ht="12.75">
      <c r="A104" s="47" t="s">
        <v>73</v>
      </c>
      <c r="B104" s="32">
        <f>+D94</f>
        <v>0</v>
      </c>
      <c r="C104" s="50">
        <v>0</v>
      </c>
      <c r="D104" s="49">
        <f t="shared" si="17"/>
        <v>0</v>
      </c>
      <c r="E104" s="51">
        <f>+D94</f>
        <v>0</v>
      </c>
      <c r="F104" s="50">
        <v>0</v>
      </c>
      <c r="G104" s="49">
        <f t="shared" si="18"/>
        <v>0</v>
      </c>
      <c r="H104" s="29">
        <f t="shared" si="19"/>
        <v>0</v>
      </c>
      <c r="I104" s="30">
        <f t="shared" si="15"/>
        <v>0</v>
      </c>
      <c r="J104" s="31">
        <f t="shared" si="16"/>
        <v>0</v>
      </c>
    </row>
    <row r="105" spans="1:10" ht="12.75">
      <c r="A105" s="25" t="s">
        <v>74</v>
      </c>
      <c r="B105" s="32">
        <f>+B94</f>
        <v>750</v>
      </c>
      <c r="C105" s="50">
        <f>+'Rate Schedules'!H68</f>
        <v>0</v>
      </c>
      <c r="D105" s="49">
        <f t="shared" si="17"/>
        <v>0</v>
      </c>
      <c r="E105" s="32">
        <f>+B94</f>
        <v>750</v>
      </c>
      <c r="F105" s="50">
        <f>+'Rate Schedules'!M68</f>
        <v>0.0003</v>
      </c>
      <c r="G105" s="49">
        <f t="shared" si="18"/>
        <v>0.22499999999999998</v>
      </c>
      <c r="H105" s="29">
        <f t="shared" si="19"/>
        <v>0.22499999999999998</v>
      </c>
      <c r="I105" s="30">
        <f t="shared" si="15"/>
        <v>0</v>
      </c>
      <c r="J105" s="31">
        <f t="shared" si="16"/>
        <v>0.002007031017680933</v>
      </c>
    </row>
    <row r="106" spans="1:10" ht="12.75">
      <c r="A106" s="25" t="s">
        <v>75</v>
      </c>
      <c r="B106" s="52">
        <f>+B94</f>
        <v>750</v>
      </c>
      <c r="C106" s="53">
        <v>0</v>
      </c>
      <c r="D106" s="49">
        <f t="shared" si="17"/>
        <v>0</v>
      </c>
      <c r="E106" s="52">
        <f>+B94</f>
        <v>750</v>
      </c>
      <c r="F106" s="53">
        <v>0</v>
      </c>
      <c r="G106" s="54">
        <f t="shared" si="18"/>
        <v>0</v>
      </c>
      <c r="H106" s="29">
        <f t="shared" si="19"/>
        <v>0</v>
      </c>
      <c r="I106" s="30">
        <f t="shared" si="15"/>
        <v>0</v>
      </c>
      <c r="J106" s="31">
        <f t="shared" si="16"/>
        <v>0</v>
      </c>
    </row>
    <row r="107" spans="1:10" ht="25.5">
      <c r="A107" s="25" t="s">
        <v>88</v>
      </c>
      <c r="B107" s="55">
        <v>1</v>
      </c>
      <c r="C107" s="56">
        <f>+'Rate Schedules'!H63</f>
        <v>0</v>
      </c>
      <c r="D107" s="57">
        <f t="shared" si="17"/>
        <v>0</v>
      </c>
      <c r="E107" s="55">
        <v>1</v>
      </c>
      <c r="F107" s="58">
        <f>+'Rate Schedules'!M63</f>
        <v>0</v>
      </c>
      <c r="G107" s="49">
        <f t="shared" si="18"/>
        <v>0</v>
      </c>
      <c r="H107" s="29">
        <f t="shared" si="19"/>
        <v>0</v>
      </c>
      <c r="I107" s="30">
        <f t="shared" si="15"/>
        <v>0</v>
      </c>
      <c r="J107" s="31">
        <f t="shared" si="16"/>
        <v>0</v>
      </c>
    </row>
    <row r="108" spans="1:10" ht="25.5">
      <c r="A108" s="25" t="s">
        <v>89</v>
      </c>
      <c r="B108" s="32">
        <f>+B94</f>
        <v>750</v>
      </c>
      <c r="C108" s="59">
        <f>+'Rate Schedules'!H65</f>
        <v>0</v>
      </c>
      <c r="D108" s="57">
        <f t="shared" si="17"/>
        <v>0</v>
      </c>
      <c r="E108" s="52">
        <f>+B94</f>
        <v>750</v>
      </c>
      <c r="F108" s="50">
        <f>+'Rate Schedules'!M65</f>
        <v>0</v>
      </c>
      <c r="G108" s="49">
        <f t="shared" si="18"/>
        <v>0</v>
      </c>
      <c r="H108" s="29">
        <f t="shared" si="19"/>
        <v>0</v>
      </c>
      <c r="I108" s="30">
        <f t="shared" si="15"/>
        <v>0</v>
      </c>
      <c r="J108" s="31">
        <f t="shared" si="16"/>
        <v>0</v>
      </c>
    </row>
    <row r="109" spans="1:10" ht="25.5">
      <c r="A109" s="25" t="s">
        <v>8</v>
      </c>
      <c r="B109" s="32">
        <f>+B94*'Rate Schedules'!H119</f>
        <v>803.6249999999999</v>
      </c>
      <c r="C109" s="50">
        <f>+'Rate Schedules'!H69</f>
        <v>0.0039</v>
      </c>
      <c r="D109" s="49">
        <f t="shared" si="17"/>
        <v>3.1341374999999996</v>
      </c>
      <c r="E109" s="32">
        <f>+B94*H94</f>
        <v>803.9250000000001</v>
      </c>
      <c r="F109" s="50">
        <f>+'Rate Schedules'!M69</f>
        <v>0.0039</v>
      </c>
      <c r="G109" s="49">
        <f t="shared" si="18"/>
        <v>3.1353075</v>
      </c>
      <c r="H109" s="29">
        <f t="shared" si="19"/>
        <v>0.0011700000000005595</v>
      </c>
      <c r="I109" s="30">
        <f t="shared" si="15"/>
        <v>0.00037330844610377164</v>
      </c>
      <c r="J109" s="31">
        <f t="shared" si="16"/>
        <v>0.0279673751220785</v>
      </c>
    </row>
    <row r="110" spans="1:10" ht="39" thickBot="1">
      <c r="A110" s="25" t="s">
        <v>9</v>
      </c>
      <c r="B110" s="32">
        <f>+B94*'Rate Schedules'!H119</f>
        <v>803.6249999999999</v>
      </c>
      <c r="C110" s="50">
        <f>+'Rate Schedules'!H70</f>
        <v>0.0037</v>
      </c>
      <c r="D110" s="49">
        <f t="shared" si="17"/>
        <v>2.9734125</v>
      </c>
      <c r="E110" s="32">
        <f>+B94*H94</f>
        <v>803.9250000000001</v>
      </c>
      <c r="F110" s="50">
        <f>+'Rate Schedules'!M70</f>
        <v>0.0037</v>
      </c>
      <c r="G110" s="49">
        <f t="shared" si="18"/>
        <v>2.9745225000000004</v>
      </c>
      <c r="H110" s="29">
        <f t="shared" si="19"/>
        <v>0.0011100000000006105</v>
      </c>
      <c r="I110" s="30">
        <f t="shared" si="15"/>
        <v>0.0003733084461037984</v>
      </c>
      <c r="J110" s="31">
        <f t="shared" si="16"/>
        <v>0.026533150756843708</v>
      </c>
    </row>
    <row r="111" spans="1:10" ht="13.5" thickBot="1">
      <c r="A111" s="37" t="s">
        <v>76</v>
      </c>
      <c r="B111" s="37"/>
      <c r="C111" s="37"/>
      <c r="D111" s="38">
        <f>SUM(D102:D110)</f>
        <v>50.527550000000005</v>
      </c>
      <c r="E111" s="38"/>
      <c r="F111" s="38"/>
      <c r="G111" s="38">
        <f>SUM(G102:G110)</f>
        <v>54.614830000000005</v>
      </c>
      <c r="H111" s="39">
        <f>SUM(H102:H110)</f>
        <v>4.087280000000003</v>
      </c>
      <c r="I111" s="40">
        <f t="shared" si="15"/>
        <v>0.08089210737508554</v>
      </c>
      <c r="J111" s="41">
        <f t="shared" si="16"/>
        <v>0.4871718126016496</v>
      </c>
    </row>
    <row r="112" spans="1:10" ht="12.75">
      <c r="A112" s="60" t="s">
        <v>12</v>
      </c>
      <c r="B112" s="32">
        <f>+B94*'Rate Schedules'!H119</f>
        <v>803.6249999999999</v>
      </c>
      <c r="C112" s="62">
        <f>+'Rate Schedules'!H75</f>
        <v>0.0052</v>
      </c>
      <c r="D112" s="63">
        <f>+B112*C112</f>
        <v>4.178849999999999</v>
      </c>
      <c r="E112" s="32">
        <f>+B94*H94</f>
        <v>803.9250000000001</v>
      </c>
      <c r="F112" s="50">
        <f>+'Rate Schedules'!M75</f>
        <v>0.0052</v>
      </c>
      <c r="G112" s="63">
        <f>+E112*F112</f>
        <v>4.18041</v>
      </c>
      <c r="H112" s="64">
        <f>+G112-D112</f>
        <v>0.001560000000001338</v>
      </c>
      <c r="I112" s="30">
        <f t="shared" si="15"/>
        <v>0.0003733084461039134</v>
      </c>
      <c r="J112" s="31">
        <f t="shared" si="16"/>
        <v>0.037289833496104666</v>
      </c>
    </row>
    <row r="113" spans="1:10" ht="13.5" thickBot="1">
      <c r="A113" s="65" t="s">
        <v>13</v>
      </c>
      <c r="B113" s="32">
        <f>+B94*'Rate Schedules'!H119</f>
        <v>803.6249999999999</v>
      </c>
      <c r="C113" s="27">
        <f>+'Rate Schedules'!H76</f>
        <v>0.001</v>
      </c>
      <c r="D113" s="34">
        <f>+B113*C113</f>
        <v>0.8036249999999999</v>
      </c>
      <c r="E113" s="32">
        <f>+B94*H94</f>
        <v>803.9250000000001</v>
      </c>
      <c r="F113" s="50">
        <f>+'Rate Schedules'!M76</f>
        <v>0.001</v>
      </c>
      <c r="G113" s="49">
        <f>+E113*F113</f>
        <v>0.8039250000000001</v>
      </c>
      <c r="H113" s="29">
        <f>+G113-D113</f>
        <v>0.000300000000000189</v>
      </c>
      <c r="I113" s="30">
        <f t="shared" si="15"/>
        <v>0.00037330844610382834</v>
      </c>
      <c r="J113" s="31">
        <f t="shared" si="16"/>
        <v>0.007171121826173975</v>
      </c>
    </row>
    <row r="114" spans="1:10" ht="26.25" thickBot="1">
      <c r="A114" s="25" t="s">
        <v>77</v>
      </c>
      <c r="B114" s="43">
        <v>1</v>
      </c>
      <c r="C114" s="66">
        <f>+'Rate Schedules'!H77</f>
        <v>0.25</v>
      </c>
      <c r="D114" s="49">
        <f>+B114*C114</f>
        <v>0.25</v>
      </c>
      <c r="E114" s="43">
        <v>1</v>
      </c>
      <c r="F114" s="66">
        <f>+'Rate Schedules'!M77</f>
        <v>0.25</v>
      </c>
      <c r="G114" s="45">
        <f>+E114*F114</f>
        <v>0.25</v>
      </c>
      <c r="H114" s="29">
        <f>+G114-D114</f>
        <v>0</v>
      </c>
      <c r="I114" s="30">
        <f t="shared" si="15"/>
        <v>0</v>
      </c>
      <c r="J114" s="31">
        <f t="shared" si="16"/>
        <v>0.0022300344640899254</v>
      </c>
    </row>
    <row r="115" spans="1:10" ht="13.5" thickBot="1">
      <c r="A115" s="37" t="s">
        <v>78</v>
      </c>
      <c r="B115" s="37"/>
      <c r="C115" s="37"/>
      <c r="D115" s="38">
        <f>SUM(D112:D114)</f>
        <v>5.232474999999999</v>
      </c>
      <c r="E115" s="38"/>
      <c r="F115" s="38"/>
      <c r="G115" s="38">
        <f>SUM(G112:G114)</f>
        <v>5.234335000000001</v>
      </c>
      <c r="H115" s="39">
        <f>SUM(H112:H114)</f>
        <v>0.001860000000001527</v>
      </c>
      <c r="I115" s="40">
        <f t="shared" si="15"/>
        <v>0.0003554723147270704</v>
      </c>
      <c r="J115" s="41">
        <f t="shared" si="16"/>
        <v>0.04669098978636857</v>
      </c>
    </row>
    <row r="116" spans="1:10" ht="13.5" thickBot="1">
      <c r="A116" s="37" t="s">
        <v>79</v>
      </c>
      <c r="B116" s="32">
        <f>+B94</f>
        <v>750</v>
      </c>
      <c r="C116" s="67">
        <v>0.0051</v>
      </c>
      <c r="D116" s="38">
        <f>+B116*C116</f>
        <v>3.825</v>
      </c>
      <c r="E116" s="32">
        <f>+B94</f>
        <v>750</v>
      </c>
      <c r="F116" s="67">
        <v>0.0051</v>
      </c>
      <c r="G116" s="38">
        <f>+E116*F116</f>
        <v>3.825</v>
      </c>
      <c r="H116" s="39">
        <f>+G116-D116</f>
        <v>0</v>
      </c>
      <c r="I116" s="40">
        <f t="shared" si="15"/>
        <v>0</v>
      </c>
      <c r="J116" s="41">
        <f t="shared" si="16"/>
        <v>0.034119527300575866</v>
      </c>
    </row>
    <row r="117" spans="1:10" ht="13.5" thickBot="1">
      <c r="A117" s="37" t="s">
        <v>80</v>
      </c>
      <c r="B117" s="37"/>
      <c r="C117" s="37"/>
      <c r="D117" s="68">
        <f>+D101+D111+D115+D116</f>
        <v>102.659775</v>
      </c>
      <c r="E117" s="38"/>
      <c r="F117" s="38"/>
      <c r="G117" s="68">
        <f>+G101+G111+G115+G116</f>
        <v>106.767515</v>
      </c>
      <c r="H117" s="39">
        <f>+H101+H111+H115+H116</f>
        <v>4.107740000000017</v>
      </c>
      <c r="I117" s="40">
        <f t="shared" si="15"/>
        <v>0.04001314049246666</v>
      </c>
      <c r="J117" s="41">
        <f t="shared" si="16"/>
        <v>0.9523809523809524</v>
      </c>
    </row>
    <row r="118" spans="1:10" ht="13.5" thickBot="1">
      <c r="A118" s="37" t="s">
        <v>81</v>
      </c>
      <c r="B118" s="69">
        <f>+D117</f>
        <v>102.659775</v>
      </c>
      <c r="C118" s="102">
        <v>0.05</v>
      </c>
      <c r="D118" s="38">
        <f>+B118*C118</f>
        <v>5.13298875</v>
      </c>
      <c r="E118" s="69">
        <f>+G117</f>
        <v>106.767515</v>
      </c>
      <c r="F118" s="102">
        <v>0.05</v>
      </c>
      <c r="G118" s="38">
        <f>+E118*F118</f>
        <v>5.338375750000001</v>
      </c>
      <c r="H118" s="39">
        <f>+G118-D118</f>
        <v>0.20538700000000087</v>
      </c>
      <c r="I118" s="40">
        <f t="shared" si="15"/>
        <v>0.04001314049246667</v>
      </c>
      <c r="J118" s="41">
        <f t="shared" si="16"/>
        <v>0.04761904761904762</v>
      </c>
    </row>
    <row r="119" spans="1:10" ht="15.75" thickBot="1">
      <c r="A119" s="250" t="s">
        <v>82</v>
      </c>
      <c r="B119" s="251"/>
      <c r="C119" s="251"/>
      <c r="D119" s="70">
        <f>SUM(D117:D118)</f>
        <v>107.79276374999999</v>
      </c>
      <c r="E119" s="38"/>
      <c r="F119" s="38"/>
      <c r="G119" s="70">
        <f>SUM(G117:G118)</f>
        <v>112.10589075</v>
      </c>
      <c r="H119" s="39">
        <f>SUM(H117:H118)</f>
        <v>4.3131270000000175</v>
      </c>
      <c r="I119" s="40">
        <f t="shared" si="15"/>
        <v>0.04001314049246667</v>
      </c>
      <c r="J119" s="41">
        <f t="shared" si="16"/>
        <v>1</v>
      </c>
    </row>
    <row r="120" spans="1:10" ht="12.75">
      <c r="A120" s="13"/>
      <c r="B120" s="13"/>
      <c r="C120" s="13"/>
      <c r="D120" s="13"/>
      <c r="E120" s="13"/>
      <c r="F120" s="13"/>
      <c r="G120" s="13"/>
      <c r="H120" s="13"/>
      <c r="I120" s="14"/>
      <c r="J120" s="13"/>
    </row>
    <row r="121" spans="1:10" ht="18">
      <c r="A121" s="15" t="s">
        <v>19</v>
      </c>
      <c r="B121" s="13"/>
      <c r="C121" s="13"/>
      <c r="D121" s="13"/>
      <c r="E121" s="13"/>
      <c r="F121" s="13"/>
      <c r="G121" s="13"/>
      <c r="H121" s="13"/>
      <c r="I121" s="14"/>
      <c r="J121" s="13"/>
    </row>
    <row r="122" spans="1:10" ht="13.5" thickBot="1">
      <c r="A122" s="13"/>
      <c r="B122" s="13"/>
      <c r="C122" s="13"/>
      <c r="D122" s="13"/>
      <c r="E122" s="13"/>
      <c r="F122" s="13"/>
      <c r="G122" s="13"/>
      <c r="H122" s="13"/>
      <c r="I122" s="14"/>
      <c r="J122" s="13"/>
    </row>
    <row r="123" spans="1:10" ht="12.75">
      <c r="A123" s="290" t="s">
        <v>58</v>
      </c>
      <c r="B123" s="292">
        <v>3000</v>
      </c>
      <c r="C123" s="252" t="s">
        <v>59</v>
      </c>
      <c r="D123" s="292">
        <v>10</v>
      </c>
      <c r="E123" s="252" t="s">
        <v>60</v>
      </c>
      <c r="F123" s="254" t="s">
        <v>61</v>
      </c>
      <c r="G123" s="254"/>
      <c r="H123" s="247">
        <f>H7</f>
        <v>1.0719</v>
      </c>
      <c r="I123" s="248"/>
      <c r="J123" s="13"/>
    </row>
    <row r="124" spans="1:10" ht="13.5" thickBot="1">
      <c r="A124" s="291"/>
      <c r="B124" s="293"/>
      <c r="C124" s="253"/>
      <c r="D124" s="293"/>
      <c r="E124" s="253"/>
      <c r="F124" s="255"/>
      <c r="G124" s="255"/>
      <c r="H124" s="285"/>
      <c r="I124" s="286"/>
      <c r="J124" s="13"/>
    </row>
    <row r="125" spans="1:10" ht="13.5" thickBot="1">
      <c r="A125" s="16"/>
      <c r="B125" s="13"/>
      <c r="C125" s="13"/>
      <c r="D125" s="13"/>
      <c r="E125" s="13"/>
      <c r="F125" s="13"/>
      <c r="G125" s="13"/>
      <c r="H125" s="13"/>
      <c r="I125" s="14"/>
      <c r="J125" s="13"/>
    </row>
    <row r="126" spans="1:10" ht="21" thickBot="1">
      <c r="A126" s="17"/>
      <c r="B126" s="287" t="s">
        <v>62</v>
      </c>
      <c r="C126" s="288"/>
      <c r="D126" s="289"/>
      <c r="E126" s="287" t="s">
        <v>87</v>
      </c>
      <c r="F126" s="288"/>
      <c r="G126" s="289"/>
      <c r="H126" s="287" t="s">
        <v>63</v>
      </c>
      <c r="I126" s="288"/>
      <c r="J126" s="289"/>
    </row>
    <row r="127" spans="1:10" ht="26.25" thickBot="1">
      <c r="A127" s="18"/>
      <c r="B127" s="19" t="s">
        <v>64</v>
      </c>
      <c r="C127" s="20" t="s">
        <v>65</v>
      </c>
      <c r="D127" s="21" t="s">
        <v>66</v>
      </c>
      <c r="E127" s="20" t="s">
        <v>64</v>
      </c>
      <c r="F127" s="20" t="s">
        <v>65</v>
      </c>
      <c r="G127" s="21" t="s">
        <v>66</v>
      </c>
      <c r="H127" s="22" t="s">
        <v>2</v>
      </c>
      <c r="I127" s="23" t="s">
        <v>52</v>
      </c>
      <c r="J127" s="24" t="s">
        <v>67</v>
      </c>
    </row>
    <row r="128" spans="1:10" ht="12.75">
      <c r="A128" s="25" t="s">
        <v>68</v>
      </c>
      <c r="B128" s="26">
        <v>750</v>
      </c>
      <c r="C128" s="27">
        <v>0.053</v>
      </c>
      <c r="D128" s="28">
        <f>+B128*C128</f>
        <v>39.75</v>
      </c>
      <c r="E128" s="26">
        <v>750</v>
      </c>
      <c r="F128" s="27">
        <v>0.053</v>
      </c>
      <c r="G128" s="28">
        <f>+E128*F128</f>
        <v>39.75</v>
      </c>
      <c r="H128" s="29">
        <f>+G128-D128</f>
        <v>0</v>
      </c>
      <c r="I128" s="30">
        <f aca="true" t="shared" si="20" ref="I128:I148">IF(ISERROR(H128/D128),0,H128/D128)</f>
        <v>0</v>
      </c>
      <c r="J128" s="31">
        <f aca="true" t="shared" si="21" ref="J128:J148">IF(ISERROR(G128/$G$148),0,G128/$G$148)</f>
        <v>0.11248791684564093</v>
      </c>
    </row>
    <row r="129" spans="1:10" ht="13.5" thickBot="1">
      <c r="A129" s="25" t="s">
        <v>69</v>
      </c>
      <c r="B129" s="32">
        <f>(B123*'Rate Schedules'!H119)-B128</f>
        <v>2464.4999999999995</v>
      </c>
      <c r="C129" s="33">
        <v>0.062</v>
      </c>
      <c r="D129" s="34">
        <f>+B129*C129</f>
        <v>152.79899999999998</v>
      </c>
      <c r="E129" s="32">
        <f>(B123*H123)-B128</f>
        <v>2465.7000000000003</v>
      </c>
      <c r="F129" s="33">
        <v>0.062</v>
      </c>
      <c r="G129" s="35">
        <f>+E129*F129</f>
        <v>152.8734</v>
      </c>
      <c r="H129" s="29">
        <f>+G129-D129</f>
        <v>0.07440000000002556</v>
      </c>
      <c r="I129" s="36">
        <f t="shared" si="20"/>
        <v>0.0004869141813756999</v>
      </c>
      <c r="J129" s="31">
        <f t="shared" si="21"/>
        <v>0.4326140957763624</v>
      </c>
    </row>
    <row r="130" spans="1:10" ht="13.5" thickBot="1">
      <c r="A130" s="37" t="s">
        <v>70</v>
      </c>
      <c r="B130" s="37"/>
      <c r="C130" s="37"/>
      <c r="D130" s="38">
        <f>SUM(D128:D129)</f>
        <v>192.54899999999998</v>
      </c>
      <c r="E130" s="38"/>
      <c r="F130" s="38"/>
      <c r="G130" s="38">
        <f>SUM(G128:G129)</f>
        <v>192.6234</v>
      </c>
      <c r="H130" s="39">
        <f>SUM(H128:H129)</f>
        <v>0.07440000000002556</v>
      </c>
      <c r="I130" s="40">
        <f t="shared" si="20"/>
        <v>0.00038639515136420116</v>
      </c>
      <c r="J130" s="41">
        <f t="shared" si="21"/>
        <v>0.5451020126220033</v>
      </c>
    </row>
    <row r="131" spans="1:10" ht="12.75">
      <c r="A131" s="42" t="s">
        <v>71</v>
      </c>
      <c r="B131" s="43">
        <v>15</v>
      </c>
      <c r="C131" s="44">
        <f>+'Rate Schedules'!H80</f>
        <v>1.78</v>
      </c>
      <c r="D131" s="45">
        <f aca="true" t="shared" si="22" ref="D131:D139">+B131*C131</f>
        <v>26.7</v>
      </c>
      <c r="E131" s="46">
        <v>15</v>
      </c>
      <c r="F131" s="44">
        <f>+'Rate Schedules'!M80</f>
        <v>3.03</v>
      </c>
      <c r="G131" s="45">
        <f aca="true" t="shared" si="23" ref="G131:G139">+E131*F131</f>
        <v>45.449999999999996</v>
      </c>
      <c r="H131" s="29">
        <f aca="true" t="shared" si="24" ref="H131:H139">+G131-D131</f>
        <v>18.749999999999996</v>
      </c>
      <c r="I131" s="30">
        <f t="shared" si="20"/>
        <v>0.7022471910112359</v>
      </c>
      <c r="J131" s="31">
        <f t="shared" si="21"/>
        <v>0.12861825963860074</v>
      </c>
    </row>
    <row r="132" spans="1:10" ht="12.75">
      <c r="A132" s="47" t="s">
        <v>72</v>
      </c>
      <c r="B132" s="32">
        <f>+B123</f>
        <v>3000</v>
      </c>
      <c r="C132" s="48">
        <v>0</v>
      </c>
      <c r="D132" s="49">
        <f t="shared" si="22"/>
        <v>0</v>
      </c>
      <c r="E132" s="32">
        <f>+B123</f>
        <v>3000</v>
      </c>
      <c r="F132" s="48">
        <v>0</v>
      </c>
      <c r="G132" s="49">
        <f t="shared" si="23"/>
        <v>0</v>
      </c>
      <c r="H132" s="29">
        <f t="shared" si="24"/>
        <v>0</v>
      </c>
      <c r="I132" s="30">
        <f t="shared" si="20"/>
        <v>0</v>
      </c>
      <c r="J132" s="31">
        <f t="shared" si="21"/>
        <v>0</v>
      </c>
    </row>
    <row r="133" spans="1:10" ht="12.75">
      <c r="A133" s="47" t="s">
        <v>73</v>
      </c>
      <c r="B133" s="32">
        <f>+D123</f>
        <v>10</v>
      </c>
      <c r="C133" s="50">
        <f>+'Rate Schedules'!H82</f>
        <v>2.6201</v>
      </c>
      <c r="D133" s="49">
        <f t="shared" si="22"/>
        <v>26.201</v>
      </c>
      <c r="E133" s="51">
        <f>+D123</f>
        <v>10</v>
      </c>
      <c r="F133" s="50">
        <f>+'Rate Schedules'!M82</f>
        <v>3.6952</v>
      </c>
      <c r="G133" s="49">
        <f t="shared" si="23"/>
        <v>36.952</v>
      </c>
      <c r="H133" s="29">
        <f t="shared" si="24"/>
        <v>10.750999999999998</v>
      </c>
      <c r="I133" s="30">
        <f t="shared" si="20"/>
        <v>0.41032785008205785</v>
      </c>
      <c r="J133" s="31">
        <f t="shared" si="21"/>
        <v>0.10456989945358801</v>
      </c>
    </row>
    <row r="134" spans="1:10" ht="12.75">
      <c r="A134" s="25" t="s">
        <v>74</v>
      </c>
      <c r="B134" s="32">
        <f>+D123</f>
        <v>10</v>
      </c>
      <c r="C134" s="50">
        <f>+'Rate Schedules'!H86</f>
        <v>0</v>
      </c>
      <c r="D134" s="49">
        <f t="shared" si="22"/>
        <v>0</v>
      </c>
      <c r="E134" s="32">
        <f>+D123</f>
        <v>10</v>
      </c>
      <c r="F134" s="50">
        <f>+'Rate Schedules'!M86</f>
        <v>0.0727</v>
      </c>
      <c r="G134" s="49">
        <f t="shared" si="23"/>
        <v>0.727</v>
      </c>
      <c r="H134" s="29">
        <f t="shared" si="24"/>
        <v>0.727</v>
      </c>
      <c r="I134" s="30">
        <f t="shared" si="20"/>
        <v>0</v>
      </c>
      <c r="J134" s="31">
        <f t="shared" si="21"/>
        <v>0.002057326177277508</v>
      </c>
    </row>
    <row r="135" spans="1:10" ht="12.75">
      <c r="A135" s="25" t="s">
        <v>75</v>
      </c>
      <c r="B135" s="52">
        <f>+D123</f>
        <v>10</v>
      </c>
      <c r="C135" s="53">
        <v>0</v>
      </c>
      <c r="D135" s="49">
        <f t="shared" si="22"/>
        <v>0</v>
      </c>
      <c r="E135" s="52">
        <f>+D123</f>
        <v>10</v>
      </c>
      <c r="F135" s="53">
        <v>0</v>
      </c>
      <c r="G135" s="54">
        <f t="shared" si="23"/>
        <v>0</v>
      </c>
      <c r="H135" s="29">
        <f t="shared" si="24"/>
        <v>0</v>
      </c>
      <c r="I135" s="30">
        <f t="shared" si="20"/>
        <v>0</v>
      </c>
      <c r="J135" s="31">
        <f t="shared" si="21"/>
        <v>0</v>
      </c>
    </row>
    <row r="136" spans="1:10" ht="25.5">
      <c r="A136" s="25" t="s">
        <v>88</v>
      </c>
      <c r="B136" s="55">
        <v>1</v>
      </c>
      <c r="C136" s="56">
        <f>+'Rate Schedules'!H81</f>
        <v>0</v>
      </c>
      <c r="D136" s="57">
        <f t="shared" si="22"/>
        <v>0</v>
      </c>
      <c r="E136" s="55">
        <v>1</v>
      </c>
      <c r="F136" s="58">
        <f>+'Rate Schedules'!M81</f>
        <v>0</v>
      </c>
      <c r="G136" s="49">
        <f t="shared" si="23"/>
        <v>0</v>
      </c>
      <c r="H136" s="29">
        <f t="shared" si="24"/>
        <v>0</v>
      </c>
      <c r="I136" s="30">
        <f t="shared" si="20"/>
        <v>0</v>
      </c>
      <c r="J136" s="31">
        <f t="shared" si="21"/>
        <v>0</v>
      </c>
    </row>
    <row r="137" spans="1:10" ht="25.5">
      <c r="A137" s="25" t="s">
        <v>89</v>
      </c>
      <c r="B137" s="32">
        <f>+D123</f>
        <v>10</v>
      </c>
      <c r="C137" s="59">
        <f>+'Rate Schedules'!H83</f>
        <v>0</v>
      </c>
      <c r="D137" s="57">
        <f t="shared" si="22"/>
        <v>0</v>
      </c>
      <c r="E137" s="52">
        <f>+D123</f>
        <v>10</v>
      </c>
      <c r="F137" s="50">
        <f>+'Rate Schedules'!M83</f>
        <v>0</v>
      </c>
      <c r="G137" s="49">
        <f t="shared" si="23"/>
        <v>0</v>
      </c>
      <c r="H137" s="29">
        <f t="shared" si="24"/>
        <v>0</v>
      </c>
      <c r="I137" s="30">
        <f t="shared" si="20"/>
        <v>0</v>
      </c>
      <c r="J137" s="31">
        <f t="shared" si="21"/>
        <v>0</v>
      </c>
    </row>
    <row r="138" spans="1:10" ht="25.5">
      <c r="A138" s="25" t="s">
        <v>8</v>
      </c>
      <c r="B138" s="32">
        <f>+D123*'Rate Schedules'!H119</f>
        <v>10.715</v>
      </c>
      <c r="C138" s="50">
        <f>+'Rate Schedules'!H87</f>
        <v>1.1972</v>
      </c>
      <c r="D138" s="49">
        <f t="shared" si="22"/>
        <v>12.827998000000001</v>
      </c>
      <c r="E138" s="32">
        <f>+D123*H123</f>
        <v>10.719000000000001</v>
      </c>
      <c r="F138" s="50">
        <f>+'Rate Schedules'!M87</f>
        <v>1.1972</v>
      </c>
      <c r="G138" s="49">
        <f t="shared" si="23"/>
        <v>12.832786800000003</v>
      </c>
      <c r="H138" s="29">
        <f t="shared" si="24"/>
        <v>0.004788800000001814</v>
      </c>
      <c r="I138" s="30">
        <f t="shared" si="20"/>
        <v>0.00037330844610373445</v>
      </c>
      <c r="J138" s="31">
        <f t="shared" si="21"/>
        <v>0.036315307030345634</v>
      </c>
    </row>
    <row r="139" spans="1:10" ht="39" thickBot="1">
      <c r="A139" s="25" t="s">
        <v>9</v>
      </c>
      <c r="B139" s="32">
        <f>+D123*'Rate Schedules'!H119</f>
        <v>10.715</v>
      </c>
      <c r="C139" s="50">
        <f>+'Rate Schedules'!H88</f>
        <v>1.1635</v>
      </c>
      <c r="D139" s="49">
        <f t="shared" si="22"/>
        <v>12.4669025</v>
      </c>
      <c r="E139" s="32">
        <f>+D123*H123</f>
        <v>10.719000000000001</v>
      </c>
      <c r="F139" s="50">
        <f>+'Rate Schedules'!M88</f>
        <v>1.1635</v>
      </c>
      <c r="G139" s="49">
        <f t="shared" si="23"/>
        <v>12.471556500000002</v>
      </c>
      <c r="H139" s="29">
        <f t="shared" si="24"/>
        <v>0.004654000000002156</v>
      </c>
      <c r="I139" s="30">
        <f t="shared" si="20"/>
        <v>0.00037330844610376605</v>
      </c>
      <c r="J139" s="31">
        <f t="shared" si="21"/>
        <v>0.03529306693101165</v>
      </c>
    </row>
    <row r="140" spans="1:10" ht="13.5" thickBot="1">
      <c r="A140" s="37" t="s">
        <v>76</v>
      </c>
      <c r="B140" s="37"/>
      <c r="C140" s="37"/>
      <c r="D140" s="38">
        <f>SUM(D131:D139)</f>
        <v>78.1959005</v>
      </c>
      <c r="E140" s="38"/>
      <c r="F140" s="38"/>
      <c r="G140" s="38">
        <f>SUM(G131:G139)</f>
        <v>108.4333433</v>
      </c>
      <c r="H140" s="39">
        <f>SUM(H131:H139)</f>
        <v>30.237442799999997</v>
      </c>
      <c r="I140" s="40">
        <f t="shared" si="20"/>
        <v>0.3866883379647249</v>
      </c>
      <c r="J140" s="41">
        <f t="shared" si="21"/>
        <v>0.3068538592308236</v>
      </c>
    </row>
    <row r="141" spans="1:10" ht="12.75">
      <c r="A141" s="60" t="s">
        <v>12</v>
      </c>
      <c r="B141" s="32">
        <f>+B123*'Rate Schedules'!H119</f>
        <v>3214.4999999999995</v>
      </c>
      <c r="C141" s="62">
        <f>+'Rate Schedules'!H93</f>
        <v>0.0052</v>
      </c>
      <c r="D141" s="63">
        <f>+B141*C141</f>
        <v>16.715399999999995</v>
      </c>
      <c r="E141" s="32">
        <f>+B123*H123</f>
        <v>3215.7000000000003</v>
      </c>
      <c r="F141" s="50">
        <f>+'Rate Schedules'!M93</f>
        <v>0.0052</v>
      </c>
      <c r="G141" s="63">
        <f>+E141*F141</f>
        <v>16.72164</v>
      </c>
      <c r="H141" s="64">
        <f>+G141-D141</f>
        <v>0.006240000000005352</v>
      </c>
      <c r="I141" s="30">
        <f t="shared" si="20"/>
        <v>0.0003733084461039134</v>
      </c>
      <c r="J141" s="31">
        <f t="shared" si="21"/>
        <v>0.04732031320359103</v>
      </c>
    </row>
    <row r="142" spans="1:10" ht="13.5" thickBot="1">
      <c r="A142" s="65" t="s">
        <v>13</v>
      </c>
      <c r="B142" s="32">
        <f>+B123*'Rate Schedules'!H119</f>
        <v>3214.4999999999995</v>
      </c>
      <c r="C142" s="27">
        <f>+'Rate Schedules'!H94</f>
        <v>0.001</v>
      </c>
      <c r="D142" s="34">
        <f>+B142*C142</f>
        <v>3.2144999999999997</v>
      </c>
      <c r="E142" s="32">
        <f>+B123*H123</f>
        <v>3215.7000000000003</v>
      </c>
      <c r="F142" s="50">
        <f>+'Rate Schedules'!M94</f>
        <v>0.001</v>
      </c>
      <c r="G142" s="49">
        <f>+E142*F142</f>
        <v>3.2157000000000004</v>
      </c>
      <c r="H142" s="29">
        <f>+G142-D142</f>
        <v>0.001200000000000756</v>
      </c>
      <c r="I142" s="30">
        <f t="shared" si="20"/>
        <v>0.00037330844610382834</v>
      </c>
      <c r="J142" s="31">
        <f t="shared" si="21"/>
        <v>0.009100060231459813</v>
      </c>
    </row>
    <row r="143" spans="1:10" ht="26.25" thickBot="1">
      <c r="A143" s="25" t="s">
        <v>77</v>
      </c>
      <c r="B143" s="43">
        <v>1</v>
      </c>
      <c r="C143" s="66">
        <f>+'Rate Schedules'!H95</f>
        <v>0.25</v>
      </c>
      <c r="D143" s="49">
        <f>+B143*C143</f>
        <v>0.25</v>
      </c>
      <c r="E143" s="43">
        <v>1</v>
      </c>
      <c r="F143" s="66">
        <f>+'Rate Schedules'!M95</f>
        <v>0.25</v>
      </c>
      <c r="G143" s="45">
        <f>+E143*F143</f>
        <v>0.25</v>
      </c>
      <c r="H143" s="29">
        <f>+G143-D143</f>
        <v>0</v>
      </c>
      <c r="I143" s="30">
        <f t="shared" si="20"/>
        <v>0</v>
      </c>
      <c r="J143" s="31">
        <f t="shared" si="21"/>
        <v>0.0007074711751298172</v>
      </c>
    </row>
    <row r="144" spans="1:10" ht="13.5" thickBot="1">
      <c r="A144" s="37" t="s">
        <v>78</v>
      </c>
      <c r="B144" s="37"/>
      <c r="C144" s="37"/>
      <c r="D144" s="38">
        <f>SUM(D141:D143)</f>
        <v>20.179899999999996</v>
      </c>
      <c r="E144" s="38"/>
      <c r="F144" s="38"/>
      <c r="G144" s="38">
        <f>SUM(G141:G143)</f>
        <v>20.187340000000003</v>
      </c>
      <c r="H144" s="39">
        <f>SUM(H141:H143)</f>
        <v>0.007440000000006108</v>
      </c>
      <c r="I144" s="40">
        <f t="shared" si="20"/>
        <v>0.0003686836902068945</v>
      </c>
      <c r="J144" s="41">
        <f t="shared" si="21"/>
        <v>0.05712784461018066</v>
      </c>
    </row>
    <row r="145" spans="1:10" ht="13.5" thickBot="1">
      <c r="A145" s="37" t="s">
        <v>79</v>
      </c>
      <c r="B145" s="32">
        <f>+B123</f>
        <v>3000</v>
      </c>
      <c r="C145" s="67">
        <v>0.0051</v>
      </c>
      <c r="D145" s="38">
        <f>+B145*C145</f>
        <v>15.3</v>
      </c>
      <c r="E145" s="32">
        <f>+B123</f>
        <v>3000</v>
      </c>
      <c r="F145" s="67">
        <v>0.0051</v>
      </c>
      <c r="G145" s="38">
        <f>+E145*F145</f>
        <v>15.3</v>
      </c>
      <c r="H145" s="39">
        <f>+G145-D145</f>
        <v>0</v>
      </c>
      <c r="I145" s="40">
        <f t="shared" si="20"/>
        <v>0</v>
      </c>
      <c r="J145" s="41">
        <f t="shared" si="21"/>
        <v>0.043297235917944814</v>
      </c>
    </row>
    <row r="146" spans="1:10" ht="13.5" thickBot="1">
      <c r="A146" s="37" t="s">
        <v>80</v>
      </c>
      <c r="B146" s="37"/>
      <c r="C146" s="37"/>
      <c r="D146" s="68">
        <f>+D130+D140+D144+D145</f>
        <v>306.22480049999996</v>
      </c>
      <c r="E146" s="38"/>
      <c r="F146" s="38"/>
      <c r="G146" s="68">
        <f>+G130+G140+G144+G145</f>
        <v>336.5440833</v>
      </c>
      <c r="H146" s="39">
        <f>+H130+H140+H144+H145</f>
        <v>30.31928280000003</v>
      </c>
      <c r="I146" s="40">
        <f t="shared" si="20"/>
        <v>0.09900988669270121</v>
      </c>
      <c r="J146" s="41">
        <f t="shared" si="21"/>
        <v>0.9523809523809523</v>
      </c>
    </row>
    <row r="147" spans="1:10" ht="13.5" thickBot="1">
      <c r="A147" s="37" t="s">
        <v>81</v>
      </c>
      <c r="B147" s="69">
        <f>+D146</f>
        <v>306.22480049999996</v>
      </c>
      <c r="C147" s="102">
        <v>0.05</v>
      </c>
      <c r="D147" s="38">
        <f>+B147*C147</f>
        <v>15.311240024999998</v>
      </c>
      <c r="E147" s="69">
        <f>+G146</f>
        <v>336.5440833</v>
      </c>
      <c r="F147" s="102">
        <v>0.05</v>
      </c>
      <c r="G147" s="38">
        <f>+E147*F147</f>
        <v>16.827204165</v>
      </c>
      <c r="H147" s="39">
        <f>+G147-D147</f>
        <v>1.515964140000003</v>
      </c>
      <c r="I147" s="40">
        <f t="shared" si="20"/>
        <v>0.0990098866927013</v>
      </c>
      <c r="J147" s="41">
        <f t="shared" si="21"/>
        <v>0.047619047619047616</v>
      </c>
    </row>
    <row r="148" spans="1:10" ht="15.75" thickBot="1">
      <c r="A148" s="250" t="s">
        <v>82</v>
      </c>
      <c r="B148" s="251"/>
      <c r="C148" s="251"/>
      <c r="D148" s="70">
        <f>SUM(D146:D147)</f>
        <v>321.536040525</v>
      </c>
      <c r="E148" s="38"/>
      <c r="F148" s="38"/>
      <c r="G148" s="70">
        <f>SUM(G146:G147)</f>
        <v>353.371287465</v>
      </c>
      <c r="H148" s="39">
        <f>SUM(H146:H147)</f>
        <v>31.835246940000033</v>
      </c>
      <c r="I148" s="40">
        <f t="shared" si="20"/>
        <v>0.09900988669270121</v>
      </c>
      <c r="J148" s="41">
        <f t="shared" si="21"/>
        <v>1</v>
      </c>
    </row>
    <row r="149" spans="1:10" ht="12.75">
      <c r="A149" s="13"/>
      <c r="B149" s="13"/>
      <c r="C149" s="13"/>
      <c r="D149" s="13"/>
      <c r="E149" s="13"/>
      <c r="F149" s="13"/>
      <c r="G149" s="13"/>
      <c r="H149" s="13"/>
      <c r="I149" s="14"/>
      <c r="J149" s="13"/>
    </row>
    <row r="150" spans="1:10" ht="18">
      <c r="A150" s="15" t="s">
        <v>20</v>
      </c>
      <c r="B150" s="13"/>
      <c r="C150" s="13"/>
      <c r="D150" s="13"/>
      <c r="E150" s="13"/>
      <c r="F150" s="13"/>
      <c r="G150" s="13"/>
      <c r="H150" s="13"/>
      <c r="I150" s="14"/>
      <c r="J150" s="13"/>
    </row>
    <row r="151" spans="1:10" ht="13.5" thickBot="1">
      <c r="A151" s="13"/>
      <c r="B151" s="13"/>
      <c r="C151" s="13"/>
      <c r="D151" s="13"/>
      <c r="E151" s="13"/>
      <c r="F151" s="13"/>
      <c r="G151" s="13"/>
      <c r="H151" s="13"/>
      <c r="I151" s="14"/>
      <c r="J151" s="13"/>
    </row>
    <row r="152" spans="1:10" ht="12.75">
      <c r="A152" s="290" t="s">
        <v>58</v>
      </c>
      <c r="B152" s="292">
        <v>46000</v>
      </c>
      <c r="C152" s="252" t="s">
        <v>59</v>
      </c>
      <c r="D152" s="292">
        <v>129</v>
      </c>
      <c r="E152" s="252" t="s">
        <v>60</v>
      </c>
      <c r="F152" s="254" t="s">
        <v>61</v>
      </c>
      <c r="G152" s="254"/>
      <c r="H152" s="247">
        <f>H7</f>
        <v>1.0719</v>
      </c>
      <c r="I152" s="248"/>
      <c r="J152" s="13"/>
    </row>
    <row r="153" spans="1:10" ht="13.5" thickBot="1">
      <c r="A153" s="291"/>
      <c r="B153" s="293"/>
      <c r="C153" s="253"/>
      <c r="D153" s="293"/>
      <c r="E153" s="253"/>
      <c r="F153" s="255"/>
      <c r="G153" s="255"/>
      <c r="H153" s="285"/>
      <c r="I153" s="286"/>
      <c r="J153" s="13"/>
    </row>
    <row r="154" spans="1:10" ht="13.5" thickBot="1">
      <c r="A154" s="16"/>
      <c r="B154" s="13"/>
      <c r="C154" s="13"/>
      <c r="D154" s="13"/>
      <c r="E154" s="13"/>
      <c r="F154" s="13"/>
      <c r="G154" s="13"/>
      <c r="H154" s="13"/>
      <c r="I154" s="14"/>
      <c r="J154" s="13"/>
    </row>
    <row r="155" spans="1:10" ht="21" thickBot="1">
      <c r="A155" s="17"/>
      <c r="B155" s="287" t="s">
        <v>62</v>
      </c>
      <c r="C155" s="288"/>
      <c r="D155" s="289"/>
      <c r="E155" s="287" t="s">
        <v>87</v>
      </c>
      <c r="F155" s="288"/>
      <c r="G155" s="289"/>
      <c r="H155" s="287" t="s">
        <v>63</v>
      </c>
      <c r="I155" s="288"/>
      <c r="J155" s="289"/>
    </row>
    <row r="156" spans="1:10" ht="26.25" thickBot="1">
      <c r="A156" s="18"/>
      <c r="B156" s="19" t="s">
        <v>64</v>
      </c>
      <c r="C156" s="20" t="s">
        <v>65</v>
      </c>
      <c r="D156" s="21" t="s">
        <v>66</v>
      </c>
      <c r="E156" s="20" t="s">
        <v>64</v>
      </c>
      <c r="F156" s="20" t="s">
        <v>65</v>
      </c>
      <c r="G156" s="21" t="s">
        <v>66</v>
      </c>
      <c r="H156" s="22" t="s">
        <v>2</v>
      </c>
      <c r="I156" s="23" t="s">
        <v>52</v>
      </c>
      <c r="J156" s="24" t="s">
        <v>67</v>
      </c>
    </row>
    <row r="157" spans="1:10" ht="12.75">
      <c r="A157" s="25" t="s">
        <v>68</v>
      </c>
      <c r="B157" s="26">
        <v>750</v>
      </c>
      <c r="C157" s="27">
        <v>0.053</v>
      </c>
      <c r="D157" s="28">
        <f>+B157*C157</f>
        <v>39.75</v>
      </c>
      <c r="E157" s="26">
        <v>750</v>
      </c>
      <c r="F157" s="27">
        <v>0.053</v>
      </c>
      <c r="G157" s="28">
        <f>+E157*F157</f>
        <v>39.75</v>
      </c>
      <c r="H157" s="29">
        <f>+G157-D157</f>
        <v>0</v>
      </c>
      <c r="I157" s="30">
        <f aca="true" t="shared" si="25" ref="I157:I177">IF(ISERROR(H157/D157),0,H157/D157)</f>
        <v>0</v>
      </c>
      <c r="J157" s="31">
        <f aca="true" t="shared" si="26" ref="J157:J177">IF(ISERROR(G157/$G$177),0,G157/$G$177)</f>
        <v>0.006607954502341982</v>
      </c>
    </row>
    <row r="158" spans="1:10" ht="13.5" thickBot="1">
      <c r="A158" s="25" t="s">
        <v>69</v>
      </c>
      <c r="B158" s="32">
        <f>(B152*'Rate Schedules'!H119)-B157</f>
        <v>48538.99999999999</v>
      </c>
      <c r="C158" s="33">
        <v>0.062</v>
      </c>
      <c r="D158" s="34">
        <f>+B158*C158</f>
        <v>3009.4179999999997</v>
      </c>
      <c r="E158" s="32">
        <f>(B152*H152)-B157</f>
        <v>48557.4</v>
      </c>
      <c r="F158" s="33">
        <v>0.062</v>
      </c>
      <c r="G158" s="35">
        <f>+E158*F158</f>
        <v>3010.5588000000002</v>
      </c>
      <c r="H158" s="29">
        <f>+G158-D158</f>
        <v>1.1408000000005813</v>
      </c>
      <c r="I158" s="36">
        <f t="shared" si="25"/>
        <v>0.00037907661880156945</v>
      </c>
      <c r="J158" s="31">
        <f t="shared" si="26"/>
        <v>0.5004688195478058</v>
      </c>
    </row>
    <row r="159" spans="1:10" ht="13.5" thickBot="1">
      <c r="A159" s="37" t="s">
        <v>70</v>
      </c>
      <c r="B159" s="37"/>
      <c r="C159" s="37"/>
      <c r="D159" s="38">
        <f>SUM(D157:D158)</f>
        <v>3049.1679999999997</v>
      </c>
      <c r="E159" s="38"/>
      <c r="F159" s="38"/>
      <c r="G159" s="38">
        <f>SUM(G157:G158)</f>
        <v>3050.3088000000002</v>
      </c>
      <c r="H159" s="39">
        <f>SUM(H157:H158)</f>
        <v>1.1408000000005813</v>
      </c>
      <c r="I159" s="40">
        <f t="shared" si="25"/>
        <v>0.00037413484596472924</v>
      </c>
      <c r="J159" s="41">
        <f t="shared" si="26"/>
        <v>0.5070767740501477</v>
      </c>
    </row>
    <row r="160" spans="1:10" ht="12.75">
      <c r="A160" s="42" t="s">
        <v>71</v>
      </c>
      <c r="B160" s="43">
        <v>557</v>
      </c>
      <c r="C160" s="44">
        <f>+'Rate Schedules'!H98</f>
        <v>1.77</v>
      </c>
      <c r="D160" s="45">
        <f aca="true" t="shared" si="27" ref="D160:D168">+B160*C160</f>
        <v>985.89</v>
      </c>
      <c r="E160" s="46">
        <v>557</v>
      </c>
      <c r="F160" s="44">
        <f>+'Rate Schedules'!M98</f>
        <v>2.25</v>
      </c>
      <c r="G160" s="45">
        <f aca="true" t="shared" si="28" ref="G160:G168">+E160*F160</f>
        <v>1253.25</v>
      </c>
      <c r="H160" s="29">
        <f aca="true" t="shared" si="29" ref="H160:H168">+G160-D160</f>
        <v>267.36</v>
      </c>
      <c r="I160" s="30">
        <f t="shared" si="25"/>
        <v>0.2711864406779661</v>
      </c>
      <c r="J160" s="31">
        <f t="shared" si="26"/>
        <v>0.20833758440402741</v>
      </c>
    </row>
    <row r="161" spans="1:10" ht="12.75">
      <c r="A161" s="47" t="s">
        <v>72</v>
      </c>
      <c r="B161" s="32">
        <f>+B152</f>
        <v>46000</v>
      </c>
      <c r="C161" s="48">
        <v>0</v>
      </c>
      <c r="D161" s="49">
        <f t="shared" si="27"/>
        <v>0</v>
      </c>
      <c r="E161" s="32">
        <f>+B152</f>
        <v>46000</v>
      </c>
      <c r="F161" s="48">
        <v>0</v>
      </c>
      <c r="G161" s="49">
        <f t="shared" si="28"/>
        <v>0</v>
      </c>
      <c r="H161" s="29">
        <f t="shared" si="29"/>
        <v>0</v>
      </c>
      <c r="I161" s="30">
        <f t="shared" si="25"/>
        <v>0</v>
      </c>
      <c r="J161" s="31">
        <f t="shared" si="26"/>
        <v>0</v>
      </c>
    </row>
    <row r="162" spans="1:10" ht="12.75">
      <c r="A162" s="47" t="s">
        <v>73</v>
      </c>
      <c r="B162" s="32">
        <f>+D152</f>
        <v>129</v>
      </c>
      <c r="C162" s="50">
        <f>+'Rate Schedules'!H100</f>
        <v>2.4164</v>
      </c>
      <c r="D162" s="49">
        <f t="shared" si="27"/>
        <v>311.7156</v>
      </c>
      <c r="E162" s="51">
        <f>+D152</f>
        <v>129</v>
      </c>
      <c r="F162" s="50">
        <f>+'Rate Schedules'!M100</f>
        <v>4.2928</v>
      </c>
      <c r="G162" s="49">
        <f t="shared" si="28"/>
        <v>553.7711999999999</v>
      </c>
      <c r="H162" s="29">
        <f t="shared" si="29"/>
        <v>242.0555999999999</v>
      </c>
      <c r="I162" s="30">
        <f t="shared" si="25"/>
        <v>0.7765270650554541</v>
      </c>
      <c r="J162" s="31">
        <f t="shared" si="26"/>
        <v>0.09205773319012131</v>
      </c>
    </row>
    <row r="163" spans="1:10" ht="12.75">
      <c r="A163" s="25" t="s">
        <v>74</v>
      </c>
      <c r="B163" s="32">
        <f>+D152</f>
        <v>129</v>
      </c>
      <c r="C163" s="50">
        <f>+'Rate Schedules'!H104</f>
        <v>0</v>
      </c>
      <c r="D163" s="49">
        <f t="shared" si="27"/>
        <v>0</v>
      </c>
      <c r="E163" s="32">
        <f>+D152</f>
        <v>129</v>
      </c>
      <c r="F163" s="50">
        <f>+'Rate Schedules'!M104</f>
        <v>0.0687</v>
      </c>
      <c r="G163" s="49">
        <f t="shared" si="28"/>
        <v>8.8623</v>
      </c>
      <c r="H163" s="29">
        <f t="shared" si="29"/>
        <v>8.8623</v>
      </c>
      <c r="I163" s="30">
        <f t="shared" si="25"/>
        <v>0</v>
      </c>
      <c r="J163" s="31">
        <f t="shared" si="26"/>
        <v>0.0014732496902164869</v>
      </c>
    </row>
    <row r="164" spans="1:10" ht="12.75">
      <c r="A164" s="25" t="s">
        <v>75</v>
      </c>
      <c r="B164" s="52">
        <f>+D152</f>
        <v>129</v>
      </c>
      <c r="C164" s="53">
        <v>0</v>
      </c>
      <c r="D164" s="49">
        <f t="shared" si="27"/>
        <v>0</v>
      </c>
      <c r="E164" s="52">
        <f>+D152</f>
        <v>129</v>
      </c>
      <c r="F164" s="53">
        <v>0</v>
      </c>
      <c r="G164" s="54">
        <f t="shared" si="28"/>
        <v>0</v>
      </c>
      <c r="H164" s="29">
        <f t="shared" si="29"/>
        <v>0</v>
      </c>
      <c r="I164" s="30">
        <f t="shared" si="25"/>
        <v>0</v>
      </c>
      <c r="J164" s="31">
        <f t="shared" si="26"/>
        <v>0</v>
      </c>
    </row>
    <row r="165" spans="1:10" ht="25.5">
      <c r="A165" s="25" t="s">
        <v>88</v>
      </c>
      <c r="B165" s="55">
        <v>1</v>
      </c>
      <c r="C165" s="56">
        <f>+'Rate Schedules'!H99</f>
        <v>0</v>
      </c>
      <c r="D165" s="57">
        <f t="shared" si="27"/>
        <v>0</v>
      </c>
      <c r="E165" s="55">
        <v>1</v>
      </c>
      <c r="F165" s="58">
        <f>+'Rate Schedules'!M99</f>
        <v>0</v>
      </c>
      <c r="G165" s="49">
        <f t="shared" si="28"/>
        <v>0</v>
      </c>
      <c r="H165" s="29">
        <f t="shared" si="29"/>
        <v>0</v>
      </c>
      <c r="I165" s="30">
        <f t="shared" si="25"/>
        <v>0</v>
      </c>
      <c r="J165" s="31">
        <f t="shared" si="26"/>
        <v>0</v>
      </c>
    </row>
    <row r="166" spans="1:10" ht="25.5">
      <c r="A166" s="25" t="s">
        <v>89</v>
      </c>
      <c r="B166" s="32">
        <f>+D152</f>
        <v>129</v>
      </c>
      <c r="C166" s="59">
        <f>+'Rate Schedules'!H101</f>
        <v>0</v>
      </c>
      <c r="D166" s="57">
        <f t="shared" si="27"/>
        <v>0</v>
      </c>
      <c r="E166" s="52">
        <f>+D152</f>
        <v>129</v>
      </c>
      <c r="F166" s="50">
        <f>+'Rate Schedules'!M101</f>
        <v>0</v>
      </c>
      <c r="G166" s="49">
        <f t="shared" si="28"/>
        <v>0</v>
      </c>
      <c r="H166" s="29">
        <f t="shared" si="29"/>
        <v>0</v>
      </c>
      <c r="I166" s="30">
        <f t="shared" si="25"/>
        <v>0</v>
      </c>
      <c r="J166" s="31">
        <f t="shared" si="26"/>
        <v>0</v>
      </c>
    </row>
    <row r="167" spans="1:10" ht="25.5">
      <c r="A167" s="25" t="s">
        <v>8</v>
      </c>
      <c r="B167" s="32">
        <f>+D152*'Rate Schedules'!H119</f>
        <v>138.22349999999997</v>
      </c>
      <c r="C167" s="50">
        <f>+'Rate Schedules'!H105</f>
        <v>1.1911</v>
      </c>
      <c r="D167" s="49">
        <f t="shared" si="27"/>
        <v>164.63801084999997</v>
      </c>
      <c r="E167" s="32">
        <f>+D152*H152</f>
        <v>138.2751</v>
      </c>
      <c r="F167" s="50">
        <f>+'Rate Schedules'!M105</f>
        <v>1.1911</v>
      </c>
      <c r="G167" s="49">
        <f t="shared" si="28"/>
        <v>164.69947161000002</v>
      </c>
      <c r="H167" s="29">
        <f t="shared" si="29"/>
        <v>0.06146076000004541</v>
      </c>
      <c r="I167" s="30">
        <f t="shared" si="25"/>
        <v>0.000373308446103869</v>
      </c>
      <c r="J167" s="31">
        <f t="shared" si="26"/>
        <v>0.027379285910909313</v>
      </c>
    </row>
    <row r="168" spans="1:10" ht="39" thickBot="1">
      <c r="A168" s="25" t="s">
        <v>9</v>
      </c>
      <c r="B168" s="32">
        <f>+D152*'Rate Schedules'!H119</f>
        <v>138.22349999999997</v>
      </c>
      <c r="C168" s="50">
        <f>+'Rate Schedules'!H106</f>
        <v>1.1396</v>
      </c>
      <c r="D168" s="49">
        <f t="shared" si="27"/>
        <v>157.51950059999996</v>
      </c>
      <c r="E168" s="32">
        <f>+D152*H152</f>
        <v>138.2751</v>
      </c>
      <c r="F168" s="50">
        <f>+'Rate Schedules'!M106</f>
        <v>1.1396</v>
      </c>
      <c r="G168" s="49">
        <f t="shared" si="28"/>
        <v>157.57830396</v>
      </c>
      <c r="H168" s="29">
        <f t="shared" si="29"/>
        <v>0.058803360000041494</v>
      </c>
      <c r="I168" s="30">
        <f t="shared" si="25"/>
        <v>0.00037330844610385664</v>
      </c>
      <c r="J168" s="31">
        <f t="shared" si="26"/>
        <v>0.026195478317582278</v>
      </c>
    </row>
    <row r="169" spans="1:10" ht="13.5" thickBot="1">
      <c r="A169" s="37" t="s">
        <v>76</v>
      </c>
      <c r="B169" s="37"/>
      <c r="C169" s="37"/>
      <c r="D169" s="38">
        <f>SUM(D160:D168)</f>
        <v>1619.7631114499998</v>
      </c>
      <c r="E169" s="38"/>
      <c r="F169" s="38"/>
      <c r="G169" s="38">
        <f>SUM(G160:G168)</f>
        <v>2138.16127557</v>
      </c>
      <c r="H169" s="39">
        <f>SUM(H160:H168)</f>
        <v>518.39816412</v>
      </c>
      <c r="I169" s="40">
        <f t="shared" si="25"/>
        <v>0.32004566621839775</v>
      </c>
      <c r="J169" s="41">
        <f t="shared" si="26"/>
        <v>0.3554433315128568</v>
      </c>
    </row>
    <row r="170" spans="1:10" ht="13.5" thickBot="1">
      <c r="A170" s="60" t="s">
        <v>12</v>
      </c>
      <c r="B170" s="61">
        <f>+B152*'Rate Schedules'!H119</f>
        <v>49288.99999999999</v>
      </c>
      <c r="C170" s="62">
        <f>+'Rate Schedules'!H111</f>
        <v>0.0052</v>
      </c>
      <c r="D170" s="63">
        <f>+B170*C170</f>
        <v>256.30279999999993</v>
      </c>
      <c r="E170" s="61">
        <f>+B152*H152</f>
        <v>49307.4</v>
      </c>
      <c r="F170" s="50">
        <f>+'Rate Schedules'!M111</f>
        <v>0.0052</v>
      </c>
      <c r="G170" s="63">
        <f>+E170*F170</f>
        <v>256.39848</v>
      </c>
      <c r="H170" s="64">
        <f>+G170-D170</f>
        <v>0.0956800000000726</v>
      </c>
      <c r="I170" s="30">
        <f t="shared" si="25"/>
        <v>0.0003733084461038764</v>
      </c>
      <c r="J170" s="31">
        <f t="shared" si="26"/>
        <v>0.04262313183168908</v>
      </c>
    </row>
    <row r="171" spans="1:10" ht="13.5" thickBot="1">
      <c r="A171" s="65" t="s">
        <v>13</v>
      </c>
      <c r="B171" s="61">
        <f>+B152*'Rate Schedules'!H119</f>
        <v>49288.99999999999</v>
      </c>
      <c r="C171" s="27">
        <f>+'Rate Schedules'!H112</f>
        <v>0.001</v>
      </c>
      <c r="D171" s="34">
        <f>+B171*C171</f>
        <v>49.288999999999994</v>
      </c>
      <c r="E171" s="61">
        <f>+B152*H152</f>
        <v>49307.4</v>
      </c>
      <c r="F171" s="50">
        <f>+'Rate Schedules'!M112</f>
        <v>0.001</v>
      </c>
      <c r="G171" s="49">
        <f>+E171*F171</f>
        <v>49.3074</v>
      </c>
      <c r="H171" s="29">
        <f>+G171-D171</f>
        <v>0.018400000000006855</v>
      </c>
      <c r="I171" s="30">
        <f t="shared" si="25"/>
        <v>0.0003733084461037322</v>
      </c>
      <c r="J171" s="31">
        <f t="shared" si="26"/>
        <v>0.008196756121478669</v>
      </c>
    </row>
    <row r="172" spans="1:10" ht="26.25" thickBot="1">
      <c r="A172" s="25" t="s">
        <v>77</v>
      </c>
      <c r="B172" s="43">
        <v>1</v>
      </c>
      <c r="C172" s="66">
        <f>+'Rate Schedules'!H113</f>
        <v>0.25</v>
      </c>
      <c r="D172" s="49">
        <f>+B172*C172</f>
        <v>0.25</v>
      </c>
      <c r="E172" s="43">
        <v>1</v>
      </c>
      <c r="F172" s="66">
        <f>+'Rate Schedules'!M113</f>
        <v>0.25</v>
      </c>
      <c r="G172" s="45">
        <f>+E172*F172</f>
        <v>0.25</v>
      </c>
      <c r="H172" s="29">
        <f>+G172-D172</f>
        <v>0</v>
      </c>
      <c r="I172" s="30">
        <f t="shared" si="25"/>
        <v>0</v>
      </c>
      <c r="J172" s="31">
        <f t="shared" si="26"/>
        <v>4.15594622788804E-05</v>
      </c>
    </row>
    <row r="173" spans="1:10" ht="13.5" thickBot="1">
      <c r="A173" s="37" t="s">
        <v>78</v>
      </c>
      <c r="B173" s="37"/>
      <c r="C173" s="37"/>
      <c r="D173" s="38">
        <f>SUM(D170:D172)</f>
        <v>305.8417999999999</v>
      </c>
      <c r="E173" s="38"/>
      <c r="F173" s="38"/>
      <c r="G173" s="38">
        <f>SUM(G170:G172)</f>
        <v>305.95588</v>
      </c>
      <c r="H173" s="39">
        <f>SUM(H170:H172)</f>
        <v>0.11408000000007945</v>
      </c>
      <c r="I173" s="40">
        <f t="shared" si="25"/>
        <v>0.00037300329778362367</v>
      </c>
      <c r="J173" s="41">
        <f t="shared" si="26"/>
        <v>0.050861447415446626</v>
      </c>
    </row>
    <row r="174" spans="1:10" ht="13.5" thickBot="1">
      <c r="A174" s="37" t="s">
        <v>79</v>
      </c>
      <c r="B174" s="32">
        <f>+B152</f>
        <v>46000</v>
      </c>
      <c r="C174" s="67">
        <v>0.0051</v>
      </c>
      <c r="D174" s="38">
        <f>+B174*C174</f>
        <v>234.60000000000002</v>
      </c>
      <c r="E174" s="32">
        <f>+B152</f>
        <v>46000</v>
      </c>
      <c r="F174" s="67">
        <v>0.0051</v>
      </c>
      <c r="G174" s="38">
        <f>+E174*F174</f>
        <v>234.60000000000002</v>
      </c>
      <c r="H174" s="39">
        <f>+G174-D174</f>
        <v>0</v>
      </c>
      <c r="I174" s="40">
        <f t="shared" si="25"/>
        <v>0</v>
      </c>
      <c r="J174" s="41">
        <f t="shared" si="26"/>
        <v>0.03899939940250137</v>
      </c>
    </row>
    <row r="175" spans="1:10" ht="13.5" thickBot="1">
      <c r="A175" s="37" t="s">
        <v>80</v>
      </c>
      <c r="B175" s="37"/>
      <c r="C175" s="37"/>
      <c r="D175" s="68">
        <f>+D159+D169+D173+D174</f>
        <v>5209.37291145</v>
      </c>
      <c r="E175" s="38"/>
      <c r="F175" s="38"/>
      <c r="G175" s="68">
        <f>+G159+G169+G173+G174</f>
        <v>5729.0259555699995</v>
      </c>
      <c r="H175" s="39">
        <f>+H159+H169+H173+H174</f>
        <v>519.6530441200007</v>
      </c>
      <c r="I175" s="40">
        <f t="shared" si="25"/>
        <v>0.0997534737775872</v>
      </c>
      <c r="J175" s="41">
        <f t="shared" si="26"/>
        <v>0.9523809523809524</v>
      </c>
    </row>
    <row r="176" spans="1:10" ht="13.5" thickBot="1">
      <c r="A176" s="37" t="s">
        <v>81</v>
      </c>
      <c r="B176" s="69">
        <f>+D175</f>
        <v>5209.37291145</v>
      </c>
      <c r="C176" s="102">
        <v>0.05</v>
      </c>
      <c r="D176" s="38">
        <f>+B176*C176</f>
        <v>260.4686455725</v>
      </c>
      <c r="E176" s="69">
        <f>+G175</f>
        <v>5729.0259555699995</v>
      </c>
      <c r="F176" s="102">
        <v>0.05</v>
      </c>
      <c r="G176" s="38">
        <f>+E176*F176</f>
        <v>286.45129777849996</v>
      </c>
      <c r="H176" s="39">
        <f>+G176-D176</f>
        <v>25.982652205999955</v>
      </c>
      <c r="I176" s="40">
        <f t="shared" si="25"/>
        <v>0.09975347377758689</v>
      </c>
      <c r="J176" s="41">
        <f t="shared" si="26"/>
        <v>0.047619047619047616</v>
      </c>
    </row>
    <row r="177" spans="1:10" ht="15.75" thickBot="1">
      <c r="A177" s="250" t="s">
        <v>82</v>
      </c>
      <c r="B177" s="251"/>
      <c r="C177" s="251"/>
      <c r="D177" s="70">
        <f>SUM(D175:D176)</f>
        <v>5469.841557022501</v>
      </c>
      <c r="E177" s="38"/>
      <c r="F177" s="38"/>
      <c r="G177" s="70">
        <f>SUM(G175:G176)</f>
        <v>6015.477253348499</v>
      </c>
      <c r="H177" s="39">
        <f>SUM(H175:H176)</f>
        <v>545.6356963260007</v>
      </c>
      <c r="I177" s="40">
        <f t="shared" si="25"/>
        <v>0.09975347377758718</v>
      </c>
      <c r="J177" s="41">
        <f t="shared" si="26"/>
        <v>1</v>
      </c>
    </row>
  </sheetData>
  <mergeCells count="69">
    <mergeCell ref="A1:J1"/>
    <mergeCell ref="A2:J2"/>
    <mergeCell ref="A3:J3"/>
    <mergeCell ref="A7:A8"/>
    <mergeCell ref="B7:B8"/>
    <mergeCell ref="C7:C8"/>
    <mergeCell ref="D7:D8"/>
    <mergeCell ref="E7:E8"/>
    <mergeCell ref="F7:G8"/>
    <mergeCell ref="H7:I8"/>
    <mergeCell ref="B10:D10"/>
    <mergeCell ref="E10:G10"/>
    <mergeCell ref="H10:J10"/>
    <mergeCell ref="A32:C32"/>
    <mergeCell ref="A36:A37"/>
    <mergeCell ref="B36:B37"/>
    <mergeCell ref="C36:C37"/>
    <mergeCell ref="D36:D37"/>
    <mergeCell ref="E36:E37"/>
    <mergeCell ref="F36:G37"/>
    <mergeCell ref="H36:I37"/>
    <mergeCell ref="B39:D39"/>
    <mergeCell ref="E39:G39"/>
    <mergeCell ref="H39:J39"/>
    <mergeCell ref="A61:C61"/>
    <mergeCell ref="A65:A66"/>
    <mergeCell ref="B65:B66"/>
    <mergeCell ref="C65:C66"/>
    <mergeCell ref="D65:D66"/>
    <mergeCell ref="E65:E66"/>
    <mergeCell ref="F65:G66"/>
    <mergeCell ref="H65:I66"/>
    <mergeCell ref="B68:D68"/>
    <mergeCell ref="E68:G68"/>
    <mergeCell ref="H68:J68"/>
    <mergeCell ref="A90:C90"/>
    <mergeCell ref="A94:A95"/>
    <mergeCell ref="B94:B95"/>
    <mergeCell ref="C94:C95"/>
    <mergeCell ref="E94:E95"/>
    <mergeCell ref="F94:G95"/>
    <mergeCell ref="H94:I95"/>
    <mergeCell ref="B97:D97"/>
    <mergeCell ref="E97:G97"/>
    <mergeCell ref="H97:J97"/>
    <mergeCell ref="D94:D95"/>
    <mergeCell ref="A119:C119"/>
    <mergeCell ref="A123:A124"/>
    <mergeCell ref="B123:B124"/>
    <mergeCell ref="C123:C124"/>
    <mergeCell ref="D123:D124"/>
    <mergeCell ref="E123:E124"/>
    <mergeCell ref="F123:G124"/>
    <mergeCell ref="H123:I124"/>
    <mergeCell ref="D152:D153"/>
    <mergeCell ref="B126:D126"/>
    <mergeCell ref="E126:G126"/>
    <mergeCell ref="H126:J126"/>
    <mergeCell ref="A148:C148"/>
    <mergeCell ref="A177:C177"/>
    <mergeCell ref="E152:E153"/>
    <mergeCell ref="F152:G153"/>
    <mergeCell ref="H152:I153"/>
    <mergeCell ref="B155:D155"/>
    <mergeCell ref="E155:G155"/>
    <mergeCell ref="H155:J155"/>
    <mergeCell ref="A152:A153"/>
    <mergeCell ref="B152:B153"/>
    <mergeCell ref="C152:C153"/>
  </mergeCells>
  <printOptions/>
  <pageMargins left="0.75" right="0.75" top="1" bottom="1" header="0.5" footer="0.5"/>
  <pageSetup fitToHeight="3" fitToWidth="1" horizontalDpi="600" verticalDpi="600" orientation="portrait" scale="54"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sheetPr>
    <tabColor indexed="40"/>
    <pageSetUpPr fitToPage="1"/>
  </sheetPr>
  <dimension ref="A1:I45"/>
  <sheetViews>
    <sheetView workbookViewId="0" topLeftCell="A1">
      <selection activeCell="A1" sqref="A1:I1"/>
    </sheetView>
  </sheetViews>
  <sheetFormatPr defaultColWidth="9.140625" defaultRowHeight="12.75"/>
  <cols>
    <col min="1" max="1" width="40.421875" style="0" customWidth="1"/>
    <col min="2" max="2" width="15.57421875" style="0" customWidth="1"/>
    <col min="3" max="3" width="16.00390625" style="0" customWidth="1"/>
    <col min="4" max="6" width="16.28125" style="0" customWidth="1"/>
    <col min="7" max="7" width="14.421875" style="0" customWidth="1"/>
    <col min="8" max="8" width="8.8515625" style="0" customWidth="1"/>
    <col min="9" max="9" width="9.57421875" style="0" customWidth="1"/>
  </cols>
  <sheetData>
    <row r="1" spans="1:9" ht="15.75">
      <c r="A1" s="262" t="s">
        <v>258</v>
      </c>
      <c r="B1" s="262"/>
      <c r="C1" s="262"/>
      <c r="D1" s="262"/>
      <c r="E1" s="262"/>
      <c r="F1" s="262"/>
      <c r="G1" s="262"/>
      <c r="H1" s="262"/>
      <c r="I1" s="262"/>
    </row>
    <row r="2" spans="1:9" ht="15.75">
      <c r="A2" s="262" t="s">
        <v>139</v>
      </c>
      <c r="B2" s="262"/>
      <c r="C2" s="262"/>
      <c r="D2" s="262"/>
      <c r="E2" s="262"/>
      <c r="F2" s="262"/>
      <c r="G2" s="262"/>
      <c r="H2" s="262"/>
      <c r="I2" s="262"/>
    </row>
    <row r="3" spans="1:9" ht="15.75">
      <c r="A3" s="262" t="s">
        <v>244</v>
      </c>
      <c r="B3" s="262"/>
      <c r="C3" s="262"/>
      <c r="D3" s="262"/>
      <c r="E3" s="262"/>
      <c r="F3" s="262"/>
      <c r="G3" s="262"/>
      <c r="H3" s="262"/>
      <c r="I3" s="262"/>
    </row>
    <row r="5" ht="13.5" thickBot="1"/>
    <row r="6" spans="1:9" ht="15.75">
      <c r="A6" s="71" t="s">
        <v>48</v>
      </c>
      <c r="B6" s="72" t="s">
        <v>58</v>
      </c>
      <c r="C6" s="72" t="s">
        <v>58</v>
      </c>
      <c r="D6" s="73" t="s">
        <v>91</v>
      </c>
      <c r="E6" s="73" t="s">
        <v>91</v>
      </c>
      <c r="F6" s="72" t="s">
        <v>83</v>
      </c>
      <c r="G6" s="72" t="s">
        <v>84</v>
      </c>
      <c r="H6" s="72" t="s">
        <v>85</v>
      </c>
      <c r="I6" s="72" t="s">
        <v>86</v>
      </c>
    </row>
    <row r="7" spans="1:9" ht="16.5" thickBot="1">
      <c r="A7" s="74"/>
      <c r="B7" s="75" t="s">
        <v>59</v>
      </c>
      <c r="C7" s="75" t="s">
        <v>60</v>
      </c>
      <c r="D7" s="75" t="s">
        <v>92</v>
      </c>
      <c r="E7" s="75" t="s">
        <v>93</v>
      </c>
      <c r="F7" s="75" t="s">
        <v>2</v>
      </c>
      <c r="G7" s="75" t="s">
        <v>52</v>
      </c>
      <c r="H7" s="76"/>
      <c r="I7" s="76"/>
    </row>
    <row r="8" spans="1:9" ht="12.75">
      <c r="A8" s="77" t="s">
        <v>0</v>
      </c>
      <c r="B8" s="78">
        <v>250</v>
      </c>
      <c r="C8" s="78"/>
      <c r="D8" s="79">
        <f>+(($B8*'Rate Schedules'!$H$119*'Rate Schedules'!$H$116)+('Rate Schedules'!$H$8+'Rate Schedules'!$H$9)+'Bill Impact CA'!$B8*('Rate Schedules'!$H$10+'Rate Schedules'!$H$11+'Rate Schedules'!$H$14)+'Bill Impact CA'!$B8*'Rate Schedules'!$H$119*('Rate Schedules'!$H$15+'Rate Schedules'!$H$16+'Rate Schedules'!$H$21+'Rate Schedules'!$H$22)+('Bill Impact CA'!$B8*0.0051)+'Rate Schedules'!$H$23)*1.05</f>
        <v>39.66726750000001</v>
      </c>
      <c r="E8" s="79">
        <f>+(($B8*'Rate Schedules'!$M$119*'Rate Schedules'!$M$116)+('Rate Schedules'!$M$8+'Rate Schedules'!$M$9)+'Bill Impact CA'!$B8*('Rate Schedules'!$M$10+'Rate Schedules'!$M$11+'Rate Schedules'!$M$14)+'Bill Impact CA'!$B8*'Rate Schedules'!$M$119*('Rate Schedules'!$M$15+'Rate Schedules'!$M$16+'Rate Schedules'!$M$21+'Rate Schedules'!$M$22)+('Bill Impact CA'!$B8*0.0051)+'Rate Schedules'!$M$23)*1.05</f>
        <v>42.4673655</v>
      </c>
      <c r="F8" s="80">
        <f aca="true" t="shared" si="0" ref="F8:F45">+E8-D8</f>
        <v>2.8000979999999913</v>
      </c>
      <c r="G8" s="131">
        <f aca="true" t="shared" si="1" ref="G8:G45">+F8/D8</f>
        <v>0.07058963665697393</v>
      </c>
      <c r="H8" s="82">
        <f>MAX(G8:G14)</f>
        <v>0.09929493643434743</v>
      </c>
      <c r="I8" s="83">
        <f>MIN(G8:G14)</f>
        <v>0.07058963665697393</v>
      </c>
    </row>
    <row r="9" spans="1:9" ht="12.75">
      <c r="A9" s="84"/>
      <c r="B9" s="85">
        <v>500</v>
      </c>
      <c r="C9" s="86"/>
      <c r="D9" s="87">
        <f>+(($B9*'Rate Schedules'!$H$119*'Rate Schedules'!$H$116)+('Rate Schedules'!$H$8+'Rate Schedules'!$H$9)+'Bill Impact CA'!$B9*('Rate Schedules'!$H$10+'Rate Schedules'!$H$11+'Rate Schedules'!$H$14)+'Bill Impact CA'!$B9*'Rate Schedules'!$H$119*('Rate Schedules'!$H$15+'Rate Schedules'!$H$16+'Rate Schedules'!$H$21+'Rate Schedules'!$H$22)+('Bill Impact CA'!$B9*0.0051)+'Rate Schedules'!$H$23)*1.05</f>
        <v>61.936035</v>
      </c>
      <c r="E9" s="79">
        <f>+(($B9*'Rate Schedules'!$M$119*'Rate Schedules'!$M$116)+('Rate Schedules'!$M$8+'Rate Schedules'!$M$9)+'Bill Impact CA'!$B9*('Rate Schedules'!$M$10+'Rate Schedules'!$M$11+'Rate Schedules'!$M$14)+'Bill Impact CA'!$B9*'Rate Schedules'!$M$119*('Rate Schedules'!$M$15+'Rate Schedules'!$M$16+'Rate Schedules'!$M$21+'Rate Schedules'!$M$22)+('Bill Impact CA'!$B9*0.0051)+'Rate Schedules'!$M$23)*1.05</f>
        <v>67.315731</v>
      </c>
      <c r="F9" s="88">
        <f t="shared" si="0"/>
        <v>5.379696000000003</v>
      </c>
      <c r="G9" s="132">
        <f t="shared" si="1"/>
        <v>0.08685890209148847</v>
      </c>
      <c r="H9" s="294"/>
      <c r="I9" s="295"/>
    </row>
    <row r="10" spans="1:9" ht="12.75">
      <c r="A10" s="180" t="s">
        <v>261</v>
      </c>
      <c r="B10" s="181">
        <v>791</v>
      </c>
      <c r="C10" s="182"/>
      <c r="D10" s="183">
        <f>+((600*'Rate Schedules'!$H$116)+((($B10*'Rate Schedules'!$H$119)-600)*'Rate Schedules'!$H$117)+('Rate Schedules'!$H$8+'Rate Schedules'!$H$9)+'Bill Impact CA'!$B10*('Rate Schedules'!$H$10+'Rate Schedules'!$H$11+'Rate Schedules'!$H$14)+'Bill Impact CA'!$B10*'Rate Schedules'!$H$119*('Rate Schedules'!$H$15+'Rate Schedules'!$H$16+'Rate Schedules'!$H$21+'Rate Schedules'!$H$22)+('Bill Impact CA'!$B10*0.0051)+'Rate Schedules'!$H$23)*1.05</f>
        <v>90.196289295</v>
      </c>
      <c r="E10" s="183">
        <f>+((600*'Rate Schedules'!$M$116)+((($B10*'Rate Schedules'!$M$119)-600)*'Rate Schedules'!$M$117)+('Rate Schedules'!$M$8+'Rate Schedules'!$M$9)+'Bill Impact CA'!$B10*('Rate Schedules'!$M$10+'Rate Schedules'!$M$11+'Rate Schedules'!$M$14)+'Bill Impact CA'!$B10*'Rate Schedules'!$M$119*('Rate Schedules'!$M$15+'Rate Schedules'!$M$16+'Rate Schedules'!$M$21+'Rate Schedules'!$M$22)+('Bill Impact CA'!$B10*0.0051)+'Rate Schedules'!$M$23)*1.05</f>
        <v>98.58162734700002</v>
      </c>
      <c r="F10" s="183">
        <f t="shared" si="0"/>
        <v>8.385338052000023</v>
      </c>
      <c r="G10" s="185">
        <f t="shared" si="1"/>
        <v>0.09296766105947621</v>
      </c>
      <c r="H10" s="296"/>
      <c r="I10" s="297"/>
    </row>
    <row r="11" spans="1:9" ht="12.75">
      <c r="A11" s="90"/>
      <c r="B11" s="85">
        <v>1000</v>
      </c>
      <c r="C11" s="86"/>
      <c r="D11" s="87">
        <f>+((600*'Rate Schedules'!$H$116)+((($B11*'Rate Schedules'!$H$119)-600)*'Rate Schedules'!$H$117)+('Rate Schedules'!$H$8+'Rate Schedules'!$H$9)+'Bill Impact CA'!$B11*('Rate Schedules'!$H$10+'Rate Schedules'!$H$11+'Rate Schedules'!$H$14)+'Bill Impact CA'!$B11*'Rate Schedules'!$H$119*('Rate Schedules'!$H$15+'Rate Schedules'!$H$16+'Rate Schedules'!$H$21+'Rate Schedules'!$H$22)+('Bill Impact CA'!$B11*0.0051)+'Rate Schedules'!$H$23)*1.05</f>
        <v>110.92924500000001</v>
      </c>
      <c r="E11" s="87">
        <f>+((600*'Rate Schedules'!$M$116)+((($B11*'Rate Schedules'!$M$119)-600)*'Rate Schedules'!$M$117)+('Rate Schedules'!$M$8+'Rate Schedules'!$M$9)+'Bill Impact CA'!$B11*('Rate Schedules'!$M$10+'Rate Schedules'!$M$11+'Rate Schedules'!$M$14)+'Bill Impact CA'!$B11*'Rate Schedules'!$M$119*('Rate Schedules'!$M$15+'Rate Schedules'!$M$16+'Rate Schedules'!$M$21+'Rate Schedules'!$M$22)+('Bill Impact CA'!$B11*0.0051)+'Rate Schedules'!$M$23)*1.05</f>
        <v>121.47191700000002</v>
      </c>
      <c r="F11" s="88">
        <f t="shared" si="0"/>
        <v>10.54267200000001</v>
      </c>
      <c r="G11" s="132">
        <f t="shared" si="1"/>
        <v>0.09503960835575875</v>
      </c>
      <c r="H11" s="296"/>
      <c r="I11" s="297"/>
    </row>
    <row r="12" spans="1:9" ht="12.75">
      <c r="A12" s="90"/>
      <c r="B12" s="85">
        <v>1250</v>
      </c>
      <c r="C12" s="86"/>
      <c r="D12" s="87">
        <f>+((600*'Rate Schedules'!$H$116)+((($B12*'Rate Schedules'!$H$119)-600)*'Rate Schedules'!$H$117)+('Rate Schedules'!$H$8+'Rate Schedules'!$H$9)+'Bill Impact CA'!$B12*('Rate Schedules'!$H$10+'Rate Schedules'!$H$11+'Rate Schedules'!$H$14)+'Bill Impact CA'!$B12*'Rate Schedules'!$H$119*('Rate Schedules'!$H$15+'Rate Schedules'!$H$16+'Rate Schedules'!$H$21+'Rate Schedules'!$H$22)+('Bill Impact CA'!$B12*0.0051)+'Rate Schedules'!$H$23)*1.05</f>
        <v>135.72943125</v>
      </c>
      <c r="E12" s="87">
        <f>+((600*'Rate Schedules'!$M$116)+((($B12*'Rate Schedules'!$M$119)-600)*'Rate Schedules'!$M$117)+('Rate Schedules'!$M$8+'Rate Schedules'!$M$9)+'Bill Impact CA'!$B12*('Rate Schedules'!$M$10+'Rate Schedules'!$M$11+'Rate Schedules'!$M$14)+'Bill Impact CA'!$B12*'Rate Schedules'!$M$119*('Rate Schedules'!$M$15+'Rate Schedules'!$M$16+'Rate Schedules'!$M$21+'Rate Schedules'!$M$22)+('Bill Impact CA'!$B12*0.0051)+'Rate Schedules'!$M$23)*1.05</f>
        <v>148.85264625000002</v>
      </c>
      <c r="F12" s="88">
        <f t="shared" si="0"/>
        <v>13.123215000000016</v>
      </c>
      <c r="G12" s="132">
        <f t="shared" si="1"/>
        <v>0.09668658358870133</v>
      </c>
      <c r="H12" s="296"/>
      <c r="I12" s="297"/>
    </row>
    <row r="13" spans="1:9" ht="12.75">
      <c r="A13" s="90"/>
      <c r="B13" s="85">
        <v>1500</v>
      </c>
      <c r="C13" s="86"/>
      <c r="D13" s="87">
        <f>+((600*'Rate Schedules'!$H$116)+((($B13*'Rate Schedules'!$H$119)-600)*'Rate Schedules'!$H$117)+('Rate Schedules'!$H$8+'Rate Schedules'!$H$9)+'Bill Impact CA'!$B13*('Rate Schedules'!$H$10+'Rate Schedules'!$H$11+'Rate Schedules'!$H$14)+'Bill Impact CA'!$B13*'Rate Schedules'!$H$119*('Rate Schedules'!$H$15+'Rate Schedules'!$H$16+'Rate Schedules'!$H$21+'Rate Schedules'!$H$22)+('Bill Impact CA'!$B13*0.0051)+'Rate Schedules'!$H$23)*1.05</f>
        <v>160.5296175</v>
      </c>
      <c r="E13" s="87">
        <f>+((600*'Rate Schedules'!$M$116)+((($B13*'Rate Schedules'!$M$119)-600)*'Rate Schedules'!$M$117)+('Rate Schedules'!$M$8+'Rate Schedules'!$M$9)+'Bill Impact CA'!$B13*('Rate Schedules'!$M$10+'Rate Schedules'!$M$11+'Rate Schedules'!$M$14)+'Bill Impact CA'!$B13*'Rate Schedules'!$M$119*('Rate Schedules'!$M$15+'Rate Schedules'!$M$16+'Rate Schedules'!$M$21+'Rate Schedules'!$M$22)+('Bill Impact CA'!$B13*0.0051)+'Rate Schedules'!$M$23)*1.05</f>
        <v>176.23337550000002</v>
      </c>
      <c r="F13" s="88">
        <f t="shared" si="0"/>
        <v>15.703758000000022</v>
      </c>
      <c r="G13" s="132">
        <f t="shared" si="1"/>
        <v>0.09782467711916165</v>
      </c>
      <c r="H13" s="296"/>
      <c r="I13" s="297"/>
    </row>
    <row r="14" spans="1:9" ht="13.5" thickBot="1">
      <c r="A14" s="91"/>
      <c r="B14" s="92">
        <v>2000</v>
      </c>
      <c r="C14" s="93"/>
      <c r="D14" s="94">
        <f>+((600*'Rate Schedules'!$H$116)+((($B14*'Rate Schedules'!$H$119)-600)*'Rate Schedules'!$H$117)+('Rate Schedules'!$H$8+'Rate Schedules'!$H$9)+'Bill Impact CA'!$B14*('Rate Schedules'!$H$10+'Rate Schedules'!$H$11+'Rate Schedules'!$H$14)+'Bill Impact CA'!$B14*'Rate Schedules'!$H$119*('Rate Schedules'!$H$15+'Rate Schedules'!$H$16+'Rate Schedules'!$H$21+'Rate Schedules'!$H$22)+('Bill Impact CA'!$B14*0.0051)+'Rate Schedules'!$H$23)*1.05</f>
        <v>210.12999</v>
      </c>
      <c r="E14" s="95">
        <f>+((600*'Rate Schedules'!$M$116)+((($B14*'Rate Schedules'!$M$119)-600)*'Rate Schedules'!$M$117)+('Rate Schedules'!$M$8+'Rate Schedules'!$M$9)+'Bill Impact CA'!$B14*('Rate Schedules'!$M$10+'Rate Schedules'!$M$11+'Rate Schedules'!$M$14)+'Bill Impact CA'!$B14*'Rate Schedules'!$M$119*('Rate Schedules'!$M$15+'Rate Schedules'!$M$16+'Rate Schedules'!$M$21+'Rate Schedules'!$M$22)+('Bill Impact CA'!$B14*0.0051)+'Rate Schedules'!$M$23)*1.05</f>
        <v>230.99483400000005</v>
      </c>
      <c r="F14" s="96">
        <f t="shared" si="0"/>
        <v>20.864844000000062</v>
      </c>
      <c r="G14" s="133">
        <f t="shared" si="1"/>
        <v>0.09929493643434743</v>
      </c>
      <c r="H14" s="298"/>
      <c r="I14" s="299"/>
    </row>
    <row r="15" spans="1:9" ht="12.75">
      <c r="A15" s="77" t="s">
        <v>15</v>
      </c>
      <c r="B15" s="78">
        <v>1000</v>
      </c>
      <c r="C15" s="78"/>
      <c r="D15" s="79">
        <f>+((750*'Rate Schedules'!$H$116)+((($B15*'Rate Schedules'!$H$119)-750)*'Rate Schedules'!$H$117)+('Rate Schedules'!$H$26+'Rate Schedules'!$H$27)+'Bill Impact CA'!$B15*('Rate Schedules'!$H$28+'Rate Schedules'!$H$29+'Rate Schedules'!$H$32)+'Bill Impact CA'!$B15*'Rate Schedules'!$H$119*('Rate Schedules'!$H$33+'Rate Schedules'!$H$34+'Rate Schedules'!$H$39+'Rate Schedules'!$H$40)+('Bill Impact CA'!$B15*0.0051)+'Rate Schedules'!$H$41)*1.05</f>
        <v>134.494185</v>
      </c>
      <c r="E15" s="79">
        <f>+((750*'Rate Schedules'!$M$116)+((($B15*'Rate Schedules'!$M$119)-750)*'Rate Schedules'!$M$117)+('Rate Schedules'!$M$26+'Rate Schedules'!$M$27)+'Bill Impact CA'!$B15*('Rate Schedules'!$M$28+'Rate Schedules'!$M$29+'Rate Schedules'!$M$32)+'Bill Impact CA'!$B15*'Rate Schedules'!$M$119*('Rate Schedules'!$M$33+'Rate Schedules'!$M$34+'Rate Schedules'!$M$39+'Rate Schedules'!$M$40)+('Bill Impact CA'!$B15*0.0051)+'Rate Schedules'!$M$41)*1.05</f>
        <v>138.694521</v>
      </c>
      <c r="F15" s="80">
        <f t="shared" si="0"/>
        <v>4.200336000000021</v>
      </c>
      <c r="G15" s="131">
        <f t="shared" si="1"/>
        <v>0.031230614171163025</v>
      </c>
      <c r="H15" s="82">
        <f>MAX(G15:G21)</f>
        <v>0.031713628475829585</v>
      </c>
      <c r="I15" s="83">
        <f>MIN(G15:G21)</f>
        <v>0.031230614171163025</v>
      </c>
    </row>
    <row r="16" spans="1:9" ht="12.75">
      <c r="A16" s="84"/>
      <c r="B16" s="85">
        <v>2000</v>
      </c>
      <c r="C16" s="85"/>
      <c r="D16" s="87">
        <f>+((750*'Rate Schedules'!$H$116)+((($B16*'Rate Schedules'!$H$119)-750)*'Rate Schedules'!$H$117)+('Rate Schedules'!$H$26+'Rate Schedules'!$H$27)+'Bill Impact CA'!$B16*('Rate Schedules'!$H$28+'Rate Schedules'!$H$29+'Rate Schedules'!$H$32)+'Bill Impact CA'!$B16*'Rate Schedules'!$H$119*('Rate Schedules'!$H$33+'Rate Schedules'!$H$34+'Rate Schedules'!$H$39+'Rate Schedules'!$H$40)+('Bill Impact CA'!$B16*0.0051)+'Rate Schedules'!$H$41)*1.05</f>
        <v>241.29987</v>
      </c>
      <c r="E16" s="87">
        <f>+((750*'Rate Schedules'!$M$116)+((($B16*'Rate Schedules'!$M$119)-750)*'Rate Schedules'!$M$117)+('Rate Schedules'!$M$26+'Rate Schedules'!$M$27)+'Bill Impact CA'!$B16*('Rate Schedules'!$M$28+'Rate Schedules'!$M$29+'Rate Schedules'!$M$32)+'Bill Impact CA'!$B16*'Rate Schedules'!$M$119*('Rate Schedules'!$M$33+'Rate Schedules'!$M$34+'Rate Schedules'!$M$39+'Rate Schedules'!$M$40)+('Bill Impact CA'!$B16*0.0051)+'Rate Schedules'!$M$41)*1.05</f>
        <v>248.892042</v>
      </c>
      <c r="F16" s="88">
        <f t="shared" si="0"/>
        <v>7.592172000000005</v>
      </c>
      <c r="G16" s="132">
        <f t="shared" si="1"/>
        <v>0.03146363899823073</v>
      </c>
      <c r="H16" s="294"/>
      <c r="I16" s="295"/>
    </row>
    <row r="17" spans="1:9" ht="12.75">
      <c r="A17" s="180" t="s">
        <v>261</v>
      </c>
      <c r="B17" s="181">
        <v>2807</v>
      </c>
      <c r="C17" s="181"/>
      <c r="D17" s="183">
        <f>+((750*'Rate Schedules'!$H$116)+((($B17*'Rate Schedules'!$H$119)-750)*'Rate Schedules'!$H$117)+('Rate Schedules'!$H$26+'Rate Schedules'!$H$27)+'Bill Impact CA'!$B17*('Rate Schedules'!$H$28+'Rate Schedules'!$H$29+'Rate Schedules'!$H$32)+'Bill Impact CA'!$B17*'Rate Schedules'!$H$119*('Rate Schedules'!$H$33+'Rate Schedules'!$H$34+'Rate Schedules'!$H$39+'Rate Schedules'!$H$40)+('Bill Impact CA'!$B17*0.0051)+'Rate Schedules'!$H$41)*1.05</f>
        <v>327.492057795</v>
      </c>
      <c r="E17" s="183">
        <f>+((750*'Rate Schedules'!$M$116)+((($B17*'Rate Schedules'!$M$119)-750)*'Rate Schedules'!$M$117)+('Rate Schedules'!$M$26+'Rate Schedules'!$M$27)+'Bill Impact CA'!$B17*('Rate Schedules'!$M$28+'Rate Schedules'!$M$29+'Rate Schedules'!$M$32)+'Bill Impact CA'!$B17*'Rate Schedules'!$M$119*('Rate Schedules'!$M$33+'Rate Schedules'!$M$34+'Rate Schedules'!$M$39+'Rate Schedules'!$M$40)+('Bill Impact CA'!$B17*0.0051)+'Rate Schedules'!$M$41)*1.05</f>
        <v>337.821441447</v>
      </c>
      <c r="F17" s="183">
        <f t="shared" si="0"/>
        <v>10.32938365199999</v>
      </c>
      <c r="G17" s="185">
        <f t="shared" si="1"/>
        <v>0.03154086765202064</v>
      </c>
      <c r="H17" s="296"/>
      <c r="I17" s="297"/>
    </row>
    <row r="18" spans="1:9" ht="12.75">
      <c r="A18" s="90"/>
      <c r="B18" s="85">
        <v>4000</v>
      </c>
      <c r="C18" s="85"/>
      <c r="D18" s="87">
        <f>+((750*'Rate Schedules'!$H$116)+((($B18*'Rate Schedules'!$H$119)-750)*'Rate Schedules'!$H$117)+('Rate Schedules'!$H$26+'Rate Schedules'!$H$27)+'Bill Impact CA'!$B18*('Rate Schedules'!$H$28+'Rate Schedules'!$H$29+'Rate Schedules'!$H$32)+'Bill Impact CA'!$B18*'Rate Schedules'!$H$119*('Rate Schedules'!$H$33+'Rate Schedules'!$H$34+'Rate Schedules'!$H$39+'Rate Schedules'!$H$40)+('Bill Impact CA'!$B18*0.0051)+'Rate Schedules'!$H$41)*1.05</f>
        <v>454.91123999999996</v>
      </c>
      <c r="E18" s="87">
        <f>+((750*'Rate Schedules'!$M$116)+((($B18*'Rate Schedules'!$M$119)-750)*'Rate Schedules'!$M$117)+('Rate Schedules'!$M$26+'Rate Schedules'!$M$27)+'Bill Impact CA'!$B18*('Rate Schedules'!$M$28+'Rate Schedules'!$M$29+'Rate Schedules'!$M$32)+'Bill Impact CA'!$B18*'Rate Schedules'!$M$119*('Rate Schedules'!$M$33+'Rate Schedules'!$M$34+'Rate Schedules'!$M$39+'Rate Schedules'!$M$40)+('Bill Impact CA'!$B18*0.0051)+'Rate Schedules'!$M$41)*1.05</f>
        <v>469.287084</v>
      </c>
      <c r="F18" s="88">
        <f t="shared" si="0"/>
        <v>14.37584400000003</v>
      </c>
      <c r="G18" s="132">
        <f t="shared" si="1"/>
        <v>0.0316014262474588</v>
      </c>
      <c r="H18" s="296"/>
      <c r="I18" s="297"/>
    </row>
    <row r="19" spans="1:9" ht="12.75">
      <c r="A19" s="90"/>
      <c r="B19" s="85">
        <v>6000</v>
      </c>
      <c r="C19" s="85"/>
      <c r="D19" s="87">
        <f>+((750*'Rate Schedules'!$H$116)+((($B19*'Rate Schedules'!$H$119)-750)*'Rate Schedules'!$H$117)+('Rate Schedules'!$H$26+'Rate Schedules'!$H$27)+'Bill Impact CA'!$B19*('Rate Schedules'!$H$28+'Rate Schedules'!$H$29+'Rate Schedules'!$H$32)+'Bill Impact CA'!$B19*'Rate Schedules'!$H$119*('Rate Schedules'!$H$33+'Rate Schedules'!$H$34+'Rate Schedules'!$H$39+'Rate Schedules'!$H$40)+('Bill Impact CA'!$B19*0.0051)+'Rate Schedules'!$H$41)*1.05</f>
        <v>668.52261</v>
      </c>
      <c r="E19" s="87">
        <f>+((750*'Rate Schedules'!$M$116)+((($B19*'Rate Schedules'!$M$119)-750)*'Rate Schedules'!$M$117)+('Rate Schedules'!$M$26+'Rate Schedules'!$M$27)+'Bill Impact CA'!$B19*('Rate Schedules'!$M$28+'Rate Schedules'!$M$29+'Rate Schedules'!$M$32)+'Bill Impact CA'!$B19*'Rate Schedules'!$M$119*('Rate Schedules'!$M$33+'Rate Schedules'!$M$34+'Rate Schedules'!$M$39+'Rate Schedules'!$M$40)+('Bill Impact CA'!$B19*0.0051)+'Rate Schedules'!$M$41)*1.05</f>
        <v>689.6821260000002</v>
      </c>
      <c r="F19" s="88">
        <f t="shared" si="0"/>
        <v>21.159516000000167</v>
      </c>
      <c r="G19" s="132">
        <f t="shared" si="1"/>
        <v>0.03165115986129499</v>
      </c>
      <c r="H19" s="296"/>
      <c r="I19" s="297"/>
    </row>
    <row r="20" spans="1:9" ht="12.75">
      <c r="A20" s="90"/>
      <c r="B20" s="85">
        <v>10000</v>
      </c>
      <c r="C20" s="85"/>
      <c r="D20" s="87">
        <f>+((750*'Rate Schedules'!$H$116)+((($B20*'Rate Schedules'!$H$119)-750)*'Rate Schedules'!$H$117)+('Rate Schedules'!$H$26+'Rate Schedules'!$H$27)+'Bill Impact CA'!$B20*('Rate Schedules'!$H$28+'Rate Schedules'!$H$29+'Rate Schedules'!$H$32)+'Bill Impact CA'!$B20*'Rate Schedules'!$H$119*('Rate Schedules'!$H$33+'Rate Schedules'!$H$34+'Rate Schedules'!$H$39+'Rate Schedules'!$H$40)+('Bill Impact CA'!$B20*0.0051)+'Rate Schedules'!$H$41)*1.05</f>
        <v>1095.7453500000001</v>
      </c>
      <c r="E20" s="87">
        <f>+((750*'Rate Schedules'!$M$116)+((($B20*'Rate Schedules'!$M$119)-750)*'Rate Schedules'!$M$117)+('Rate Schedules'!$M$26+'Rate Schedules'!$M$27)+'Bill Impact CA'!$B20*('Rate Schedules'!$M$28+'Rate Schedules'!$M$29+'Rate Schedules'!$M$32)+'Bill Impact CA'!$B20*'Rate Schedules'!$M$119*('Rate Schedules'!$M$33+'Rate Schedules'!$M$34+'Rate Schedules'!$M$39+'Rate Schedules'!$M$40)+('Bill Impact CA'!$B20*0.0051)+'Rate Schedules'!$M$41)*1.05</f>
        <v>1130.4722100000001</v>
      </c>
      <c r="F20" s="88">
        <f t="shared" si="0"/>
        <v>34.72685999999999</v>
      </c>
      <c r="G20" s="132">
        <f t="shared" si="1"/>
        <v>0.03169245482082127</v>
      </c>
      <c r="H20" s="296"/>
      <c r="I20" s="297"/>
    </row>
    <row r="21" spans="1:9" ht="13.5" thickBot="1">
      <c r="A21" s="91"/>
      <c r="B21" s="92">
        <v>15000</v>
      </c>
      <c r="C21" s="98"/>
      <c r="D21" s="94">
        <f>+((750*'Rate Schedules'!$H$116)+((($B21*'Rate Schedules'!$H$119)-750)*'Rate Schedules'!$H$117)+('Rate Schedules'!$H$26+'Rate Schedules'!$H$27)+'Bill Impact CA'!$B21*('Rate Schedules'!$H$28+'Rate Schedules'!$H$29+'Rate Schedules'!$H$32)+'Bill Impact CA'!$B21*'Rate Schedules'!$H$119*('Rate Schedules'!$H$33+'Rate Schedules'!$H$34+'Rate Schedules'!$H$39+'Rate Schedules'!$H$40)+('Bill Impact CA'!$B21*0.0051)+'Rate Schedules'!$H$41)*1.05</f>
        <v>1629.773775</v>
      </c>
      <c r="E21" s="94">
        <f>+((750*'Rate Schedules'!$M$116)+((($B21*'Rate Schedules'!$M$119)-750)*'Rate Schedules'!$M$117)+('Rate Schedules'!$M$26+'Rate Schedules'!$M$27)+'Bill Impact CA'!$B21*('Rate Schedules'!$M$28+'Rate Schedules'!$M$29+'Rate Schedules'!$M$32)+'Bill Impact CA'!$B21*'Rate Schedules'!$M$119*('Rate Schedules'!$M$33+'Rate Schedules'!$M$34+'Rate Schedules'!$M$39+'Rate Schedules'!$M$40)+('Bill Impact CA'!$B21*0.0051)+'Rate Schedules'!$M$41)*1.05</f>
        <v>1681.4598150000002</v>
      </c>
      <c r="F21" s="96">
        <f t="shared" si="0"/>
        <v>51.686040000000276</v>
      </c>
      <c r="G21" s="133">
        <f t="shared" si="1"/>
        <v>0.031713628475829585</v>
      </c>
      <c r="H21" s="298"/>
      <c r="I21" s="299"/>
    </row>
    <row r="22" spans="1:9" ht="12.75">
      <c r="A22" s="77" t="s">
        <v>16</v>
      </c>
      <c r="B22" s="78">
        <v>25000</v>
      </c>
      <c r="C22" s="78">
        <v>50</v>
      </c>
      <c r="D22" s="79">
        <f>+((750*'Rate Schedules'!$H$116)+((('Bill Impact CA'!$B22*'Rate Schedules'!$H$119)-750)*'Rate Schedules'!$H$117)+('Rate Schedules'!$H$44+'Rate Schedules'!$H$45)+'Bill Impact CA'!$C22*('Rate Schedules'!$H$46+'Rate Schedules'!$H$47+'Rate Schedules'!$H$50)+'Bill Impact CA'!$C22*'Rate Schedules'!$H$119*('Rate Schedules'!$H$51+'Rate Schedules'!$H$52)+'Bill Impact CA'!$B22*'Rate Schedules'!$H$119*('Rate Schedules'!$H$57+'Rate Schedules'!$H$58)+('Bill Impact CA'!$B22*0.0051)+'Rate Schedules'!$H$59)*1.05</f>
        <v>3205.265450625</v>
      </c>
      <c r="E22" s="79">
        <f>+((750*'Rate Schedules'!$M$116)+((('Bill Impact CA'!$B22*'Rate Schedules'!$M$119)-750)*'Rate Schedules'!$M$117)+('Rate Schedules'!$M$44+'Rate Schedules'!$M$45)+'Bill Impact CA'!$C22*('Rate Schedules'!$M$46+'Rate Schedules'!$M$47+'Rate Schedules'!$M$50)+'Bill Impact CA'!$C22*'Rate Schedules'!$M$119*('Rate Schedules'!$M$51+'Rate Schedules'!$M$52)+'Bill Impact CA'!$B22*'Rate Schedules'!$M$119*('Rate Schedules'!$M$57+'Rate Schedules'!$M$58)+('Bill Impact CA'!$B22*0.0051)+'Rate Schedules'!$M$59)*1.05</f>
        <v>3372.753287654095</v>
      </c>
      <c r="F22" s="80">
        <f t="shared" si="0"/>
        <v>167.48783702909486</v>
      </c>
      <c r="G22" s="131">
        <f t="shared" si="1"/>
        <v>0.05225396760709355</v>
      </c>
      <c r="H22" s="82">
        <f>MAX(G22:G28)</f>
        <v>0.08642038680825259</v>
      </c>
      <c r="I22" s="83">
        <f>MIN(G22:G28)</f>
        <v>0.05225396760709355</v>
      </c>
    </row>
    <row r="23" spans="1:9" ht="12.75">
      <c r="A23" s="84"/>
      <c r="B23" s="85">
        <v>40000</v>
      </c>
      <c r="C23" s="85">
        <v>75</v>
      </c>
      <c r="D23" s="87">
        <f>+((750*'Rate Schedules'!$H$116)+((('Bill Impact CA'!$B23*'Rate Schedules'!$H$119)-750)*'Rate Schedules'!$H$117)+('Rate Schedules'!$H$44+'Rate Schedules'!$H$45)+'Bill Impact CA'!$C23*('Rate Schedules'!$H$46+'Rate Schedules'!$H$47+'Rate Schedules'!$H$50)+'Bill Impact CA'!$C23*'Rate Schedules'!$H$119*('Rate Schedules'!$H$51+'Rate Schedules'!$H$52)+'Bill Impact CA'!$B23*'Rate Schedules'!$H$119*('Rate Schedules'!$H$57+'Rate Schedules'!$H$58)+('Bill Impact CA'!$B23*0.0051)+'Rate Schedules'!$H$59)*1.05</f>
        <v>4614.9194634375</v>
      </c>
      <c r="E23" s="87">
        <f>+((750*'Rate Schedules'!$M$116)+((('Bill Impact CA'!$B23*'Rate Schedules'!$M$119)-750)*'Rate Schedules'!$M$117)+('Rate Schedules'!$M$44+'Rate Schedules'!$M$45)+'Bill Impact CA'!$C23*('Rate Schedules'!$M$46+'Rate Schedules'!$M$47+'Rate Schedules'!$M$50)+'Bill Impact CA'!$C23*'Rate Schedules'!$M$119*('Rate Schedules'!$M$51+'Rate Schedules'!$M$52)+'Bill Impact CA'!$B23*'Rate Schedules'!$M$119*('Rate Schedules'!$M$57+'Rate Schedules'!$M$58)+('Bill Impact CA'!$B23*0.0051)+'Rate Schedules'!$M$59)*1.05</f>
        <v>4867.356828981143</v>
      </c>
      <c r="F23" s="88">
        <f t="shared" si="0"/>
        <v>252.43736554364295</v>
      </c>
      <c r="G23" s="132">
        <f t="shared" si="1"/>
        <v>0.05470027538803695</v>
      </c>
      <c r="H23" s="294"/>
      <c r="I23" s="295"/>
    </row>
    <row r="24" spans="1:9" ht="12.75">
      <c r="A24" s="180" t="s">
        <v>261</v>
      </c>
      <c r="B24" s="181">
        <v>44320</v>
      </c>
      <c r="C24" s="181">
        <v>139</v>
      </c>
      <c r="D24" s="183">
        <f>+((750*'Rate Schedules'!$H$116)+((('Bill Impact CA'!$B24*'Rate Schedules'!$H$119)-750)*'Rate Schedules'!$H$117)+('Rate Schedules'!$H$44+'Rate Schedules'!$H$45)+'Bill Impact CA'!$C24*('Rate Schedules'!$H$46+'Rate Schedules'!$H$47+'Rate Schedules'!$H$50)+'Bill Impact CA'!$C24*'Rate Schedules'!$H$119*('Rate Schedules'!$H$51+'Rate Schedules'!$H$52)+'Bill Impact CA'!$B24*'Rate Schedules'!$H$119*('Rate Schedules'!$H$57+'Rate Schedules'!$H$58)+('Bill Impact CA'!$B24*0.0051)+'Rate Schedules'!$H$59)*1.05</f>
        <v>5426.1730170375</v>
      </c>
      <c r="E24" s="183">
        <f>+((750*'Rate Schedules'!$M$116)+((('Bill Impact CA'!$B24*'Rate Schedules'!$M$119)-750)*'Rate Schedules'!$M$117)+('Rate Schedules'!$M$44+'Rate Schedules'!$M$45)+'Bill Impact CA'!$C24*('Rate Schedules'!$M$46+'Rate Schedules'!$M$47+'Rate Schedules'!$M$50)+'Bill Impact CA'!$C24*'Rate Schedules'!$M$119*('Rate Schedules'!$M$51+'Rate Schedules'!$M$52)+'Bill Impact CA'!$B24*'Rate Schedules'!$M$119*('Rate Schedules'!$M$57+'Rate Schedules'!$M$58)+('Bill Impact CA'!$B24*0.0051)+'Rate Schedules'!$M$59)*1.05</f>
        <v>5895.104988058384</v>
      </c>
      <c r="F24" s="183">
        <f t="shared" si="0"/>
        <v>468.9319710208838</v>
      </c>
      <c r="G24" s="185">
        <f t="shared" si="1"/>
        <v>0.08642038680825259</v>
      </c>
      <c r="H24" s="296"/>
      <c r="I24" s="297"/>
    </row>
    <row r="25" spans="1:9" ht="12.75">
      <c r="A25" s="90"/>
      <c r="B25" s="85">
        <v>50000</v>
      </c>
      <c r="C25" s="85">
        <v>150</v>
      </c>
      <c r="D25" s="87">
        <f>+((750*'Rate Schedules'!$H$116)+((('Bill Impact CA'!$B25*'Rate Schedules'!$H$119)-750)*'Rate Schedules'!$H$117)+('Rate Schedules'!$H$44+'Rate Schedules'!$H$45)+'Bill Impact CA'!$C25*('Rate Schedules'!$H$46+'Rate Schedules'!$H$47+'Rate Schedules'!$H$50)+'Bill Impact CA'!$C25*'Rate Schedules'!$H$119*('Rate Schedules'!$H$51+'Rate Schedules'!$H$52)+'Bill Impact CA'!$B25*'Rate Schedules'!$H$119*('Rate Schedules'!$H$57+'Rate Schedules'!$H$58)+('Bill Impact CA'!$B25*0.0051)+'Rate Schedules'!$H$59)*1.05</f>
        <v>5970.902476875</v>
      </c>
      <c r="E25" s="87">
        <f>+((750*'Rate Schedules'!$M$116)+((('Bill Impact CA'!$B25*'Rate Schedules'!$M$119)-750)*'Rate Schedules'!$M$117)+('Rate Schedules'!$M$44+'Rate Schedules'!$M$45)+'Bill Impact CA'!$C25*('Rate Schedules'!$M$46+'Rate Schedules'!$M$47+'Rate Schedules'!$M$50)+'Bill Impact CA'!$C25*'Rate Schedules'!$M$119*('Rate Schedules'!$M$51+'Rate Schedules'!$M$52)+'Bill Impact CA'!$B25*'Rate Schedules'!$M$119*('Rate Schedules'!$M$57+'Rate Schedules'!$M$58)+('Bill Impact CA'!$B25*0.0051)+'Rate Schedules'!$M$59)*1.05</f>
        <v>6477.185887962286</v>
      </c>
      <c r="F25" s="88">
        <f t="shared" si="0"/>
        <v>506.28341108728637</v>
      </c>
      <c r="G25" s="132">
        <f t="shared" si="1"/>
        <v>0.08479177361346901</v>
      </c>
      <c r="H25" s="296"/>
      <c r="I25" s="297"/>
    </row>
    <row r="26" spans="1:9" ht="12.75">
      <c r="A26" s="90"/>
      <c r="B26" s="85">
        <v>75000</v>
      </c>
      <c r="C26" s="85">
        <v>175</v>
      </c>
      <c r="D26" s="87">
        <f>+((750*'Rate Schedules'!$H$116)+((('Bill Impact CA'!$B26*'Rate Schedules'!$H$119)-750)*'Rate Schedules'!$H$117)+('Rate Schedules'!$H$44+'Rate Schedules'!$H$45)+'Bill Impact CA'!$C26*('Rate Schedules'!$H$46+'Rate Schedules'!$H$47+'Rate Schedules'!$H$50)+'Bill Impact CA'!$C26*'Rate Schedules'!$H$119*('Rate Schedules'!$H$51+'Rate Schedules'!$H$52)+'Bill Impact CA'!$B26*'Rate Schedules'!$H$119*('Rate Schedules'!$H$57+'Rate Schedules'!$H$58)+('Bill Impact CA'!$B26*0.0051)+'Rate Schedules'!$H$59)*1.05</f>
        <v>8201.407639687499</v>
      </c>
      <c r="E26" s="87">
        <f>+((750*'Rate Schedules'!$M$116)+((('Bill Impact CA'!$B26*'Rate Schedules'!$M$119)-750)*'Rate Schedules'!$M$117)+('Rate Schedules'!$M$44+'Rate Schedules'!$M$45)+'Bill Impact CA'!$C26*('Rate Schedules'!$M$46+'Rate Schedules'!$M$47+'Rate Schedules'!$M$50)+'Bill Impact CA'!$C26*'Rate Schedules'!$M$119*('Rate Schedules'!$M$51+'Rate Schedules'!$M$52)+'Bill Impact CA'!$B26*'Rate Schedules'!$M$119*('Rate Schedules'!$M$57+'Rate Schedules'!$M$58)+('Bill Impact CA'!$B26*0.0051)+'Rate Schedules'!$M$59)*1.05</f>
        <v>8792.927019289335</v>
      </c>
      <c r="F26" s="88">
        <f t="shared" si="0"/>
        <v>591.5193796018357</v>
      </c>
      <c r="G26" s="132">
        <f t="shared" si="1"/>
        <v>0.0721241286360904</v>
      </c>
      <c r="H26" s="296"/>
      <c r="I26" s="297"/>
    </row>
    <row r="27" spans="1:9" ht="12.75">
      <c r="A27" s="90"/>
      <c r="B27" s="85">
        <v>125000</v>
      </c>
      <c r="C27" s="85">
        <v>300</v>
      </c>
      <c r="D27" s="87">
        <f>+((750*'Rate Schedules'!$H$116)+((('Bill Impact CA'!$B27*'Rate Schedules'!$H$119)-750)*'Rate Schedules'!$H$117)+('Rate Schedules'!$H$44+'Rate Schedules'!$H$45)+'Bill Impact CA'!$C27*('Rate Schedules'!$H$46+'Rate Schedules'!$H$47+'Rate Schedules'!$H$50)+'Bill Impact CA'!$C27*'Rate Schedules'!$H$119*('Rate Schedules'!$H$51+'Rate Schedules'!$H$52)+'Bill Impact CA'!$B27*'Rate Schedules'!$H$119*('Rate Schedules'!$H$57+'Rate Schedules'!$H$58)+('Bill Impact CA'!$B27*0.0051)+'Rate Schedules'!$H$59)*1.05</f>
        <v>13197.54982875</v>
      </c>
      <c r="E27" s="87">
        <f>+((750*'Rate Schedules'!$M$116)+((('Bill Impact CA'!$B27*'Rate Schedules'!$M$119)-750)*'Rate Schedules'!$M$117)+('Rate Schedules'!$M$44+'Rate Schedules'!$M$45)+'Bill Impact CA'!$C27*('Rate Schedules'!$M$46+'Rate Schedules'!$M$47+'Rate Schedules'!$M$50)+'Bill Impact CA'!$C27*'Rate Schedules'!$M$119*('Rate Schedules'!$M$51+'Rate Schedules'!$M$52)+'Bill Impact CA'!$B27*'Rate Schedules'!$M$119*('Rate Schedules'!$M$57+'Rate Schedules'!$M$58)+('Bill Impact CA'!$B27*0.0051)+'Rate Schedules'!$M$59)*1.05</f>
        <v>14213.10075092457</v>
      </c>
      <c r="F27" s="88">
        <f t="shared" si="0"/>
        <v>1015.5509221745706</v>
      </c>
      <c r="G27" s="132">
        <f t="shared" si="1"/>
        <v>0.07694995929943445</v>
      </c>
      <c r="H27" s="296"/>
      <c r="I27" s="297"/>
    </row>
    <row r="28" spans="1:9" ht="13.5" thickBot="1">
      <c r="A28" s="91"/>
      <c r="B28" s="92">
        <v>250000</v>
      </c>
      <c r="C28" s="92">
        <v>500</v>
      </c>
      <c r="D28" s="94">
        <f>+((750*'Rate Schedules'!$H$116)+((('Bill Impact CA'!$B28*'Rate Schedules'!$H$119)-750)*'Rate Schedules'!$H$117)+('Rate Schedules'!$H$44+'Rate Schedules'!$H$45)+'Bill Impact CA'!$C28*('Rate Schedules'!$H$46+'Rate Schedules'!$H$47+'Rate Schedules'!$H$50)+'Bill Impact CA'!$C28*'Rate Schedules'!$H$119*('Rate Schedules'!$H$51+'Rate Schedules'!$H$52)+'Bill Impact CA'!$B28*'Rate Schedules'!$H$119*('Rate Schedules'!$H$57+'Rate Schedules'!$H$58)+('Bill Impact CA'!$B28*0.0051)+'Rate Schedules'!$H$59)*1.05</f>
        <v>24885.20750625</v>
      </c>
      <c r="E28" s="94">
        <f>+((750*'Rate Schedules'!$M$116)+((('Bill Impact CA'!$B28*'Rate Schedules'!$M$119)-750)*'Rate Schedules'!$M$117)+('Rate Schedules'!$M$44+'Rate Schedules'!$M$45)+'Bill Impact CA'!$C28*('Rate Schedules'!$M$46+'Rate Schedules'!$M$47+'Rate Schedules'!$M$50)+'Bill Impact CA'!$C28*'Rate Schedules'!$M$119*('Rate Schedules'!$M$51+'Rate Schedules'!$M$52)+'Bill Impact CA'!$B28*'Rate Schedules'!$M$119*('Rate Schedules'!$M$57+'Rate Schedules'!$M$58)+('Bill Impact CA'!$B28*0.0051)+'Rate Schedules'!$M$59)*1.05</f>
        <v>26580.497876540954</v>
      </c>
      <c r="F28" s="96">
        <f t="shared" si="0"/>
        <v>1695.2903702909534</v>
      </c>
      <c r="G28" s="133">
        <f t="shared" si="1"/>
        <v>0.06812442170173488</v>
      </c>
      <c r="H28" s="298"/>
      <c r="I28" s="299"/>
    </row>
    <row r="29" spans="1:9" ht="12.75">
      <c r="A29" s="99" t="s">
        <v>18</v>
      </c>
      <c r="B29" s="78">
        <v>250</v>
      </c>
      <c r="C29" s="100"/>
      <c r="D29" s="79">
        <f>+(($B29*'Rate Schedules'!$H$119*'Rate Schedules'!$H$116)+('Rate Schedules'!$H$62+'Rate Schedules'!$H$63)+'Bill Impact CA'!$B29*('Rate Schedules'!$H$64+'Rate Schedules'!$H$65+'Rate Schedules'!$H$68)+'Bill Impact CA'!$B29*'Rate Schedules'!$H$119*('Rate Schedules'!$H$69+'Rate Schedules'!$H$70+'Rate Schedules'!$H$75+'Rate Schedules'!$H$76)+('Bill Impact CA'!$B29*0.0051)+'Rate Schedules'!$H$77)*1.05</f>
        <v>58.9460025</v>
      </c>
      <c r="E29" s="79">
        <f>+(($B29*'Rate Schedules'!$M$119*'Rate Schedules'!$M$116)+('Rate Schedules'!$M$62+'Rate Schedules'!$M$63)+'Bill Impact CA'!$B29*('Rate Schedules'!$M$64+'Rate Schedules'!$M$65+'Rate Schedules'!$M$68)+'Bill Impact CA'!$B29*'Rate Schedules'!$M$119*('Rate Schedules'!$M$69+'Rate Schedules'!$M$70+'Rate Schedules'!$M$75+'Rate Schedules'!$M$76)+('Bill Impact CA'!$B29*0.0051)+'Rate Schedules'!$M$77)*1.05</f>
        <v>60.7747665</v>
      </c>
      <c r="F29" s="80">
        <f t="shared" si="0"/>
        <v>1.8287639999999996</v>
      </c>
      <c r="G29" s="131">
        <f t="shared" si="1"/>
        <v>0.03102439389337724</v>
      </c>
      <c r="H29" s="82">
        <f>MAX(G29:G35)</f>
        <v>0.04130168155597228</v>
      </c>
      <c r="I29" s="83">
        <f>MIN(G29:G35)</f>
        <v>0.03102439389337724</v>
      </c>
    </row>
    <row r="30" spans="1:9" ht="12.75">
      <c r="A30" s="84"/>
      <c r="B30" s="85">
        <v>350</v>
      </c>
      <c r="C30" s="85"/>
      <c r="D30" s="87">
        <f>+(($B30*'Rate Schedules'!$H$119*'Rate Schedules'!$H$116)+('Rate Schedules'!$H$62+'Rate Schedules'!$H$63)+'Bill Impact CA'!$B30*('Rate Schedules'!$H$64+'Rate Schedules'!$H$65+'Rate Schedules'!$H$68)+'Bill Impact CA'!$B30*'Rate Schedules'!$H$119*('Rate Schedules'!$H$69+'Rate Schedules'!$H$70+'Rate Schedules'!$H$75+'Rate Schedules'!$H$76)+('Bill Impact CA'!$B30*0.0051)+'Rate Schedules'!$H$77)*1.05</f>
        <v>68.61400350000001</v>
      </c>
      <c r="E30" s="87">
        <f>+(($B30*'Rate Schedules'!$M$119*'Rate Schedules'!$M$116)+('Rate Schedules'!$M$62+'Rate Schedules'!$M$63)+'Bill Impact CA'!$B30*('Rate Schedules'!$M$64+'Rate Schedules'!$M$65+'Rate Schedules'!$M$68)+'Bill Impact CA'!$B30*'Rate Schedules'!$M$119*('Rate Schedules'!$M$69+'Rate Schedules'!$M$70+'Rate Schedules'!$M$75+'Rate Schedules'!$M$76)+('Bill Impact CA'!$B30*0.0051)+'Rate Schedules'!$M$77)*1.05</f>
        <v>70.9390731</v>
      </c>
      <c r="F30" s="88">
        <f t="shared" si="0"/>
        <v>2.325069599999992</v>
      </c>
      <c r="G30" s="132">
        <f t="shared" si="1"/>
        <v>0.03388622557201449</v>
      </c>
      <c r="H30" s="294"/>
      <c r="I30" s="295"/>
    </row>
    <row r="31" spans="1:9" ht="12.75">
      <c r="A31" s="90"/>
      <c r="B31" s="85">
        <v>500</v>
      </c>
      <c r="C31" s="85"/>
      <c r="D31" s="87">
        <f>+(($B31*'Rate Schedules'!$H$119*'Rate Schedules'!$H$116)+('Rate Schedules'!$H$62+'Rate Schedules'!$H$63)+'Bill Impact CA'!$B31*('Rate Schedules'!$H$64+'Rate Schedules'!$H$65+'Rate Schedules'!$H$68)+'Bill Impact CA'!$B31*'Rate Schedules'!$H$119*('Rate Schedules'!$H$69+'Rate Schedules'!$H$70+'Rate Schedules'!$H$75+'Rate Schedules'!$H$76)+('Bill Impact CA'!$B31*0.0051)+'Rate Schedules'!$H$77)*1.05</f>
        <v>83.11600499999999</v>
      </c>
      <c r="E31" s="87">
        <f>+(($B31*'Rate Schedules'!$M$119*'Rate Schedules'!$M$116)+('Rate Schedules'!$M$62+'Rate Schedules'!$M$63)+'Bill Impact CA'!$B31*('Rate Schedules'!$M$64+'Rate Schedules'!$M$65+'Rate Schedules'!$M$68)+'Bill Impact CA'!$B31*'Rate Schedules'!$M$119*('Rate Schedules'!$M$69+'Rate Schedules'!$M$70+'Rate Schedules'!$M$75+'Rate Schedules'!$M$76)+('Bill Impact CA'!$B31*0.0051)+'Rate Schedules'!$M$77)*1.05</f>
        <v>86.185533</v>
      </c>
      <c r="F31" s="88">
        <f t="shared" si="0"/>
        <v>3.0695280000000196</v>
      </c>
      <c r="G31" s="132">
        <f t="shared" si="1"/>
        <v>0.03693064891653563</v>
      </c>
      <c r="H31" s="296"/>
      <c r="I31" s="297"/>
    </row>
    <row r="32" spans="1:9" ht="12.75">
      <c r="A32" s="90"/>
      <c r="B32" s="85">
        <v>600</v>
      </c>
      <c r="C32" s="85"/>
      <c r="D32" s="87">
        <f>+(($B32*'Rate Schedules'!$H$119*'Rate Schedules'!$H$116)+('Rate Schedules'!$H$62+'Rate Schedules'!$H$63)+'Bill Impact CA'!$B32*('Rate Schedules'!$H$64+'Rate Schedules'!$H$65+'Rate Schedules'!$H$68)+'Bill Impact CA'!$B32*'Rate Schedules'!$H$119*('Rate Schedules'!$H$69+'Rate Schedules'!$H$70+'Rate Schedules'!$H$75+'Rate Schedules'!$H$76)+('Bill Impact CA'!$B32*0.0051)+'Rate Schedules'!$H$77)*1.05</f>
        <v>92.78400599999999</v>
      </c>
      <c r="E32" s="87">
        <f>+(($B32*'Rate Schedules'!$M$119*'Rate Schedules'!$M$116)+('Rate Schedules'!$M$62+'Rate Schedules'!$M$63)+'Bill Impact CA'!$B32*('Rate Schedules'!$M$64+'Rate Schedules'!$M$65+'Rate Schedules'!$M$68)+'Bill Impact CA'!$B32*'Rate Schedules'!$M$119*('Rate Schedules'!$M$69+'Rate Schedules'!$M$70+'Rate Schedules'!$M$75+'Rate Schedules'!$M$76)+('Bill Impact CA'!$B32*0.0051)+'Rate Schedules'!$M$77)*1.05</f>
        <v>96.34983960000002</v>
      </c>
      <c r="F32" s="88">
        <f t="shared" si="0"/>
        <v>3.5658336000000332</v>
      </c>
      <c r="G32" s="132">
        <f t="shared" si="1"/>
        <v>0.038431554679801534</v>
      </c>
      <c r="H32" s="296"/>
      <c r="I32" s="297"/>
    </row>
    <row r="33" spans="1:9" ht="12.75">
      <c r="A33" s="90"/>
      <c r="B33" s="85">
        <v>750</v>
      </c>
      <c r="C33" s="85"/>
      <c r="D33" s="87">
        <f>+((750*'Rate Schedules'!$H$116)+((($B33*'Rate Schedules'!$H$119)-750)*'Rate Schedules'!$H$117)+('Rate Schedules'!$H$62+'Rate Schedules'!$H$63)+'Bill Impact CA'!$B33*('Rate Schedules'!$H$64+'Rate Schedules'!$H$65+'Rate Schedules'!$H$68)+'Bill Impact CA'!$B33*'Rate Schedules'!$H$119*('Rate Schedules'!$H$69+'Rate Schedules'!$H$70+'Rate Schedules'!$H$75+'Rate Schedules'!$H$76)+('Bill Impact CA'!$B33*0.0051)+'Rate Schedules'!$H$77)*1.05</f>
        <v>107.79276375</v>
      </c>
      <c r="E33" s="87">
        <f>+((750*'Rate Schedules'!$M$116)+((($B33*'Rate Schedules'!$M$119)-750)*'Rate Schedules'!$M$117)+('Rate Schedules'!$M$62+'Rate Schedules'!$M$63)+'Bill Impact CA'!$B33*('Rate Schedules'!$M$64+'Rate Schedules'!$M$65+'Rate Schedules'!$M$68)+'Bill Impact CA'!$B33*'Rate Schedules'!$M$119*('Rate Schedules'!$M$69+'Rate Schedules'!$M$70+'Rate Schedules'!$M$75+'Rate Schedules'!$M$76)+('Bill Impact CA'!$B33*0.0051)+'Rate Schedules'!$M$77)*1.05</f>
        <v>112.10589075000001</v>
      </c>
      <c r="F33" s="88">
        <f t="shared" si="0"/>
        <v>4.313127000000009</v>
      </c>
      <c r="G33" s="132">
        <f t="shared" si="1"/>
        <v>0.04001314049246658</v>
      </c>
      <c r="H33" s="296"/>
      <c r="I33" s="297"/>
    </row>
    <row r="34" spans="1:9" ht="12.75">
      <c r="A34" s="180" t="s">
        <v>261</v>
      </c>
      <c r="B34" s="181">
        <v>985</v>
      </c>
      <c r="C34" s="181"/>
      <c r="D34" s="183">
        <f>+((750*'Rate Schedules'!$H$116)+((($B34*'Rate Schedules'!$H$119)-750)*'Rate Schedules'!$H$117)+('Rate Schedules'!$H$62+'Rate Schedules'!$H$63)+'Bill Impact CA'!$B34*('Rate Schedules'!$H$64+'Rate Schedules'!$H$65+'Rate Schedules'!$H$68)+'Bill Impact CA'!$B34*'Rate Schedules'!$H$119*('Rate Schedules'!$H$69+'Rate Schedules'!$H$70+'Rate Schedules'!$H$75+'Rate Schedules'!$H$76)+('Bill Impact CA'!$B34*0.0051)+'Rate Schedules'!$H$77)*1.05</f>
        <v>132.89209972499998</v>
      </c>
      <c r="E34" s="183">
        <f>+((750*'Rate Schedules'!$M$116)+((($B34*'Rate Schedules'!$M$119)-750)*'Rate Schedules'!$M$117)+('Rate Schedules'!$M$62+'Rate Schedules'!$M$63)+'Bill Impact CA'!$B34*('Rate Schedules'!$M$64+'Rate Schedules'!$M$65+'Rate Schedules'!$M$68)+'Bill Impact CA'!$B34*'Rate Schedules'!$M$119*('Rate Schedules'!$M$69+'Rate Schedules'!$M$70+'Rate Schedules'!$M$75+'Rate Schedules'!$M$76)+('Bill Impact CA'!$B34*0.0051)+'Rate Schedules'!$M$77)*1.05</f>
        <v>138.372433185</v>
      </c>
      <c r="F34" s="183">
        <f t="shared" si="0"/>
        <v>5.4803334600000255</v>
      </c>
      <c r="G34" s="185">
        <f t="shared" si="1"/>
        <v>0.04123897110016881</v>
      </c>
      <c r="H34" s="296"/>
      <c r="I34" s="297"/>
    </row>
    <row r="35" spans="1:9" ht="13.5" thickBot="1">
      <c r="A35" s="91"/>
      <c r="B35" s="92">
        <v>1000</v>
      </c>
      <c r="C35" s="92"/>
      <c r="D35" s="94">
        <f>+((750*'Rate Schedules'!$H$116)+((($B35*'Rate Schedules'!$H$119)-750)*'Rate Schedules'!$H$117)+('Rate Schedules'!$H$62+'Rate Schedules'!$H$63)+'Bill Impact CA'!$B35*('Rate Schedules'!$H$64+'Rate Schedules'!$H$65+'Rate Schedules'!$H$68)+'Bill Impact CA'!$B35*'Rate Schedules'!$H$119*('Rate Schedules'!$H$69+'Rate Schedules'!$H$70+'Rate Schedules'!$H$75+'Rate Schedules'!$H$76)+('Bill Impact CA'!$B35*0.0051)+'Rate Schedules'!$H$77)*1.05</f>
        <v>134.494185</v>
      </c>
      <c r="E35" s="94">
        <f>+((750*'Rate Schedules'!$M$116)+((($B35*'Rate Schedules'!$M$119)-750)*'Rate Schedules'!$M$117)+('Rate Schedules'!$M$62+'Rate Schedules'!$M$63)+'Bill Impact CA'!$B35*('Rate Schedules'!$M$64+'Rate Schedules'!$M$65+'Rate Schedules'!$M$68)+'Bill Impact CA'!$B35*'Rate Schedules'!$M$119*('Rate Schedules'!$M$69+'Rate Schedules'!$M$70+'Rate Schedules'!$M$75+'Rate Schedules'!$M$76)+('Bill Impact CA'!$B35*0.0051)+'Rate Schedules'!$M$77)*1.05</f>
        <v>140.049021</v>
      </c>
      <c r="F35" s="96">
        <f t="shared" si="0"/>
        <v>5.554836000000023</v>
      </c>
      <c r="G35" s="133">
        <f t="shared" si="1"/>
        <v>0.04130168155597228</v>
      </c>
      <c r="H35" s="298"/>
      <c r="I35" s="299"/>
    </row>
    <row r="36" spans="1:9" ht="12.75">
      <c r="A36" s="101" t="s">
        <v>19</v>
      </c>
      <c r="B36" s="78">
        <v>300</v>
      </c>
      <c r="C36" s="100">
        <v>1</v>
      </c>
      <c r="D36" s="79">
        <f>+(($B36*'Rate Schedules'!$H$119*'Rate Schedules'!$H$116)+('Rate Schedules'!$H$80+'Rate Schedules'!$H$81)+'Bill Impact CA'!$C36*('Rate Schedules'!$H$82+'Rate Schedules'!$H$83+'Rate Schedules'!$H$86)+'Bill Impact CA'!$C36*'Rate Schedules'!$H$119*('Rate Schedules'!$H$87+'Rate Schedules'!$H$88)+'Bill Impact CA'!$B36*'Rate Schedules'!$H$119*('Rate Schedules'!$H$93+'Rate Schedules'!$H$94)+('Bill Impact CA'!$B36*0.0051)+'Rate Schedules'!$H$95)*1.05</f>
        <v>29.1264015525</v>
      </c>
      <c r="E36" s="79">
        <f>+(($B36*'Rate Schedules'!$M$119*'Rate Schedules'!$M$116)+('Rate Schedules'!$M$80+'Rate Schedules'!$M$81)+'Bill Impact CA'!$C36*('Rate Schedules'!$M$82+'Rate Schedules'!$M$83+'Rate Schedules'!$M$86)+'Bill Impact CA'!$C36*'Rate Schedules'!$M$119*('Rate Schedules'!$M$87+'Rate Schedules'!$M$88)+'Bill Impact CA'!$B36*'Rate Schedules'!$M$119*('Rate Schedules'!$M$93+'Rate Schedules'!$M$94)+('Bill Impact CA'!$B36*0.0051)+'Rate Schedules'!$M$95)*1.05</f>
        <v>31.65254224650001</v>
      </c>
      <c r="F36" s="80">
        <f t="shared" si="0"/>
        <v>2.5261406940000093</v>
      </c>
      <c r="G36" s="131">
        <f t="shared" si="1"/>
        <v>0.08673027079732697</v>
      </c>
      <c r="H36" s="82">
        <f>MAX(G36:G40)</f>
        <v>0.09947398518286246</v>
      </c>
      <c r="I36" s="83">
        <f>MIN(G36:G40)</f>
        <v>0.08673027079732697</v>
      </c>
    </row>
    <row r="37" spans="1:9" ht="12.75">
      <c r="A37" s="84"/>
      <c r="B37" s="85">
        <v>900</v>
      </c>
      <c r="C37" s="85">
        <v>3</v>
      </c>
      <c r="D37" s="87">
        <f>+((750*'Rate Schedules'!$H$116)+((('Bill Impact CA'!$B37*'Rate Schedules'!$H$119)-750)*'Rate Schedules'!$H$117)+('Rate Schedules'!$H$80+'Rate Schedules'!$H$81)*4+'Bill Impact CA'!$C37*('Rate Schedules'!$H$82+'Rate Schedules'!$H$83+'Rate Schedules'!$H$86)+'Bill Impact CA'!$C37*'Rate Schedules'!$H$119*('Rate Schedules'!$H$87+'Rate Schedules'!$H$88)+'Bill Impact CA'!$B37*'Rate Schedules'!$H$119*('Rate Schedules'!$H$93+'Rate Schedules'!$H$94)+('Bill Impact CA'!$B37*0.0051)+'Rate Schedules'!$H$95)*1.05</f>
        <v>90.7488121575</v>
      </c>
      <c r="E37" s="87">
        <f>+((750*'Rate Schedules'!$M$116)+((('Bill Impact CA'!$B37*'Rate Schedules'!$M$119)-750)*'Rate Schedules'!$M$117)+('Rate Schedules'!$M$80+'Rate Schedules'!$M$81)*4+'Bill Impact CA'!$C37*('Rate Schedules'!$M$82+'Rate Schedules'!$M$83+'Rate Schedules'!$M$86)+'Bill Impact CA'!$C37*'Rate Schedules'!$M$119*('Rate Schedules'!$M$87+'Rate Schedules'!$M$88)+'Bill Impact CA'!$B37*'Rate Schedules'!$M$119*('Rate Schedules'!$M$93+'Rate Schedules'!$M$94)+('Bill Impact CA'!$B37*0.0051)+'Rate Schedules'!$M$95)*1.05</f>
        <v>99.64313623950002</v>
      </c>
      <c r="F37" s="88">
        <f t="shared" si="0"/>
        <v>8.894324082000026</v>
      </c>
      <c r="G37" s="132">
        <f t="shared" si="1"/>
        <v>0.09801036366804883</v>
      </c>
      <c r="H37" s="162"/>
      <c r="I37" s="163"/>
    </row>
    <row r="38" spans="1:9" ht="12.75">
      <c r="A38" s="90"/>
      <c r="B38" s="85">
        <v>1500</v>
      </c>
      <c r="C38" s="85">
        <v>5</v>
      </c>
      <c r="D38" s="87">
        <f>+((750*'Rate Schedules'!$H$116)+((('Bill Impact CA'!$B38*'Rate Schedules'!$H$119)-750)*'Rate Schedules'!$H$117)+('Rate Schedules'!$H$80+'Rate Schedules'!$H$81)*7+'Bill Impact CA'!$C38*('Rate Schedules'!$H$82+'Rate Schedules'!$H$83+'Rate Schedules'!$H$86)+'Bill Impact CA'!$C38*'Rate Schedules'!$H$119*('Rate Schedules'!$H$87+'Rate Schedules'!$H$88)+'Bill Impact CA'!$B38*'Rate Schedules'!$H$119*('Rate Schedules'!$H$93+'Rate Schedules'!$H$94)+('Bill Impact CA'!$B38*0.0051)+'Rate Schedules'!$H$95)*1.05</f>
        <v>156.4210202625</v>
      </c>
      <c r="E38" s="87">
        <f>+((750*'Rate Schedules'!$M$116)+((('Bill Impact CA'!$B38*'Rate Schedules'!$M$119)-750)*'Rate Schedules'!$M$117)+('Rate Schedules'!$M$80+'Rate Schedules'!$M$81)*7+'Bill Impact CA'!$C38*('Rate Schedules'!$M$82+'Rate Schedules'!$M$83+'Rate Schedules'!$M$86)+'Bill Impact CA'!$C38*'Rate Schedules'!$M$119*('Rate Schedules'!$M$87+'Rate Schedules'!$M$88)+'Bill Impact CA'!$B38*'Rate Schedules'!$M$119*('Rate Schedules'!$M$93+'Rate Schedules'!$M$94)+('Bill Impact CA'!$B38*0.0051)+'Rate Schedules'!$M$95)*1.05</f>
        <v>171.68239373250003</v>
      </c>
      <c r="F38" s="88">
        <f t="shared" si="0"/>
        <v>15.261373470000024</v>
      </c>
      <c r="G38" s="132">
        <f t="shared" si="1"/>
        <v>0.09756600132379234</v>
      </c>
      <c r="H38" s="164"/>
      <c r="I38" s="165"/>
    </row>
    <row r="39" spans="1:9" ht="12.75">
      <c r="A39" s="90"/>
      <c r="B39" s="85">
        <v>3000</v>
      </c>
      <c r="C39" s="85">
        <v>10</v>
      </c>
      <c r="D39" s="87">
        <f>+((750*'Rate Schedules'!$H$116)+((('Bill Impact CA'!$B39*'Rate Schedules'!$H$119)-750)*'Rate Schedules'!$H$117)+('Rate Schedules'!$H$80+'Rate Schedules'!$H$81)*15+'Bill Impact CA'!$C39*('Rate Schedules'!$H$82+'Rate Schedules'!$H$83+'Rate Schedules'!$H$86)+'Bill Impact CA'!$C39*'Rate Schedules'!$H$119*('Rate Schedules'!$H$87+'Rate Schedules'!$H$88)+'Bill Impact CA'!$B39*'Rate Schedules'!$H$119*('Rate Schedules'!$H$93+'Rate Schedules'!$H$94)+('Bill Impact CA'!$B39*0.0051)+'Rate Schedules'!$H$95)*1.05</f>
        <v>321.536040525</v>
      </c>
      <c r="E39" s="87">
        <f>+((750*'Rate Schedules'!$M$116)+((('Bill Impact CA'!$B39*'Rate Schedules'!$M$119)-750)*'Rate Schedules'!$M$117)+('Rate Schedules'!$M$80+'Rate Schedules'!$M$81)*15+'Bill Impact CA'!$C39*('Rate Schedules'!$M$82+'Rate Schedules'!$M$83+'Rate Schedules'!$M$86)+'Bill Impact CA'!$C39*'Rate Schedules'!$M$119*('Rate Schedules'!$M$87+'Rate Schedules'!$M$88)+'Bill Impact CA'!$B39*'Rate Schedules'!$M$119*('Rate Schedules'!$M$93+'Rate Schedules'!$M$94)+('Bill Impact CA'!$B39*0.0051)+'Rate Schedules'!$M$95)*1.05</f>
        <v>353.371287465</v>
      </c>
      <c r="F39" s="88">
        <f t="shared" si="0"/>
        <v>31.835246940000047</v>
      </c>
      <c r="G39" s="132">
        <f t="shared" si="1"/>
        <v>0.09900988669270126</v>
      </c>
      <c r="H39" s="164"/>
      <c r="I39" s="165"/>
    </row>
    <row r="40" spans="1:9" ht="13.5" thickBot="1">
      <c r="A40" s="91"/>
      <c r="B40" s="92">
        <v>4500</v>
      </c>
      <c r="C40" s="92">
        <v>15</v>
      </c>
      <c r="D40" s="94">
        <f>+((750*'Rate Schedules'!$H$116)+((('Bill Impact CA'!$B40*'Rate Schedules'!$H$119)-750)*'Rate Schedules'!$H$117)+('Rate Schedules'!$H$80+'Rate Schedules'!$H$81)*23+'Bill Impact CA'!$C40*('Rate Schedules'!$H$82+'Rate Schedules'!$H$83+'Rate Schedules'!$H$86)+'Bill Impact CA'!$C40*'Rate Schedules'!$H$119*('Rate Schedules'!$H$87+'Rate Schedules'!$H$88)+'Bill Impact CA'!$B40*'Rate Schedules'!$H$119*('Rate Schedules'!$H$93+'Rate Schedules'!$H$94)+('Bill Impact CA'!$B40*0.0051)+'Rate Schedules'!$H$95)*1.05</f>
        <v>486.65106078749994</v>
      </c>
      <c r="E40" s="94">
        <f>+((750*'Rate Schedules'!$M$116)+((('Bill Impact CA'!$B40*'Rate Schedules'!$M$119)-750)*'Rate Schedules'!$M$117)+('Rate Schedules'!$M$80+'Rate Schedules'!$M$81)*23+'Bill Impact CA'!$C40*('Rate Schedules'!$M$82+'Rate Schedules'!$M$83+'Rate Schedules'!$M$86)+'Bill Impact CA'!$C40*'Rate Schedules'!$M$119*('Rate Schedules'!$M$87+'Rate Schedules'!$M$88)+'Bill Impact CA'!$B40*'Rate Schedules'!$M$119*('Rate Schedules'!$M$93+'Rate Schedules'!$M$94)+('Bill Impact CA'!$B40*0.0051)+'Rate Schedules'!$M$95)*1.05</f>
        <v>535.0601811975</v>
      </c>
      <c r="F40" s="96">
        <f t="shared" si="0"/>
        <v>48.40912041000007</v>
      </c>
      <c r="G40" s="133">
        <f t="shared" si="1"/>
        <v>0.09947398518286246</v>
      </c>
      <c r="H40" s="166"/>
      <c r="I40" s="167"/>
    </row>
    <row r="41" spans="1:9" ht="12.75">
      <c r="A41" s="99" t="s">
        <v>20</v>
      </c>
      <c r="B41" s="100">
        <v>3000</v>
      </c>
      <c r="C41" s="100">
        <v>10</v>
      </c>
      <c r="D41" s="79">
        <f>+((750*'Rate Schedules'!$H$116)+((('Bill Impact CA'!$B41*'Rate Schedules'!$H$119)-750)*'Rate Schedules'!$H$117)+('Rate Schedules'!$H$98+'Rate Schedules'!$H$99)*17+'Bill Impact CA'!$C41*('Rate Schedules'!$H$100+'Rate Schedules'!$H$101+'Rate Schedules'!$H$104)+'Bill Impact CA'!$C41*'Rate Schedules'!$H$119*('Rate Schedules'!$H$105+'Rate Schedules'!$H$106)+'Bill Impact CA'!$B41*'Rate Schedules'!$H$119*('Rate Schedules'!$H$111+'Rate Schedules'!$H$112)+('Bill Impact CA'!$B41*0.0051)+'Rate Schedules'!$H$113)*1.05</f>
        <v>322.61916802499996</v>
      </c>
      <c r="E41" s="79">
        <f>+((750*'Rate Schedules'!$M$116)+((('Bill Impact CA'!$B41*'Rate Schedules'!$M$119)-750)*'Rate Schedules'!$M$117)+('Rate Schedules'!$M$98+'Rate Schedules'!$M$99)*17+'Bill Impact CA'!$C41*('Rate Schedules'!$M$100+'Rate Schedules'!$M$101+'Rate Schedules'!$M$104)+'Bill Impact CA'!$C41*'Rate Schedules'!$M$119*('Rate Schedules'!$M$105+'Rate Schedules'!$M$106)+'Bill Impact CA'!$B41*'Rate Schedules'!$M$119*('Rate Schedules'!$M$111+'Rate Schedules'!$M$112)+('Bill Impact CA'!$B41*0.0051)+'Rate Schedules'!$M$113)*1.05</f>
        <v>351.7064389650001</v>
      </c>
      <c r="F41" s="80">
        <f t="shared" si="0"/>
        <v>29.08727094000011</v>
      </c>
      <c r="G41" s="131">
        <f t="shared" si="1"/>
        <v>0.09015977295479889</v>
      </c>
      <c r="H41" s="168">
        <f>MAX(G41:G45)</f>
        <v>0.09975347377758731</v>
      </c>
      <c r="I41" s="169">
        <f>MIN(G41:G45)</f>
        <v>0.08847525052035025</v>
      </c>
    </row>
    <row r="42" spans="1:9" ht="12.75">
      <c r="A42" s="84"/>
      <c r="B42" s="85">
        <v>4500</v>
      </c>
      <c r="C42" s="85">
        <v>15</v>
      </c>
      <c r="D42" s="87">
        <f>+((750*'Rate Schedules'!$H$116)+((('Bill Impact CA'!$B42*'Rate Schedules'!$H$119)-750)*'Rate Schedules'!$H$117)+('Rate Schedules'!$H$98+'Rate Schedules'!$H$99)*25+'Bill Impact CA'!$C42*('Rate Schedules'!$H$100+'Rate Schedules'!$H$101+'Rate Schedules'!$H$104)+'Bill Impact CA'!$C42*'Rate Schedules'!$H$119*('Rate Schedules'!$H$105+'Rate Schedules'!$H$106)+'Bill Impact CA'!$B42*'Rate Schedules'!$H$119*('Rate Schedules'!$H$111+'Rate Schedules'!$H$112)+('Bill Impact CA'!$B42*0.0051)+'Rate Schedules'!$H$113)*1.05</f>
        <v>486.4120020375</v>
      </c>
      <c r="E42" s="87">
        <f>+((750*'Rate Schedules'!$M$116)+((('Bill Impact CA'!$B42*'Rate Schedules'!$M$119)-750)*'Rate Schedules'!$M$117)+('Rate Schedules'!$M$98+'Rate Schedules'!$M$99)*25+'Bill Impact CA'!$C42*('Rate Schedules'!$M$100+'Rate Schedules'!$M$101+'Rate Schedules'!$M$104)+'Bill Impact CA'!$C42*'Rate Schedules'!$M$119*('Rate Schedules'!$M$105+'Rate Schedules'!$M$106)+'Bill Impact CA'!$B42*'Rate Schedules'!$M$119*('Rate Schedules'!$M$111+'Rate Schedules'!$M$112)+('Bill Impact CA'!$B42*0.0051)+'Rate Schedules'!$M$113)*1.05</f>
        <v>529.7909084475</v>
      </c>
      <c r="F42" s="88">
        <f t="shared" si="0"/>
        <v>43.37890641000001</v>
      </c>
      <c r="G42" s="132">
        <f t="shared" si="1"/>
        <v>0.08918140635570854</v>
      </c>
      <c r="H42" s="162"/>
      <c r="I42" s="163"/>
    </row>
    <row r="43" spans="1:9" ht="12.75">
      <c r="A43" s="90"/>
      <c r="B43" s="85">
        <v>6000</v>
      </c>
      <c r="C43" s="85">
        <v>20</v>
      </c>
      <c r="D43" s="87">
        <f>+((750*'Rate Schedules'!$H$116)+((('Bill Impact CA'!$B43*'Rate Schedules'!$H$119)-750)*'Rate Schedules'!$H$117)+('Rate Schedules'!$H$98+'Rate Schedules'!$H$99)*33+'Bill Impact CA'!$C43*('Rate Schedules'!$H$100+'Rate Schedules'!$H$101+'Rate Schedules'!$H$104)+'Bill Impact CA'!$C43*'Rate Schedules'!$H$119*('Rate Schedules'!$H$105+'Rate Schedules'!$H$106)+'Bill Impact CA'!$B43*'Rate Schedules'!$H$119*('Rate Schedules'!$H$111+'Rate Schedules'!$H$112)+('Bill Impact CA'!$B43*0.0051)+'Rate Schedules'!$H$113)*1.05</f>
        <v>650.2048360499999</v>
      </c>
      <c r="E43" s="87">
        <f>+((750*'Rate Schedules'!$M$116)+((('Bill Impact CA'!$B43*'Rate Schedules'!$M$119)-750)*'Rate Schedules'!$M$117)+('Rate Schedules'!$M$98+'Rate Schedules'!$M$99)*33+'Bill Impact CA'!$C43*('Rate Schedules'!$M$100+'Rate Schedules'!$M$101+'Rate Schedules'!$M$104)+'Bill Impact CA'!$C43*'Rate Schedules'!$M$119*('Rate Schedules'!$M$105+'Rate Schedules'!$M$106)+'Bill Impact CA'!$B43*'Rate Schedules'!$M$119*('Rate Schedules'!$M$111+'Rate Schedules'!$M$112)+('Bill Impact CA'!$B43*0.0051)+'Rate Schedules'!$M$113)*1.05</f>
        <v>707.8753779300001</v>
      </c>
      <c r="F43" s="88">
        <f t="shared" si="0"/>
        <v>57.6705418800002</v>
      </c>
      <c r="G43" s="132">
        <f t="shared" si="1"/>
        <v>0.08869595961535637</v>
      </c>
      <c r="H43" s="164"/>
      <c r="I43" s="165"/>
    </row>
    <row r="44" spans="1:9" ht="12.75">
      <c r="A44" s="90"/>
      <c r="B44" s="85">
        <v>30000</v>
      </c>
      <c r="C44" s="85">
        <v>100</v>
      </c>
      <c r="D44" s="87">
        <f>+((750*'Rate Schedules'!$H$116)+((('Bill Impact CA'!$B44*'Rate Schedules'!$H$119)-750)*'Rate Schedules'!$H$117)+('Rate Schedules'!$H$98+'Rate Schedules'!$H$99)*170+'Bill Impact CA'!$C44*('Rate Schedules'!$H$100+'Rate Schedules'!$H$101+'Rate Schedules'!$H$104)+'Bill Impact CA'!$C44*'Rate Schedules'!$H$119*('Rate Schedules'!$H$105+'Rate Schedules'!$H$106)+'Bill Impact CA'!$B44*'Rate Schedules'!$H$119*('Rate Schedules'!$H$111+'Rate Schedules'!$H$112)+('Bill Impact CA'!$B44*0.0051)+'Rate Schedules'!$H$113)*1.05</f>
        <v>3287.6166802499997</v>
      </c>
      <c r="E44" s="87">
        <f>+((750*'Rate Schedules'!$M$116)+((('Bill Impact CA'!$B44*'Rate Schedules'!$M$119)-750)*'Rate Schedules'!$M$117)+('Rate Schedules'!$M$98+'Rate Schedules'!$M$99)*170+'Bill Impact CA'!$C44*('Rate Schedules'!$M$100+'Rate Schedules'!$M$101+'Rate Schedules'!$M$104)+'Bill Impact CA'!$C44*'Rate Schedules'!$M$119*('Rate Schedules'!$M$105+'Rate Schedules'!$M$106)+'Bill Impact CA'!$B44*'Rate Schedules'!$M$119*('Rate Schedules'!$M$111+'Rate Schedules'!$M$112)+('Bill Impact CA'!$B44*0.0051)+'Rate Schedules'!$M$113)*1.05</f>
        <v>3578.4893896500007</v>
      </c>
      <c r="F44" s="88">
        <f t="shared" si="0"/>
        <v>290.872709400001</v>
      </c>
      <c r="G44" s="132">
        <f t="shared" si="1"/>
        <v>0.08847525052035025</v>
      </c>
      <c r="H44" s="164"/>
      <c r="I44" s="165"/>
    </row>
    <row r="45" spans="1:9" ht="13.5" thickBot="1">
      <c r="A45" s="188" t="s">
        <v>272</v>
      </c>
      <c r="B45" s="189">
        <v>46000</v>
      </c>
      <c r="C45" s="189">
        <v>129</v>
      </c>
      <c r="D45" s="190">
        <f>+((750*'Rate Schedules'!$H$116)+((('Bill Impact CA'!$B45*'Rate Schedules'!$H$119)-750)*'Rate Schedules'!$H$117)+('Rate Schedules'!$H$98+'Rate Schedules'!$H$99)*557+'Bill Impact CA'!$C45*('Rate Schedules'!$H$100+'Rate Schedules'!$H$101+'Rate Schedules'!$H$104)+'Bill Impact CA'!$C45*'Rate Schedules'!$H$119*('Rate Schedules'!$H$105+'Rate Schedules'!$H$106)+'Bill Impact CA'!$B45*'Rate Schedules'!$H$119*('Rate Schedules'!$H$111+'Rate Schedules'!$H$112)+('Bill Impact CA'!$B45*0.0051)+'Rate Schedules'!$H$113)*1.05</f>
        <v>5469.841557022501</v>
      </c>
      <c r="E45" s="190">
        <f>+((750*'Rate Schedules'!$M$116)+((('Bill Impact CA'!$B45*'Rate Schedules'!$M$119)-750)*'Rate Schedules'!$M$117)+('Rate Schedules'!$M$98+'Rate Schedules'!$M$99)*557+'Bill Impact CA'!$C45*('Rate Schedules'!$M$100+'Rate Schedules'!$M$101+'Rate Schedules'!$M$104)+'Bill Impact CA'!$C45*'Rate Schedules'!$M$119*('Rate Schedules'!$M$105+'Rate Schedules'!$M$106)+'Bill Impact CA'!$B45*'Rate Schedules'!$M$119*('Rate Schedules'!$M$111+'Rate Schedules'!$M$112)+('Bill Impact CA'!$B45*0.0051)+'Rate Schedules'!$M$113)*1.05</f>
        <v>6015.477253348502</v>
      </c>
      <c r="F45" s="190">
        <f t="shared" si="0"/>
        <v>545.6356963260014</v>
      </c>
      <c r="G45" s="191">
        <f t="shared" si="1"/>
        <v>0.09975347377758731</v>
      </c>
      <c r="H45" s="166"/>
      <c r="I45" s="167"/>
    </row>
  </sheetData>
  <mergeCells count="7">
    <mergeCell ref="A1:I1"/>
    <mergeCell ref="H23:I28"/>
    <mergeCell ref="H30:I35"/>
    <mergeCell ref="A2:I2"/>
    <mergeCell ref="A3:I3"/>
    <mergeCell ref="H9:I14"/>
    <mergeCell ref="H16:I21"/>
  </mergeCells>
  <printOptions/>
  <pageMargins left="0.75" right="0.75" top="1" bottom="1" header="0.5" footer="0.5"/>
  <pageSetup fitToHeight="1" fitToWidth="1" horizontalDpi="600" verticalDpi="600" orientation="landscape" scale="7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B77"/>
  <sheetViews>
    <sheetView workbookViewId="0" topLeftCell="A1">
      <selection activeCell="A53" sqref="A53:B53"/>
    </sheetView>
  </sheetViews>
  <sheetFormatPr defaultColWidth="9.140625" defaultRowHeight="12.75"/>
  <cols>
    <col min="1" max="1" width="31.8515625" style="0" customWidth="1"/>
    <col min="2" max="2" width="57.421875" style="0" customWidth="1"/>
  </cols>
  <sheetData>
    <row r="1" spans="1:2" ht="15">
      <c r="A1" s="257" t="s">
        <v>258</v>
      </c>
      <c r="B1" s="257"/>
    </row>
    <row r="2" spans="1:2" ht="15">
      <c r="A2" s="257" t="s">
        <v>214</v>
      </c>
      <c r="B2" s="257"/>
    </row>
    <row r="3" ht="14.25">
      <c r="A3" s="194"/>
    </row>
    <row r="4" spans="1:2" ht="76.5" customHeight="1">
      <c r="A4" s="258" t="s">
        <v>284</v>
      </c>
      <c r="B4" s="258"/>
    </row>
    <row r="5" ht="14.25">
      <c r="A5" s="194"/>
    </row>
    <row r="6" spans="1:2" ht="14.25">
      <c r="A6" s="194" t="s">
        <v>285</v>
      </c>
      <c r="B6" s="194" t="s">
        <v>149</v>
      </c>
    </row>
    <row r="7" spans="1:2" ht="14.25">
      <c r="A7" s="194"/>
      <c r="B7" s="194"/>
    </row>
    <row r="8" spans="1:2" ht="42.75">
      <c r="A8" s="195" t="s">
        <v>218</v>
      </c>
      <c r="B8" s="194" t="s">
        <v>286</v>
      </c>
    </row>
    <row r="9" spans="1:2" ht="14.25">
      <c r="A9" s="195"/>
      <c r="B9" s="194"/>
    </row>
    <row r="10" spans="1:2" ht="42.75">
      <c r="A10" s="195" t="s">
        <v>219</v>
      </c>
      <c r="B10" s="194" t="s">
        <v>287</v>
      </c>
    </row>
    <row r="11" spans="1:2" ht="14.25">
      <c r="A11" s="195"/>
      <c r="B11" s="194"/>
    </row>
    <row r="12" spans="1:2" ht="42.75">
      <c r="A12" s="195" t="s">
        <v>288</v>
      </c>
      <c r="B12" s="194" t="s">
        <v>289</v>
      </c>
    </row>
    <row r="13" spans="1:2" ht="14.25">
      <c r="A13" s="195"/>
      <c r="B13" s="194"/>
    </row>
    <row r="14" spans="1:2" ht="14.25">
      <c r="A14" s="195" t="s">
        <v>220</v>
      </c>
      <c r="B14" s="194" t="s">
        <v>290</v>
      </c>
    </row>
    <row r="15" spans="1:2" ht="14.25">
      <c r="A15" s="195"/>
      <c r="B15" s="194"/>
    </row>
    <row r="16" spans="1:2" ht="14.25">
      <c r="A16" s="195" t="s">
        <v>61</v>
      </c>
      <c r="B16" s="194" t="s">
        <v>291</v>
      </c>
    </row>
    <row r="17" spans="1:2" ht="14.25">
      <c r="A17" s="195"/>
      <c r="B17" s="194"/>
    </row>
    <row r="18" spans="1:2" ht="85.5">
      <c r="A18" s="195" t="s">
        <v>246</v>
      </c>
      <c r="B18" s="194" t="s">
        <v>292</v>
      </c>
    </row>
    <row r="19" spans="1:2" ht="14.25">
      <c r="A19" s="195"/>
      <c r="B19" s="194"/>
    </row>
    <row r="20" spans="1:2" ht="42.75">
      <c r="A20" s="195" t="s">
        <v>7</v>
      </c>
      <c r="B20" s="194" t="s">
        <v>293</v>
      </c>
    </row>
    <row r="21" spans="1:2" ht="14.25">
      <c r="A21" s="195"/>
      <c r="B21" s="194"/>
    </row>
    <row r="22" spans="1:2" ht="55.5" customHeight="1">
      <c r="A22" s="195" t="s">
        <v>234</v>
      </c>
      <c r="B22" s="194" t="s">
        <v>294</v>
      </c>
    </row>
    <row r="23" spans="1:2" ht="55.5" customHeight="1">
      <c r="A23" s="195"/>
      <c r="B23" s="194"/>
    </row>
    <row r="24" spans="1:2" ht="57">
      <c r="A24" s="195" t="s">
        <v>199</v>
      </c>
      <c r="B24" s="194" t="s">
        <v>295</v>
      </c>
    </row>
    <row r="25" spans="1:2" ht="14.25">
      <c r="A25" s="195"/>
      <c r="B25" s="194"/>
    </row>
    <row r="26" spans="1:2" ht="28.5">
      <c r="A26" s="195" t="s">
        <v>319</v>
      </c>
      <c r="B26" s="194" t="s">
        <v>296</v>
      </c>
    </row>
    <row r="27" spans="1:2" ht="14.25">
      <c r="A27" s="195"/>
      <c r="B27" s="194"/>
    </row>
    <row r="28" spans="1:2" ht="57">
      <c r="A28" s="195" t="s">
        <v>223</v>
      </c>
      <c r="B28" s="194" t="s">
        <v>297</v>
      </c>
    </row>
    <row r="29" spans="1:2" ht="14.25">
      <c r="A29" s="195"/>
      <c r="B29" s="194"/>
    </row>
    <row r="30" spans="1:2" ht="114">
      <c r="A30" s="195" t="s">
        <v>320</v>
      </c>
      <c r="B30" s="194" t="s">
        <v>298</v>
      </c>
    </row>
    <row r="31" spans="1:2" ht="14.25">
      <c r="A31" s="195"/>
      <c r="B31" s="194"/>
    </row>
    <row r="32" spans="1:2" ht="57">
      <c r="A32" s="195" t="s">
        <v>224</v>
      </c>
      <c r="B32" s="194" t="s">
        <v>321</v>
      </c>
    </row>
    <row r="33" spans="1:2" ht="14.25">
      <c r="A33" s="195"/>
      <c r="B33" s="194"/>
    </row>
    <row r="34" spans="1:2" ht="57">
      <c r="A34" s="195" t="s">
        <v>225</v>
      </c>
      <c r="B34" s="194" t="s">
        <v>299</v>
      </c>
    </row>
    <row r="35" spans="1:2" ht="14.25">
      <c r="A35" s="195"/>
      <c r="B35" s="194"/>
    </row>
    <row r="36" spans="1:2" ht="99.75">
      <c r="A36" s="195" t="s">
        <v>226</v>
      </c>
      <c r="B36" s="194" t="s">
        <v>300</v>
      </c>
    </row>
    <row r="37" spans="1:2" ht="14.25">
      <c r="A37" s="195"/>
      <c r="B37" s="194"/>
    </row>
    <row r="38" spans="1:2" ht="85.5">
      <c r="A38" s="195" t="s">
        <v>227</v>
      </c>
      <c r="B38" s="194" t="s">
        <v>301</v>
      </c>
    </row>
    <row r="39" spans="1:2" ht="14.25">
      <c r="A39" s="195"/>
      <c r="B39" s="194"/>
    </row>
    <row r="40" spans="1:2" ht="71.25">
      <c r="A40" s="195" t="s">
        <v>228</v>
      </c>
      <c r="B40" s="194" t="s">
        <v>302</v>
      </c>
    </row>
    <row r="41" spans="1:2" ht="14.25">
      <c r="A41" s="195"/>
      <c r="B41" s="194"/>
    </row>
    <row r="42" spans="1:2" ht="28.5">
      <c r="A42" s="195" t="s">
        <v>260</v>
      </c>
      <c r="B42" s="194" t="s">
        <v>303</v>
      </c>
    </row>
    <row r="43" spans="1:2" ht="14.25">
      <c r="A43" s="195"/>
      <c r="B43" s="194"/>
    </row>
    <row r="44" spans="1:2" ht="42.75">
      <c r="A44" s="195" t="s">
        <v>304</v>
      </c>
      <c r="B44" s="194" t="s">
        <v>305</v>
      </c>
    </row>
    <row r="45" ht="14.25">
      <c r="A45" s="194"/>
    </row>
    <row r="46" spans="1:2" ht="62.25" customHeight="1">
      <c r="A46" s="258" t="s">
        <v>306</v>
      </c>
      <c r="B46" s="258"/>
    </row>
    <row r="47" ht="14.25">
      <c r="A47" s="194"/>
    </row>
    <row r="48" spans="1:2" ht="71.25">
      <c r="A48" s="195" t="s">
        <v>221</v>
      </c>
      <c r="B48" s="194" t="s">
        <v>307</v>
      </c>
    </row>
    <row r="49" spans="1:2" ht="14.25">
      <c r="A49" s="195"/>
      <c r="B49" s="194"/>
    </row>
    <row r="50" spans="1:2" ht="14.25">
      <c r="A50" s="195"/>
      <c r="B50" s="194"/>
    </row>
    <row r="51" spans="1:2" ht="14.25">
      <c r="A51" s="195"/>
      <c r="B51" s="194"/>
    </row>
    <row r="52" spans="1:2" ht="57">
      <c r="A52" s="195" t="s">
        <v>222</v>
      </c>
      <c r="B52" s="194" t="s">
        <v>308</v>
      </c>
    </row>
    <row r="53" spans="1:2" ht="14.25">
      <c r="A53" s="195"/>
      <c r="B53" s="194"/>
    </row>
    <row r="54" spans="1:2" ht="71.25">
      <c r="A54" s="195" t="s">
        <v>317</v>
      </c>
      <c r="B54" s="194" t="s">
        <v>309</v>
      </c>
    </row>
    <row r="55" ht="14.25">
      <c r="A55" s="195"/>
    </row>
    <row r="56" spans="1:2" ht="71.25">
      <c r="A56" s="195" t="s">
        <v>318</v>
      </c>
      <c r="B56" s="194" t="s">
        <v>310</v>
      </c>
    </row>
    <row r="57" spans="1:2" ht="12.75">
      <c r="A57" s="154"/>
      <c r="B57" s="155"/>
    </row>
    <row r="58" spans="1:2" ht="12.75">
      <c r="A58" s="154"/>
      <c r="B58" s="155"/>
    </row>
    <row r="59" spans="1:2" ht="12.75">
      <c r="A59" s="154"/>
      <c r="B59" s="155"/>
    </row>
    <row r="60" spans="1:2" ht="12.75">
      <c r="A60" s="154"/>
      <c r="B60" s="155"/>
    </row>
    <row r="61" spans="1:2" ht="12.75">
      <c r="A61" s="154"/>
      <c r="B61" s="155"/>
    </row>
    <row r="62" spans="1:2" ht="12.75">
      <c r="A62" s="154"/>
      <c r="B62" s="155"/>
    </row>
    <row r="63" spans="1:2" ht="12.75">
      <c r="A63" s="154"/>
      <c r="B63" s="155"/>
    </row>
    <row r="64" spans="1:2" ht="12.75">
      <c r="A64" s="154"/>
      <c r="B64" s="155"/>
    </row>
    <row r="65" spans="1:2" ht="12.75">
      <c r="A65" s="154"/>
      <c r="B65" s="155"/>
    </row>
    <row r="69" spans="1:2" ht="12.75">
      <c r="A69" s="256"/>
      <c r="B69" s="256"/>
    </row>
    <row r="71" spans="1:2" ht="12.75">
      <c r="A71" s="154"/>
      <c r="B71" s="155"/>
    </row>
    <row r="73" spans="1:2" ht="12.75">
      <c r="A73" s="154"/>
      <c r="B73" s="145"/>
    </row>
    <row r="75" spans="1:2" ht="12.75">
      <c r="A75" s="154"/>
      <c r="B75" s="155"/>
    </row>
    <row r="77" spans="1:2" ht="12.75">
      <c r="A77" s="154"/>
      <c r="B77" s="155"/>
    </row>
  </sheetData>
  <mergeCells count="5">
    <mergeCell ref="A69:B69"/>
    <mergeCell ref="A1:B1"/>
    <mergeCell ref="A2:B2"/>
    <mergeCell ref="A4:B4"/>
    <mergeCell ref="A46:B46"/>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tabColor indexed="29"/>
    <pageSetUpPr fitToPage="1"/>
  </sheetPr>
  <dimension ref="A1:C65"/>
  <sheetViews>
    <sheetView workbookViewId="0" topLeftCell="A1">
      <selection activeCell="E20" sqref="E20"/>
    </sheetView>
  </sheetViews>
  <sheetFormatPr defaultColWidth="9.140625" defaultRowHeight="12.75"/>
  <cols>
    <col min="1" max="1" width="86.140625" style="0" bestFit="1" customWidth="1"/>
    <col min="3" max="3" width="9.28125" style="0" bestFit="1" customWidth="1"/>
  </cols>
  <sheetData>
    <row r="1" spans="1:3" ht="18">
      <c r="A1" s="259" t="s">
        <v>146</v>
      </c>
      <c r="B1" s="259"/>
      <c r="C1" s="259"/>
    </row>
    <row r="2" spans="1:3" ht="18">
      <c r="A2" s="259" t="s">
        <v>56</v>
      </c>
      <c r="B2" s="259"/>
      <c r="C2" s="259"/>
    </row>
    <row r="3" spans="1:3" ht="15.75">
      <c r="A3" s="262" t="s">
        <v>255</v>
      </c>
      <c r="B3" s="262"/>
      <c r="C3" s="262"/>
    </row>
    <row r="4" spans="1:3" ht="12.75">
      <c r="A4" s="256" t="s">
        <v>311</v>
      </c>
      <c r="B4" s="256"/>
      <c r="C4" s="256"/>
    </row>
    <row r="5" spans="1:3" ht="12.75">
      <c r="A5" s="256" t="s">
        <v>256</v>
      </c>
      <c r="B5" s="256"/>
      <c r="C5" s="256"/>
    </row>
    <row r="6" spans="1:3" ht="12.75">
      <c r="A6" s="300" t="s">
        <v>217</v>
      </c>
      <c r="B6" s="300"/>
      <c r="C6" s="300"/>
    </row>
    <row r="7" spans="1:2" ht="15.75">
      <c r="A7" s="135" t="s">
        <v>0</v>
      </c>
      <c r="B7" s="2"/>
    </row>
    <row r="8" spans="1:3" ht="12.75">
      <c r="A8" t="s">
        <v>1</v>
      </c>
      <c r="B8" s="2" t="s">
        <v>2</v>
      </c>
      <c r="C8" s="134">
        <f>'Rate Schedules'!M8</f>
        <v>16.53</v>
      </c>
    </row>
    <row r="9" spans="1:3" ht="12.75">
      <c r="A9" t="s">
        <v>3</v>
      </c>
      <c r="B9" s="2" t="s">
        <v>4</v>
      </c>
      <c r="C9" s="160">
        <f>'Rate Schedules'!M10</f>
        <v>0.016900000000000002</v>
      </c>
    </row>
    <row r="10" spans="1:3" ht="12.75">
      <c r="A10" t="s">
        <v>7</v>
      </c>
      <c r="B10" s="2" t="s">
        <v>4</v>
      </c>
      <c r="C10" s="160">
        <f>'Rate Schedules'!M14</f>
        <v>0.0002</v>
      </c>
    </row>
    <row r="11" spans="1:3" ht="12.75">
      <c r="A11" t="s">
        <v>8</v>
      </c>
      <c r="B11" s="2" t="s">
        <v>4</v>
      </c>
      <c r="C11" s="160">
        <f>'Rate Schedules'!M15</f>
        <v>0.0043</v>
      </c>
    </row>
    <row r="12" spans="1:3" ht="12.75">
      <c r="A12" t="s">
        <v>9</v>
      </c>
      <c r="B12" s="2" t="s">
        <v>4</v>
      </c>
      <c r="C12" s="160">
        <f>'Rate Schedules'!M16</f>
        <v>0.0041</v>
      </c>
    </row>
    <row r="13" spans="1:3" ht="12.75">
      <c r="A13" t="s">
        <v>12</v>
      </c>
      <c r="B13" s="2" t="s">
        <v>4</v>
      </c>
      <c r="C13" s="160">
        <f>'Rate Schedules'!M21</f>
        <v>0.0052</v>
      </c>
    </row>
    <row r="14" spans="1:3" ht="12.75">
      <c r="A14" t="s">
        <v>13</v>
      </c>
      <c r="B14" s="2" t="s">
        <v>4</v>
      </c>
      <c r="C14" s="160">
        <f>'Rate Schedules'!M22</f>
        <v>0.001</v>
      </c>
    </row>
    <row r="15" spans="1:3" ht="12.75">
      <c r="A15" t="s">
        <v>14</v>
      </c>
      <c r="B15" s="2" t="s">
        <v>2</v>
      </c>
      <c r="C15" s="134">
        <f>'Rate Schedules'!M23</f>
        <v>0.25</v>
      </c>
    </row>
    <row r="16" ht="12.75">
      <c r="B16" s="2"/>
    </row>
    <row r="17" spans="1:2" ht="15.75">
      <c r="A17" s="135" t="s">
        <v>15</v>
      </c>
      <c r="B17" s="2"/>
    </row>
    <row r="18" spans="1:3" ht="12.75">
      <c r="A18" t="s">
        <v>1</v>
      </c>
      <c r="B18" s="2" t="s">
        <v>2</v>
      </c>
      <c r="C18" s="134">
        <f>'Rate Schedules'!M26</f>
        <v>33.64</v>
      </c>
    </row>
    <row r="19" spans="1:3" ht="12.75">
      <c r="A19" t="s">
        <v>3</v>
      </c>
      <c r="B19" s="2" t="s">
        <v>4</v>
      </c>
      <c r="C19" s="160">
        <f>'Rate Schedules'!M28</f>
        <v>0.0184</v>
      </c>
    </row>
    <row r="20" spans="1:3" ht="12.75">
      <c r="A20" t="s">
        <v>7</v>
      </c>
      <c r="B20" s="2" t="s">
        <v>4</v>
      </c>
      <c r="C20" s="160">
        <f>'Rate Schedules'!M32</f>
        <v>0.0002</v>
      </c>
    </row>
    <row r="21" spans="1:3" ht="12.75">
      <c r="A21" t="s">
        <v>8</v>
      </c>
      <c r="B21" s="2" t="s">
        <v>4</v>
      </c>
      <c r="C21" s="160">
        <f>'Rate Schedules'!M33</f>
        <v>0.0039</v>
      </c>
    </row>
    <row r="22" spans="1:3" ht="12.75">
      <c r="A22" t="s">
        <v>9</v>
      </c>
      <c r="B22" s="2" t="s">
        <v>4</v>
      </c>
      <c r="C22" s="160">
        <f>'Rate Schedules'!M34</f>
        <v>0.0037</v>
      </c>
    </row>
    <row r="23" spans="1:3" ht="12.75">
      <c r="A23" t="s">
        <v>12</v>
      </c>
      <c r="B23" s="2" t="s">
        <v>4</v>
      </c>
      <c r="C23" s="160">
        <f>'Rate Schedules'!M39</f>
        <v>0.0052</v>
      </c>
    </row>
    <row r="24" spans="1:3" ht="12.75">
      <c r="A24" t="s">
        <v>13</v>
      </c>
      <c r="B24" s="2" t="s">
        <v>4</v>
      </c>
      <c r="C24" s="160">
        <f>'Rate Schedules'!M40</f>
        <v>0.001</v>
      </c>
    </row>
    <row r="25" spans="1:3" ht="12.75">
      <c r="A25" t="s">
        <v>14</v>
      </c>
      <c r="B25" s="2" t="s">
        <v>2</v>
      </c>
      <c r="C25" s="134">
        <f>'Rate Schedules'!M41</f>
        <v>0.25</v>
      </c>
    </row>
    <row r="26" ht="12.75">
      <c r="B26" s="2"/>
    </row>
    <row r="27" spans="1:2" ht="15.75">
      <c r="A27" s="135" t="s">
        <v>16</v>
      </c>
      <c r="B27" s="2"/>
    </row>
    <row r="28" spans="1:3" ht="12.75">
      <c r="A28" t="s">
        <v>1</v>
      </c>
      <c r="B28" s="2" t="s">
        <v>2</v>
      </c>
      <c r="C28" s="134">
        <f>'Rate Schedules'!M44</f>
        <v>762.8</v>
      </c>
    </row>
    <row r="29" spans="1:3" ht="12.75">
      <c r="A29" t="s">
        <v>3</v>
      </c>
      <c r="B29" s="2" t="s">
        <v>17</v>
      </c>
      <c r="C29" s="160">
        <f>'Rate Schedules'!M46</f>
        <v>6.5242</v>
      </c>
    </row>
    <row r="30" spans="1:3" ht="12.75">
      <c r="A30" t="s">
        <v>7</v>
      </c>
      <c r="B30" s="2" t="s">
        <v>17</v>
      </c>
      <c r="C30" s="160">
        <f>'Rate Schedules'!M50</f>
        <v>0.0656</v>
      </c>
    </row>
    <row r="31" spans="1:3" ht="12.75">
      <c r="A31" t="s">
        <v>8</v>
      </c>
      <c r="B31" s="2" t="s">
        <v>17</v>
      </c>
      <c r="C31" s="160">
        <f>'Rate Schedules'!M51</f>
        <v>1.6230683970891935</v>
      </c>
    </row>
    <row r="32" spans="1:3" ht="12.75">
      <c r="A32" t="s">
        <v>9</v>
      </c>
      <c r="B32" s="2" t="s">
        <v>17</v>
      </c>
      <c r="C32" s="160">
        <f>'Rate Schedules'!M52</f>
        <v>1.5725</v>
      </c>
    </row>
    <row r="33" spans="1:3" ht="12.75">
      <c r="A33" t="s">
        <v>12</v>
      </c>
      <c r="B33" s="2" t="s">
        <v>4</v>
      </c>
      <c r="C33" s="160">
        <f>'Rate Schedules'!M57</f>
        <v>0.0052</v>
      </c>
    </row>
    <row r="34" spans="1:3" ht="12.75">
      <c r="A34" t="s">
        <v>13</v>
      </c>
      <c r="B34" s="2" t="s">
        <v>4</v>
      </c>
      <c r="C34" s="160">
        <f>'Rate Schedules'!M58</f>
        <v>0.001</v>
      </c>
    </row>
    <row r="35" spans="1:3" ht="12.75">
      <c r="A35" t="s">
        <v>14</v>
      </c>
      <c r="B35" s="2" t="s">
        <v>2</v>
      </c>
      <c r="C35" s="134">
        <f>'Rate Schedules'!M59</f>
        <v>0.25</v>
      </c>
    </row>
    <row r="36" ht="12.75">
      <c r="B36" s="2"/>
    </row>
    <row r="37" spans="1:2" ht="15.75">
      <c r="A37" s="135" t="s">
        <v>18</v>
      </c>
      <c r="B37" s="2"/>
    </row>
    <row r="38" spans="1:3" ht="12.75">
      <c r="A38" t="s">
        <v>1</v>
      </c>
      <c r="B38" s="2" t="s">
        <v>2</v>
      </c>
      <c r="C38" s="134">
        <f>'Rate Schedules'!M62</f>
        <v>33.43</v>
      </c>
    </row>
    <row r="39" spans="1:3" ht="12.75">
      <c r="A39" t="s">
        <v>3</v>
      </c>
      <c r="B39" s="2" t="s">
        <v>4</v>
      </c>
      <c r="C39" s="160">
        <f>'Rate Schedules'!M64</f>
        <v>0.0198</v>
      </c>
    </row>
    <row r="40" spans="1:3" ht="12.75">
      <c r="A40" t="s">
        <v>7</v>
      </c>
      <c r="B40" s="2" t="s">
        <v>4</v>
      </c>
      <c r="C40" s="160">
        <f>'Rate Schedules'!M68</f>
        <v>0.0003</v>
      </c>
    </row>
    <row r="41" spans="1:3" ht="12.75">
      <c r="A41" t="s">
        <v>8</v>
      </c>
      <c r="B41" s="2" t="s">
        <v>4</v>
      </c>
      <c r="C41" s="160">
        <f>'Rate Schedules'!M69</f>
        <v>0.0039</v>
      </c>
    </row>
    <row r="42" spans="1:3" ht="12.75">
      <c r="A42" t="s">
        <v>9</v>
      </c>
      <c r="B42" s="2" t="s">
        <v>4</v>
      </c>
      <c r="C42" s="160">
        <f>'Rate Schedules'!M70</f>
        <v>0.0037</v>
      </c>
    </row>
    <row r="43" spans="1:3" ht="12.75">
      <c r="A43" t="s">
        <v>12</v>
      </c>
      <c r="B43" s="2" t="s">
        <v>4</v>
      </c>
      <c r="C43" s="160">
        <f>'Rate Schedules'!M75</f>
        <v>0.0052</v>
      </c>
    </row>
    <row r="44" spans="1:3" ht="12.75">
      <c r="A44" t="s">
        <v>13</v>
      </c>
      <c r="B44" s="2" t="s">
        <v>4</v>
      </c>
      <c r="C44" s="160">
        <f>'Rate Schedules'!M76</f>
        <v>0.001</v>
      </c>
    </row>
    <row r="45" spans="1:3" ht="12.75">
      <c r="A45" t="s">
        <v>14</v>
      </c>
      <c r="B45" s="2" t="s">
        <v>2</v>
      </c>
      <c r="C45" s="134">
        <f>'Rate Schedules'!M77</f>
        <v>0.25</v>
      </c>
    </row>
    <row r="46" ht="12.75">
      <c r="B46" s="2"/>
    </row>
    <row r="47" spans="1:2" ht="15.75">
      <c r="A47" s="135" t="s">
        <v>19</v>
      </c>
      <c r="B47" s="2"/>
    </row>
    <row r="48" spans="1:3" ht="12.75">
      <c r="A48" t="s">
        <v>1</v>
      </c>
      <c r="B48" s="2" t="s">
        <v>2</v>
      </c>
      <c r="C48" s="134">
        <f>'Rate Schedules'!M80</f>
        <v>3.03</v>
      </c>
    </row>
    <row r="49" spans="1:3" ht="12.75">
      <c r="A49" t="s">
        <v>3</v>
      </c>
      <c r="B49" s="2" t="s">
        <v>17</v>
      </c>
      <c r="C49" s="160">
        <f>'Rate Schedules'!M82</f>
        <v>3.6952</v>
      </c>
    </row>
    <row r="50" spans="1:3" ht="12.75">
      <c r="A50" t="s">
        <v>7</v>
      </c>
      <c r="B50" s="2" t="s">
        <v>17</v>
      </c>
      <c r="C50" s="160">
        <f>'Rate Schedules'!M86</f>
        <v>0.0727</v>
      </c>
    </row>
    <row r="51" spans="1:3" ht="12.75">
      <c r="A51" t="s">
        <v>8</v>
      </c>
      <c r="B51" s="2" t="s">
        <v>17</v>
      </c>
      <c r="C51" s="160">
        <f>'Rate Schedules'!M87</f>
        <v>1.1972</v>
      </c>
    </row>
    <row r="52" spans="1:3" ht="12.75">
      <c r="A52" t="s">
        <v>9</v>
      </c>
      <c r="B52" s="2" t="s">
        <v>17</v>
      </c>
      <c r="C52" s="160">
        <f>'Rate Schedules'!M88</f>
        <v>1.1635</v>
      </c>
    </row>
    <row r="53" spans="1:3" ht="12.75">
      <c r="A53" t="s">
        <v>12</v>
      </c>
      <c r="B53" s="2" t="s">
        <v>4</v>
      </c>
      <c r="C53" s="160">
        <f>'Rate Schedules'!M93</f>
        <v>0.0052</v>
      </c>
    </row>
    <row r="54" spans="1:3" ht="12.75">
      <c r="A54" t="s">
        <v>13</v>
      </c>
      <c r="B54" s="2" t="s">
        <v>4</v>
      </c>
      <c r="C54" s="160">
        <f>'Rate Schedules'!M94</f>
        <v>0.001</v>
      </c>
    </row>
    <row r="55" spans="1:3" ht="12.75">
      <c r="A55" t="s">
        <v>14</v>
      </c>
      <c r="B55" s="2" t="s">
        <v>2</v>
      </c>
      <c r="C55" s="134">
        <f>'Rate Schedules'!M95</f>
        <v>0.25</v>
      </c>
    </row>
    <row r="56" ht="12.75">
      <c r="B56" s="2"/>
    </row>
    <row r="57" spans="1:2" ht="15.75">
      <c r="A57" s="135" t="s">
        <v>20</v>
      </c>
      <c r="B57" s="2"/>
    </row>
    <row r="58" spans="1:3" ht="12.75">
      <c r="A58" t="s">
        <v>1</v>
      </c>
      <c r="B58" s="2" t="s">
        <v>2</v>
      </c>
      <c r="C58" s="134">
        <f>'Rate Schedules'!M98</f>
        <v>2.25</v>
      </c>
    </row>
    <row r="59" spans="1:3" ht="12.75">
      <c r="A59" t="s">
        <v>3</v>
      </c>
      <c r="B59" s="2" t="s">
        <v>17</v>
      </c>
      <c r="C59" s="160">
        <f>'Rate Schedules'!M100</f>
        <v>4.2928</v>
      </c>
    </row>
    <row r="60" spans="1:3" ht="12.75">
      <c r="A60" t="s">
        <v>7</v>
      </c>
      <c r="B60" s="2" t="s">
        <v>17</v>
      </c>
      <c r="C60" s="160">
        <f>'Rate Schedules'!M104</f>
        <v>0.0687</v>
      </c>
    </row>
    <row r="61" spans="1:3" ht="12.75">
      <c r="A61" t="s">
        <v>8</v>
      </c>
      <c r="B61" s="2" t="s">
        <v>17</v>
      </c>
      <c r="C61" s="160">
        <f>'Rate Schedules'!M105</f>
        <v>1.1911</v>
      </c>
    </row>
    <row r="62" spans="1:3" ht="12.75">
      <c r="A62" t="s">
        <v>9</v>
      </c>
      <c r="B62" s="2" t="s">
        <v>17</v>
      </c>
      <c r="C62" s="160">
        <f>'Rate Schedules'!M106</f>
        <v>1.1396</v>
      </c>
    </row>
    <row r="63" spans="1:3" ht="12.75">
      <c r="A63" t="s">
        <v>12</v>
      </c>
      <c r="B63" s="2" t="s">
        <v>4</v>
      </c>
      <c r="C63" s="160">
        <f>'Rate Schedules'!M111</f>
        <v>0.0052</v>
      </c>
    </row>
    <row r="64" spans="1:3" ht="12.75">
      <c r="A64" t="s">
        <v>13</v>
      </c>
      <c r="B64" s="2" t="s">
        <v>4</v>
      </c>
      <c r="C64" s="160">
        <f>'Rate Schedules'!M112</f>
        <v>0.001</v>
      </c>
    </row>
    <row r="65" spans="1:3" ht="12.75">
      <c r="A65" t="s">
        <v>14</v>
      </c>
      <c r="B65" s="2" t="s">
        <v>2</v>
      </c>
      <c r="C65" s="134">
        <f>'Rate Schedules'!M113</f>
        <v>0.25</v>
      </c>
    </row>
  </sheetData>
  <mergeCells count="6">
    <mergeCell ref="A5:C5"/>
    <mergeCell ref="A6:C6"/>
    <mergeCell ref="A1:C1"/>
    <mergeCell ref="A2:C2"/>
    <mergeCell ref="A3:C3"/>
    <mergeCell ref="A4:C4"/>
  </mergeCells>
  <printOptions/>
  <pageMargins left="0.75" right="0.75" top="1" bottom="1" header="0.5" footer="0.5"/>
  <pageSetup fitToHeight="2" fitToWidth="1" horizontalDpi="600" verticalDpi="600" orientation="portrait" scale="85"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sheetPr>
    <tabColor indexed="29"/>
    <pageSetUpPr fitToPage="1"/>
  </sheetPr>
  <dimension ref="A1:L12"/>
  <sheetViews>
    <sheetView workbookViewId="0" topLeftCell="A1">
      <selection activeCell="AF26" sqref="AF26"/>
    </sheetView>
  </sheetViews>
  <sheetFormatPr defaultColWidth="9.140625" defaultRowHeight="12.75"/>
  <cols>
    <col min="1" max="1" width="29.8515625" style="0" bestFit="1" customWidth="1"/>
    <col min="2" max="2" width="12.28125" style="0" customWidth="1"/>
    <col min="3" max="3" width="13.140625" style="0" bestFit="1" customWidth="1"/>
    <col min="4" max="4" width="9.28125" style="0" bestFit="1" customWidth="1"/>
    <col min="5" max="5" width="2.28125" style="0" customWidth="1"/>
    <col min="6" max="6" width="9.28125" style="0" bestFit="1" customWidth="1"/>
    <col min="7" max="7" width="9.8515625" style="0" customWidth="1"/>
    <col min="8" max="8" width="2.28125" style="0" customWidth="1"/>
    <col min="9" max="9" width="10.00390625" style="0" customWidth="1"/>
    <col min="10" max="10" width="10.8515625" style="0" bestFit="1" customWidth="1"/>
    <col min="11" max="11" width="10.28125" style="0" customWidth="1"/>
    <col min="12" max="12" width="11.140625" style="0" customWidth="1"/>
  </cols>
  <sheetData>
    <row r="1" spans="1:12" ht="15.75">
      <c r="A1" s="262" t="s">
        <v>269</v>
      </c>
      <c r="B1" s="262"/>
      <c r="C1" s="262"/>
      <c r="D1" s="262"/>
      <c r="E1" s="262"/>
      <c r="F1" s="262"/>
      <c r="G1" s="262"/>
      <c r="H1" s="262"/>
      <c r="I1" s="262"/>
      <c r="J1" s="262"/>
      <c r="K1" s="262"/>
      <c r="L1" s="262"/>
    </row>
    <row r="2" spans="1:12" ht="15.75">
      <c r="A2" s="262" t="s">
        <v>271</v>
      </c>
      <c r="B2" s="262"/>
      <c r="C2" s="262"/>
      <c r="D2" s="262"/>
      <c r="E2" s="262"/>
      <c r="F2" s="262"/>
      <c r="G2" s="262"/>
      <c r="H2" s="262"/>
      <c r="I2" s="262"/>
      <c r="J2" s="262"/>
      <c r="K2" s="262"/>
      <c r="L2" s="262"/>
    </row>
    <row r="4" spans="3:12" ht="12.75">
      <c r="C4" s="275" t="s">
        <v>262</v>
      </c>
      <c r="D4" s="275"/>
      <c r="E4" s="2"/>
      <c r="F4" s="275" t="s">
        <v>263</v>
      </c>
      <c r="G4" s="275"/>
      <c r="H4" s="2"/>
      <c r="I4" s="275" t="s">
        <v>264</v>
      </c>
      <c r="J4" s="275"/>
      <c r="K4" s="275"/>
      <c r="L4" s="275"/>
    </row>
    <row r="5" spans="1:12" ht="51">
      <c r="A5" s="161" t="s">
        <v>247</v>
      </c>
      <c r="B5" s="5" t="s">
        <v>265</v>
      </c>
      <c r="C5" s="6" t="s">
        <v>59</v>
      </c>
      <c r="D5" s="6" t="s">
        <v>60</v>
      </c>
      <c r="E5" s="6"/>
      <c r="F5" s="5" t="s">
        <v>71</v>
      </c>
      <c r="G5" s="5" t="s">
        <v>266</v>
      </c>
      <c r="H5" s="5"/>
      <c r="I5" s="5" t="s">
        <v>71</v>
      </c>
      <c r="J5" s="5" t="s">
        <v>266</v>
      </c>
      <c r="K5" s="5" t="s">
        <v>267</v>
      </c>
      <c r="L5" s="5" t="s">
        <v>268</v>
      </c>
    </row>
    <row r="6" spans="1:12" ht="12.75">
      <c r="A6" t="s">
        <v>0</v>
      </c>
      <c r="B6" s="137">
        <f>'Dx Rates CA Distribution'!B8</f>
        <v>3114</v>
      </c>
      <c r="C6" s="137">
        <f>'Dx Rates CA Distribution'!C8</f>
        <v>29538824.55274267</v>
      </c>
      <c r="F6" s="192">
        <f>'Dx Rates CA Distribution'!O8</f>
        <v>16.27</v>
      </c>
      <c r="G6" s="193">
        <f>'Dx Rates CA Distribution'!I8</f>
        <v>0.0165</v>
      </c>
      <c r="I6" s="137">
        <f aca="true" t="shared" si="0" ref="I6:I11">B6*F6*12</f>
        <v>607977.36</v>
      </c>
      <c r="J6" s="137">
        <f>C6*G6</f>
        <v>487390.6051202541</v>
      </c>
      <c r="K6" s="10">
        <f aca="true" t="shared" si="1" ref="K6:K11">I6+J6</f>
        <v>1095367.965120254</v>
      </c>
      <c r="L6" s="10">
        <f>'Cost Alloc Revenue Distribution'!M7</f>
        <v>1095227.4099999997</v>
      </c>
    </row>
    <row r="7" spans="1:12" ht="12.75">
      <c r="A7" t="s">
        <v>15</v>
      </c>
      <c r="B7" s="137">
        <f>'Dx Rates CA Distribution'!B9</f>
        <v>415</v>
      </c>
      <c r="C7" s="137">
        <f>'Dx Rates CA Distribution'!C9</f>
        <v>13980634.591676692</v>
      </c>
      <c r="F7" s="192">
        <f>'Dx Rates CA Distribution'!O9</f>
        <v>33.38</v>
      </c>
      <c r="G7" s="193">
        <f>'Dx Rates CA Distribution'!I9</f>
        <v>0.0169</v>
      </c>
      <c r="I7" s="137">
        <f t="shared" si="0"/>
        <v>166232.40000000002</v>
      </c>
      <c r="J7" s="137">
        <f>C7*G7</f>
        <v>236272.72459933607</v>
      </c>
      <c r="K7" s="10">
        <f t="shared" si="1"/>
        <v>402505.12459933606</v>
      </c>
      <c r="L7" s="10">
        <f>'Cost Alloc Revenue Distribution'!M8</f>
        <v>402509.9719999999</v>
      </c>
    </row>
    <row r="8" spans="1:12" ht="12.75">
      <c r="A8" t="s">
        <v>16</v>
      </c>
      <c r="B8" s="137">
        <f>'Dx Rates CA Distribution'!B10</f>
        <v>34.5</v>
      </c>
      <c r="C8" s="137">
        <f>'Dx Rates CA Distribution'!C10</f>
        <v>19868966.3867055</v>
      </c>
      <c r="D8" s="137">
        <f>'Dx Rates CA Distribution'!D10</f>
        <v>60384.843761294804</v>
      </c>
      <c r="F8" s="192">
        <f>'Dx Rates CA Distribution'!O10</f>
        <v>762.54</v>
      </c>
      <c r="G8" s="193">
        <f>'Dx Rates CA Distribution'!J10</f>
        <v>6.4093</v>
      </c>
      <c r="I8" s="137">
        <f t="shared" si="0"/>
        <v>315691.55999999994</v>
      </c>
      <c r="J8" s="137">
        <f>D8*G8</f>
        <v>387024.57911926677</v>
      </c>
      <c r="K8" s="10">
        <f t="shared" si="1"/>
        <v>702716.1391192668</v>
      </c>
      <c r="L8" s="10">
        <f>'Cost Alloc Revenue Distribution'!M9+'Dx Rates CA Distribution'!F10</f>
        <v>702719.3501166959</v>
      </c>
    </row>
    <row r="9" spans="1:12" ht="12.75">
      <c r="A9" t="s">
        <v>18</v>
      </c>
      <c r="B9" s="137">
        <f>'Dx Rates CA Distribution'!B11</f>
        <v>8</v>
      </c>
      <c r="C9" s="137">
        <f>'Dx Rates CA Distribution'!C11</f>
        <v>94602</v>
      </c>
      <c r="F9" s="192">
        <f>'Dx Rates CA Distribution'!O11</f>
        <v>33.43</v>
      </c>
      <c r="G9" s="193">
        <f>'Dx Rates CA Distribution'!I11</f>
        <v>0.0183</v>
      </c>
      <c r="I9" s="137">
        <f t="shared" si="0"/>
        <v>3209.2799999999997</v>
      </c>
      <c r="J9" s="137">
        <f>C9*G9</f>
        <v>1731.2166</v>
      </c>
      <c r="K9" s="10">
        <f t="shared" si="1"/>
        <v>4940.4965999999995</v>
      </c>
      <c r="L9" s="10">
        <f>'Cost Alloc Revenue Distribution'!M12</f>
        <v>4936.862639999999</v>
      </c>
    </row>
    <row r="10" spans="1:12" ht="12.75">
      <c r="A10" t="s">
        <v>19</v>
      </c>
      <c r="B10" s="137">
        <f>'Dx Rates CA Distribution'!B12</f>
        <v>90</v>
      </c>
      <c r="C10" s="137">
        <f>'Dx Rates CA Distribution'!C12</f>
        <v>79731.62790697675</v>
      </c>
      <c r="D10" s="137">
        <f>'Dx Rates CA Distribution'!D12</f>
        <v>238.5</v>
      </c>
      <c r="F10" s="192">
        <f>'Dx Rates CA Distribution'!O12</f>
        <v>3.03</v>
      </c>
      <c r="G10" s="193">
        <f>'Dx Rates CA Distribution'!J12</f>
        <v>3.642</v>
      </c>
      <c r="I10" s="137">
        <f t="shared" si="0"/>
        <v>3272.3999999999996</v>
      </c>
      <c r="J10" s="137">
        <f>D10*G10</f>
        <v>868.617</v>
      </c>
      <c r="K10" s="10">
        <f t="shared" si="1"/>
        <v>4141.017</v>
      </c>
      <c r="L10" s="10">
        <f>'Cost Alloc Revenue Distribution'!M11</f>
        <v>4136.290319999999</v>
      </c>
    </row>
    <row r="11" spans="1:12" ht="12.75">
      <c r="A11" t="s">
        <v>20</v>
      </c>
      <c r="B11" s="137">
        <f>'Dx Rates CA Distribution'!B13</f>
        <v>596.5</v>
      </c>
      <c r="C11" s="137">
        <f>'Dx Rates CA Distribution'!C13</f>
        <v>553299.8293718167</v>
      </c>
      <c r="D11" s="137">
        <f>'Dx Rates CA Distribution'!D13</f>
        <v>1655.3128183361632</v>
      </c>
      <c r="F11" s="192">
        <f>'Dx Rates CA Distribution'!O13</f>
        <v>2.25</v>
      </c>
      <c r="G11" s="193">
        <f>'Dx Rates CA Distribution'!J13</f>
        <v>4.2696</v>
      </c>
      <c r="I11" s="137">
        <f t="shared" si="0"/>
        <v>16105.5</v>
      </c>
      <c r="J11" s="137">
        <f>D11*G11</f>
        <v>7067.523609168082</v>
      </c>
      <c r="K11" s="10">
        <f t="shared" si="1"/>
        <v>23173.02360916808</v>
      </c>
      <c r="L11" s="10">
        <f>'Cost Alloc Revenue Distribution'!M10</f>
        <v>23172.12103999996</v>
      </c>
    </row>
    <row r="12" spans="2:12" ht="12.75">
      <c r="B12" s="10">
        <f>SUM(B6:B11)</f>
        <v>4258</v>
      </c>
      <c r="C12" s="10">
        <f>SUM(C6:C11)</f>
        <v>64116058.988403656</v>
      </c>
      <c r="D12" s="10">
        <f>SUM(D6:D11)</f>
        <v>62278.656579630966</v>
      </c>
      <c r="I12" s="10">
        <f>SUM(I6:I11)</f>
        <v>1112488.4999999998</v>
      </c>
      <c r="J12" s="10">
        <f>SUM(J6:J11)</f>
        <v>1120355.266048025</v>
      </c>
      <c r="K12" s="10">
        <f>SUM(K6:K11)</f>
        <v>2232843.7660480253</v>
      </c>
      <c r="L12" s="10">
        <f>SUM(L6:L11)</f>
        <v>2232702.0061166957</v>
      </c>
    </row>
  </sheetData>
  <mergeCells count="5">
    <mergeCell ref="A1:L1"/>
    <mergeCell ref="A2:L2"/>
    <mergeCell ref="C4:D4"/>
    <mergeCell ref="F4:G4"/>
    <mergeCell ref="I4:L4"/>
  </mergeCells>
  <printOptions/>
  <pageMargins left="0.75" right="0.75" top="1" bottom="1" header="0.5" footer="0.5"/>
  <pageSetup fitToHeight="1" fitToWidth="1" horizontalDpi="600" verticalDpi="600" orientation="landscape" scale="94"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sheetPr>
    <tabColor indexed="14"/>
    <pageSetUpPr fitToPage="1"/>
  </sheetPr>
  <dimension ref="A1:G52"/>
  <sheetViews>
    <sheetView zoomScaleSheetLayoutView="75" workbookViewId="0" topLeftCell="A1">
      <selection activeCell="V104" activeCellId="1" sqref="A1:I27 V104"/>
    </sheetView>
  </sheetViews>
  <sheetFormatPr defaultColWidth="9.140625" defaultRowHeight="12.75"/>
  <cols>
    <col min="1" max="1" width="39.8515625" style="0" bestFit="1" customWidth="1"/>
    <col min="2" max="2" width="13.00390625" style="0" bestFit="1" customWidth="1"/>
    <col min="3" max="3" width="10.421875" style="0" bestFit="1" customWidth="1"/>
    <col min="4" max="4" width="11.421875" style="0" customWidth="1"/>
    <col min="5" max="5" width="9.421875" style="0" bestFit="1" customWidth="1"/>
    <col min="6" max="6" width="13.00390625" style="0" bestFit="1" customWidth="1"/>
    <col min="7" max="7" width="8.00390625" style="0" bestFit="1" customWidth="1"/>
  </cols>
  <sheetData>
    <row r="1" spans="1:7" ht="15.75">
      <c r="A1" s="262" t="s">
        <v>145</v>
      </c>
      <c r="B1" s="262"/>
      <c r="C1" s="262"/>
      <c r="D1" s="262"/>
      <c r="E1" s="262"/>
      <c r="F1" s="262"/>
      <c r="G1" s="262"/>
    </row>
    <row r="2" spans="1:7" ht="15.75">
      <c r="A2" s="262" t="s">
        <v>131</v>
      </c>
      <c r="B2" s="262"/>
      <c r="C2" s="262"/>
      <c r="D2" s="262"/>
      <c r="E2" s="262"/>
      <c r="F2" s="262"/>
      <c r="G2" s="262"/>
    </row>
    <row r="3" spans="1:7" ht="12.75">
      <c r="A3" s="2"/>
      <c r="B3" s="2"/>
      <c r="C3" s="2"/>
      <c r="D3" s="2"/>
      <c r="E3" s="2"/>
      <c r="F3" s="2"/>
      <c r="G3" s="2"/>
    </row>
    <row r="4" spans="1:7" ht="12.75">
      <c r="A4" s="283" t="s">
        <v>132</v>
      </c>
      <c r="B4" s="275" t="s">
        <v>316</v>
      </c>
      <c r="C4" s="275"/>
      <c r="D4" s="275"/>
      <c r="E4" s="275"/>
      <c r="F4" s="275"/>
      <c r="G4" s="275"/>
    </row>
    <row r="5" spans="1:7" ht="12.75">
      <c r="A5" s="283"/>
      <c r="B5" s="284" t="s">
        <v>130</v>
      </c>
      <c r="C5" s="284"/>
      <c r="D5" s="284"/>
      <c r="E5" s="284"/>
      <c r="F5" s="284"/>
      <c r="G5" s="284"/>
    </row>
    <row r="6" spans="1:7" ht="31.5" customHeight="1">
      <c r="A6" s="283"/>
      <c r="B6" s="249" t="s">
        <v>49</v>
      </c>
      <c r="C6" s="249"/>
      <c r="D6" s="249" t="s">
        <v>50</v>
      </c>
      <c r="E6" s="249"/>
      <c r="F6" s="249" t="s">
        <v>51</v>
      </c>
      <c r="G6" s="249"/>
    </row>
    <row r="7" spans="1:7" ht="12.75">
      <c r="A7" s="283"/>
      <c r="B7" s="2" t="s">
        <v>2</v>
      </c>
      <c r="C7" s="9" t="s">
        <v>52</v>
      </c>
      <c r="D7" s="2" t="s">
        <v>2</v>
      </c>
      <c r="E7" s="9" t="s">
        <v>52</v>
      </c>
      <c r="F7" s="2" t="s">
        <v>2</v>
      </c>
      <c r="G7" s="9" t="s">
        <v>52</v>
      </c>
    </row>
    <row r="8" spans="1:7" ht="12.75">
      <c r="A8" t="s">
        <v>0</v>
      </c>
      <c r="B8" s="7">
        <v>751707.0941225359</v>
      </c>
      <c r="C8" s="111">
        <f aca="true" t="shared" si="0" ref="C8:C14">(B8/B$15)</f>
        <v>0.43071357052702647</v>
      </c>
      <c r="D8" s="7">
        <v>166538.36972460875</v>
      </c>
      <c r="E8" s="111">
        <f aca="true" t="shared" si="1" ref="E8:E15">(D8/B8)</f>
        <v>0.22154689110524917</v>
      </c>
      <c r="F8" s="7">
        <v>585168.7243979272</v>
      </c>
      <c r="G8" s="111">
        <f aca="true" t="shared" si="2" ref="G8:G15">(F8/B8)</f>
        <v>0.7784531088947508</v>
      </c>
    </row>
    <row r="9" spans="1:7" ht="12.75">
      <c r="A9" t="s">
        <v>15</v>
      </c>
      <c r="B9" s="7">
        <v>355717.70947780146</v>
      </c>
      <c r="C9" s="111">
        <f t="shared" si="0"/>
        <v>0.20381934126579385</v>
      </c>
      <c r="D9" s="7">
        <v>201768.02498981488</v>
      </c>
      <c r="E9" s="111">
        <f t="shared" si="1"/>
        <v>0.5672138879057024</v>
      </c>
      <c r="F9" s="7">
        <v>153949.68448798658</v>
      </c>
      <c r="G9" s="111">
        <f t="shared" si="2"/>
        <v>0.4327861120942976</v>
      </c>
    </row>
    <row r="10" spans="1:7" ht="12.75">
      <c r="A10" t="s">
        <v>16</v>
      </c>
      <c r="B10" s="7">
        <v>347211.83781508694</v>
      </c>
      <c r="C10" s="111">
        <f t="shared" si="0"/>
        <v>0.19894564194469203</v>
      </c>
      <c r="D10" s="7">
        <v>93298.16518813543</v>
      </c>
      <c r="E10" s="111">
        <f t="shared" si="1"/>
        <v>0.2687067519795302</v>
      </c>
      <c r="F10" s="7">
        <v>253913.6726269515</v>
      </c>
      <c r="G10" s="111">
        <f t="shared" si="2"/>
        <v>0.7312932480204698</v>
      </c>
    </row>
    <row r="11" spans="1:7" ht="12.75">
      <c r="A11" t="s">
        <v>144</v>
      </c>
      <c r="B11" s="7">
        <v>276649.53678667475</v>
      </c>
      <c r="C11" s="111">
        <f>(B11/B$15)</f>
        <v>0.15851481342360843</v>
      </c>
      <c r="D11" s="7">
        <v>42381.22843376277</v>
      </c>
      <c r="E11" s="111">
        <f t="shared" si="1"/>
        <v>0.15319464809530137</v>
      </c>
      <c r="F11" s="7">
        <v>234268.308352912</v>
      </c>
      <c r="G11" s="111">
        <f t="shared" si="2"/>
        <v>0.8468053519046986</v>
      </c>
    </row>
    <row r="12" spans="1:7" ht="12.75">
      <c r="A12" t="s">
        <v>18</v>
      </c>
      <c r="B12" s="7">
        <v>0</v>
      </c>
      <c r="C12" s="111">
        <f t="shared" si="0"/>
        <v>0</v>
      </c>
      <c r="D12" s="7">
        <v>0</v>
      </c>
      <c r="E12" s="111"/>
      <c r="F12" s="7">
        <v>0</v>
      </c>
      <c r="G12" s="111"/>
    </row>
    <row r="13" spans="1:7" ht="12.75">
      <c r="A13" t="s">
        <v>19</v>
      </c>
      <c r="B13" s="7">
        <v>1457.6369372062736</v>
      </c>
      <c r="C13" s="111">
        <f t="shared" si="0"/>
        <v>0.0008351976649748785</v>
      </c>
      <c r="D13" s="7">
        <v>237.16931516133292</v>
      </c>
      <c r="E13" s="111">
        <f t="shared" si="1"/>
        <v>0.16270808533151937</v>
      </c>
      <c r="F13" s="7">
        <v>1220.4676220449408</v>
      </c>
      <c r="G13" s="111">
        <f t="shared" si="2"/>
        <v>0.8372919146684806</v>
      </c>
    </row>
    <row r="14" spans="1:7" ht="12.75">
      <c r="A14" t="s">
        <v>20</v>
      </c>
      <c r="B14" s="7">
        <v>12516.017753207936</v>
      </c>
      <c r="C14" s="111">
        <f t="shared" si="0"/>
        <v>0.00717143517390443</v>
      </c>
      <c r="D14" s="7">
        <v>668.2936085326418</v>
      </c>
      <c r="E14" s="111">
        <f t="shared" si="1"/>
        <v>0.05339506716194564</v>
      </c>
      <c r="F14" s="7">
        <v>11847.724144675294</v>
      </c>
      <c r="G14" s="111">
        <f t="shared" si="2"/>
        <v>0.9466049328380544</v>
      </c>
    </row>
    <row r="15" spans="1:7" ht="12.75">
      <c r="A15" t="s">
        <v>53</v>
      </c>
      <c r="B15" s="10">
        <f>SUM(B8:B14)</f>
        <v>1745259.8328925131</v>
      </c>
      <c r="C15" s="111">
        <f>SUM(C8:C14)</f>
        <v>1</v>
      </c>
      <c r="D15" s="10">
        <f>SUM(D8:D14)</f>
        <v>504891.2512600158</v>
      </c>
      <c r="E15" s="111">
        <f t="shared" si="1"/>
        <v>0.2892928845003167</v>
      </c>
      <c r="F15" s="10">
        <f>SUM(F8:F14)</f>
        <v>1240368.5816324975</v>
      </c>
      <c r="G15" s="111">
        <f t="shared" si="2"/>
        <v>0.7107071154996834</v>
      </c>
    </row>
    <row r="16" spans="1:2" ht="12.75">
      <c r="A16" t="s">
        <v>55</v>
      </c>
      <c r="B16" s="10">
        <v>47378.18844773085</v>
      </c>
    </row>
    <row r="17" spans="1:2" ht="12.75">
      <c r="A17" t="s">
        <v>54</v>
      </c>
      <c r="B17" s="10">
        <f>B15-B16</f>
        <v>1697881.6444447823</v>
      </c>
    </row>
    <row r="19" spans="1:7" ht="12.75">
      <c r="A19" s="256" t="s">
        <v>185</v>
      </c>
      <c r="B19" s="256"/>
      <c r="C19" s="256"/>
      <c r="D19" s="256"/>
      <c r="E19" s="256"/>
      <c r="F19" s="256"/>
      <c r="G19" s="256"/>
    </row>
    <row r="20" ht="12.75">
      <c r="A20" t="s">
        <v>189</v>
      </c>
    </row>
    <row r="21" spans="1:6" ht="12.75">
      <c r="A21" t="s">
        <v>144</v>
      </c>
      <c r="B21" s="7">
        <f>D21+F21</f>
        <v>84375.23959643934</v>
      </c>
      <c r="D21" s="7">
        <f>0.1485*D11</f>
        <v>6293.612422413771</v>
      </c>
      <c r="F21" s="7">
        <f>0.3333*F11</f>
        <v>78081.62717402556</v>
      </c>
    </row>
    <row r="22" spans="1:6" ht="12.75">
      <c r="A22" t="s">
        <v>190</v>
      </c>
      <c r="B22" s="7"/>
      <c r="F22" s="7"/>
    </row>
    <row r="23" spans="1:6" ht="12.75">
      <c r="A23" t="s">
        <v>16</v>
      </c>
      <c r="B23" s="7">
        <f>B21</f>
        <v>84375.23959643934</v>
      </c>
      <c r="D23" s="10">
        <f>D21</f>
        <v>6293.612422413771</v>
      </c>
      <c r="F23" s="7">
        <f>F21</f>
        <v>78081.62717402556</v>
      </c>
    </row>
    <row r="24" spans="2:6" ht="12.75">
      <c r="B24" s="7"/>
      <c r="F24" s="7"/>
    </row>
    <row r="25" spans="1:6" ht="12.75">
      <c r="A25" t="s">
        <v>186</v>
      </c>
      <c r="B25" s="7"/>
      <c r="F25" s="7"/>
    </row>
    <row r="26" spans="1:6" ht="12.75">
      <c r="A26" t="s">
        <v>144</v>
      </c>
      <c r="B26" s="7">
        <f>D26+F26</f>
        <v>192274.29719023546</v>
      </c>
      <c r="D26" s="10">
        <f>D11-D21</f>
        <v>36087.616011349004</v>
      </c>
      <c r="F26" s="7">
        <f>F11-F21</f>
        <v>156186.68117888644</v>
      </c>
    </row>
    <row r="27" spans="4:6" ht="12.75">
      <c r="D27" s="10"/>
      <c r="F27" s="112"/>
    </row>
    <row r="28" spans="1:6" ht="12.75">
      <c r="A28" s="256" t="s">
        <v>187</v>
      </c>
      <c r="B28" s="256"/>
      <c r="C28" s="256"/>
      <c r="D28" s="256"/>
      <c r="E28" s="256"/>
      <c r="F28" s="256"/>
    </row>
    <row r="29" spans="4:6" ht="12.75">
      <c r="D29" s="10"/>
      <c r="F29" s="112"/>
    </row>
    <row r="30" spans="1:6" ht="12.75">
      <c r="A30" t="s">
        <v>0</v>
      </c>
      <c r="B30" s="7">
        <f>B8/(B$8+B$9+B$10+B$13+B$14)*B$26</f>
        <v>98415.45684281968</v>
      </c>
      <c r="D30" s="10"/>
      <c r="F30" s="112"/>
    </row>
    <row r="31" spans="1:6" ht="12.75">
      <c r="A31" t="s">
        <v>15</v>
      </c>
      <c r="B31" s="7">
        <f>B9/(B$8+B$9+B$10+B$13+B$14)*B$26</f>
        <v>46571.49195353019</v>
      </c>
      <c r="D31" s="10"/>
      <c r="F31" s="112"/>
    </row>
    <row r="32" spans="1:6" ht="12.75">
      <c r="A32" t="s">
        <v>16</v>
      </c>
      <c r="B32" s="7">
        <f>B10/(B$8+B$9+B$10+B$13+B$14)*B$26</f>
        <v>45457.88101107979</v>
      </c>
      <c r="D32" s="10"/>
      <c r="F32" s="112"/>
    </row>
    <row r="33" spans="1:6" ht="12.75">
      <c r="A33" t="s">
        <v>18</v>
      </c>
      <c r="B33" s="7">
        <f>B12/(B$8+B$9+B$10+B$13+B$14)*B$26</f>
        <v>0</v>
      </c>
      <c r="D33" s="10"/>
      <c r="F33" s="112"/>
    </row>
    <row r="34" spans="1:6" ht="12.75">
      <c r="A34" t="s">
        <v>19</v>
      </c>
      <c r="B34" s="7">
        <f>B13/(B$8+B$9+B$10+B$13+B$14)*B$26</f>
        <v>190.8376363716203</v>
      </c>
      <c r="D34" s="10"/>
      <c r="F34" s="112"/>
    </row>
    <row r="35" spans="1:6" ht="12.75">
      <c r="A35" t="s">
        <v>20</v>
      </c>
      <c r="B35" s="7">
        <f>B14/(B$8+B$9+B$10+B$13+B$14)*B$26</f>
        <v>1638.6297464342003</v>
      </c>
      <c r="D35" s="10"/>
      <c r="F35" s="112"/>
    </row>
    <row r="36" spans="1:6" ht="12.75">
      <c r="A36" t="s">
        <v>188</v>
      </c>
      <c r="B36" s="7">
        <f>SUM(B30:B35)</f>
        <v>192274.29719023546</v>
      </c>
      <c r="D36" s="10"/>
      <c r="F36" s="112"/>
    </row>
    <row r="37" spans="4:6" ht="12.75">
      <c r="D37" s="10"/>
      <c r="F37" s="112"/>
    </row>
    <row r="38" spans="1:7" ht="12.75">
      <c r="A38" s="256" t="s">
        <v>184</v>
      </c>
      <c r="B38" s="256"/>
      <c r="C38" s="256"/>
      <c r="D38" s="256"/>
      <c r="E38" s="256"/>
      <c r="F38" s="256"/>
      <c r="G38" s="256"/>
    </row>
    <row r="39" spans="1:7" ht="12.75">
      <c r="A39" s="283" t="s">
        <v>132</v>
      </c>
      <c r="B39" s="275" t="s">
        <v>129</v>
      </c>
      <c r="C39" s="275"/>
      <c r="D39" s="275"/>
      <c r="E39" s="275"/>
      <c r="F39" s="275"/>
      <c r="G39" s="275"/>
    </row>
    <row r="40" spans="1:7" ht="12.75">
      <c r="A40" s="283"/>
      <c r="B40" s="284" t="s">
        <v>130</v>
      </c>
      <c r="C40" s="284"/>
      <c r="D40" s="284"/>
      <c r="E40" s="284"/>
      <c r="F40" s="284"/>
      <c r="G40" s="284"/>
    </row>
    <row r="41" spans="1:7" ht="12.75">
      <c r="A41" s="283"/>
      <c r="B41" s="249" t="s">
        <v>49</v>
      </c>
      <c r="C41" s="249"/>
      <c r="D41" s="249" t="s">
        <v>50</v>
      </c>
      <c r="E41" s="249"/>
      <c r="F41" s="249" t="s">
        <v>51</v>
      </c>
      <c r="G41" s="249"/>
    </row>
    <row r="42" spans="1:7" ht="12.75">
      <c r="A42" s="283"/>
      <c r="B42" s="2" t="s">
        <v>2</v>
      </c>
      <c r="C42" s="9" t="s">
        <v>52</v>
      </c>
      <c r="D42" s="2" t="s">
        <v>2</v>
      </c>
      <c r="E42" s="9" t="s">
        <v>52</v>
      </c>
      <c r="F42" s="2" t="s">
        <v>2</v>
      </c>
      <c r="G42" s="9" t="s">
        <v>52</v>
      </c>
    </row>
    <row r="43" spans="1:7" ht="12.75">
      <c r="A43" t="s">
        <v>0</v>
      </c>
      <c r="B43" s="7">
        <f>B8+B30</f>
        <v>850122.5509653556</v>
      </c>
      <c r="C43" s="111">
        <f aca="true" t="shared" si="3" ref="C43:C49">(B43/B$50)</f>
        <v>0.48710371656030244</v>
      </c>
      <c r="D43" s="7">
        <f>E43*B43</f>
        <v>188342.00822483827</v>
      </c>
      <c r="E43" s="111">
        <f>E8</f>
        <v>0.22154689110524917</v>
      </c>
      <c r="F43" s="7">
        <f>G43*B43</f>
        <v>661780.5427405173</v>
      </c>
      <c r="G43" s="111">
        <f>G8</f>
        <v>0.7784531088947508</v>
      </c>
    </row>
    <row r="44" spans="1:7" ht="12.75">
      <c r="A44" t="s">
        <v>15</v>
      </c>
      <c r="B44" s="7">
        <f>B9+B31</f>
        <v>402289.20143133163</v>
      </c>
      <c r="C44" s="111">
        <f t="shared" si="3"/>
        <v>0.2305039019689097</v>
      </c>
      <c r="D44" s="7">
        <f aca="true" t="shared" si="4" ref="D44:D49">E44*B44</f>
        <v>228184.02200634585</v>
      </c>
      <c r="E44" s="111">
        <f aca="true" t="shared" si="5" ref="E44:G45">E9</f>
        <v>0.5672138879057024</v>
      </c>
      <c r="F44" s="7">
        <f aca="true" t="shared" si="6" ref="F44:F49">G44*B44</f>
        <v>174105.17942498578</v>
      </c>
      <c r="G44" s="111">
        <f t="shared" si="5"/>
        <v>0.4327861120942976</v>
      </c>
    </row>
    <row r="45" spans="1:7" ht="12.75">
      <c r="A45" t="s">
        <v>16</v>
      </c>
      <c r="B45" s="7">
        <f>B10+B23+B32</f>
        <v>477044.9584226061</v>
      </c>
      <c r="C45" s="111">
        <f t="shared" si="3"/>
        <v>0.2733374993406992</v>
      </c>
      <c r="D45" s="7">
        <f t="shared" si="4"/>
        <v>128185.20132594851</v>
      </c>
      <c r="E45" s="111">
        <f t="shared" si="5"/>
        <v>0.2687067519795302</v>
      </c>
      <c r="F45" s="7">
        <f t="shared" si="6"/>
        <v>348859.7570966576</v>
      </c>
      <c r="G45" s="111">
        <f t="shared" si="5"/>
        <v>0.7312932480204698</v>
      </c>
    </row>
    <row r="46" spans="1:7" ht="12.75">
      <c r="A46" t="s">
        <v>144</v>
      </c>
      <c r="B46" s="7">
        <f>B11-B21-B26</f>
        <v>0</v>
      </c>
      <c r="C46" s="111">
        <f t="shared" si="3"/>
        <v>0</v>
      </c>
      <c r="D46" s="7">
        <f t="shared" si="4"/>
        <v>0</v>
      </c>
      <c r="E46" s="111"/>
      <c r="F46" s="7">
        <f t="shared" si="6"/>
        <v>0</v>
      </c>
      <c r="G46" s="111"/>
    </row>
    <row r="47" spans="1:7" ht="12.75">
      <c r="A47" t="s">
        <v>18</v>
      </c>
      <c r="B47" s="7">
        <v>0</v>
      </c>
      <c r="C47" s="111">
        <f t="shared" si="3"/>
        <v>0</v>
      </c>
      <c r="D47" s="7">
        <f t="shared" si="4"/>
        <v>0</v>
      </c>
      <c r="E47" s="111">
        <f>E44</f>
        <v>0.5672138879057024</v>
      </c>
      <c r="F47" s="7">
        <f t="shared" si="6"/>
        <v>0</v>
      </c>
      <c r="G47" s="111">
        <f>G44</f>
        <v>0.4327861120942976</v>
      </c>
    </row>
    <row r="48" spans="1:7" ht="12.75">
      <c r="A48" t="s">
        <v>19</v>
      </c>
      <c r="B48" s="7">
        <f>B13+B34</f>
        <v>1648.4745735778938</v>
      </c>
      <c r="C48" s="111">
        <f t="shared" si="3"/>
        <v>0.0009445439255000717</v>
      </c>
      <c r="D48" s="7">
        <f t="shared" si="4"/>
        <v>268.2201415845519</v>
      </c>
      <c r="E48" s="111">
        <f>E13</f>
        <v>0.16270808533151937</v>
      </c>
      <c r="F48" s="7">
        <f t="shared" si="6"/>
        <v>1380.2544319933418</v>
      </c>
      <c r="G48" s="111">
        <f>G13</f>
        <v>0.8372919146684806</v>
      </c>
    </row>
    <row r="49" spans="1:7" ht="12.75">
      <c r="A49" t="s">
        <v>20</v>
      </c>
      <c r="B49" s="7">
        <f>B14+B35</f>
        <v>14154.647499642137</v>
      </c>
      <c r="C49" s="111">
        <f t="shared" si="3"/>
        <v>0.00811033820458864</v>
      </c>
      <c r="D49" s="7">
        <f t="shared" si="4"/>
        <v>755.7883538970578</v>
      </c>
      <c r="E49" s="111">
        <f>E14</f>
        <v>0.05339506716194564</v>
      </c>
      <c r="F49" s="7">
        <f t="shared" si="6"/>
        <v>13398.859145745078</v>
      </c>
      <c r="G49" s="111">
        <f>G14</f>
        <v>0.9466049328380544</v>
      </c>
    </row>
    <row r="50" spans="1:7" ht="12.75">
      <c r="A50" t="s">
        <v>53</v>
      </c>
      <c r="B50" s="10">
        <f>SUM(B43:B49)</f>
        <v>1745259.8328925134</v>
      </c>
      <c r="C50" s="111"/>
      <c r="D50" s="10"/>
      <c r="E50" s="111"/>
      <c r="F50" s="10"/>
      <c r="G50" s="111"/>
    </row>
    <row r="51" spans="1:2" ht="12.75">
      <c r="A51" t="s">
        <v>55</v>
      </c>
      <c r="B51" s="10">
        <v>47378.18844773085</v>
      </c>
    </row>
    <row r="52" spans="1:2" ht="12.75">
      <c r="A52" t="s">
        <v>54</v>
      </c>
      <c r="B52" s="10">
        <f>B50-B51</f>
        <v>1697881.6444447825</v>
      </c>
    </row>
  </sheetData>
  <mergeCells count="17">
    <mergeCell ref="A19:G19"/>
    <mergeCell ref="A28:F28"/>
    <mergeCell ref="B4:G4"/>
    <mergeCell ref="A1:G1"/>
    <mergeCell ref="A2:G2"/>
    <mergeCell ref="A4:A7"/>
    <mergeCell ref="B5:G5"/>
    <mergeCell ref="B6:C6"/>
    <mergeCell ref="D6:E6"/>
    <mergeCell ref="F6:G6"/>
    <mergeCell ref="A38:G38"/>
    <mergeCell ref="A39:A42"/>
    <mergeCell ref="B39:G39"/>
    <mergeCell ref="B40:G40"/>
    <mergeCell ref="B41:C41"/>
    <mergeCell ref="D41:E41"/>
    <mergeCell ref="F41:G41"/>
  </mergeCells>
  <printOptions/>
  <pageMargins left="0.75" right="0.75" top="1" bottom="1" header="0.5" footer="0.5"/>
  <pageSetup fitToHeight="1" fitToWidth="1" horizontalDpi="600" verticalDpi="600" orientation="portrait" scale="84"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sheetPr>
    <tabColor indexed="14"/>
    <pageSetUpPr fitToPage="1"/>
  </sheetPr>
  <dimension ref="A1:P20"/>
  <sheetViews>
    <sheetView workbookViewId="0" topLeftCell="A1">
      <selection activeCell="B4" sqref="A1:P27"/>
    </sheetView>
  </sheetViews>
  <sheetFormatPr defaultColWidth="9.140625" defaultRowHeight="12.75"/>
  <cols>
    <col min="1" max="1" width="34.00390625" style="0" customWidth="1"/>
    <col min="2" max="2" width="12.421875" style="0" bestFit="1" customWidth="1"/>
    <col min="3" max="3" width="11.28125" style="0" bestFit="1" customWidth="1"/>
    <col min="4" max="4" width="7.7109375" style="0" bestFit="1" customWidth="1"/>
    <col min="5" max="6" width="11.7109375" style="0" customWidth="1"/>
    <col min="7" max="8" width="10.421875" style="0" bestFit="1" customWidth="1"/>
    <col min="9" max="10" width="9.7109375" style="0" bestFit="1" customWidth="1"/>
    <col min="11" max="12" width="8.00390625" style="0" bestFit="1" customWidth="1"/>
    <col min="13" max="14" width="9.57421875" style="0" customWidth="1"/>
    <col min="15" max="16" width="10.28125" style="0" bestFit="1" customWidth="1"/>
  </cols>
  <sheetData>
    <row r="1" spans="1:16" ht="15.75">
      <c r="A1" s="262" t="s">
        <v>258</v>
      </c>
      <c r="B1" s="262"/>
      <c r="C1" s="262"/>
      <c r="D1" s="262"/>
      <c r="E1" s="262"/>
      <c r="F1" s="262"/>
      <c r="G1" s="262"/>
      <c r="H1" s="262"/>
      <c r="I1" s="262"/>
      <c r="J1" s="262"/>
      <c r="K1" s="262"/>
      <c r="L1" s="262"/>
      <c r="M1" s="262"/>
      <c r="N1" s="262"/>
      <c r="O1" s="262"/>
      <c r="P1" s="262"/>
    </row>
    <row r="2" spans="1:16" ht="15.75">
      <c r="A2" s="262" t="s">
        <v>236</v>
      </c>
      <c r="B2" s="262"/>
      <c r="C2" s="262"/>
      <c r="D2" s="262"/>
      <c r="E2" s="262"/>
      <c r="F2" s="262"/>
      <c r="G2" s="262"/>
      <c r="H2" s="262"/>
      <c r="I2" s="262"/>
      <c r="J2" s="262"/>
      <c r="K2" s="262"/>
      <c r="L2" s="262"/>
      <c r="M2" s="262"/>
      <c r="N2" s="262"/>
      <c r="O2" s="262"/>
      <c r="P2" s="262"/>
    </row>
    <row r="3" spans="1:16" ht="15.75">
      <c r="A3" s="262" t="s">
        <v>136</v>
      </c>
      <c r="B3" s="262"/>
      <c r="C3" s="262"/>
      <c r="D3" s="262"/>
      <c r="E3" s="262"/>
      <c r="F3" s="262"/>
      <c r="G3" s="262"/>
      <c r="H3" s="262"/>
      <c r="I3" s="262"/>
      <c r="J3" s="262"/>
      <c r="K3" s="262"/>
      <c r="L3" s="262"/>
      <c r="M3" s="262"/>
      <c r="N3" s="262"/>
      <c r="O3" s="262"/>
      <c r="P3" s="262"/>
    </row>
    <row r="6" spans="2:16" ht="12.75">
      <c r="B6" s="302" t="s">
        <v>133</v>
      </c>
      <c r="C6" s="302"/>
      <c r="D6" s="302"/>
      <c r="E6" s="302" t="s">
        <v>134</v>
      </c>
      <c r="F6" s="302"/>
      <c r="G6" s="302"/>
      <c r="H6" s="302"/>
      <c r="I6" s="302" t="s">
        <v>161</v>
      </c>
      <c r="J6" s="302"/>
      <c r="K6" s="302"/>
      <c r="L6" s="302"/>
      <c r="M6" s="302"/>
      <c r="N6" s="302"/>
      <c r="O6" s="302"/>
      <c r="P6" s="302"/>
    </row>
    <row r="7" spans="2:16" ht="38.25" customHeight="1">
      <c r="B7" s="9" t="s">
        <v>95</v>
      </c>
      <c r="C7" s="6" t="s">
        <v>96</v>
      </c>
      <c r="D7" s="6" t="s">
        <v>60</v>
      </c>
      <c r="E7" s="301" t="s">
        <v>38</v>
      </c>
      <c r="F7" s="301"/>
      <c r="G7" s="301"/>
      <c r="H7" s="301"/>
      <c r="I7" s="249" t="s">
        <v>162</v>
      </c>
      <c r="J7" s="249"/>
      <c r="K7" s="249"/>
      <c r="L7" s="249"/>
      <c r="M7" s="249"/>
      <c r="N7" s="249"/>
      <c r="O7" s="249"/>
      <c r="P7" s="249"/>
    </row>
    <row r="8" spans="2:16" ht="63.75">
      <c r="B8" s="6">
        <v>2009</v>
      </c>
      <c r="C8" s="6">
        <v>2009</v>
      </c>
      <c r="D8" s="6">
        <v>2009</v>
      </c>
      <c r="E8" s="5" t="s">
        <v>163</v>
      </c>
      <c r="F8" s="5" t="s">
        <v>191</v>
      </c>
      <c r="G8" s="5" t="s">
        <v>50</v>
      </c>
      <c r="H8" s="5" t="s">
        <v>51</v>
      </c>
      <c r="I8" s="5" t="s">
        <v>155</v>
      </c>
      <c r="J8" s="5" t="s">
        <v>156</v>
      </c>
      <c r="K8" s="5" t="s">
        <v>157</v>
      </c>
      <c r="L8" s="5" t="s">
        <v>158</v>
      </c>
      <c r="M8" s="5" t="s">
        <v>159</v>
      </c>
      <c r="N8" s="5" t="s">
        <v>160</v>
      </c>
      <c r="O8" s="5" t="s">
        <v>97</v>
      </c>
      <c r="P8" s="5" t="s">
        <v>101</v>
      </c>
    </row>
    <row r="9" ht="12.75">
      <c r="A9" t="s">
        <v>48</v>
      </c>
    </row>
    <row r="10" spans="1:16" ht="12.75">
      <c r="A10" t="s">
        <v>0</v>
      </c>
      <c r="B10" s="110">
        <f>+(' Forecast Data'!I6+' Forecast Data'!J6)/2</f>
        <v>3114</v>
      </c>
      <c r="C10" s="110">
        <f>+(' Forecast Data'!J7+' Forecast Data'!I7)/2</f>
        <v>29538824.55274267</v>
      </c>
      <c r="E10" s="110">
        <f>'Revenue Requirement'!D$21*'2006 EDR Revenue Distribution'!C43</f>
        <v>1083227.0901313992</v>
      </c>
      <c r="F10" s="110"/>
      <c r="G10" s="110">
        <f>E10*'2006 EDR Revenue Distribution'!E43</f>
        <v>239985.594179597</v>
      </c>
      <c r="H10" s="110">
        <f>E10*'2006 EDR Revenue Distribution'!G43</f>
        <v>843241.4959518022</v>
      </c>
      <c r="I10" s="113">
        <f>ROUND(+G10/C10,4)</f>
        <v>0.0081</v>
      </c>
      <c r="J10" s="113"/>
      <c r="K10" s="113">
        <f>'Low Voltage Allocation'!F8</f>
        <v>0.0004</v>
      </c>
      <c r="L10" s="113"/>
      <c r="M10" s="113">
        <f>I10+K10</f>
        <v>0.008499999999999999</v>
      </c>
      <c r="O10" s="112">
        <f aca="true" t="shared" si="0" ref="O10:O15">ROUND(+H10/(B10*12),2)</f>
        <v>22.57</v>
      </c>
      <c r="P10" s="112">
        <f>+O10+'Smart Meters'!B6</f>
        <v>22.830000000000002</v>
      </c>
    </row>
    <row r="11" spans="1:16" ht="12.75">
      <c r="A11" t="s">
        <v>15</v>
      </c>
      <c r="B11" s="110">
        <f>+(' Forecast Data'!I10+' Forecast Data'!J10)/2+(' Forecast Data'!I19+' Forecast Data'!J19)/2</f>
        <v>423</v>
      </c>
      <c r="C11" s="110">
        <f>+(' Forecast Data'!J11+' Forecast Data'!I11)/2+(' Forecast Data'!I20+' Forecast Data'!J20)/2</f>
        <v>14075236.591676692</v>
      </c>
      <c r="E11" s="110">
        <f>'Revenue Requirement'!D$21*'2006 EDR Revenue Distribution'!C44</f>
        <v>512597.34324528504</v>
      </c>
      <c r="F11" s="110"/>
      <c r="G11" s="110">
        <f>E11*'2006 EDR Revenue Distribution'!E44</f>
        <v>290752.33199229196</v>
      </c>
      <c r="H11" s="110">
        <f>E11*'2006 EDR Revenue Distribution'!G44</f>
        <v>221845.01125299308</v>
      </c>
      <c r="I11" s="113">
        <f>ROUND(+G11/C11,4)</f>
        <v>0.0207</v>
      </c>
      <c r="J11" s="113"/>
      <c r="K11" s="113">
        <f>'Low Voltage Allocation'!F9</f>
        <v>0.0015</v>
      </c>
      <c r="L11" s="113"/>
      <c r="M11" s="113">
        <f>I11+K11</f>
        <v>0.0222</v>
      </c>
      <c r="O11" s="112">
        <f t="shared" si="0"/>
        <v>43.7</v>
      </c>
      <c r="P11" s="112">
        <f>+O11+'Smart Meters'!B7</f>
        <v>43.96</v>
      </c>
    </row>
    <row r="12" spans="1:16" ht="12.75">
      <c r="A12" t="s">
        <v>16</v>
      </c>
      <c r="B12" s="110">
        <f>+(' Forecast Data'!I14+' Forecast Data'!J14)/2</f>
        <v>34.5</v>
      </c>
      <c r="C12" s="110">
        <f>+(' Forecast Data'!J15+' Forecast Data'!I15)/2</f>
        <v>19868966.3867055</v>
      </c>
      <c r="D12" s="110">
        <f>+(' Forecast Data'!J16+' Forecast Data'!I16)/2</f>
        <v>60384.843761294804</v>
      </c>
      <c r="E12" s="110">
        <f>'Revenue Requirement'!D$21*'2006 EDR Revenue Distribution'!C45</f>
        <v>607851.211083839</v>
      </c>
      <c r="F12" s="110">
        <f>'Revenue Requirement'!D23</f>
        <v>8890.006116696104</v>
      </c>
      <c r="G12" s="110">
        <f>(E12*'2006 EDR Revenue Distribution'!E45)+(F12*'2006 EDR Revenue Distribution'!E45)</f>
        <v>165722.52928585774</v>
      </c>
      <c r="H12" s="110">
        <f>(E12*'2006 EDR Revenue Distribution'!G45)+(F12*'2006 EDR Revenue Distribution'!G45)</f>
        <v>451018.6879146773</v>
      </c>
      <c r="I12" s="110"/>
      <c r="J12" s="113">
        <f>ROUND(+G12/D12,4)</f>
        <v>2.7444</v>
      </c>
      <c r="K12" s="113"/>
      <c r="L12" s="113">
        <f>'Low Voltage Allocation'!G10</f>
        <v>0.1149</v>
      </c>
      <c r="N12" s="113">
        <f>J12+L12</f>
        <v>2.8593</v>
      </c>
      <c r="O12" s="112">
        <f t="shared" si="0"/>
        <v>1089.42</v>
      </c>
      <c r="P12" s="112">
        <f>+O12+'Smart Meters'!B8</f>
        <v>1089.68</v>
      </c>
    </row>
    <row r="13" spans="1:16" ht="12.75">
      <c r="A13" t="s">
        <v>18</v>
      </c>
      <c r="B13" s="110"/>
      <c r="C13" s="110"/>
      <c r="E13" s="110">
        <f>'Revenue Requirement'!D$21*'2006 EDR Revenue Distribution'!C47</f>
        <v>0</v>
      </c>
      <c r="F13" s="110"/>
      <c r="G13" s="110">
        <f>E13*'2006 EDR Revenue Distribution'!E47</f>
        <v>0</v>
      </c>
      <c r="H13" s="110">
        <f>E13*'2006 EDR Revenue Distribution'!G47</f>
        <v>0</v>
      </c>
      <c r="I13" s="113">
        <f>I11</f>
        <v>0.0207</v>
      </c>
      <c r="J13" s="113"/>
      <c r="K13" s="113">
        <f>K11</f>
        <v>0.0015</v>
      </c>
      <c r="L13" s="113"/>
      <c r="M13" s="113">
        <f>M11</f>
        <v>0.0222</v>
      </c>
      <c r="O13" s="112">
        <f>O11</f>
        <v>43.7</v>
      </c>
      <c r="P13" s="112">
        <f>+O13</f>
        <v>43.7</v>
      </c>
    </row>
    <row r="14" spans="1:16" ht="12.75">
      <c r="A14" t="s">
        <v>19</v>
      </c>
      <c r="B14" s="110">
        <f>+(' Forecast Data'!I23+' Forecast Data'!J23)/2</f>
        <v>90</v>
      </c>
      <c r="C14" s="110">
        <f>+(' Forecast Data'!J24+' Forecast Data'!I24)/2</f>
        <v>79731.62790697675</v>
      </c>
      <c r="D14" s="110">
        <f>+(' Forecast Data'!J25+' Forecast Data'!I25)/2</f>
        <v>238.5</v>
      </c>
      <c r="E14" s="110">
        <f>'Revenue Requirement'!D$21*'2006 EDR Revenue Distribution'!C48</f>
        <v>2100.4881160541654</v>
      </c>
      <c r="F14" s="110"/>
      <c r="G14" s="110">
        <f>E14*'2006 EDR Revenue Distribution'!E48</f>
        <v>341.7663996247835</v>
      </c>
      <c r="H14" s="110">
        <f>E14*'2006 EDR Revenue Distribution'!G48</f>
        <v>1758.7217164293818</v>
      </c>
      <c r="I14" s="110"/>
      <c r="J14" s="113">
        <f>ROUND(+G14/D14,4)</f>
        <v>1.433</v>
      </c>
      <c r="K14" s="113"/>
      <c r="L14" s="113">
        <f>'Low Voltage Allocation'!G12</f>
        <v>0.0532</v>
      </c>
      <c r="N14" s="113">
        <f>J14+L14</f>
        <v>1.4862</v>
      </c>
      <c r="O14" s="112">
        <f t="shared" si="0"/>
        <v>1.63</v>
      </c>
      <c r="P14" s="112">
        <f>+O14</f>
        <v>1.63</v>
      </c>
    </row>
    <row r="15" spans="1:16" ht="12.75">
      <c r="A15" t="s">
        <v>20</v>
      </c>
      <c r="B15" s="110">
        <f>+(' Forecast Data'!I28+' Forecast Data'!J28)/2</f>
        <v>596.5</v>
      </c>
      <c r="C15" s="110">
        <f>+(' Forecast Data'!J29+' Forecast Data'!I29)/2</f>
        <v>553299.8293718167</v>
      </c>
      <c r="D15" s="110">
        <f>+(' Forecast Data'!J30+' Forecast Data'!I30)/2</f>
        <v>1655.3128183361632</v>
      </c>
      <c r="E15" s="110">
        <f>'Revenue Requirement'!D$21*'2006 EDR Revenue Distribution'!C49</f>
        <v>18035.86742342267</v>
      </c>
      <c r="F15" s="110"/>
      <c r="G15" s="110">
        <f>E15*'2006 EDR Revenue Distribution'!E49</f>
        <v>963.026352397601</v>
      </c>
      <c r="H15" s="110">
        <f>E15*'2006 EDR Revenue Distribution'!G49</f>
        <v>17072.84107102507</v>
      </c>
      <c r="I15" s="110"/>
      <c r="J15" s="113">
        <f>ROUND(+G15/D15,4)</f>
        <v>0.5818</v>
      </c>
      <c r="K15" s="113"/>
      <c r="L15" s="113">
        <f>'Low Voltage Allocation'!G13</f>
        <v>0.0232</v>
      </c>
      <c r="N15" s="113">
        <f>J15+L15</f>
        <v>0.605</v>
      </c>
      <c r="O15" s="112">
        <f t="shared" si="0"/>
        <v>2.39</v>
      </c>
      <c r="P15" s="112">
        <f>+O15</f>
        <v>2.39</v>
      </c>
    </row>
    <row r="16" spans="8:12" ht="12.75">
      <c r="H16" s="110"/>
      <c r="I16" s="110"/>
      <c r="J16" s="110"/>
      <c r="K16" s="110"/>
      <c r="L16" s="110"/>
    </row>
    <row r="17" spans="1:12" ht="12.75">
      <c r="A17" t="s">
        <v>53</v>
      </c>
      <c r="B17" s="10">
        <f aca="true" t="shared" si="1" ref="B17:H17">SUM(B10:B15)</f>
        <v>4258</v>
      </c>
      <c r="C17" s="10">
        <f t="shared" si="1"/>
        <v>64116058.988403656</v>
      </c>
      <c r="D17" s="10">
        <f t="shared" si="1"/>
        <v>62278.656579630966</v>
      </c>
      <c r="E17" s="10">
        <f t="shared" si="1"/>
        <v>2223812.0000000005</v>
      </c>
      <c r="F17" s="10">
        <f t="shared" si="1"/>
        <v>8890.006116696104</v>
      </c>
      <c r="G17" s="10">
        <f t="shared" si="1"/>
        <v>697765.2482097691</v>
      </c>
      <c r="H17" s="10">
        <f t="shared" si="1"/>
        <v>1534936.757906927</v>
      </c>
      <c r="I17" s="10"/>
      <c r="J17" s="10"/>
      <c r="K17" s="10"/>
      <c r="L17" s="10"/>
    </row>
    <row r="20" ht="12.75">
      <c r="A20" t="s">
        <v>147</v>
      </c>
    </row>
  </sheetData>
  <mergeCells count="8">
    <mergeCell ref="A1:P1"/>
    <mergeCell ref="A2:P2"/>
    <mergeCell ref="A3:P3"/>
    <mergeCell ref="E7:H7"/>
    <mergeCell ref="B6:D6"/>
    <mergeCell ref="E6:H6"/>
    <mergeCell ref="I7:P7"/>
    <mergeCell ref="I6:P6"/>
  </mergeCells>
  <printOptions/>
  <pageMargins left="0.75" right="0.75" top="1" bottom="1" header="0.5" footer="0.5"/>
  <pageSetup fitToHeight="1" fitToWidth="1" horizontalDpi="600" verticalDpi="600" orientation="landscape" scale="65"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sheetPr>
    <tabColor indexed="33"/>
    <pageSetUpPr fitToPage="1"/>
  </sheetPr>
  <dimension ref="A1:L177"/>
  <sheetViews>
    <sheetView showGridLines="0" workbookViewId="0" topLeftCell="A1">
      <selection activeCell="A4" sqref="A1:J27"/>
    </sheetView>
  </sheetViews>
  <sheetFormatPr defaultColWidth="9.140625" defaultRowHeight="12.75"/>
  <cols>
    <col min="1" max="1" width="31.7109375" style="0" customWidth="1"/>
    <col min="2" max="2" width="14.140625" style="0" customWidth="1"/>
    <col min="3" max="3" width="14.57421875" style="0" customWidth="1"/>
    <col min="4" max="4" width="15.8515625" style="0" customWidth="1"/>
    <col min="5" max="5" width="14.421875" style="0" customWidth="1"/>
    <col min="6" max="6" width="15.8515625" style="0" customWidth="1"/>
    <col min="7" max="7" width="16.28125" style="0" customWidth="1"/>
    <col min="8" max="8" width="14.8515625" style="0" customWidth="1"/>
    <col min="9" max="10" width="12.28125" style="0" customWidth="1"/>
  </cols>
  <sheetData>
    <row r="1" spans="1:10" ht="21" customHeight="1">
      <c r="A1" s="262" t="s">
        <v>241</v>
      </c>
      <c r="B1" s="262"/>
      <c r="C1" s="262"/>
      <c r="D1" s="262"/>
      <c r="E1" s="262"/>
      <c r="F1" s="262"/>
      <c r="G1" s="262"/>
      <c r="H1" s="262"/>
      <c r="I1" s="262"/>
      <c r="J1" s="262"/>
    </row>
    <row r="2" spans="1:10" ht="15.75">
      <c r="A2" s="262" t="s">
        <v>242</v>
      </c>
      <c r="B2" s="262"/>
      <c r="C2" s="262"/>
      <c r="D2" s="262"/>
      <c r="E2" s="262"/>
      <c r="F2" s="262"/>
      <c r="G2" s="262"/>
      <c r="H2" s="262"/>
      <c r="I2" s="262"/>
      <c r="J2" s="262"/>
    </row>
    <row r="3" spans="1:12" ht="15.75">
      <c r="A3" s="262" t="s">
        <v>135</v>
      </c>
      <c r="B3" s="262"/>
      <c r="C3" s="262"/>
      <c r="D3" s="262"/>
      <c r="E3" s="262"/>
      <c r="F3" s="262"/>
      <c r="G3" s="262"/>
      <c r="H3" s="262"/>
      <c r="I3" s="262"/>
      <c r="J3" s="262"/>
      <c r="K3" s="136"/>
      <c r="L3" s="136"/>
    </row>
    <row r="4" spans="1:12" ht="15.75">
      <c r="A4" s="262" t="s">
        <v>140</v>
      </c>
      <c r="B4" s="262"/>
      <c r="C4" s="262"/>
      <c r="D4" s="262"/>
      <c r="E4" s="262"/>
      <c r="F4" s="262"/>
      <c r="G4" s="262"/>
      <c r="H4" s="262"/>
      <c r="I4" s="262"/>
      <c r="J4" s="262"/>
      <c r="K4" s="136"/>
      <c r="L4" s="136"/>
    </row>
    <row r="5" spans="1:10" ht="18">
      <c r="A5" s="15" t="s">
        <v>0</v>
      </c>
      <c r="B5" s="13"/>
      <c r="C5" s="13"/>
      <c r="D5" s="13"/>
      <c r="E5" s="13"/>
      <c r="F5" s="13"/>
      <c r="G5" s="13"/>
      <c r="H5" s="13"/>
      <c r="I5" s="14"/>
      <c r="J5" s="13"/>
    </row>
    <row r="6" spans="1:10" ht="13.5" thickBot="1">
      <c r="A6" s="13"/>
      <c r="B6" s="13"/>
      <c r="C6" s="13"/>
      <c r="D6" s="13"/>
      <c r="E6" s="13"/>
      <c r="F6" s="13"/>
      <c r="G6" s="13"/>
      <c r="H6" s="13"/>
      <c r="I6" s="14"/>
      <c r="J6" s="13"/>
    </row>
    <row r="7" spans="1:10" ht="12.75">
      <c r="A7" s="290" t="s">
        <v>58</v>
      </c>
      <c r="B7" s="292">
        <v>1000</v>
      </c>
      <c r="C7" s="252" t="s">
        <v>59</v>
      </c>
      <c r="D7" s="292">
        <v>0</v>
      </c>
      <c r="E7" s="252" t="s">
        <v>60</v>
      </c>
      <c r="F7" s="254" t="s">
        <v>61</v>
      </c>
      <c r="G7" s="254"/>
      <c r="H7" s="247">
        <f>'Loss Factor'!C11</f>
        <v>1.0719</v>
      </c>
      <c r="I7" s="248"/>
      <c r="J7" s="13"/>
    </row>
    <row r="8" spans="1:10" ht="13.5" thickBot="1">
      <c r="A8" s="291"/>
      <c r="B8" s="293"/>
      <c r="C8" s="253"/>
      <c r="D8" s="293"/>
      <c r="E8" s="253"/>
      <c r="F8" s="255"/>
      <c r="G8" s="255"/>
      <c r="H8" s="285"/>
      <c r="I8" s="286"/>
      <c r="J8" s="13"/>
    </row>
    <row r="9" spans="1:10" ht="13.5" thickBot="1">
      <c r="A9" s="16"/>
      <c r="B9" s="13"/>
      <c r="C9" s="13"/>
      <c r="D9" s="13"/>
      <c r="E9" s="13"/>
      <c r="F9" s="13"/>
      <c r="G9" s="13"/>
      <c r="H9" s="13"/>
      <c r="I9" s="14"/>
      <c r="J9" s="13"/>
    </row>
    <row r="10" spans="1:10" ht="21" thickBot="1">
      <c r="A10" s="17"/>
      <c r="B10" s="287" t="s">
        <v>62</v>
      </c>
      <c r="C10" s="288"/>
      <c r="D10" s="289"/>
      <c r="E10" s="287" t="s">
        <v>87</v>
      </c>
      <c r="F10" s="288"/>
      <c r="G10" s="289"/>
      <c r="H10" s="287" t="s">
        <v>63</v>
      </c>
      <c r="I10" s="288"/>
      <c r="J10" s="289"/>
    </row>
    <row r="11" spans="1:10" ht="26.25" thickBot="1">
      <c r="A11" s="18"/>
      <c r="B11" s="19" t="s">
        <v>64</v>
      </c>
      <c r="C11" s="20" t="s">
        <v>65</v>
      </c>
      <c r="D11" s="21" t="s">
        <v>66</v>
      </c>
      <c r="E11" s="20" t="s">
        <v>64</v>
      </c>
      <c r="F11" s="20" t="s">
        <v>65</v>
      </c>
      <c r="G11" s="21" t="s">
        <v>66</v>
      </c>
      <c r="H11" s="22" t="s">
        <v>2</v>
      </c>
      <c r="I11" s="23" t="s">
        <v>52</v>
      </c>
      <c r="J11" s="24" t="s">
        <v>67</v>
      </c>
    </row>
    <row r="12" spans="1:10" ht="12.75">
      <c r="A12" s="25" t="s">
        <v>68</v>
      </c>
      <c r="B12" s="26">
        <v>600</v>
      </c>
      <c r="C12" s="27">
        <v>0.053</v>
      </c>
      <c r="D12" s="28">
        <f>+B12*C12</f>
        <v>31.8</v>
      </c>
      <c r="E12" s="26">
        <v>600</v>
      </c>
      <c r="F12" s="27">
        <v>0.053</v>
      </c>
      <c r="G12" s="28">
        <f>+E12*F12</f>
        <v>31.8</v>
      </c>
      <c r="H12" s="29">
        <f>+G12-D12</f>
        <v>0</v>
      </c>
      <c r="I12" s="30">
        <f aca="true" t="shared" si="0" ref="I12:I32">IF(ISERROR(H12/D12),0,H12/D12)</f>
        <v>0</v>
      </c>
      <c r="J12" s="31">
        <f>IF(ISERROR(G12/$G$32),0,G12/$G$32)</f>
        <v>0.26662884226310635</v>
      </c>
    </row>
    <row r="13" spans="1:10" ht="13.5" thickBot="1">
      <c r="A13" s="25" t="s">
        <v>69</v>
      </c>
      <c r="B13" s="32">
        <f>(B7*'Rate Schedules'!H119)-B12</f>
        <v>471.5</v>
      </c>
      <c r="C13" s="33">
        <v>0.062</v>
      </c>
      <c r="D13" s="34">
        <f>+B13*C13</f>
        <v>29.233</v>
      </c>
      <c r="E13" s="32">
        <f>+(B7*H7)-E12</f>
        <v>471.9000000000001</v>
      </c>
      <c r="F13" s="33">
        <v>0.062</v>
      </c>
      <c r="G13" s="35">
        <f>+E13*F13</f>
        <v>29.257800000000007</v>
      </c>
      <c r="H13" s="29">
        <f>+G13-D13</f>
        <v>0.02480000000000615</v>
      </c>
      <c r="I13" s="30">
        <f t="shared" si="0"/>
        <v>0.0008483563096502634</v>
      </c>
      <c r="J13" s="31">
        <f aca="true" t="shared" si="1" ref="J13:J32">IF(ISERROR(G13/$G$32),0,G13/$G$32)</f>
        <v>0.24531362708067658</v>
      </c>
    </row>
    <row r="14" spans="1:10" ht="13.5" thickBot="1">
      <c r="A14" s="37" t="s">
        <v>70</v>
      </c>
      <c r="B14" s="37"/>
      <c r="C14" s="37"/>
      <c r="D14" s="38">
        <f>SUM(D12:D13)</f>
        <v>61.033</v>
      </c>
      <c r="E14" s="38"/>
      <c r="F14" s="38"/>
      <c r="G14" s="38">
        <f>SUM(G12:G13)</f>
        <v>61.05780000000001</v>
      </c>
      <c r="H14" s="39">
        <f>SUM(H12:H13)</f>
        <v>0.02480000000000615</v>
      </c>
      <c r="I14" s="40">
        <f t="shared" si="0"/>
        <v>0.0004063375550932471</v>
      </c>
      <c r="J14" s="41">
        <f t="shared" si="1"/>
        <v>0.511942469343783</v>
      </c>
    </row>
    <row r="15" spans="1:10" ht="12.75">
      <c r="A15" s="42" t="s">
        <v>71</v>
      </c>
      <c r="B15" s="43">
        <v>1</v>
      </c>
      <c r="C15" s="44">
        <f>+'Rate Schedules'!H8</f>
        <v>16.32</v>
      </c>
      <c r="D15" s="45">
        <f aca="true" t="shared" si="2" ref="D15:D23">+B15*C15</f>
        <v>16.32</v>
      </c>
      <c r="E15" s="46">
        <v>1</v>
      </c>
      <c r="F15" s="44">
        <f>+'Rate Schedules'!J8</f>
        <v>22.830000000000002</v>
      </c>
      <c r="G15" s="45">
        <f aca="true" t="shared" si="3" ref="G15:G23">+E15*F15</f>
        <v>22.830000000000002</v>
      </c>
      <c r="H15" s="29">
        <f aca="true" t="shared" si="4" ref="H15:H23">+G15-D15</f>
        <v>6.510000000000002</v>
      </c>
      <c r="I15" s="30">
        <f t="shared" si="0"/>
        <v>0.3988970588235295</v>
      </c>
      <c r="J15" s="31">
        <f t="shared" si="1"/>
        <v>0.19141938581341883</v>
      </c>
    </row>
    <row r="16" spans="1:10" ht="12.75">
      <c r="A16" s="47" t="s">
        <v>72</v>
      </c>
      <c r="B16" s="32">
        <f>+B7</f>
        <v>1000</v>
      </c>
      <c r="C16" s="48">
        <f>+'Rate Schedules'!H10</f>
        <v>0.0073</v>
      </c>
      <c r="D16" s="49">
        <f t="shared" si="2"/>
        <v>7.3</v>
      </c>
      <c r="E16" s="32">
        <f>+B7</f>
        <v>1000</v>
      </c>
      <c r="F16" s="48">
        <f>+'Rate Schedules'!J10</f>
        <v>0.008499999999999999</v>
      </c>
      <c r="G16" s="49">
        <f t="shared" si="3"/>
        <v>8.499999999999998</v>
      </c>
      <c r="H16" s="29">
        <f t="shared" si="4"/>
        <v>1.1999999999999984</v>
      </c>
      <c r="I16" s="30">
        <f t="shared" si="0"/>
        <v>0.1643835616438354</v>
      </c>
      <c r="J16" s="31">
        <f t="shared" si="1"/>
        <v>0.07126871569925797</v>
      </c>
    </row>
    <row r="17" spans="1:10" ht="12.75">
      <c r="A17" s="47" t="s">
        <v>73</v>
      </c>
      <c r="B17" s="32">
        <f>+D7</f>
        <v>0</v>
      </c>
      <c r="C17" s="50">
        <v>0</v>
      </c>
      <c r="D17" s="49">
        <f t="shared" si="2"/>
        <v>0</v>
      </c>
      <c r="E17" s="51">
        <f>+D7</f>
        <v>0</v>
      </c>
      <c r="F17" s="50">
        <v>0</v>
      </c>
      <c r="G17" s="49">
        <f t="shared" si="3"/>
        <v>0</v>
      </c>
      <c r="H17" s="29">
        <f t="shared" si="4"/>
        <v>0</v>
      </c>
      <c r="I17" s="30">
        <f t="shared" si="0"/>
        <v>0</v>
      </c>
      <c r="J17" s="31">
        <f t="shared" si="1"/>
        <v>0</v>
      </c>
    </row>
    <row r="18" spans="1:10" ht="12.75">
      <c r="A18" s="25" t="s">
        <v>74</v>
      </c>
      <c r="B18" s="32">
        <f>+B7</f>
        <v>1000</v>
      </c>
      <c r="C18" s="50">
        <f>+'Rate Schedules'!H14</f>
        <v>0</v>
      </c>
      <c r="D18" s="49">
        <f t="shared" si="2"/>
        <v>0</v>
      </c>
      <c r="E18" s="32">
        <f>+B7</f>
        <v>1000</v>
      </c>
      <c r="F18" s="50">
        <f>+'Rate Schedules'!J14</f>
        <v>0.0002</v>
      </c>
      <c r="G18" s="49">
        <f t="shared" si="3"/>
        <v>0.2</v>
      </c>
      <c r="H18" s="29">
        <f t="shared" si="4"/>
        <v>0.2</v>
      </c>
      <c r="I18" s="30">
        <f t="shared" si="0"/>
        <v>0</v>
      </c>
      <c r="J18" s="31">
        <f t="shared" si="1"/>
        <v>0.0016769109576295997</v>
      </c>
    </row>
    <row r="19" spans="1:10" ht="12.75">
      <c r="A19" s="25" t="s">
        <v>75</v>
      </c>
      <c r="B19" s="52">
        <f>+B7</f>
        <v>1000</v>
      </c>
      <c r="C19" s="53">
        <v>0</v>
      </c>
      <c r="D19" s="49">
        <f t="shared" si="2"/>
        <v>0</v>
      </c>
      <c r="E19" s="52">
        <f>+B7</f>
        <v>1000</v>
      </c>
      <c r="F19" s="53">
        <v>0</v>
      </c>
      <c r="G19" s="54">
        <f t="shared" si="3"/>
        <v>0</v>
      </c>
      <c r="H19" s="29">
        <f t="shared" si="4"/>
        <v>0</v>
      </c>
      <c r="I19" s="30">
        <f t="shared" si="0"/>
        <v>0</v>
      </c>
      <c r="J19" s="31">
        <f t="shared" si="1"/>
        <v>0</v>
      </c>
    </row>
    <row r="20" spans="1:10" ht="25.5">
      <c r="A20" s="25" t="s">
        <v>88</v>
      </c>
      <c r="B20" s="55">
        <v>1</v>
      </c>
      <c r="C20" s="56">
        <f>+'Rate Schedules'!H9</f>
        <v>0</v>
      </c>
      <c r="D20" s="57">
        <f t="shared" si="2"/>
        <v>0</v>
      </c>
      <c r="E20" s="55">
        <v>1</v>
      </c>
      <c r="F20" s="58">
        <f>+'Rate Schedules'!J9</f>
        <v>0</v>
      </c>
      <c r="G20" s="49">
        <f t="shared" si="3"/>
        <v>0</v>
      </c>
      <c r="H20" s="29">
        <f t="shared" si="4"/>
        <v>0</v>
      </c>
      <c r="I20" s="30">
        <f t="shared" si="0"/>
        <v>0</v>
      </c>
      <c r="J20" s="31">
        <f t="shared" si="1"/>
        <v>0</v>
      </c>
    </row>
    <row r="21" spans="1:10" ht="25.5">
      <c r="A21" s="25" t="s">
        <v>89</v>
      </c>
      <c r="B21" s="32">
        <f>+B7</f>
        <v>1000</v>
      </c>
      <c r="C21" s="59">
        <f>+'Rate Schedules'!H11</f>
        <v>0</v>
      </c>
      <c r="D21" s="57">
        <f t="shared" si="2"/>
        <v>0</v>
      </c>
      <c r="E21" s="52">
        <f>+B7</f>
        <v>1000</v>
      </c>
      <c r="F21" s="50">
        <f>+'Rate Schedules'!J11</f>
        <v>0</v>
      </c>
      <c r="G21" s="49">
        <f t="shared" si="3"/>
        <v>0</v>
      </c>
      <c r="H21" s="29">
        <f t="shared" si="4"/>
        <v>0</v>
      </c>
      <c r="I21" s="30">
        <f t="shared" si="0"/>
        <v>0</v>
      </c>
      <c r="J21" s="31">
        <f t="shared" si="1"/>
        <v>0</v>
      </c>
    </row>
    <row r="22" spans="1:10" ht="25.5">
      <c r="A22" s="25" t="s">
        <v>8</v>
      </c>
      <c r="B22" s="32">
        <f>+B7*'Rate Schedules'!H119</f>
        <v>1071.5</v>
      </c>
      <c r="C22" s="50">
        <f>+'Rate Schedules'!H15</f>
        <v>0.0043</v>
      </c>
      <c r="D22" s="49">
        <f t="shared" si="2"/>
        <v>4.60745</v>
      </c>
      <c r="E22" s="32">
        <f>+B7*H7</f>
        <v>1071.9</v>
      </c>
      <c r="F22" s="50">
        <f>+'Rate Schedules'!J15</f>
        <v>0.0043</v>
      </c>
      <c r="G22" s="49">
        <f t="shared" si="3"/>
        <v>4.609170000000001</v>
      </c>
      <c r="H22" s="29">
        <f t="shared" si="4"/>
        <v>0.00172000000000061</v>
      </c>
      <c r="I22" s="30">
        <f t="shared" si="0"/>
        <v>0.00037330844610372545</v>
      </c>
      <c r="J22" s="31">
        <f t="shared" si="1"/>
        <v>0.03864583839288812</v>
      </c>
    </row>
    <row r="23" spans="1:10" ht="39" thickBot="1">
      <c r="A23" s="25" t="s">
        <v>9</v>
      </c>
      <c r="B23" s="32">
        <f>+B7*'Rate Schedules'!H119</f>
        <v>1071.5</v>
      </c>
      <c r="C23" s="50">
        <f>+'Rate Schedules'!H16</f>
        <v>0.0041</v>
      </c>
      <c r="D23" s="49">
        <f t="shared" si="2"/>
        <v>4.39315</v>
      </c>
      <c r="E23" s="32">
        <f>+B7*H7</f>
        <v>1071.9</v>
      </c>
      <c r="F23" s="50">
        <f>+'Rate Schedules'!J16</f>
        <v>0.0041</v>
      </c>
      <c r="G23" s="49">
        <f t="shared" si="3"/>
        <v>4.39479</v>
      </c>
      <c r="H23" s="29">
        <f t="shared" si="4"/>
        <v>0.0016400000000000858</v>
      </c>
      <c r="I23" s="30">
        <f t="shared" si="0"/>
        <v>0.0003733084461036126</v>
      </c>
      <c r="J23" s="31">
        <f t="shared" si="1"/>
        <v>0.036848357537404945</v>
      </c>
    </row>
    <row r="24" spans="1:10" ht="13.5" thickBot="1">
      <c r="A24" s="37" t="s">
        <v>76</v>
      </c>
      <c r="B24" s="37"/>
      <c r="C24" s="37"/>
      <c r="D24" s="38">
        <f>SUM(D15:D23)</f>
        <v>32.6206</v>
      </c>
      <c r="E24" s="38"/>
      <c r="F24" s="38"/>
      <c r="G24" s="38">
        <f>SUM(G15:G23)</f>
        <v>40.53396</v>
      </c>
      <c r="H24" s="39">
        <f>SUM(H15:H23)</f>
        <v>7.913360000000001</v>
      </c>
      <c r="I24" s="40">
        <f t="shared" si="0"/>
        <v>0.24258781260921014</v>
      </c>
      <c r="J24" s="41">
        <f t="shared" si="1"/>
        <v>0.33985920840059947</v>
      </c>
    </row>
    <row r="25" spans="1:10" ht="13.5" thickBot="1">
      <c r="A25" s="60" t="s">
        <v>12</v>
      </c>
      <c r="B25" s="32">
        <f>+B7*'Rate Schedules'!H119</f>
        <v>1071.5</v>
      </c>
      <c r="C25" s="62">
        <f>+'Rate Schedules'!H21</f>
        <v>0.0052</v>
      </c>
      <c r="D25" s="63">
        <f>+B25*C25</f>
        <v>5.5718</v>
      </c>
      <c r="E25" s="61">
        <f>+B7*H7</f>
        <v>1071.9</v>
      </c>
      <c r="F25" s="50">
        <f>+'Rate Schedules'!J21</f>
        <v>0.0052</v>
      </c>
      <c r="G25" s="63">
        <f>+E25*F25</f>
        <v>5.57388</v>
      </c>
      <c r="H25" s="64">
        <f>+G25-D25</f>
        <v>0.002080000000000304</v>
      </c>
      <c r="I25" s="30">
        <f t="shared" si="0"/>
        <v>0.00037330844610364766</v>
      </c>
      <c r="J25" s="31">
        <f t="shared" si="1"/>
        <v>0.04673450224256236</v>
      </c>
    </row>
    <row r="26" spans="1:10" ht="13.5" thickBot="1">
      <c r="A26" s="65" t="s">
        <v>13</v>
      </c>
      <c r="B26" s="32">
        <f>+B7*'Rate Schedules'!H119</f>
        <v>1071.5</v>
      </c>
      <c r="C26" s="27">
        <f>+'Rate Schedules'!H22</f>
        <v>0.001</v>
      </c>
      <c r="D26" s="34">
        <f>+B26*C26</f>
        <v>1.0715000000000001</v>
      </c>
      <c r="E26" s="61">
        <f>+B7*H7</f>
        <v>1071.9</v>
      </c>
      <c r="F26" s="50">
        <f>+'Rate Schedules'!J22</f>
        <v>0.001</v>
      </c>
      <c r="G26" s="49">
        <f>+E26*F26</f>
        <v>1.0719</v>
      </c>
      <c r="H26" s="29">
        <f>+G26-D26</f>
        <v>0.00039999999999995595</v>
      </c>
      <c r="I26" s="30">
        <f t="shared" si="0"/>
        <v>0.0003733084461035519</v>
      </c>
      <c r="J26" s="31">
        <f t="shared" si="1"/>
        <v>0.008987404277415841</v>
      </c>
    </row>
    <row r="27" spans="1:10" ht="26.25" thickBot="1">
      <c r="A27" s="25" t="s">
        <v>77</v>
      </c>
      <c r="B27" s="43">
        <v>1</v>
      </c>
      <c r="C27" s="66">
        <f>+'Rate Schedules'!H23</f>
        <v>0.25</v>
      </c>
      <c r="D27" s="49">
        <f>+B27*C27</f>
        <v>0.25</v>
      </c>
      <c r="E27" s="43">
        <v>1</v>
      </c>
      <c r="F27" s="66">
        <f>+'Rate Schedules'!J23</f>
        <v>0.25</v>
      </c>
      <c r="G27" s="45">
        <f>+E27*F27</f>
        <v>0.25</v>
      </c>
      <c r="H27" s="29">
        <f>+G27-D27</f>
        <v>0</v>
      </c>
      <c r="I27" s="30">
        <f t="shared" si="0"/>
        <v>0</v>
      </c>
      <c r="J27" s="31">
        <f t="shared" si="1"/>
        <v>0.0020961386970369997</v>
      </c>
    </row>
    <row r="28" spans="1:10" ht="13.5" thickBot="1">
      <c r="A28" s="37" t="s">
        <v>78</v>
      </c>
      <c r="B28" s="37"/>
      <c r="C28" s="37"/>
      <c r="D28" s="38">
        <f>SUM(D25:D27)</f>
        <v>6.8933</v>
      </c>
      <c r="E28" s="38"/>
      <c r="F28" s="38"/>
      <c r="G28" s="38">
        <f>SUM(G25:G27)</f>
        <v>6.89578</v>
      </c>
      <c r="H28" s="39">
        <f>SUM(H25:H27)</f>
        <v>0.0024800000000002598</v>
      </c>
      <c r="I28" s="40">
        <f t="shared" si="0"/>
        <v>0.00035976963138123393</v>
      </c>
      <c r="J28" s="41">
        <f t="shared" si="1"/>
        <v>0.05781804521701521</v>
      </c>
    </row>
    <row r="29" spans="1:10" ht="13.5" thickBot="1">
      <c r="A29" s="37" t="s">
        <v>79</v>
      </c>
      <c r="B29" s="32">
        <f>+B7</f>
        <v>1000</v>
      </c>
      <c r="C29" s="67">
        <v>0.0051</v>
      </c>
      <c r="D29" s="38">
        <f>+B29*C29</f>
        <v>5.1000000000000005</v>
      </c>
      <c r="E29" s="32">
        <f>+B7</f>
        <v>1000</v>
      </c>
      <c r="F29" s="67">
        <v>0.0051</v>
      </c>
      <c r="G29" s="38">
        <f>+E29*F29</f>
        <v>5.1000000000000005</v>
      </c>
      <c r="H29" s="39">
        <f>+G29-D29</f>
        <v>0</v>
      </c>
      <c r="I29" s="40">
        <f t="shared" si="0"/>
        <v>0</v>
      </c>
      <c r="J29" s="40">
        <f t="shared" si="1"/>
        <v>0.0427612294195548</v>
      </c>
    </row>
    <row r="30" spans="1:10" ht="13.5" thickBot="1">
      <c r="A30" s="37" t="s">
        <v>80</v>
      </c>
      <c r="B30" s="37"/>
      <c r="C30" s="37"/>
      <c r="D30" s="68">
        <f>+D14+D24+D28+D29</f>
        <v>105.6469</v>
      </c>
      <c r="E30" s="38"/>
      <c r="F30" s="38"/>
      <c r="G30" s="68">
        <f>+G14+G24+G28+G29</f>
        <v>113.58754</v>
      </c>
      <c r="H30" s="39">
        <f>+H14+H24+H28+H29</f>
        <v>7.940640000000007</v>
      </c>
      <c r="I30" s="40">
        <f t="shared" si="0"/>
        <v>0.07516207290512081</v>
      </c>
      <c r="J30" s="41">
        <f t="shared" si="1"/>
        <v>0.9523809523809523</v>
      </c>
    </row>
    <row r="31" spans="1:10" ht="13.5" thickBot="1">
      <c r="A31" s="37" t="s">
        <v>81</v>
      </c>
      <c r="B31" s="69">
        <f>+D30</f>
        <v>105.6469</v>
      </c>
      <c r="C31" s="102">
        <v>0.05</v>
      </c>
      <c r="D31" s="38">
        <f>+B31*C31</f>
        <v>5.282345</v>
      </c>
      <c r="E31" s="69">
        <f>+G30</f>
        <v>113.58754</v>
      </c>
      <c r="F31" s="102">
        <v>0.05</v>
      </c>
      <c r="G31" s="38">
        <f>+E31*F31</f>
        <v>5.679377000000001</v>
      </c>
      <c r="H31" s="39">
        <f>+G31-D31</f>
        <v>0.3970320000000003</v>
      </c>
      <c r="I31" s="40">
        <f t="shared" si="0"/>
        <v>0.07516207290512078</v>
      </c>
      <c r="J31" s="41">
        <f t="shared" si="1"/>
        <v>0.04761904761904762</v>
      </c>
    </row>
    <row r="32" spans="1:10" ht="15.75" thickBot="1">
      <c r="A32" s="250" t="s">
        <v>82</v>
      </c>
      <c r="B32" s="251"/>
      <c r="C32" s="251"/>
      <c r="D32" s="70">
        <f>SUM(D30:D31)</f>
        <v>110.92924500000001</v>
      </c>
      <c r="E32" s="38"/>
      <c r="F32" s="38"/>
      <c r="G32" s="70">
        <f>SUM(G30:G31)</f>
        <v>119.266917</v>
      </c>
      <c r="H32" s="39">
        <f>SUM(H30:H31)</f>
        <v>8.337672000000008</v>
      </c>
      <c r="I32" s="40">
        <f t="shared" si="0"/>
        <v>0.07516207290512081</v>
      </c>
      <c r="J32" s="41">
        <f t="shared" si="1"/>
        <v>1</v>
      </c>
    </row>
    <row r="33" spans="1:10" ht="12.75">
      <c r="A33" s="13"/>
      <c r="B33" s="13"/>
      <c r="C33" s="13"/>
      <c r="D33" s="13"/>
      <c r="E33" s="13"/>
      <c r="F33" s="13"/>
      <c r="G33" s="13"/>
      <c r="H33" s="13"/>
      <c r="I33" s="14"/>
      <c r="J33" s="13"/>
    </row>
    <row r="34" spans="1:10" ht="18">
      <c r="A34" s="15" t="s">
        <v>15</v>
      </c>
      <c r="B34" s="13"/>
      <c r="C34" s="13"/>
      <c r="D34" s="13"/>
      <c r="E34" s="13"/>
      <c r="F34" s="13"/>
      <c r="G34" s="13"/>
      <c r="H34" s="13"/>
      <c r="I34" s="14"/>
      <c r="J34" s="13"/>
    </row>
    <row r="35" spans="1:10" ht="13.5" thickBot="1">
      <c r="A35" s="13"/>
      <c r="B35" s="13"/>
      <c r="C35" s="13"/>
      <c r="D35" s="13"/>
      <c r="E35" s="13"/>
      <c r="F35" s="13"/>
      <c r="G35" s="13"/>
      <c r="H35" s="13"/>
      <c r="I35" s="14"/>
      <c r="J35" s="13"/>
    </row>
    <row r="36" spans="1:10" ht="12.75">
      <c r="A36" s="290" t="s">
        <v>58</v>
      </c>
      <c r="B36" s="292">
        <v>2000</v>
      </c>
      <c r="C36" s="252" t="s">
        <v>59</v>
      </c>
      <c r="D36" s="292">
        <v>0</v>
      </c>
      <c r="E36" s="252" t="s">
        <v>60</v>
      </c>
      <c r="F36" s="254" t="s">
        <v>61</v>
      </c>
      <c r="G36" s="254"/>
      <c r="H36" s="247">
        <f>H7</f>
        <v>1.0719</v>
      </c>
      <c r="I36" s="248"/>
      <c r="J36" s="13"/>
    </row>
    <row r="37" spans="1:10" ht="13.5" thickBot="1">
      <c r="A37" s="291"/>
      <c r="B37" s="293"/>
      <c r="C37" s="253"/>
      <c r="D37" s="293"/>
      <c r="E37" s="253"/>
      <c r="F37" s="255"/>
      <c r="G37" s="255"/>
      <c r="H37" s="285"/>
      <c r="I37" s="286"/>
      <c r="J37" s="13"/>
    </row>
    <row r="38" spans="1:10" ht="13.5" thickBot="1">
      <c r="A38" s="16"/>
      <c r="B38" s="13"/>
      <c r="C38" s="13"/>
      <c r="D38" s="13"/>
      <c r="E38" s="13"/>
      <c r="F38" s="13"/>
      <c r="G38" s="13"/>
      <c r="H38" s="13"/>
      <c r="I38" s="14"/>
      <c r="J38" s="13"/>
    </row>
    <row r="39" spans="1:10" ht="21" thickBot="1">
      <c r="A39" s="17"/>
      <c r="B39" s="287" t="s">
        <v>62</v>
      </c>
      <c r="C39" s="288"/>
      <c r="D39" s="289"/>
      <c r="E39" s="287" t="s">
        <v>87</v>
      </c>
      <c r="F39" s="288"/>
      <c r="G39" s="289"/>
      <c r="H39" s="287" t="s">
        <v>63</v>
      </c>
      <c r="I39" s="288"/>
      <c r="J39" s="289"/>
    </row>
    <row r="40" spans="1:10" ht="26.25" thickBot="1">
      <c r="A40" s="18"/>
      <c r="B40" s="19" t="s">
        <v>64</v>
      </c>
      <c r="C40" s="20" t="s">
        <v>65</v>
      </c>
      <c r="D40" s="21" t="s">
        <v>66</v>
      </c>
      <c r="E40" s="20" t="s">
        <v>64</v>
      </c>
      <c r="F40" s="20" t="s">
        <v>65</v>
      </c>
      <c r="G40" s="21" t="s">
        <v>66</v>
      </c>
      <c r="H40" s="22" t="s">
        <v>2</v>
      </c>
      <c r="I40" s="23" t="s">
        <v>52</v>
      </c>
      <c r="J40" s="24" t="s">
        <v>67</v>
      </c>
    </row>
    <row r="41" spans="1:10" ht="12.75">
      <c r="A41" s="25" t="s">
        <v>68</v>
      </c>
      <c r="B41" s="26">
        <v>750</v>
      </c>
      <c r="C41" s="27">
        <v>0.053</v>
      </c>
      <c r="D41" s="28">
        <f>+B41*C41</f>
        <v>39.75</v>
      </c>
      <c r="E41" s="26">
        <v>750</v>
      </c>
      <c r="F41" s="27">
        <v>0.053</v>
      </c>
      <c r="G41" s="28">
        <f>+E41*F41</f>
        <v>39.75</v>
      </c>
      <c r="H41" s="29">
        <f>+G41-D41</f>
        <v>0</v>
      </c>
      <c r="I41" s="30">
        <f aca="true" t="shared" si="5" ref="I41:I61">IF(ISERROR(H41/D41),0,H41/D41)</f>
        <v>0</v>
      </c>
      <c r="J41" s="31">
        <f>IF(ISERROR(G41/$G$61),0,G41/$G$61)</f>
        <v>0.14848265185847498</v>
      </c>
    </row>
    <row r="42" spans="1:10" ht="13.5" thickBot="1">
      <c r="A42" s="25" t="s">
        <v>69</v>
      </c>
      <c r="B42" s="32">
        <f>(B36*'Rate Schedules'!H119)-B41</f>
        <v>1393</v>
      </c>
      <c r="C42" s="33">
        <v>0.062</v>
      </c>
      <c r="D42" s="34">
        <f>+B42*C42</f>
        <v>86.366</v>
      </c>
      <c r="E42" s="32">
        <f>(B36*H36)-E41</f>
        <v>1393.8000000000002</v>
      </c>
      <c r="F42" s="33">
        <v>0.062</v>
      </c>
      <c r="G42" s="35">
        <f>+E42*F42</f>
        <v>86.41560000000001</v>
      </c>
      <c r="H42" s="29">
        <f>+G42-D42</f>
        <v>0.0496000000000123</v>
      </c>
      <c r="I42" s="36">
        <f t="shared" si="5"/>
        <v>0.0005743000717876514</v>
      </c>
      <c r="J42" s="31">
        <f aca="true" t="shared" si="6" ref="J42:J61">IF(ISERROR(G42/$G$61),0,G42/$G$61)</f>
        <v>0.3227979232689618</v>
      </c>
    </row>
    <row r="43" spans="1:10" ht="13.5" thickBot="1">
      <c r="A43" s="37" t="s">
        <v>70</v>
      </c>
      <c r="B43" s="37"/>
      <c r="C43" s="37"/>
      <c r="D43" s="38">
        <f>SUM(D41:D42)</f>
        <v>126.116</v>
      </c>
      <c r="E43" s="38"/>
      <c r="F43" s="38"/>
      <c r="G43" s="38">
        <f>SUM(G41:G42)</f>
        <v>126.16560000000001</v>
      </c>
      <c r="H43" s="39">
        <f>SUM(H41:H42)</f>
        <v>0.0496000000000123</v>
      </c>
      <c r="I43" s="40">
        <f t="shared" si="5"/>
        <v>0.00039328871832291145</v>
      </c>
      <c r="J43" s="41">
        <f t="shared" si="6"/>
        <v>0.47128057512743676</v>
      </c>
    </row>
    <row r="44" spans="1:10" ht="12.75">
      <c r="A44" s="42" t="s">
        <v>71</v>
      </c>
      <c r="B44" s="43">
        <v>1</v>
      </c>
      <c r="C44" s="44">
        <f>+'Rate Schedules'!H26</f>
        <v>32.87</v>
      </c>
      <c r="D44" s="45">
        <f aca="true" t="shared" si="7" ref="D44:D52">+B44*C44</f>
        <v>32.87</v>
      </c>
      <c r="E44" s="46">
        <v>1</v>
      </c>
      <c r="F44" s="44">
        <f>+'Rate Schedules'!J26</f>
        <v>43.96</v>
      </c>
      <c r="G44" s="45">
        <f aca="true" t="shared" si="8" ref="G44:G52">+E44*F44</f>
        <v>43.96</v>
      </c>
      <c r="H44" s="29">
        <f aca="true" t="shared" si="9" ref="H44:H52">+G44-D44</f>
        <v>11.090000000000003</v>
      </c>
      <c r="I44" s="30">
        <f t="shared" si="5"/>
        <v>0.3373897170672347</v>
      </c>
      <c r="J44" s="31">
        <f t="shared" si="6"/>
        <v>0.16420873901128452</v>
      </c>
    </row>
    <row r="45" spans="1:10" ht="12.75">
      <c r="A45" s="47" t="s">
        <v>72</v>
      </c>
      <c r="B45" s="32">
        <f>+B36</f>
        <v>2000</v>
      </c>
      <c r="C45" s="48">
        <f>+'Rate Schedules'!H28</f>
        <v>0.0154</v>
      </c>
      <c r="D45" s="49">
        <f t="shared" si="7"/>
        <v>30.8</v>
      </c>
      <c r="E45" s="32">
        <f>+B36</f>
        <v>2000</v>
      </c>
      <c r="F45" s="48">
        <f>+'Rate Schedules'!J28</f>
        <v>0.0222</v>
      </c>
      <c r="G45" s="49">
        <f t="shared" si="8"/>
        <v>44.4</v>
      </c>
      <c r="H45" s="29">
        <f t="shared" si="9"/>
        <v>13.599999999999998</v>
      </c>
      <c r="I45" s="30">
        <f t="shared" si="5"/>
        <v>0.4415584415584415</v>
      </c>
      <c r="J45" s="31">
        <f t="shared" si="6"/>
        <v>0.1658523205664475</v>
      </c>
    </row>
    <row r="46" spans="1:10" ht="12.75">
      <c r="A46" s="47" t="s">
        <v>73</v>
      </c>
      <c r="B46" s="32">
        <f>+D36</f>
        <v>0</v>
      </c>
      <c r="C46" s="50">
        <v>0</v>
      </c>
      <c r="D46" s="49">
        <f t="shared" si="7"/>
        <v>0</v>
      </c>
      <c r="E46" s="51">
        <f>+B36</f>
        <v>2000</v>
      </c>
      <c r="F46" s="50">
        <v>0</v>
      </c>
      <c r="G46" s="49">
        <f t="shared" si="8"/>
        <v>0</v>
      </c>
      <c r="H46" s="29">
        <f t="shared" si="9"/>
        <v>0</v>
      </c>
      <c r="I46" s="30">
        <f t="shared" si="5"/>
        <v>0</v>
      </c>
      <c r="J46" s="31">
        <f t="shared" si="6"/>
        <v>0</v>
      </c>
    </row>
    <row r="47" spans="1:10" ht="12.75">
      <c r="A47" s="25" t="s">
        <v>74</v>
      </c>
      <c r="B47" s="32">
        <f>+B36</f>
        <v>2000</v>
      </c>
      <c r="C47" s="50">
        <f>+'Rate Schedules'!H32</f>
        <v>0</v>
      </c>
      <c r="D47" s="49">
        <f t="shared" si="7"/>
        <v>0</v>
      </c>
      <c r="E47" s="32">
        <f>+B36</f>
        <v>2000</v>
      </c>
      <c r="F47" s="50">
        <f>+'Rate Schedules'!J32</f>
        <v>0.0002</v>
      </c>
      <c r="G47" s="49">
        <f t="shared" si="8"/>
        <v>0.4</v>
      </c>
      <c r="H47" s="29">
        <f t="shared" si="9"/>
        <v>0.4</v>
      </c>
      <c r="I47" s="30">
        <f t="shared" si="5"/>
        <v>0</v>
      </c>
      <c r="J47" s="31">
        <f t="shared" si="6"/>
        <v>0.001494165050148176</v>
      </c>
    </row>
    <row r="48" spans="1:10" ht="12.75">
      <c r="A48" s="25" t="s">
        <v>75</v>
      </c>
      <c r="B48" s="52">
        <f>+B36</f>
        <v>2000</v>
      </c>
      <c r="C48" s="53">
        <v>0</v>
      </c>
      <c r="D48" s="49">
        <f t="shared" si="7"/>
        <v>0</v>
      </c>
      <c r="E48" s="52">
        <f>+B36</f>
        <v>2000</v>
      </c>
      <c r="F48" s="53">
        <v>0</v>
      </c>
      <c r="G48" s="54">
        <f t="shared" si="8"/>
        <v>0</v>
      </c>
      <c r="H48" s="29">
        <f t="shared" si="9"/>
        <v>0</v>
      </c>
      <c r="I48" s="30">
        <f t="shared" si="5"/>
        <v>0</v>
      </c>
      <c r="J48" s="31">
        <f t="shared" si="6"/>
        <v>0</v>
      </c>
    </row>
    <row r="49" spans="1:10" ht="25.5">
      <c r="A49" s="25" t="s">
        <v>88</v>
      </c>
      <c r="B49" s="55">
        <v>1</v>
      </c>
      <c r="C49" s="56">
        <f>+'Rate Schedules'!H27</f>
        <v>0</v>
      </c>
      <c r="D49" s="57">
        <f t="shared" si="7"/>
        <v>0</v>
      </c>
      <c r="E49" s="55">
        <v>1</v>
      </c>
      <c r="F49" s="58">
        <f>+'Rate Schedules'!J27</f>
        <v>0</v>
      </c>
      <c r="G49" s="49">
        <f t="shared" si="8"/>
        <v>0</v>
      </c>
      <c r="H49" s="29">
        <f t="shared" si="9"/>
        <v>0</v>
      </c>
      <c r="I49" s="30">
        <f t="shared" si="5"/>
        <v>0</v>
      </c>
      <c r="J49" s="31">
        <f t="shared" si="6"/>
        <v>0</v>
      </c>
    </row>
    <row r="50" spans="1:10" ht="25.5">
      <c r="A50" s="25" t="s">
        <v>89</v>
      </c>
      <c r="B50" s="32">
        <f>+B36</f>
        <v>2000</v>
      </c>
      <c r="C50" s="59">
        <f>+'Rate Schedules'!H29</f>
        <v>0</v>
      </c>
      <c r="D50" s="57">
        <f t="shared" si="7"/>
        <v>0</v>
      </c>
      <c r="E50" s="52">
        <f>+B36</f>
        <v>2000</v>
      </c>
      <c r="F50" s="50">
        <f>+'Rate Schedules'!J29</f>
        <v>0</v>
      </c>
      <c r="G50" s="49">
        <f t="shared" si="8"/>
        <v>0</v>
      </c>
      <c r="H50" s="29">
        <f t="shared" si="9"/>
        <v>0</v>
      </c>
      <c r="I50" s="30">
        <f t="shared" si="5"/>
        <v>0</v>
      </c>
      <c r="J50" s="31">
        <f t="shared" si="6"/>
        <v>0</v>
      </c>
    </row>
    <row r="51" spans="1:10" ht="25.5">
      <c r="A51" s="25" t="s">
        <v>8</v>
      </c>
      <c r="B51" s="32">
        <f>+B36*'Rate Schedules'!H119</f>
        <v>2143</v>
      </c>
      <c r="C51" s="50">
        <f>+'Rate Schedules'!H33</f>
        <v>0.0039</v>
      </c>
      <c r="D51" s="49">
        <f t="shared" si="7"/>
        <v>8.3577</v>
      </c>
      <c r="E51" s="32">
        <f>+B36*H36</f>
        <v>2143.8</v>
      </c>
      <c r="F51" s="50">
        <f>+'Rate Schedules'!J33</f>
        <v>0.0039</v>
      </c>
      <c r="G51" s="49">
        <f t="shared" si="8"/>
        <v>8.36082</v>
      </c>
      <c r="H51" s="29">
        <f t="shared" si="9"/>
        <v>0.0031200000000009</v>
      </c>
      <c r="I51" s="30">
        <f t="shared" si="5"/>
        <v>0.0003733084461037008</v>
      </c>
      <c r="J51" s="31">
        <f t="shared" si="6"/>
        <v>0.03123111258644968</v>
      </c>
    </row>
    <row r="52" spans="1:10" ht="39" thickBot="1">
      <c r="A52" s="25" t="s">
        <v>9</v>
      </c>
      <c r="B52" s="32">
        <f>+B36*'Rate Schedules'!H119</f>
        <v>2143</v>
      </c>
      <c r="C52" s="50">
        <f>+'Rate Schedules'!H34</f>
        <v>0.0037</v>
      </c>
      <c r="D52" s="49">
        <f t="shared" si="7"/>
        <v>7.9291</v>
      </c>
      <c r="E52" s="32">
        <f>+B36*H36</f>
        <v>2143.8</v>
      </c>
      <c r="F52" s="50">
        <f>+'Rate Schedules'!J34</f>
        <v>0.0037</v>
      </c>
      <c r="G52" s="49">
        <f t="shared" si="8"/>
        <v>7.932060000000001</v>
      </c>
      <c r="H52" s="29">
        <f t="shared" si="9"/>
        <v>0.00296000000000074</v>
      </c>
      <c r="I52" s="30">
        <f t="shared" si="5"/>
        <v>0.0003733084461036864</v>
      </c>
      <c r="J52" s="31">
        <f t="shared" si="6"/>
        <v>0.02962951706919585</v>
      </c>
    </row>
    <row r="53" spans="1:10" ht="13.5" thickBot="1">
      <c r="A53" s="37" t="s">
        <v>76</v>
      </c>
      <c r="B53" s="37"/>
      <c r="C53" s="37"/>
      <c r="D53" s="38">
        <f>SUM(D44:D52)</f>
        <v>79.9568</v>
      </c>
      <c r="E53" s="38"/>
      <c r="F53" s="38"/>
      <c r="G53" s="38">
        <f>SUM(G44:G52)</f>
        <v>105.05288000000002</v>
      </c>
      <c r="H53" s="39">
        <f>SUM(H44:H52)</f>
        <v>25.09608</v>
      </c>
      <c r="I53" s="40">
        <f t="shared" si="5"/>
        <v>0.3138704900646349</v>
      </c>
      <c r="J53" s="41">
        <f t="shared" si="6"/>
        <v>0.39241585428352577</v>
      </c>
    </row>
    <row r="54" spans="1:10" ht="13.5" thickBot="1">
      <c r="A54" s="60" t="s">
        <v>12</v>
      </c>
      <c r="B54" s="32">
        <f>+B36*'Rate Schedules'!H119</f>
        <v>2143</v>
      </c>
      <c r="C54" s="62">
        <f>+'Rate Schedules'!H39</f>
        <v>0.0052</v>
      </c>
      <c r="D54" s="63">
        <f>+B54*C54</f>
        <v>11.1436</v>
      </c>
      <c r="E54" s="61">
        <f>+B36*H36</f>
        <v>2143.8</v>
      </c>
      <c r="F54" s="50">
        <f>+'Rate Schedules'!J39</f>
        <v>0.0052</v>
      </c>
      <c r="G54" s="63">
        <f>+E54*F54</f>
        <v>11.14776</v>
      </c>
      <c r="H54" s="64">
        <f>+G54-D54</f>
        <v>0.004160000000000608</v>
      </c>
      <c r="I54" s="30">
        <f t="shared" si="5"/>
        <v>0.00037330844610364766</v>
      </c>
      <c r="J54" s="31">
        <f t="shared" si="6"/>
        <v>0.04164148344859957</v>
      </c>
    </row>
    <row r="55" spans="1:10" ht="13.5" thickBot="1">
      <c r="A55" s="65" t="s">
        <v>13</v>
      </c>
      <c r="B55" s="32">
        <f>+B36*'Rate Schedules'!H119</f>
        <v>2143</v>
      </c>
      <c r="C55" s="27">
        <f>+'Rate Schedules'!H40</f>
        <v>0.001</v>
      </c>
      <c r="D55" s="34">
        <f>+B55*C55</f>
        <v>2.1430000000000002</v>
      </c>
      <c r="E55" s="61">
        <f>+B36*H36</f>
        <v>2143.8</v>
      </c>
      <c r="F55" s="50">
        <f>+'Rate Schedules'!J40</f>
        <v>0.001</v>
      </c>
      <c r="G55" s="49">
        <f>+E55*F55</f>
        <v>2.1438</v>
      </c>
      <c r="H55" s="29">
        <f>+G55-D55</f>
        <v>0.0007999999999999119</v>
      </c>
      <c r="I55" s="30">
        <f t="shared" si="5"/>
        <v>0.0003733084461035519</v>
      </c>
      <c r="J55" s="31">
        <f t="shared" si="6"/>
        <v>0.008007977586269149</v>
      </c>
    </row>
    <row r="56" spans="1:10" ht="26.25" thickBot="1">
      <c r="A56" s="25" t="s">
        <v>77</v>
      </c>
      <c r="B56" s="43">
        <v>1</v>
      </c>
      <c r="C56" s="66">
        <f>+'Rate Schedules'!H41</f>
        <v>0.25</v>
      </c>
      <c r="D56" s="49">
        <f>+B56*C56</f>
        <v>0.25</v>
      </c>
      <c r="E56" s="43">
        <v>1</v>
      </c>
      <c r="F56" s="66">
        <f>+'Rate Schedules'!J41</f>
        <v>0.25</v>
      </c>
      <c r="G56" s="45">
        <f>+E56*F56</f>
        <v>0.25</v>
      </c>
      <c r="H56" s="29">
        <f>+G56-D56</f>
        <v>0</v>
      </c>
      <c r="I56" s="30">
        <f t="shared" si="5"/>
        <v>0</v>
      </c>
      <c r="J56" s="31">
        <f t="shared" si="6"/>
        <v>0.0009338531563426099</v>
      </c>
    </row>
    <row r="57" spans="1:10" ht="13.5" thickBot="1">
      <c r="A57" s="37" t="s">
        <v>78</v>
      </c>
      <c r="B57" s="37"/>
      <c r="C57" s="37"/>
      <c r="D57" s="38">
        <f>SUM(D54:D56)</f>
        <v>13.5366</v>
      </c>
      <c r="E57" s="38"/>
      <c r="F57" s="38"/>
      <c r="G57" s="38">
        <f>SUM(G54:G56)</f>
        <v>13.54156</v>
      </c>
      <c r="H57" s="39">
        <f>SUM(H54:H56)</f>
        <v>0.0049600000000005195</v>
      </c>
      <c r="I57" s="40">
        <f t="shared" si="5"/>
        <v>0.00036641401829118976</v>
      </c>
      <c r="J57" s="41">
        <f t="shared" si="6"/>
        <v>0.05058331419121133</v>
      </c>
    </row>
    <row r="58" spans="1:10" ht="13.5" thickBot="1">
      <c r="A58" s="37" t="s">
        <v>79</v>
      </c>
      <c r="B58" s="32">
        <f>+B36</f>
        <v>2000</v>
      </c>
      <c r="C58" s="67">
        <v>0.0051</v>
      </c>
      <c r="D58" s="38">
        <f>+B58*C58</f>
        <v>10.200000000000001</v>
      </c>
      <c r="E58" s="32">
        <f>+B36</f>
        <v>2000</v>
      </c>
      <c r="F58" s="67">
        <v>0.0051</v>
      </c>
      <c r="G58" s="38">
        <f>+E58*F58</f>
        <v>10.200000000000001</v>
      </c>
      <c r="H58" s="39">
        <f>+G58-D58</f>
        <v>0</v>
      </c>
      <c r="I58" s="40">
        <f t="shared" si="5"/>
        <v>0</v>
      </c>
      <c r="J58" s="41">
        <f t="shared" si="6"/>
        <v>0.038101208778778484</v>
      </c>
    </row>
    <row r="59" spans="1:10" ht="13.5" thickBot="1">
      <c r="A59" s="37" t="s">
        <v>80</v>
      </c>
      <c r="B59" s="37"/>
      <c r="C59" s="37"/>
      <c r="D59" s="68">
        <f>+D43+D53+D57+D58</f>
        <v>229.80939999999998</v>
      </c>
      <c r="E59" s="38"/>
      <c r="F59" s="38"/>
      <c r="G59" s="68">
        <f>+G43+G53+G57+G58</f>
        <v>254.96004000000002</v>
      </c>
      <c r="H59" s="39">
        <f>+H43+H53+H57+H58</f>
        <v>25.150640000000013</v>
      </c>
      <c r="I59" s="40">
        <f t="shared" si="5"/>
        <v>0.10944130222697598</v>
      </c>
      <c r="J59" s="41">
        <f t="shared" si="6"/>
        <v>0.9523809523809523</v>
      </c>
    </row>
    <row r="60" spans="1:10" ht="13.5" thickBot="1">
      <c r="A60" s="37" t="s">
        <v>81</v>
      </c>
      <c r="B60" s="69">
        <f>+D59</f>
        <v>229.80939999999998</v>
      </c>
      <c r="C60" s="102">
        <v>0.05</v>
      </c>
      <c r="D60" s="38">
        <f>+B60*C60</f>
        <v>11.49047</v>
      </c>
      <c r="E60" s="69">
        <f>+G59</f>
        <v>254.96004000000002</v>
      </c>
      <c r="F60" s="102">
        <v>0.05</v>
      </c>
      <c r="G60" s="38">
        <f>+E60*F60</f>
        <v>12.748002000000001</v>
      </c>
      <c r="H60" s="39">
        <f>+G60-D60</f>
        <v>1.2575320000000012</v>
      </c>
      <c r="I60" s="40">
        <f t="shared" si="5"/>
        <v>0.10944130222697603</v>
      </c>
      <c r="J60" s="41">
        <f t="shared" si="6"/>
        <v>0.047619047619047616</v>
      </c>
    </row>
    <row r="61" spans="1:10" ht="15.75" thickBot="1">
      <c r="A61" s="250" t="s">
        <v>82</v>
      </c>
      <c r="B61" s="251"/>
      <c r="C61" s="251"/>
      <c r="D61" s="70">
        <f>SUM(D59:D60)</f>
        <v>241.29986999999997</v>
      </c>
      <c r="E61" s="38"/>
      <c r="F61" s="38"/>
      <c r="G61" s="70">
        <f>SUM(G59:G60)</f>
        <v>267.70804200000003</v>
      </c>
      <c r="H61" s="39">
        <f>SUM(H59:H60)</f>
        <v>26.408172000000015</v>
      </c>
      <c r="I61" s="40">
        <f t="shared" si="5"/>
        <v>0.109441302226976</v>
      </c>
      <c r="J61" s="41">
        <f t="shared" si="6"/>
        <v>1</v>
      </c>
    </row>
    <row r="62" spans="1:10" ht="12.75">
      <c r="A62" s="13"/>
      <c r="B62" s="13"/>
      <c r="C62" s="13"/>
      <c r="D62" s="13"/>
      <c r="E62" s="13"/>
      <c r="F62" s="13"/>
      <c r="G62" s="13"/>
      <c r="H62" s="13"/>
      <c r="I62" s="14"/>
      <c r="J62" s="13"/>
    </row>
    <row r="63" spans="1:10" ht="18">
      <c r="A63" s="15" t="s">
        <v>16</v>
      </c>
      <c r="B63" s="13"/>
      <c r="C63" s="13"/>
      <c r="D63" s="13"/>
      <c r="E63" s="13"/>
      <c r="F63" s="13"/>
      <c r="G63" s="13"/>
      <c r="H63" s="13"/>
      <c r="I63" s="14"/>
      <c r="J63" s="13"/>
    </row>
    <row r="64" spans="1:10" ht="13.5" thickBot="1">
      <c r="A64" s="13"/>
      <c r="B64" s="13"/>
      <c r="C64" s="13"/>
      <c r="D64" s="13"/>
      <c r="E64" s="13"/>
      <c r="F64" s="13"/>
      <c r="G64" s="13"/>
      <c r="H64" s="13"/>
      <c r="I64" s="14"/>
      <c r="J64" s="13"/>
    </row>
    <row r="65" spans="1:10" ht="12.75">
      <c r="A65" s="290" t="s">
        <v>58</v>
      </c>
      <c r="B65" s="292">
        <v>44320</v>
      </c>
      <c r="C65" s="252" t="s">
        <v>59</v>
      </c>
      <c r="D65" s="292">
        <v>139</v>
      </c>
      <c r="E65" s="252" t="s">
        <v>60</v>
      </c>
      <c r="F65" s="254" t="s">
        <v>61</v>
      </c>
      <c r="G65" s="254"/>
      <c r="H65" s="247">
        <f>H7</f>
        <v>1.0719</v>
      </c>
      <c r="I65" s="248"/>
      <c r="J65" s="13"/>
    </row>
    <row r="66" spans="1:10" ht="13.5" thickBot="1">
      <c r="A66" s="291"/>
      <c r="B66" s="293"/>
      <c r="C66" s="253"/>
      <c r="D66" s="293"/>
      <c r="E66" s="253"/>
      <c r="F66" s="255"/>
      <c r="G66" s="255"/>
      <c r="H66" s="285"/>
      <c r="I66" s="286"/>
      <c r="J66" s="13"/>
    </row>
    <row r="67" spans="1:10" ht="13.5" thickBot="1">
      <c r="A67" s="16"/>
      <c r="B67" s="13"/>
      <c r="C67" s="13"/>
      <c r="D67" s="13"/>
      <c r="E67" s="13"/>
      <c r="F67" s="13"/>
      <c r="G67" s="13"/>
      <c r="H67" s="13"/>
      <c r="I67" s="14"/>
      <c r="J67" s="13"/>
    </row>
    <row r="68" spans="1:10" ht="21" thickBot="1">
      <c r="A68" s="17"/>
      <c r="B68" s="287" t="s">
        <v>62</v>
      </c>
      <c r="C68" s="288"/>
      <c r="D68" s="289"/>
      <c r="E68" s="287" t="s">
        <v>87</v>
      </c>
      <c r="F68" s="288"/>
      <c r="G68" s="289"/>
      <c r="H68" s="287" t="s">
        <v>63</v>
      </c>
      <c r="I68" s="288"/>
      <c r="J68" s="289"/>
    </row>
    <row r="69" spans="1:10" ht="26.25" thickBot="1">
      <c r="A69" s="18"/>
      <c r="B69" s="19" t="s">
        <v>64</v>
      </c>
      <c r="C69" s="20" t="s">
        <v>65</v>
      </c>
      <c r="D69" s="21" t="s">
        <v>66</v>
      </c>
      <c r="E69" s="20" t="s">
        <v>64</v>
      </c>
      <c r="F69" s="20" t="s">
        <v>65</v>
      </c>
      <c r="G69" s="21" t="s">
        <v>66</v>
      </c>
      <c r="H69" s="22" t="s">
        <v>2</v>
      </c>
      <c r="I69" s="23" t="s">
        <v>52</v>
      </c>
      <c r="J69" s="24" t="s">
        <v>67</v>
      </c>
    </row>
    <row r="70" spans="1:10" ht="12.75">
      <c r="A70" s="25" t="s">
        <v>68</v>
      </c>
      <c r="B70" s="26">
        <v>750</v>
      </c>
      <c r="C70" s="27">
        <v>0.053</v>
      </c>
      <c r="D70" s="28">
        <f>+B70*C70</f>
        <v>39.75</v>
      </c>
      <c r="E70" s="26">
        <v>750</v>
      </c>
      <c r="F70" s="27">
        <v>0.053</v>
      </c>
      <c r="G70" s="28">
        <f>+E70*F70</f>
        <v>39.75</v>
      </c>
      <c r="H70" s="29">
        <f>+G70-D70</f>
        <v>0</v>
      </c>
      <c r="I70" s="30">
        <f aca="true" t="shared" si="10" ref="I70:I90">IF(ISERROR(H70/D70),0,H70/D70)</f>
        <v>0</v>
      </c>
      <c r="J70" s="31">
        <f>IF(ISERROR(G70/$G$90),0,G70/$G$90)</f>
        <v>0.00696948193931073</v>
      </c>
    </row>
    <row r="71" spans="1:10" ht="13.5" thickBot="1">
      <c r="A71" s="25" t="s">
        <v>69</v>
      </c>
      <c r="B71" s="32">
        <f>(B65*'Rate Schedules'!H119)-B70</f>
        <v>46738.88</v>
      </c>
      <c r="C71" s="33">
        <v>0.062</v>
      </c>
      <c r="D71" s="34">
        <f>+B71*C71</f>
        <v>2897.81056</v>
      </c>
      <c r="E71" s="32">
        <f>(B65*H65)-B70</f>
        <v>46756.608</v>
      </c>
      <c r="F71" s="33">
        <v>0.062</v>
      </c>
      <c r="G71" s="35">
        <f>+E71*F71</f>
        <v>2898.909696</v>
      </c>
      <c r="H71" s="29">
        <f>+G71-D71</f>
        <v>1.0991360000002715</v>
      </c>
      <c r="I71" s="36">
        <f t="shared" si="10"/>
        <v>0.0003792987765219102</v>
      </c>
      <c r="J71" s="31">
        <f aca="true" t="shared" si="11" ref="J71:J90">IF(ISERROR(G71/$G$90),0,G71/$G$90)</f>
        <v>0.5082741828921952</v>
      </c>
    </row>
    <row r="72" spans="1:10" ht="13.5" thickBot="1">
      <c r="A72" s="37" t="s">
        <v>70</v>
      </c>
      <c r="B72" s="37"/>
      <c r="C72" s="37"/>
      <c r="D72" s="38">
        <f>SUM(D70:D71)</f>
        <v>2937.56056</v>
      </c>
      <c r="E72" s="38"/>
      <c r="F72" s="38"/>
      <c r="G72" s="38">
        <f>SUM(G70:G71)</f>
        <v>2938.659696</v>
      </c>
      <c r="H72" s="39">
        <f>SUM(H70:H71)</f>
        <v>1.0991360000002715</v>
      </c>
      <c r="I72" s="40">
        <f t="shared" si="10"/>
        <v>0.00037416624357193557</v>
      </c>
      <c r="J72" s="41">
        <f t="shared" si="11"/>
        <v>0.515243664831506</v>
      </c>
    </row>
    <row r="73" spans="1:10" ht="12.75">
      <c r="A73" s="42" t="s">
        <v>71</v>
      </c>
      <c r="B73" s="43">
        <v>1</v>
      </c>
      <c r="C73" s="44">
        <f>+'Rate Schedules'!H44</f>
        <v>764.96</v>
      </c>
      <c r="D73" s="45">
        <f aca="true" t="shared" si="12" ref="D73:D81">+B73*C73</f>
        <v>764.96</v>
      </c>
      <c r="E73" s="46">
        <v>1</v>
      </c>
      <c r="F73" s="44">
        <f>+'Rate Schedules'!J44</f>
        <v>1089.68</v>
      </c>
      <c r="G73" s="45">
        <f aca="true" t="shared" si="13" ref="G73:G81">+E73*F73</f>
        <v>1089.68</v>
      </c>
      <c r="H73" s="29">
        <f aca="true" t="shared" si="14" ref="H73:H81">+G73-D73</f>
        <v>324.72</v>
      </c>
      <c r="I73" s="30">
        <f t="shared" si="10"/>
        <v>0.424492783936415</v>
      </c>
      <c r="J73" s="31">
        <f t="shared" si="11"/>
        <v>0.19105673156297148</v>
      </c>
    </row>
    <row r="74" spans="1:10" ht="12.75">
      <c r="A74" s="47" t="s">
        <v>72</v>
      </c>
      <c r="B74" s="32">
        <f>+B65</f>
        <v>44320</v>
      </c>
      <c r="C74" s="48">
        <v>0</v>
      </c>
      <c r="D74" s="49">
        <f t="shared" si="12"/>
        <v>0</v>
      </c>
      <c r="E74" s="32">
        <f>+B65</f>
        <v>44320</v>
      </c>
      <c r="F74" s="48">
        <v>0</v>
      </c>
      <c r="G74" s="49">
        <f t="shared" si="13"/>
        <v>0</v>
      </c>
      <c r="H74" s="29">
        <f t="shared" si="14"/>
        <v>0</v>
      </c>
      <c r="I74" s="30">
        <f t="shared" si="10"/>
        <v>0</v>
      </c>
      <c r="J74" s="31">
        <f t="shared" si="11"/>
        <v>0</v>
      </c>
    </row>
    <row r="75" spans="1:10" ht="12.75">
      <c r="A75" s="47" t="s">
        <v>73</v>
      </c>
      <c r="B75" s="32">
        <f>+D65</f>
        <v>139</v>
      </c>
      <c r="C75" s="50">
        <f>+'Rate Schedules'!H46</f>
        <v>3.5235</v>
      </c>
      <c r="D75" s="49">
        <f t="shared" si="12"/>
        <v>489.7665</v>
      </c>
      <c r="E75" s="51">
        <f>+D65</f>
        <v>139</v>
      </c>
      <c r="F75" s="50">
        <f>+'Rate Schedules'!J46</f>
        <v>2.8593</v>
      </c>
      <c r="G75" s="49">
        <f t="shared" si="13"/>
        <v>397.4427</v>
      </c>
      <c r="H75" s="29">
        <f t="shared" si="14"/>
        <v>-92.3238</v>
      </c>
      <c r="I75" s="30">
        <f t="shared" si="10"/>
        <v>-0.18850574712643678</v>
      </c>
      <c r="J75" s="31">
        <f t="shared" si="11"/>
        <v>0.06968477281914195</v>
      </c>
    </row>
    <row r="76" spans="1:10" ht="12.75">
      <c r="A76" s="25" t="s">
        <v>90</v>
      </c>
      <c r="B76" s="32">
        <f>+D65</f>
        <v>139</v>
      </c>
      <c r="C76" s="50">
        <f>+'Rate Schedules'!H50</f>
        <v>0</v>
      </c>
      <c r="D76" s="49">
        <f t="shared" si="12"/>
        <v>0</v>
      </c>
      <c r="E76" s="32">
        <f>+D65</f>
        <v>139</v>
      </c>
      <c r="F76" s="50">
        <f>+'Rate Schedules'!J50</f>
        <v>0.0656</v>
      </c>
      <c r="G76" s="49">
        <f t="shared" si="13"/>
        <v>9.118400000000001</v>
      </c>
      <c r="H76" s="29">
        <f t="shared" si="14"/>
        <v>9.118400000000001</v>
      </c>
      <c r="I76" s="30">
        <f t="shared" si="10"/>
        <v>0</v>
      </c>
      <c r="J76" s="31">
        <f t="shared" si="11"/>
        <v>0.0015987553236581375</v>
      </c>
    </row>
    <row r="77" spans="1:10" ht="12.75">
      <c r="A77" s="25" t="s">
        <v>75</v>
      </c>
      <c r="B77" s="52">
        <f>+D65</f>
        <v>139</v>
      </c>
      <c r="C77" s="53">
        <v>0</v>
      </c>
      <c r="D77" s="49">
        <f t="shared" si="12"/>
        <v>0</v>
      </c>
      <c r="E77" s="52">
        <f>+D65</f>
        <v>139</v>
      </c>
      <c r="F77" s="53">
        <v>0</v>
      </c>
      <c r="G77" s="54">
        <f t="shared" si="13"/>
        <v>0</v>
      </c>
      <c r="H77" s="29">
        <f t="shared" si="14"/>
        <v>0</v>
      </c>
      <c r="I77" s="30">
        <f t="shared" si="10"/>
        <v>0</v>
      </c>
      <c r="J77" s="31">
        <f t="shared" si="11"/>
        <v>0</v>
      </c>
    </row>
    <row r="78" spans="1:10" ht="25.5">
      <c r="A78" s="25" t="s">
        <v>88</v>
      </c>
      <c r="B78" s="55">
        <v>1</v>
      </c>
      <c r="C78" s="56">
        <f>+'Rate Schedules'!H45</f>
        <v>0</v>
      </c>
      <c r="D78" s="57">
        <f t="shared" si="12"/>
        <v>0</v>
      </c>
      <c r="E78" s="55">
        <v>1</v>
      </c>
      <c r="F78" s="58">
        <f>+'Rate Schedules'!J45</f>
        <v>0</v>
      </c>
      <c r="G78" s="49">
        <f t="shared" si="13"/>
        <v>0</v>
      </c>
      <c r="H78" s="29">
        <f t="shared" si="14"/>
        <v>0</v>
      </c>
      <c r="I78" s="30">
        <f t="shared" si="10"/>
        <v>0</v>
      </c>
      <c r="J78" s="31">
        <f t="shared" si="11"/>
        <v>0</v>
      </c>
    </row>
    <row r="79" spans="1:10" ht="25.5">
      <c r="A79" s="25" t="s">
        <v>89</v>
      </c>
      <c r="B79" s="32">
        <f>+D65</f>
        <v>139</v>
      </c>
      <c r="C79" s="59">
        <f>+'Rate Schedules'!H47</f>
        <v>0</v>
      </c>
      <c r="D79" s="57">
        <f t="shared" si="12"/>
        <v>0</v>
      </c>
      <c r="E79" s="52">
        <f>+D65</f>
        <v>139</v>
      </c>
      <c r="F79" s="50">
        <f>+'Rate Schedules'!J47</f>
        <v>0</v>
      </c>
      <c r="G79" s="49">
        <f t="shared" si="13"/>
        <v>0</v>
      </c>
      <c r="H79" s="29">
        <f t="shared" si="14"/>
        <v>0</v>
      </c>
      <c r="I79" s="30">
        <f t="shared" si="10"/>
        <v>0</v>
      </c>
      <c r="J79" s="31">
        <f t="shared" si="11"/>
        <v>0</v>
      </c>
    </row>
    <row r="80" spans="1:10" ht="25.5">
      <c r="A80" s="25" t="s">
        <v>8</v>
      </c>
      <c r="B80" s="32">
        <f>+D65*'Rate Schedules'!H119</f>
        <v>148.93849999999998</v>
      </c>
      <c r="C80" s="50">
        <f>+'Rate Schedules'!H51</f>
        <v>1.5794</v>
      </c>
      <c r="D80" s="49">
        <f t="shared" si="12"/>
        <v>235.23346689999994</v>
      </c>
      <c r="E80" s="32">
        <f>+D65*H65</f>
        <v>148.9941</v>
      </c>
      <c r="F80" s="50">
        <f>+'Rate Schedules'!J51</f>
        <v>1.6230683970891935</v>
      </c>
      <c r="G80" s="49">
        <f t="shared" si="13"/>
        <v>241.82761506274701</v>
      </c>
      <c r="H80" s="29">
        <f t="shared" si="14"/>
        <v>6.594148162747075</v>
      </c>
      <c r="I80" s="30">
        <f t="shared" si="10"/>
        <v>0.02803235547070482</v>
      </c>
      <c r="J80" s="31">
        <f t="shared" si="11"/>
        <v>0.04240033196494095</v>
      </c>
    </row>
    <row r="81" spans="1:10" ht="39" thickBot="1">
      <c r="A81" s="25" t="s">
        <v>9</v>
      </c>
      <c r="B81" s="32">
        <f>+D65*'Rate Schedules'!H119</f>
        <v>148.93849999999998</v>
      </c>
      <c r="C81" s="50">
        <f>+'Rate Schedules'!H52</f>
        <v>1.4741</v>
      </c>
      <c r="D81" s="49">
        <f t="shared" si="12"/>
        <v>219.55024284999996</v>
      </c>
      <c r="E81" s="32">
        <f>+D65*H65</f>
        <v>148.9941</v>
      </c>
      <c r="F81" s="50">
        <f>+'Rate Schedules'!J52</f>
        <v>1.5725</v>
      </c>
      <c r="G81" s="49">
        <f t="shared" si="13"/>
        <v>234.29322225</v>
      </c>
      <c r="H81" s="29">
        <f t="shared" si="14"/>
        <v>14.742979400000053</v>
      </c>
      <c r="I81" s="30">
        <f t="shared" si="10"/>
        <v>0.06715082255715235</v>
      </c>
      <c r="J81" s="31">
        <f t="shared" si="11"/>
        <v>0.041079305181743145</v>
      </c>
    </row>
    <row r="82" spans="1:10" ht="13.5" thickBot="1">
      <c r="A82" s="37" t="s">
        <v>76</v>
      </c>
      <c r="B82" s="37"/>
      <c r="C82" s="37"/>
      <c r="D82" s="38">
        <f>SUM(D73:D81)</f>
        <v>1709.5102097499998</v>
      </c>
      <c r="E82" s="38"/>
      <c r="F82" s="38"/>
      <c r="G82" s="38">
        <f>SUM(G73:G81)</f>
        <v>1972.3619373127474</v>
      </c>
      <c r="H82" s="39">
        <f>SUM(H73:H81)</f>
        <v>262.85172756274716</v>
      </c>
      <c r="I82" s="40">
        <f t="shared" si="10"/>
        <v>0.15375850115641415</v>
      </c>
      <c r="J82" s="41">
        <f t="shared" si="11"/>
        <v>0.34581989685245573</v>
      </c>
    </row>
    <row r="83" spans="1:10" ht="13.5" thickBot="1">
      <c r="A83" s="60" t="s">
        <v>12</v>
      </c>
      <c r="B83" s="32">
        <f>+B65*'Rate Schedules'!H119</f>
        <v>47488.88</v>
      </c>
      <c r="C83" s="62">
        <f>+'Rate Schedules'!H57</f>
        <v>0.0052</v>
      </c>
      <c r="D83" s="63">
        <f>+B83*C83</f>
        <v>246.942176</v>
      </c>
      <c r="E83" s="61">
        <f>+B65*H65</f>
        <v>47506.608</v>
      </c>
      <c r="F83" s="50">
        <f>+'Rate Schedules'!J57</f>
        <v>0.0052</v>
      </c>
      <c r="G83" s="63">
        <f>+E83*F83</f>
        <v>247.03436159999998</v>
      </c>
      <c r="H83" s="64">
        <f>+G83-D83</f>
        <v>0.09218559999999343</v>
      </c>
      <c r="I83" s="30">
        <f t="shared" si="10"/>
        <v>0.0003733084461035665</v>
      </c>
      <c r="J83" s="31">
        <f t="shared" si="11"/>
        <v>0.04331324582541776</v>
      </c>
    </row>
    <row r="84" spans="1:10" ht="13.5" thickBot="1">
      <c r="A84" s="65" t="s">
        <v>13</v>
      </c>
      <c r="B84" s="32">
        <f>+B65*'Rate Schedules'!H119</f>
        <v>47488.88</v>
      </c>
      <c r="C84" s="27">
        <f>+'Rate Schedules'!H58</f>
        <v>0.001</v>
      </c>
      <c r="D84" s="34">
        <f>+B84*C84</f>
        <v>47.48888</v>
      </c>
      <c r="E84" s="61">
        <f>+B65*H65</f>
        <v>47506.608</v>
      </c>
      <c r="F84" s="50">
        <f>+'Rate Schedules'!J58</f>
        <v>0.001</v>
      </c>
      <c r="G84" s="49">
        <f>+E84*F84</f>
        <v>47.506608</v>
      </c>
      <c r="H84" s="29">
        <f>+G84-D84</f>
        <v>0.01772799999999819</v>
      </c>
      <c r="I84" s="30">
        <f t="shared" si="10"/>
        <v>0.00037330844610355496</v>
      </c>
      <c r="J84" s="31">
        <f t="shared" si="11"/>
        <v>0.008329470351041878</v>
      </c>
    </row>
    <row r="85" spans="1:10" ht="26.25" thickBot="1">
      <c r="A85" s="25" t="s">
        <v>77</v>
      </c>
      <c r="B85" s="43">
        <v>1</v>
      </c>
      <c r="C85" s="66">
        <f>+'Rate Schedules'!H59</f>
        <v>0.25</v>
      </c>
      <c r="D85" s="49">
        <f>+B85*C85</f>
        <v>0.25</v>
      </c>
      <c r="E85" s="43">
        <v>1</v>
      </c>
      <c r="F85" s="66">
        <f>+'Rate Schedules'!J59</f>
        <v>0.25</v>
      </c>
      <c r="G85" s="45">
        <f>+E85*F85</f>
        <v>0.25</v>
      </c>
      <c r="H85" s="29">
        <f>+G85-D85</f>
        <v>0</v>
      </c>
      <c r="I85" s="30">
        <f t="shared" si="10"/>
        <v>0</v>
      </c>
      <c r="J85" s="31">
        <f t="shared" si="11"/>
        <v>4.3833219744092645E-05</v>
      </c>
    </row>
    <row r="86" spans="1:10" ht="13.5" thickBot="1">
      <c r="A86" s="37" t="s">
        <v>78</v>
      </c>
      <c r="B86" s="37"/>
      <c r="C86" s="37"/>
      <c r="D86" s="38">
        <f>SUM(D83:D85)</f>
        <v>294.681056</v>
      </c>
      <c r="E86" s="38"/>
      <c r="F86" s="38"/>
      <c r="G86" s="38">
        <f>SUM(G83:G85)</f>
        <v>294.7909696</v>
      </c>
      <c r="H86" s="39">
        <f>SUM(H83:H85)</f>
        <v>0.10991359999999162</v>
      </c>
      <c r="I86" s="40">
        <f t="shared" si="10"/>
        <v>0.0003729917406023942</v>
      </c>
      <c r="J86" s="41">
        <f t="shared" si="11"/>
        <v>0.051686549396203735</v>
      </c>
    </row>
    <row r="87" spans="1:10" ht="13.5" thickBot="1">
      <c r="A87" s="37" t="s">
        <v>79</v>
      </c>
      <c r="B87" s="32">
        <f>+B65</f>
        <v>44320</v>
      </c>
      <c r="C87" s="67">
        <v>0.0051</v>
      </c>
      <c r="D87" s="38">
        <f>+B87*C87</f>
        <v>226.032</v>
      </c>
      <c r="E87" s="32">
        <f>+B65</f>
        <v>44320</v>
      </c>
      <c r="F87" s="67">
        <v>0.0051</v>
      </c>
      <c r="G87" s="38">
        <f>+E87*F87</f>
        <v>226.032</v>
      </c>
      <c r="H87" s="39">
        <f>+G87-D87</f>
        <v>0</v>
      </c>
      <c r="I87" s="40">
        <f t="shared" si="10"/>
        <v>0</v>
      </c>
      <c r="J87" s="41">
        <f t="shared" si="11"/>
        <v>0.03963084130078699</v>
      </c>
    </row>
    <row r="88" spans="1:10" ht="13.5" thickBot="1">
      <c r="A88" s="37" t="s">
        <v>80</v>
      </c>
      <c r="B88" s="37"/>
      <c r="C88" s="37"/>
      <c r="D88" s="68">
        <f>+D72+D82+D86+D87</f>
        <v>5167.783825750001</v>
      </c>
      <c r="E88" s="38"/>
      <c r="F88" s="38"/>
      <c r="G88" s="68">
        <f>+G72+G82+G86+G87</f>
        <v>5431.844602912747</v>
      </c>
      <c r="H88" s="39">
        <f>+H72+H82+H86+H87</f>
        <v>264.0607771627474</v>
      </c>
      <c r="I88" s="40">
        <f t="shared" si="10"/>
        <v>0.051097488994602876</v>
      </c>
      <c r="J88" s="41">
        <f t="shared" si="11"/>
        <v>0.9523809523809523</v>
      </c>
    </row>
    <row r="89" spans="1:10" ht="13.5" thickBot="1">
      <c r="A89" s="37" t="s">
        <v>81</v>
      </c>
      <c r="B89" s="69">
        <f>+D88</f>
        <v>5167.783825750001</v>
      </c>
      <c r="C89" s="102">
        <v>0.05</v>
      </c>
      <c r="D89" s="38">
        <f>+B89*C89</f>
        <v>258.38919128750007</v>
      </c>
      <c r="E89" s="69">
        <f>+G88</f>
        <v>5431.844602912747</v>
      </c>
      <c r="F89" s="102">
        <v>0.05</v>
      </c>
      <c r="G89" s="38">
        <f>+E89*F89</f>
        <v>271.59223014563736</v>
      </c>
      <c r="H89" s="39">
        <f>+G89-D89</f>
        <v>13.20303885813729</v>
      </c>
      <c r="I89" s="40">
        <f t="shared" si="10"/>
        <v>0.051097488994602557</v>
      </c>
      <c r="J89" s="41">
        <f t="shared" si="11"/>
        <v>0.047619047619047616</v>
      </c>
    </row>
    <row r="90" spans="1:10" ht="15.75" thickBot="1">
      <c r="A90" s="250" t="s">
        <v>82</v>
      </c>
      <c r="B90" s="251"/>
      <c r="C90" s="251"/>
      <c r="D90" s="70">
        <f>SUM(D88:D89)</f>
        <v>5426.1730170375</v>
      </c>
      <c r="E90" s="38"/>
      <c r="F90" s="38"/>
      <c r="G90" s="70">
        <f>SUM(G88:G89)</f>
        <v>5703.436833058385</v>
      </c>
      <c r="H90" s="39">
        <f>SUM(H88:H89)</f>
        <v>277.2638160208847</v>
      </c>
      <c r="I90" s="40">
        <f t="shared" si="10"/>
        <v>0.05109748899460286</v>
      </c>
      <c r="J90" s="41">
        <f t="shared" si="11"/>
        <v>1</v>
      </c>
    </row>
    <row r="91" spans="1:10" ht="12.75">
      <c r="A91" s="13"/>
      <c r="B91" s="13"/>
      <c r="C91" s="13"/>
      <c r="D91" s="13"/>
      <c r="E91" s="13"/>
      <c r="F91" s="13"/>
      <c r="G91" s="13"/>
      <c r="H91" s="13"/>
      <c r="I91" s="14"/>
      <c r="J91" s="13"/>
    </row>
    <row r="92" spans="1:10" ht="18">
      <c r="A92" s="15" t="s">
        <v>18</v>
      </c>
      <c r="B92" s="13"/>
      <c r="C92" s="13"/>
      <c r="D92" s="13"/>
      <c r="E92" s="13"/>
      <c r="F92" s="13"/>
      <c r="G92" s="13"/>
      <c r="H92" s="13"/>
      <c r="I92" s="14"/>
      <c r="J92" s="13"/>
    </row>
    <row r="93" spans="1:10" ht="13.5" thickBot="1">
      <c r="A93" s="13"/>
      <c r="B93" s="13"/>
      <c r="C93" s="13"/>
      <c r="D93" s="13"/>
      <c r="E93" s="13"/>
      <c r="F93" s="13"/>
      <c r="G93" s="13"/>
      <c r="H93" s="13"/>
      <c r="I93" s="14"/>
      <c r="J93" s="13"/>
    </row>
    <row r="94" spans="1:10" ht="12.75">
      <c r="A94" s="290" t="s">
        <v>58</v>
      </c>
      <c r="B94" s="292">
        <v>750</v>
      </c>
      <c r="C94" s="252" t="s">
        <v>59</v>
      </c>
      <c r="D94" s="292">
        <v>0</v>
      </c>
      <c r="E94" s="252" t="s">
        <v>60</v>
      </c>
      <c r="F94" s="254" t="s">
        <v>61</v>
      </c>
      <c r="G94" s="254"/>
      <c r="H94" s="247">
        <f>H7</f>
        <v>1.0719</v>
      </c>
      <c r="I94" s="248"/>
      <c r="J94" s="13"/>
    </row>
    <row r="95" spans="1:10" ht="13.5" thickBot="1">
      <c r="A95" s="291"/>
      <c r="B95" s="293"/>
      <c r="C95" s="253"/>
      <c r="D95" s="293"/>
      <c r="E95" s="253"/>
      <c r="F95" s="255"/>
      <c r="G95" s="255"/>
      <c r="H95" s="285"/>
      <c r="I95" s="286"/>
      <c r="J95" s="13"/>
    </row>
    <row r="96" spans="1:10" ht="13.5" thickBot="1">
      <c r="A96" s="16"/>
      <c r="B96" s="13"/>
      <c r="C96" s="13"/>
      <c r="D96" s="13"/>
      <c r="E96" s="13"/>
      <c r="F96" s="13"/>
      <c r="G96" s="13"/>
      <c r="H96" s="13"/>
      <c r="I96" s="14"/>
      <c r="J96" s="13"/>
    </row>
    <row r="97" spans="1:10" ht="21" thickBot="1">
      <c r="A97" s="17"/>
      <c r="B97" s="287" t="s">
        <v>62</v>
      </c>
      <c r="C97" s="288"/>
      <c r="D97" s="289"/>
      <c r="E97" s="287" t="s">
        <v>87</v>
      </c>
      <c r="F97" s="288"/>
      <c r="G97" s="289"/>
      <c r="H97" s="287" t="s">
        <v>63</v>
      </c>
      <c r="I97" s="288"/>
      <c r="J97" s="289"/>
    </row>
    <row r="98" spans="1:10" ht="26.25" thickBot="1">
      <c r="A98" s="18"/>
      <c r="B98" s="19" t="s">
        <v>64</v>
      </c>
      <c r="C98" s="20" t="s">
        <v>65</v>
      </c>
      <c r="D98" s="21" t="s">
        <v>66</v>
      </c>
      <c r="E98" s="20" t="s">
        <v>64</v>
      </c>
      <c r="F98" s="20" t="s">
        <v>65</v>
      </c>
      <c r="G98" s="21" t="s">
        <v>66</v>
      </c>
      <c r="H98" s="22" t="s">
        <v>2</v>
      </c>
      <c r="I98" s="23" t="s">
        <v>52</v>
      </c>
      <c r="J98" s="24" t="s">
        <v>67</v>
      </c>
    </row>
    <row r="99" spans="1:10" ht="12.75">
      <c r="A99" s="25" t="s">
        <v>68</v>
      </c>
      <c r="B99" s="26">
        <v>750</v>
      </c>
      <c r="C99" s="27">
        <v>0.053</v>
      </c>
      <c r="D99" s="28">
        <f>+B99*C99</f>
        <v>39.75</v>
      </c>
      <c r="E99" s="26">
        <v>750</v>
      </c>
      <c r="F99" s="27">
        <v>0.053</v>
      </c>
      <c r="G99" s="28">
        <f>+E99*F99</f>
        <v>39.75</v>
      </c>
      <c r="H99" s="29">
        <f>+G99-D99</f>
        <v>0</v>
      </c>
      <c r="I99" s="30">
        <f aca="true" t="shared" si="15" ref="I99:I119">IF(ISERROR(H99/D99),0,H99/D99)</f>
        <v>0</v>
      </c>
      <c r="J99" s="31">
        <f>IF(ISERROR(G99/$G$119),0,G99/$G$119)</f>
        <v>0.3185622221833135</v>
      </c>
    </row>
    <row r="100" spans="1:10" ht="13.5" thickBot="1">
      <c r="A100" s="25" t="s">
        <v>69</v>
      </c>
      <c r="B100" s="32">
        <f>(B94*'Rate Schedules'!H119)-B99</f>
        <v>53.624999999999886</v>
      </c>
      <c r="C100" s="33">
        <v>0.062</v>
      </c>
      <c r="D100" s="34">
        <f>+B100*C100</f>
        <v>3.3247499999999928</v>
      </c>
      <c r="E100" s="32">
        <f>(B94*H94)-E99</f>
        <v>53.92500000000007</v>
      </c>
      <c r="F100" s="33">
        <v>0.062</v>
      </c>
      <c r="G100" s="35">
        <f>+E100*F100</f>
        <v>3.343350000000004</v>
      </c>
      <c r="H100" s="29">
        <f>+G100-D100</f>
        <v>0.018600000000011274</v>
      </c>
      <c r="I100" s="36">
        <f t="shared" si="15"/>
        <v>0.005594405594408998</v>
      </c>
      <c r="J100" s="31">
        <f aca="true" t="shared" si="16" ref="J100:J119">IF(ISERROR(G100/$G$119),0,G100/$G$119)</f>
        <v>0.026794088189599555</v>
      </c>
    </row>
    <row r="101" spans="1:10" ht="13.5" thickBot="1">
      <c r="A101" s="37" t="s">
        <v>70</v>
      </c>
      <c r="B101" s="37"/>
      <c r="C101" s="37"/>
      <c r="D101" s="38">
        <f>SUM(D99:D100)</f>
        <v>43.074749999999995</v>
      </c>
      <c r="E101" s="38"/>
      <c r="F101" s="38"/>
      <c r="G101" s="38">
        <f>SUM(G99:G100)</f>
        <v>43.09335</v>
      </c>
      <c r="H101" s="39">
        <f>SUM(H99:H100)</f>
        <v>0.018600000000011274</v>
      </c>
      <c r="I101" s="40">
        <f t="shared" si="15"/>
        <v>0.00043180749743205186</v>
      </c>
      <c r="J101" s="41">
        <f t="shared" si="16"/>
        <v>0.345356310372913</v>
      </c>
    </row>
    <row r="102" spans="1:10" ht="12.75">
      <c r="A102" s="42" t="s">
        <v>71</v>
      </c>
      <c r="B102" s="43">
        <v>1</v>
      </c>
      <c r="C102" s="44">
        <f>+'Rate Schedules'!H62</f>
        <v>32.87</v>
      </c>
      <c r="D102" s="45">
        <f aca="true" t="shared" si="17" ref="D102:D110">+B102*C102</f>
        <v>32.87</v>
      </c>
      <c r="E102" s="46">
        <v>1</v>
      </c>
      <c r="F102" s="44">
        <f>+'Rate Schedules'!J62</f>
        <v>43.7</v>
      </c>
      <c r="G102" s="45">
        <f aca="true" t="shared" si="18" ref="G102:G110">+E102*F102</f>
        <v>43.7</v>
      </c>
      <c r="H102" s="29">
        <f aca="true" t="shared" si="19" ref="H102:H110">+G102-D102</f>
        <v>10.830000000000005</v>
      </c>
      <c r="I102" s="30">
        <f t="shared" si="15"/>
        <v>0.32947976878612734</v>
      </c>
      <c r="J102" s="31">
        <f t="shared" si="16"/>
        <v>0.35021809080278743</v>
      </c>
    </row>
    <row r="103" spans="1:10" ht="12.75">
      <c r="A103" s="47" t="s">
        <v>72</v>
      </c>
      <c r="B103" s="32">
        <f>+B94</f>
        <v>750</v>
      </c>
      <c r="C103" s="48">
        <f>+'Rate Schedules'!H64</f>
        <v>0.0154</v>
      </c>
      <c r="D103" s="49">
        <f t="shared" si="17"/>
        <v>11.55</v>
      </c>
      <c r="E103" s="32">
        <f>+B94</f>
        <v>750</v>
      </c>
      <c r="F103" s="48">
        <f>+'Rate Schedules'!J64</f>
        <v>0.0222</v>
      </c>
      <c r="G103" s="49">
        <f t="shared" si="18"/>
        <v>16.650000000000002</v>
      </c>
      <c r="H103" s="29">
        <f t="shared" si="19"/>
        <v>5.100000000000001</v>
      </c>
      <c r="I103" s="30">
        <f t="shared" si="15"/>
        <v>0.44155844155844165</v>
      </c>
      <c r="J103" s="31">
        <f t="shared" si="16"/>
        <v>0.1334354968390483</v>
      </c>
    </row>
    <row r="104" spans="1:10" ht="12.75">
      <c r="A104" s="47" t="s">
        <v>73</v>
      </c>
      <c r="B104" s="32">
        <f>+D94</f>
        <v>0</v>
      </c>
      <c r="C104" s="50">
        <v>0</v>
      </c>
      <c r="D104" s="49">
        <f t="shared" si="17"/>
        <v>0</v>
      </c>
      <c r="E104" s="51">
        <f>+D94</f>
        <v>0</v>
      </c>
      <c r="F104" s="50">
        <v>0</v>
      </c>
      <c r="G104" s="49">
        <f t="shared" si="18"/>
        <v>0</v>
      </c>
      <c r="H104" s="29">
        <f t="shared" si="19"/>
        <v>0</v>
      </c>
      <c r="I104" s="30">
        <f t="shared" si="15"/>
        <v>0</v>
      </c>
      <c r="J104" s="31">
        <f t="shared" si="16"/>
        <v>0</v>
      </c>
    </row>
    <row r="105" spans="1:10" ht="12.75">
      <c r="A105" s="25" t="s">
        <v>74</v>
      </c>
      <c r="B105" s="32">
        <f>+B94</f>
        <v>750</v>
      </c>
      <c r="C105" s="50">
        <f>+'Rate Schedules'!H68</f>
        <v>0</v>
      </c>
      <c r="D105" s="49">
        <f t="shared" si="17"/>
        <v>0</v>
      </c>
      <c r="E105" s="32">
        <f>+B94</f>
        <v>750</v>
      </c>
      <c r="F105" s="50">
        <f>+'Rate Schedules'!J68</f>
        <v>0.0003</v>
      </c>
      <c r="G105" s="49">
        <f t="shared" si="18"/>
        <v>0.22499999999999998</v>
      </c>
      <c r="H105" s="29">
        <f t="shared" si="19"/>
        <v>0.22499999999999998</v>
      </c>
      <c r="I105" s="30">
        <f t="shared" si="15"/>
        <v>0</v>
      </c>
      <c r="J105" s="31">
        <f t="shared" si="16"/>
        <v>0.0018031823897168685</v>
      </c>
    </row>
    <row r="106" spans="1:10" ht="12.75">
      <c r="A106" s="25" t="s">
        <v>75</v>
      </c>
      <c r="B106" s="52">
        <f>+B94</f>
        <v>750</v>
      </c>
      <c r="C106" s="53">
        <v>0</v>
      </c>
      <c r="D106" s="49">
        <f t="shared" si="17"/>
        <v>0</v>
      </c>
      <c r="E106" s="52">
        <f>+B94</f>
        <v>750</v>
      </c>
      <c r="F106" s="53">
        <v>0</v>
      </c>
      <c r="G106" s="54">
        <f t="shared" si="18"/>
        <v>0</v>
      </c>
      <c r="H106" s="29">
        <f t="shared" si="19"/>
        <v>0</v>
      </c>
      <c r="I106" s="30">
        <f t="shared" si="15"/>
        <v>0</v>
      </c>
      <c r="J106" s="31">
        <f t="shared" si="16"/>
        <v>0</v>
      </c>
    </row>
    <row r="107" spans="1:10" ht="25.5">
      <c r="A107" s="25" t="s">
        <v>88</v>
      </c>
      <c r="B107" s="55">
        <v>1</v>
      </c>
      <c r="C107" s="56">
        <f>+'Rate Schedules'!H63</f>
        <v>0</v>
      </c>
      <c r="D107" s="57">
        <f t="shared" si="17"/>
        <v>0</v>
      </c>
      <c r="E107" s="55">
        <v>1</v>
      </c>
      <c r="F107" s="58">
        <f>+'Rate Schedules'!J63</f>
        <v>0</v>
      </c>
      <c r="G107" s="49">
        <f t="shared" si="18"/>
        <v>0</v>
      </c>
      <c r="H107" s="29">
        <f t="shared" si="19"/>
        <v>0</v>
      </c>
      <c r="I107" s="30">
        <f t="shared" si="15"/>
        <v>0</v>
      </c>
      <c r="J107" s="31">
        <f t="shared" si="16"/>
        <v>0</v>
      </c>
    </row>
    <row r="108" spans="1:10" ht="25.5">
      <c r="A108" s="25" t="s">
        <v>89</v>
      </c>
      <c r="B108" s="32">
        <f>+B94</f>
        <v>750</v>
      </c>
      <c r="C108" s="59">
        <f>+'Rate Schedules'!H65</f>
        <v>0</v>
      </c>
      <c r="D108" s="57">
        <f t="shared" si="17"/>
        <v>0</v>
      </c>
      <c r="E108" s="52">
        <f>+B94</f>
        <v>750</v>
      </c>
      <c r="F108" s="50">
        <f>+'Rate Schedules'!J65</f>
        <v>0</v>
      </c>
      <c r="G108" s="49">
        <f t="shared" si="18"/>
        <v>0</v>
      </c>
      <c r="H108" s="29">
        <f t="shared" si="19"/>
        <v>0</v>
      </c>
      <c r="I108" s="30">
        <f t="shared" si="15"/>
        <v>0</v>
      </c>
      <c r="J108" s="31">
        <f t="shared" si="16"/>
        <v>0</v>
      </c>
    </row>
    <row r="109" spans="1:10" ht="25.5">
      <c r="A109" s="25" t="s">
        <v>8</v>
      </c>
      <c r="B109" s="32">
        <f>+B94*'Rate Schedules'!H119</f>
        <v>803.6249999999999</v>
      </c>
      <c r="C109" s="50">
        <f>+'Rate Schedules'!H69</f>
        <v>0.0039</v>
      </c>
      <c r="D109" s="49">
        <f t="shared" si="17"/>
        <v>3.1341374999999996</v>
      </c>
      <c r="E109" s="32">
        <f>+B94*H94</f>
        <v>803.9250000000001</v>
      </c>
      <c r="F109" s="50">
        <f>+'Rate Schedules'!J69</f>
        <v>0.0039</v>
      </c>
      <c r="G109" s="49">
        <f t="shared" si="18"/>
        <v>3.1353075</v>
      </c>
      <c r="H109" s="29">
        <f t="shared" si="19"/>
        <v>0.0011700000000005595</v>
      </c>
      <c r="I109" s="30">
        <f t="shared" si="15"/>
        <v>0.00037330844610377164</v>
      </c>
      <c r="J109" s="31">
        <f t="shared" si="16"/>
        <v>0.02512680564598765</v>
      </c>
    </row>
    <row r="110" spans="1:10" ht="39" thickBot="1">
      <c r="A110" s="25" t="s">
        <v>9</v>
      </c>
      <c r="B110" s="32">
        <f>+B94*'Rate Schedules'!H119</f>
        <v>803.6249999999999</v>
      </c>
      <c r="C110" s="50">
        <f>+'Rate Schedules'!H70</f>
        <v>0.0037</v>
      </c>
      <c r="D110" s="49">
        <f t="shared" si="17"/>
        <v>2.9734125</v>
      </c>
      <c r="E110" s="32">
        <f>+B94*H94</f>
        <v>803.9250000000001</v>
      </c>
      <c r="F110" s="50">
        <f>+'Rate Schedules'!J70</f>
        <v>0.0037</v>
      </c>
      <c r="G110" s="49">
        <f t="shared" si="18"/>
        <v>2.9745225000000004</v>
      </c>
      <c r="H110" s="29">
        <f t="shared" si="19"/>
        <v>0.0011100000000006105</v>
      </c>
      <c r="I110" s="30">
        <f t="shared" si="15"/>
        <v>0.0003733084461037984</v>
      </c>
      <c r="J110" s="31">
        <f t="shared" si="16"/>
        <v>0.02383825151029598</v>
      </c>
    </row>
    <row r="111" spans="1:10" ht="13.5" thickBot="1">
      <c r="A111" s="37" t="s">
        <v>76</v>
      </c>
      <c r="B111" s="37"/>
      <c r="C111" s="37"/>
      <c r="D111" s="38">
        <f>SUM(D102:D110)</f>
        <v>50.527550000000005</v>
      </c>
      <c r="E111" s="38"/>
      <c r="F111" s="38"/>
      <c r="G111" s="38">
        <f>SUM(G102:G110)</f>
        <v>66.68483000000002</v>
      </c>
      <c r="H111" s="39">
        <f>SUM(H102:H110)</f>
        <v>16.15728000000001</v>
      </c>
      <c r="I111" s="40">
        <f t="shared" si="15"/>
        <v>0.31977168891030755</v>
      </c>
      <c r="J111" s="41">
        <f t="shared" si="16"/>
        <v>0.5344218271878364</v>
      </c>
    </row>
    <row r="112" spans="1:10" ht="12.75">
      <c r="A112" s="60" t="s">
        <v>12</v>
      </c>
      <c r="B112" s="32">
        <f>+B94*'Rate Schedules'!H119</f>
        <v>803.6249999999999</v>
      </c>
      <c r="C112" s="62">
        <f>+'Rate Schedules'!H75</f>
        <v>0.0052</v>
      </c>
      <c r="D112" s="63">
        <f>+B112*C112</f>
        <v>4.178849999999999</v>
      </c>
      <c r="E112" s="32">
        <f>+B94*H94</f>
        <v>803.9250000000001</v>
      </c>
      <c r="F112" s="50">
        <f>+'Rate Schedules'!J75</f>
        <v>0.0052</v>
      </c>
      <c r="G112" s="63">
        <f>+E112*F112</f>
        <v>4.18041</v>
      </c>
      <c r="H112" s="64">
        <f>+G112-D112</f>
        <v>0.001560000000001338</v>
      </c>
      <c r="I112" s="30">
        <f t="shared" si="15"/>
        <v>0.0003733084461039134</v>
      </c>
      <c r="J112" s="31">
        <f t="shared" si="16"/>
        <v>0.03350240752798354</v>
      </c>
    </row>
    <row r="113" spans="1:10" ht="13.5" thickBot="1">
      <c r="A113" s="65" t="s">
        <v>13</v>
      </c>
      <c r="B113" s="32">
        <f>+B94*'Rate Schedules'!H119</f>
        <v>803.6249999999999</v>
      </c>
      <c r="C113" s="27">
        <f>+'Rate Schedules'!H76</f>
        <v>0.001</v>
      </c>
      <c r="D113" s="34">
        <f>+B113*C113</f>
        <v>0.8036249999999999</v>
      </c>
      <c r="E113" s="32">
        <f>+B94*H94</f>
        <v>803.9250000000001</v>
      </c>
      <c r="F113" s="50">
        <f>+'Rate Schedules'!J76</f>
        <v>0.001</v>
      </c>
      <c r="G113" s="49">
        <f>+E113*F113</f>
        <v>0.8039250000000001</v>
      </c>
      <c r="H113" s="29">
        <f>+G113-D113</f>
        <v>0.000300000000000189</v>
      </c>
      <c r="I113" s="30">
        <f t="shared" si="15"/>
        <v>0.00037330844610382834</v>
      </c>
      <c r="J113" s="31">
        <f t="shared" si="16"/>
        <v>0.006442770678458372</v>
      </c>
    </row>
    <row r="114" spans="1:10" ht="26.25" thickBot="1">
      <c r="A114" s="25" t="s">
        <v>77</v>
      </c>
      <c r="B114" s="43">
        <v>1</v>
      </c>
      <c r="C114" s="66">
        <f>+'Rate Schedules'!H77</f>
        <v>0.25</v>
      </c>
      <c r="D114" s="49">
        <f>+B114*C114</f>
        <v>0.25</v>
      </c>
      <c r="E114" s="43">
        <v>1</v>
      </c>
      <c r="F114" s="66">
        <f>+'Rate Schedules'!J77</f>
        <v>0.25</v>
      </c>
      <c r="G114" s="45">
        <f>+E114*F114</f>
        <v>0.25</v>
      </c>
      <c r="H114" s="29">
        <f>+G114-D114</f>
        <v>0</v>
      </c>
      <c r="I114" s="30">
        <f t="shared" si="15"/>
        <v>0</v>
      </c>
      <c r="J114" s="31">
        <f t="shared" si="16"/>
        <v>0.0020035359885742987</v>
      </c>
    </row>
    <row r="115" spans="1:10" ht="13.5" thickBot="1">
      <c r="A115" s="37" t="s">
        <v>78</v>
      </c>
      <c r="B115" s="37"/>
      <c r="C115" s="37"/>
      <c r="D115" s="38">
        <f>SUM(D112:D114)</f>
        <v>5.232474999999999</v>
      </c>
      <c r="E115" s="38"/>
      <c r="F115" s="38"/>
      <c r="G115" s="38">
        <f>SUM(G112:G114)</f>
        <v>5.234335000000001</v>
      </c>
      <c r="H115" s="39">
        <f>SUM(H112:H114)</f>
        <v>0.001860000000001527</v>
      </c>
      <c r="I115" s="40">
        <f t="shared" si="15"/>
        <v>0.0003554723147270704</v>
      </c>
      <c r="J115" s="41">
        <f t="shared" si="16"/>
        <v>0.04194871419501621</v>
      </c>
    </row>
    <row r="116" spans="1:10" ht="13.5" thickBot="1">
      <c r="A116" s="37" t="s">
        <v>79</v>
      </c>
      <c r="B116" s="32">
        <f>+B94</f>
        <v>750</v>
      </c>
      <c r="C116" s="67">
        <v>0.0051</v>
      </c>
      <c r="D116" s="38">
        <f>+B116*C116</f>
        <v>3.825</v>
      </c>
      <c r="E116" s="32">
        <f>+B94</f>
        <v>750</v>
      </c>
      <c r="F116" s="67">
        <v>0.0051</v>
      </c>
      <c r="G116" s="38">
        <f>+E116*F116</f>
        <v>3.825</v>
      </c>
      <c r="H116" s="39">
        <f>+G116-D116</f>
        <v>0</v>
      </c>
      <c r="I116" s="40">
        <f t="shared" si="15"/>
        <v>0</v>
      </c>
      <c r="J116" s="41">
        <f t="shared" si="16"/>
        <v>0.03065410062518677</v>
      </c>
    </row>
    <row r="117" spans="1:10" ht="13.5" thickBot="1">
      <c r="A117" s="37" t="s">
        <v>80</v>
      </c>
      <c r="B117" s="37"/>
      <c r="C117" s="37"/>
      <c r="D117" s="68">
        <f>+D101+D111+D115+D116</f>
        <v>102.659775</v>
      </c>
      <c r="E117" s="38"/>
      <c r="F117" s="38"/>
      <c r="G117" s="68">
        <f>+G101+G111+G115+G116</f>
        <v>118.83751500000002</v>
      </c>
      <c r="H117" s="39">
        <f>+H101+H111+H115+H116</f>
        <v>16.17774000000002</v>
      </c>
      <c r="I117" s="40">
        <f t="shared" si="15"/>
        <v>0.1575859678243014</v>
      </c>
      <c r="J117" s="41">
        <f t="shared" si="16"/>
        <v>0.9523809523809523</v>
      </c>
    </row>
    <row r="118" spans="1:10" ht="13.5" thickBot="1">
      <c r="A118" s="37" t="s">
        <v>81</v>
      </c>
      <c r="B118" s="69">
        <f>+D117</f>
        <v>102.659775</v>
      </c>
      <c r="C118" s="102">
        <v>0.05</v>
      </c>
      <c r="D118" s="38">
        <f>+B118*C118</f>
        <v>5.13298875</v>
      </c>
      <c r="E118" s="69">
        <f>+G117</f>
        <v>118.83751500000002</v>
      </c>
      <c r="F118" s="102">
        <v>0.05</v>
      </c>
      <c r="G118" s="38">
        <f>+E118*F118</f>
        <v>5.941875750000001</v>
      </c>
      <c r="H118" s="39">
        <f>+G118-D118</f>
        <v>0.8088870000000012</v>
      </c>
      <c r="I118" s="40">
        <f t="shared" si="15"/>
        <v>0.15758596782430143</v>
      </c>
      <c r="J118" s="41">
        <f t="shared" si="16"/>
        <v>0.047619047619047616</v>
      </c>
    </row>
    <row r="119" spans="1:10" ht="15.75" thickBot="1">
      <c r="A119" s="250" t="s">
        <v>82</v>
      </c>
      <c r="B119" s="251"/>
      <c r="C119" s="251"/>
      <c r="D119" s="70">
        <f>SUM(D117:D118)</f>
        <v>107.79276374999999</v>
      </c>
      <c r="E119" s="38"/>
      <c r="F119" s="38"/>
      <c r="G119" s="70">
        <f>SUM(G117:G118)</f>
        <v>124.77939075000003</v>
      </c>
      <c r="H119" s="39">
        <f>SUM(H117:H118)</f>
        <v>16.986627000000023</v>
      </c>
      <c r="I119" s="40">
        <f t="shared" si="15"/>
        <v>0.15758596782430143</v>
      </c>
      <c r="J119" s="41">
        <f t="shared" si="16"/>
        <v>1</v>
      </c>
    </row>
    <row r="120" spans="1:10" ht="12.75">
      <c r="A120" s="13"/>
      <c r="B120" s="13"/>
      <c r="C120" s="13"/>
      <c r="D120" s="13"/>
      <c r="E120" s="13"/>
      <c r="F120" s="13"/>
      <c r="G120" s="13"/>
      <c r="H120" s="13"/>
      <c r="I120" s="14"/>
      <c r="J120" s="13"/>
    </row>
    <row r="121" spans="1:10" ht="18">
      <c r="A121" s="15" t="s">
        <v>19</v>
      </c>
      <c r="B121" s="13"/>
      <c r="C121" s="13"/>
      <c r="D121" s="13"/>
      <c r="E121" s="13"/>
      <c r="F121" s="13"/>
      <c r="G121" s="13"/>
      <c r="H121" s="13"/>
      <c r="I121" s="14"/>
      <c r="J121" s="13"/>
    </row>
    <row r="122" spans="1:10" ht="13.5" thickBot="1">
      <c r="A122" s="13"/>
      <c r="B122" s="13"/>
      <c r="C122" s="13"/>
      <c r="D122" s="13"/>
      <c r="E122" s="13"/>
      <c r="F122" s="13"/>
      <c r="G122" s="13"/>
      <c r="H122" s="13"/>
      <c r="I122" s="14"/>
      <c r="J122" s="13"/>
    </row>
    <row r="123" spans="1:10" ht="12.75">
      <c r="A123" s="290" t="s">
        <v>58</v>
      </c>
      <c r="B123" s="292">
        <v>3000</v>
      </c>
      <c r="C123" s="252" t="s">
        <v>59</v>
      </c>
      <c r="D123" s="292">
        <v>10</v>
      </c>
      <c r="E123" s="252" t="s">
        <v>60</v>
      </c>
      <c r="F123" s="254" t="s">
        <v>61</v>
      </c>
      <c r="G123" s="254"/>
      <c r="H123" s="247">
        <f>H7</f>
        <v>1.0719</v>
      </c>
      <c r="I123" s="248"/>
      <c r="J123" s="13"/>
    </row>
    <row r="124" spans="1:10" ht="13.5" thickBot="1">
      <c r="A124" s="291"/>
      <c r="B124" s="293"/>
      <c r="C124" s="253"/>
      <c r="D124" s="293"/>
      <c r="E124" s="253"/>
      <c r="F124" s="255"/>
      <c r="G124" s="255"/>
      <c r="H124" s="285"/>
      <c r="I124" s="286"/>
      <c r="J124" s="13"/>
    </row>
    <row r="125" spans="1:10" ht="13.5" thickBot="1">
      <c r="A125" s="16"/>
      <c r="B125" s="13"/>
      <c r="C125" s="13"/>
      <c r="D125" s="13"/>
      <c r="E125" s="13"/>
      <c r="F125" s="13"/>
      <c r="G125" s="13"/>
      <c r="H125" s="13"/>
      <c r="I125" s="14"/>
      <c r="J125" s="13"/>
    </row>
    <row r="126" spans="1:10" ht="21" thickBot="1">
      <c r="A126" s="17"/>
      <c r="B126" s="287" t="s">
        <v>62</v>
      </c>
      <c r="C126" s="288"/>
      <c r="D126" s="289"/>
      <c r="E126" s="287" t="s">
        <v>87</v>
      </c>
      <c r="F126" s="288"/>
      <c r="G126" s="289"/>
      <c r="H126" s="287" t="s">
        <v>63</v>
      </c>
      <c r="I126" s="288"/>
      <c r="J126" s="289"/>
    </row>
    <row r="127" spans="1:10" ht="26.25" thickBot="1">
      <c r="A127" s="18"/>
      <c r="B127" s="19" t="s">
        <v>64</v>
      </c>
      <c r="C127" s="20" t="s">
        <v>65</v>
      </c>
      <c r="D127" s="21" t="s">
        <v>66</v>
      </c>
      <c r="E127" s="20" t="s">
        <v>64</v>
      </c>
      <c r="F127" s="20" t="s">
        <v>65</v>
      </c>
      <c r="G127" s="21" t="s">
        <v>66</v>
      </c>
      <c r="H127" s="22" t="s">
        <v>2</v>
      </c>
      <c r="I127" s="23" t="s">
        <v>52</v>
      </c>
      <c r="J127" s="24" t="s">
        <v>67</v>
      </c>
    </row>
    <row r="128" spans="1:10" ht="12.75">
      <c r="A128" s="25" t="s">
        <v>68</v>
      </c>
      <c r="B128" s="26">
        <v>750</v>
      </c>
      <c r="C128" s="27">
        <v>0.053</v>
      </c>
      <c r="D128" s="28">
        <f>+B128*C128</f>
        <v>39.75</v>
      </c>
      <c r="E128" s="26">
        <v>750</v>
      </c>
      <c r="F128" s="27">
        <v>0.053</v>
      </c>
      <c r="G128" s="28">
        <f>+E128*F128</f>
        <v>39.75</v>
      </c>
      <c r="H128" s="29">
        <f>+G128-D128</f>
        <v>0</v>
      </c>
      <c r="I128" s="30">
        <f aca="true" t="shared" si="20" ref="I128:I148">IF(ISERROR(H128/D128),0,H128/D128)</f>
        <v>0</v>
      </c>
      <c r="J128" s="31">
        <f>IF(ISERROR(G128/$G$148),0,G128/$G$148)</f>
        <v>0.13269050487908968</v>
      </c>
    </row>
    <row r="129" spans="1:10" ht="13.5" thickBot="1">
      <c r="A129" s="25" t="s">
        <v>69</v>
      </c>
      <c r="B129" s="32">
        <f>(B123*'Rate Schedules'!H119)-B128</f>
        <v>2464.4999999999995</v>
      </c>
      <c r="C129" s="33">
        <v>0.062</v>
      </c>
      <c r="D129" s="34">
        <f>+B129*C129</f>
        <v>152.79899999999998</v>
      </c>
      <c r="E129" s="32">
        <f>(B123*H123)-B128</f>
        <v>2465.7000000000003</v>
      </c>
      <c r="F129" s="33">
        <v>0.062</v>
      </c>
      <c r="G129" s="35">
        <f>+E129*F129</f>
        <v>152.8734</v>
      </c>
      <c r="H129" s="29">
        <f>+G129-D129</f>
        <v>0.07440000000002556</v>
      </c>
      <c r="I129" s="36">
        <f t="shared" si="20"/>
        <v>0.0004869141813756999</v>
      </c>
      <c r="J129" s="31">
        <f aca="true" t="shared" si="21" ref="J129:J148">IF(ISERROR(G129/$G$148),0,G129/$G$148)</f>
        <v>0.5103106573228434</v>
      </c>
    </row>
    <row r="130" spans="1:10" ht="13.5" thickBot="1">
      <c r="A130" s="37" t="s">
        <v>70</v>
      </c>
      <c r="B130" s="37"/>
      <c r="C130" s="37"/>
      <c r="D130" s="38">
        <f>SUM(D128:D129)</f>
        <v>192.54899999999998</v>
      </c>
      <c r="E130" s="38"/>
      <c r="F130" s="38"/>
      <c r="G130" s="38">
        <f>SUM(G128:G129)</f>
        <v>192.6234</v>
      </c>
      <c r="H130" s="39">
        <f>SUM(H128:H129)</f>
        <v>0.07440000000002556</v>
      </c>
      <c r="I130" s="40">
        <f t="shared" si="20"/>
        <v>0.00038639515136420116</v>
      </c>
      <c r="J130" s="41">
        <f t="shared" si="21"/>
        <v>0.6430011622019332</v>
      </c>
    </row>
    <row r="131" spans="1:10" ht="12.75">
      <c r="A131" s="42" t="s">
        <v>71</v>
      </c>
      <c r="B131" s="43">
        <v>10</v>
      </c>
      <c r="C131" s="44">
        <f>+'Rate Schedules'!H80</f>
        <v>1.78</v>
      </c>
      <c r="D131" s="45">
        <f aca="true" t="shared" si="22" ref="D131:D139">+B131*C131</f>
        <v>17.8</v>
      </c>
      <c r="E131" s="46">
        <v>10</v>
      </c>
      <c r="F131" s="44">
        <f>+'Rate Schedules'!J80</f>
        <v>1.63</v>
      </c>
      <c r="G131" s="45">
        <f aca="true" t="shared" si="23" ref="G131:G139">+E131*F131</f>
        <v>16.299999999999997</v>
      </c>
      <c r="H131" s="29">
        <f aca="true" t="shared" si="24" ref="H131:H139">+G131-D131</f>
        <v>-1.5000000000000036</v>
      </c>
      <c r="I131" s="30">
        <f t="shared" si="20"/>
        <v>-0.0842696629213485</v>
      </c>
      <c r="J131" s="31">
        <f t="shared" si="21"/>
        <v>0.054411452315199026</v>
      </c>
    </row>
    <row r="132" spans="1:10" ht="12.75">
      <c r="A132" s="47" t="s">
        <v>72</v>
      </c>
      <c r="B132" s="32">
        <f>+B123</f>
        <v>3000</v>
      </c>
      <c r="C132" s="48">
        <v>0</v>
      </c>
      <c r="D132" s="49">
        <f t="shared" si="22"/>
        <v>0</v>
      </c>
      <c r="E132" s="32">
        <f>+B123</f>
        <v>3000</v>
      </c>
      <c r="F132" s="48">
        <v>0</v>
      </c>
      <c r="G132" s="49">
        <f t="shared" si="23"/>
        <v>0</v>
      </c>
      <c r="H132" s="29">
        <f t="shared" si="24"/>
        <v>0</v>
      </c>
      <c r="I132" s="30">
        <f t="shared" si="20"/>
        <v>0</v>
      </c>
      <c r="J132" s="31">
        <f t="shared" si="21"/>
        <v>0</v>
      </c>
    </row>
    <row r="133" spans="1:10" ht="12.75">
      <c r="A133" s="47" t="s">
        <v>73</v>
      </c>
      <c r="B133" s="32">
        <f>+D123</f>
        <v>10</v>
      </c>
      <c r="C133" s="50">
        <f>+'Rate Schedules'!H82</f>
        <v>2.6201</v>
      </c>
      <c r="D133" s="49">
        <f t="shared" si="22"/>
        <v>26.201</v>
      </c>
      <c r="E133" s="51">
        <f>+D123</f>
        <v>10</v>
      </c>
      <c r="F133" s="50">
        <f>+'Rate Schedules'!J82</f>
        <v>1.4862</v>
      </c>
      <c r="G133" s="49">
        <f t="shared" si="23"/>
        <v>14.862</v>
      </c>
      <c r="H133" s="29">
        <f t="shared" si="24"/>
        <v>-11.339</v>
      </c>
      <c r="I133" s="30">
        <f t="shared" si="20"/>
        <v>-0.43276974161291554</v>
      </c>
      <c r="J133" s="31">
        <f t="shared" si="21"/>
        <v>0.04961122725818945</v>
      </c>
    </row>
    <row r="134" spans="1:10" ht="12.75">
      <c r="A134" s="25" t="s">
        <v>74</v>
      </c>
      <c r="B134" s="32">
        <f>+D123</f>
        <v>10</v>
      </c>
      <c r="C134" s="50">
        <f>+'Rate Schedules'!H86</f>
        <v>0</v>
      </c>
      <c r="D134" s="49">
        <f t="shared" si="22"/>
        <v>0</v>
      </c>
      <c r="E134" s="32">
        <f>+D123</f>
        <v>10</v>
      </c>
      <c r="F134" s="50">
        <f>+'Rate Schedules'!J86</f>
        <v>0.0727</v>
      </c>
      <c r="G134" s="49">
        <f t="shared" si="23"/>
        <v>0.727</v>
      </c>
      <c r="H134" s="29">
        <f t="shared" si="24"/>
        <v>0.727</v>
      </c>
      <c r="I134" s="30">
        <f t="shared" si="20"/>
        <v>0</v>
      </c>
      <c r="J134" s="31">
        <f t="shared" si="21"/>
        <v>0.002426817535776055</v>
      </c>
    </row>
    <row r="135" spans="1:10" ht="12.75">
      <c r="A135" s="25" t="s">
        <v>75</v>
      </c>
      <c r="B135" s="52">
        <f>+D123</f>
        <v>10</v>
      </c>
      <c r="C135" s="53">
        <v>0</v>
      </c>
      <c r="D135" s="49">
        <f t="shared" si="22"/>
        <v>0</v>
      </c>
      <c r="E135" s="52">
        <f>+D123</f>
        <v>10</v>
      </c>
      <c r="F135" s="53">
        <v>0</v>
      </c>
      <c r="G135" s="54">
        <f t="shared" si="23"/>
        <v>0</v>
      </c>
      <c r="H135" s="29">
        <f t="shared" si="24"/>
        <v>0</v>
      </c>
      <c r="I135" s="30">
        <f t="shared" si="20"/>
        <v>0</v>
      </c>
      <c r="J135" s="31">
        <f t="shared" si="21"/>
        <v>0</v>
      </c>
    </row>
    <row r="136" spans="1:10" ht="25.5">
      <c r="A136" s="25" t="s">
        <v>88</v>
      </c>
      <c r="B136" s="55">
        <v>1</v>
      </c>
      <c r="C136" s="56">
        <f>+'Rate Schedules'!H81</f>
        <v>0</v>
      </c>
      <c r="D136" s="57">
        <f t="shared" si="22"/>
        <v>0</v>
      </c>
      <c r="E136" s="55">
        <v>1</v>
      </c>
      <c r="F136" s="58">
        <f>+'Rate Schedules'!J81</f>
        <v>0</v>
      </c>
      <c r="G136" s="49">
        <f t="shared" si="23"/>
        <v>0</v>
      </c>
      <c r="H136" s="29">
        <f t="shared" si="24"/>
        <v>0</v>
      </c>
      <c r="I136" s="30">
        <f t="shared" si="20"/>
        <v>0</v>
      </c>
      <c r="J136" s="31">
        <f t="shared" si="21"/>
        <v>0</v>
      </c>
    </row>
    <row r="137" spans="1:10" ht="25.5">
      <c r="A137" s="25" t="s">
        <v>89</v>
      </c>
      <c r="B137" s="32">
        <f>+D123</f>
        <v>10</v>
      </c>
      <c r="C137" s="59">
        <f>+'Rate Schedules'!H83</f>
        <v>0</v>
      </c>
      <c r="D137" s="57">
        <f t="shared" si="22"/>
        <v>0</v>
      </c>
      <c r="E137" s="52">
        <f>+D123</f>
        <v>10</v>
      </c>
      <c r="F137" s="50">
        <f>+'Rate Schedules'!J83</f>
        <v>0</v>
      </c>
      <c r="G137" s="49">
        <f t="shared" si="23"/>
        <v>0</v>
      </c>
      <c r="H137" s="29">
        <f t="shared" si="24"/>
        <v>0</v>
      </c>
      <c r="I137" s="30">
        <f t="shared" si="20"/>
        <v>0</v>
      </c>
      <c r="J137" s="31">
        <f t="shared" si="21"/>
        <v>0</v>
      </c>
    </row>
    <row r="138" spans="1:10" ht="25.5">
      <c r="A138" s="25" t="s">
        <v>8</v>
      </c>
      <c r="B138" s="32">
        <f>+D123*'Rate Schedules'!H119</f>
        <v>10.715</v>
      </c>
      <c r="C138" s="50">
        <f>+'Rate Schedules'!H87</f>
        <v>1.1972</v>
      </c>
      <c r="D138" s="49">
        <f t="shared" si="22"/>
        <v>12.827998000000001</v>
      </c>
      <c r="E138" s="32">
        <f>+D123*H123</f>
        <v>10.719000000000001</v>
      </c>
      <c r="F138" s="50">
        <f>+'Rate Schedules'!J87</f>
        <v>1.1972</v>
      </c>
      <c r="G138" s="49">
        <f t="shared" si="23"/>
        <v>12.832786800000003</v>
      </c>
      <c r="H138" s="29">
        <f t="shared" si="24"/>
        <v>0.004788800000001814</v>
      </c>
      <c r="I138" s="30">
        <f t="shared" si="20"/>
        <v>0.00037330844610373445</v>
      </c>
      <c r="J138" s="31">
        <f t="shared" si="21"/>
        <v>0.04283745810057152</v>
      </c>
    </row>
    <row r="139" spans="1:10" ht="39" thickBot="1">
      <c r="A139" s="25" t="s">
        <v>9</v>
      </c>
      <c r="B139" s="32">
        <f>+D123*'Rate Schedules'!H119</f>
        <v>10.715</v>
      </c>
      <c r="C139" s="50">
        <f>+'Rate Schedules'!H88</f>
        <v>1.1635</v>
      </c>
      <c r="D139" s="49">
        <f t="shared" si="22"/>
        <v>12.4669025</v>
      </c>
      <c r="E139" s="32">
        <f>+D123*H123</f>
        <v>10.719000000000001</v>
      </c>
      <c r="F139" s="50">
        <f>+'Rate Schedules'!J88</f>
        <v>1.1635</v>
      </c>
      <c r="G139" s="49">
        <f t="shared" si="23"/>
        <v>12.471556500000002</v>
      </c>
      <c r="H139" s="29">
        <f t="shared" si="24"/>
        <v>0.004654000000002156</v>
      </c>
      <c r="I139" s="30">
        <f t="shared" si="20"/>
        <v>0.00037330844610376605</v>
      </c>
      <c r="J139" s="31">
        <f t="shared" si="21"/>
        <v>0.04163162587705894</v>
      </c>
    </row>
    <row r="140" spans="1:10" ht="13.5" thickBot="1">
      <c r="A140" s="37" t="s">
        <v>76</v>
      </c>
      <c r="B140" s="37"/>
      <c r="C140" s="37"/>
      <c r="D140" s="38">
        <f>SUM(D131:D139)</f>
        <v>69.2959005</v>
      </c>
      <c r="E140" s="38"/>
      <c r="F140" s="38"/>
      <c r="G140" s="38">
        <f>SUM(G131:G139)</f>
        <v>57.19334330000001</v>
      </c>
      <c r="H140" s="39">
        <f>SUM(H131:H139)</f>
        <v>-12.1025572</v>
      </c>
      <c r="I140" s="40">
        <f t="shared" si="20"/>
        <v>-0.17465040662831127</v>
      </c>
      <c r="J140" s="41">
        <f t="shared" si="21"/>
        <v>0.19091858108679502</v>
      </c>
    </row>
    <row r="141" spans="1:10" ht="12.75">
      <c r="A141" s="60" t="s">
        <v>12</v>
      </c>
      <c r="B141" s="32">
        <f>+B123*'Rate Schedules'!H119</f>
        <v>3214.4999999999995</v>
      </c>
      <c r="C141" s="62">
        <f>+'Rate Schedules'!H93</f>
        <v>0.0052</v>
      </c>
      <c r="D141" s="63">
        <f>+B141*C141</f>
        <v>16.715399999999995</v>
      </c>
      <c r="E141" s="32">
        <f>+B123*H123</f>
        <v>3215.7000000000003</v>
      </c>
      <c r="F141" s="50">
        <f>+'Rate Schedules'!J93</f>
        <v>0.0052</v>
      </c>
      <c r="G141" s="63">
        <f>+E141*F141</f>
        <v>16.72164</v>
      </c>
      <c r="H141" s="64">
        <f>+G141-D141</f>
        <v>0.006240000000005352</v>
      </c>
      <c r="I141" s="30">
        <f t="shared" si="20"/>
        <v>0.0003733084461039134</v>
      </c>
      <c r="J141" s="31">
        <f t="shared" si="21"/>
        <v>0.05581893972343097</v>
      </c>
    </row>
    <row r="142" spans="1:10" ht="13.5" thickBot="1">
      <c r="A142" s="65" t="s">
        <v>13</v>
      </c>
      <c r="B142" s="32">
        <f>+B123*'Rate Schedules'!H119</f>
        <v>3214.4999999999995</v>
      </c>
      <c r="C142" s="27">
        <f>+'Rate Schedules'!H94</f>
        <v>0.001</v>
      </c>
      <c r="D142" s="34">
        <f>+B142*C142</f>
        <v>3.2144999999999997</v>
      </c>
      <c r="E142" s="32">
        <f>+B123*H123</f>
        <v>3215.7000000000003</v>
      </c>
      <c r="F142" s="50">
        <f>+'Rate Schedules'!J94</f>
        <v>0.001</v>
      </c>
      <c r="G142" s="49">
        <f>+E142*F142</f>
        <v>3.2157000000000004</v>
      </c>
      <c r="H142" s="29">
        <f>+G142-D142</f>
        <v>0.001200000000000756</v>
      </c>
      <c r="I142" s="30">
        <f t="shared" si="20"/>
        <v>0.00037330844610382834</v>
      </c>
      <c r="J142" s="31">
        <f t="shared" si="21"/>
        <v>0.010734411485275187</v>
      </c>
    </row>
    <row r="143" spans="1:10" ht="26.25" thickBot="1">
      <c r="A143" s="25" t="s">
        <v>77</v>
      </c>
      <c r="B143" s="43">
        <v>1</v>
      </c>
      <c r="C143" s="66">
        <f>+'Rate Schedules'!H95</f>
        <v>0.25</v>
      </c>
      <c r="D143" s="49">
        <f>+B143*C143</f>
        <v>0.25</v>
      </c>
      <c r="E143" s="43">
        <v>1</v>
      </c>
      <c r="F143" s="66">
        <f>+'Rate Schedules'!J95</f>
        <v>0.25</v>
      </c>
      <c r="G143" s="45">
        <f>+E143*F143</f>
        <v>0.25</v>
      </c>
      <c r="H143" s="29">
        <f>+G143-D143</f>
        <v>0</v>
      </c>
      <c r="I143" s="30">
        <f t="shared" si="20"/>
        <v>0</v>
      </c>
      <c r="J143" s="31">
        <f t="shared" si="21"/>
        <v>0.0008345314772269791</v>
      </c>
    </row>
    <row r="144" spans="1:10" ht="13.5" thickBot="1">
      <c r="A144" s="37" t="s">
        <v>78</v>
      </c>
      <c r="B144" s="37"/>
      <c r="C144" s="37"/>
      <c r="D144" s="38">
        <f>SUM(D141:D143)</f>
        <v>20.179899999999996</v>
      </c>
      <c r="E144" s="38"/>
      <c r="F144" s="38"/>
      <c r="G144" s="38">
        <f>SUM(G141:G143)</f>
        <v>20.187340000000003</v>
      </c>
      <c r="H144" s="39">
        <f>SUM(H141:H143)</f>
        <v>0.007440000000006108</v>
      </c>
      <c r="I144" s="40">
        <f t="shared" si="20"/>
        <v>0.0003686836902068945</v>
      </c>
      <c r="J144" s="41">
        <f t="shared" si="21"/>
        <v>0.06738788268593314</v>
      </c>
    </row>
    <row r="145" spans="1:10" ht="13.5" thickBot="1">
      <c r="A145" s="37" t="s">
        <v>79</v>
      </c>
      <c r="B145" s="32">
        <f>+B123</f>
        <v>3000</v>
      </c>
      <c r="C145" s="67">
        <v>0.0051</v>
      </c>
      <c r="D145" s="38">
        <f>+B145*C145</f>
        <v>15.3</v>
      </c>
      <c r="E145" s="32">
        <f>+B123</f>
        <v>3000</v>
      </c>
      <c r="F145" s="67">
        <v>0.0051</v>
      </c>
      <c r="G145" s="38">
        <f>+E145*F145</f>
        <v>15.3</v>
      </c>
      <c r="H145" s="39">
        <f>+G145-D145</f>
        <v>0</v>
      </c>
      <c r="I145" s="40">
        <f t="shared" si="20"/>
        <v>0</v>
      </c>
      <c r="J145" s="41">
        <f t="shared" si="21"/>
        <v>0.05107332640629112</v>
      </c>
    </row>
    <row r="146" spans="1:10" ht="13.5" thickBot="1">
      <c r="A146" s="37" t="s">
        <v>80</v>
      </c>
      <c r="B146" s="37"/>
      <c r="C146" s="37"/>
      <c r="D146" s="68">
        <f>+D130+D140+D144+D145</f>
        <v>297.3248005</v>
      </c>
      <c r="E146" s="38"/>
      <c r="F146" s="38"/>
      <c r="G146" s="68">
        <f>+G130+G140+G144+G145</f>
        <v>285.3040833</v>
      </c>
      <c r="H146" s="39">
        <f>+H130+H140+H144+H145</f>
        <v>-12.020717199999968</v>
      </c>
      <c r="I146" s="40">
        <f t="shared" si="20"/>
        <v>-0.040429581319100114</v>
      </c>
      <c r="J146" s="41">
        <f t="shared" si="21"/>
        <v>0.9523809523809523</v>
      </c>
    </row>
    <row r="147" spans="1:10" ht="13.5" thickBot="1">
      <c r="A147" s="37" t="s">
        <v>81</v>
      </c>
      <c r="B147" s="69">
        <f>+D146</f>
        <v>297.3248005</v>
      </c>
      <c r="C147" s="102">
        <v>0.05</v>
      </c>
      <c r="D147" s="38">
        <f>+B147*C147</f>
        <v>14.866240025</v>
      </c>
      <c r="E147" s="69">
        <f>+G146</f>
        <v>285.3040833</v>
      </c>
      <c r="F147" s="102">
        <v>0.05</v>
      </c>
      <c r="G147" s="38">
        <f>+E147*F147</f>
        <v>14.265204165</v>
      </c>
      <c r="H147" s="39">
        <f>+G147-D147</f>
        <v>-0.6010358599999996</v>
      </c>
      <c r="I147" s="40">
        <f t="shared" si="20"/>
        <v>-0.0404295813191002</v>
      </c>
      <c r="J147" s="41">
        <f t="shared" si="21"/>
        <v>0.047619047619047616</v>
      </c>
    </row>
    <row r="148" spans="1:10" ht="15.75" thickBot="1">
      <c r="A148" s="250" t="s">
        <v>82</v>
      </c>
      <c r="B148" s="251"/>
      <c r="C148" s="251"/>
      <c r="D148" s="70">
        <f>SUM(D146:D147)</f>
        <v>312.191040525</v>
      </c>
      <c r="E148" s="38"/>
      <c r="F148" s="38"/>
      <c r="G148" s="70">
        <f>SUM(G146:G147)</f>
        <v>299.569287465</v>
      </c>
      <c r="H148" s="39">
        <f>SUM(H146:H147)</f>
        <v>-12.621753059999968</v>
      </c>
      <c r="I148" s="40">
        <f t="shared" si="20"/>
        <v>-0.040429581319100114</v>
      </c>
      <c r="J148" s="41">
        <f t="shared" si="21"/>
        <v>1</v>
      </c>
    </row>
    <row r="149" spans="1:10" ht="12.75">
      <c r="A149" s="13"/>
      <c r="B149" s="13"/>
      <c r="C149" s="13"/>
      <c r="D149" s="13"/>
      <c r="E149" s="13"/>
      <c r="F149" s="13"/>
      <c r="G149" s="13"/>
      <c r="H149" s="13"/>
      <c r="I149" s="14"/>
      <c r="J149" s="13"/>
    </row>
    <row r="150" spans="1:10" ht="18">
      <c r="A150" s="15" t="s">
        <v>20</v>
      </c>
      <c r="B150" s="13"/>
      <c r="C150" s="13"/>
      <c r="D150" s="13"/>
      <c r="E150" s="13"/>
      <c r="F150" s="13"/>
      <c r="G150" s="13"/>
      <c r="H150" s="13"/>
      <c r="I150" s="14"/>
      <c r="J150" s="13"/>
    </row>
    <row r="151" spans="1:10" ht="13.5" thickBot="1">
      <c r="A151" s="13"/>
      <c r="B151" s="13"/>
      <c r="C151" s="13"/>
      <c r="D151" s="13"/>
      <c r="E151" s="13"/>
      <c r="F151" s="13"/>
      <c r="G151" s="13"/>
      <c r="H151" s="13"/>
      <c r="I151" s="14"/>
      <c r="J151" s="13"/>
    </row>
    <row r="152" spans="1:10" ht="12.75">
      <c r="A152" s="290" t="s">
        <v>58</v>
      </c>
      <c r="B152" s="292">
        <v>46000</v>
      </c>
      <c r="C152" s="252" t="s">
        <v>59</v>
      </c>
      <c r="D152" s="292">
        <v>129</v>
      </c>
      <c r="E152" s="252" t="s">
        <v>60</v>
      </c>
      <c r="F152" s="254" t="s">
        <v>61</v>
      </c>
      <c r="G152" s="254"/>
      <c r="H152" s="247">
        <f>H7</f>
        <v>1.0719</v>
      </c>
      <c r="I152" s="248"/>
      <c r="J152" s="13"/>
    </row>
    <row r="153" spans="1:10" ht="13.5" thickBot="1">
      <c r="A153" s="291"/>
      <c r="B153" s="293"/>
      <c r="C153" s="253"/>
      <c r="D153" s="293"/>
      <c r="E153" s="253"/>
      <c r="F153" s="255"/>
      <c r="G153" s="255"/>
      <c r="H153" s="285"/>
      <c r="I153" s="286"/>
      <c r="J153" s="13"/>
    </row>
    <row r="154" spans="1:10" ht="13.5" thickBot="1">
      <c r="A154" s="16"/>
      <c r="B154" s="13"/>
      <c r="C154" s="13"/>
      <c r="D154" s="13"/>
      <c r="E154" s="13"/>
      <c r="F154" s="13"/>
      <c r="G154" s="13"/>
      <c r="H154" s="13"/>
      <c r="I154" s="14"/>
      <c r="J154" s="13"/>
    </row>
    <row r="155" spans="1:10" ht="21" thickBot="1">
      <c r="A155" s="17"/>
      <c r="B155" s="287" t="s">
        <v>62</v>
      </c>
      <c r="C155" s="288"/>
      <c r="D155" s="289"/>
      <c r="E155" s="287" t="s">
        <v>87</v>
      </c>
      <c r="F155" s="288"/>
      <c r="G155" s="289"/>
      <c r="H155" s="287" t="s">
        <v>63</v>
      </c>
      <c r="I155" s="288"/>
      <c r="J155" s="289"/>
    </row>
    <row r="156" spans="1:10" ht="26.25" thickBot="1">
      <c r="A156" s="18"/>
      <c r="B156" s="19" t="s">
        <v>64</v>
      </c>
      <c r="C156" s="20" t="s">
        <v>65</v>
      </c>
      <c r="D156" s="21" t="s">
        <v>66</v>
      </c>
      <c r="E156" s="20" t="s">
        <v>64</v>
      </c>
      <c r="F156" s="20" t="s">
        <v>65</v>
      </c>
      <c r="G156" s="21" t="s">
        <v>66</v>
      </c>
      <c r="H156" s="22" t="s">
        <v>2</v>
      </c>
      <c r="I156" s="23" t="s">
        <v>52</v>
      </c>
      <c r="J156" s="24" t="s">
        <v>67</v>
      </c>
    </row>
    <row r="157" spans="1:10" ht="12.75">
      <c r="A157" s="25" t="s">
        <v>68</v>
      </c>
      <c r="B157" s="26">
        <v>750</v>
      </c>
      <c r="C157" s="27">
        <v>0.053</v>
      </c>
      <c r="D157" s="28">
        <f>+B157*C157</f>
        <v>39.75</v>
      </c>
      <c r="E157" s="26">
        <v>750</v>
      </c>
      <c r="F157" s="27">
        <v>0.053</v>
      </c>
      <c r="G157" s="28">
        <f>+E157*F157</f>
        <v>39.75</v>
      </c>
      <c r="H157" s="29">
        <f>+G157-D157</f>
        <v>0</v>
      </c>
      <c r="I157" s="30">
        <f aca="true" t="shared" si="25" ref="I157:I177">IF(ISERROR(H157/D157),0,H157/D157)</f>
        <v>0</v>
      </c>
      <c r="J157" s="31">
        <f>IF(ISERROR(G157/$G$177),0,G157/$G$177)</f>
        <v>0.007100948476318576</v>
      </c>
    </row>
    <row r="158" spans="1:10" ht="13.5" thickBot="1">
      <c r="A158" s="25" t="s">
        <v>69</v>
      </c>
      <c r="B158" s="32">
        <f>(B152*'Rate Schedules'!H119)-B157</f>
        <v>48538.99999999999</v>
      </c>
      <c r="C158" s="33">
        <v>0.062</v>
      </c>
      <c r="D158" s="34">
        <f>+B158*C158</f>
        <v>3009.4179999999997</v>
      </c>
      <c r="E158" s="32">
        <f>(B152*H152)-B157</f>
        <v>48557.4</v>
      </c>
      <c r="F158" s="33">
        <v>0.062</v>
      </c>
      <c r="G158" s="35">
        <f>+E158*F158</f>
        <v>3010.5588000000002</v>
      </c>
      <c r="H158" s="29">
        <f>+G158-D158</f>
        <v>1.1408000000005813</v>
      </c>
      <c r="I158" s="36">
        <f t="shared" si="25"/>
        <v>0.00037907661880156945</v>
      </c>
      <c r="J158" s="31">
        <f aca="true" t="shared" si="26" ref="J158:J177">IF(ISERROR(G158/$G$177),0,G158/$G$177)</f>
        <v>0.5378068660057228</v>
      </c>
    </row>
    <row r="159" spans="1:10" ht="13.5" thickBot="1">
      <c r="A159" s="37" t="s">
        <v>70</v>
      </c>
      <c r="B159" s="37"/>
      <c r="C159" s="37"/>
      <c r="D159" s="38">
        <f>SUM(D157:D158)</f>
        <v>3049.1679999999997</v>
      </c>
      <c r="E159" s="38"/>
      <c r="F159" s="38"/>
      <c r="G159" s="38">
        <f>SUM(G157:G158)</f>
        <v>3050.3088000000002</v>
      </c>
      <c r="H159" s="39">
        <f>SUM(H157:H158)</f>
        <v>1.1408000000005813</v>
      </c>
      <c r="I159" s="40">
        <f t="shared" si="25"/>
        <v>0.00037413484596472924</v>
      </c>
      <c r="J159" s="41">
        <f t="shared" si="26"/>
        <v>0.5449078144820414</v>
      </c>
    </row>
    <row r="160" spans="1:10" ht="12.75">
      <c r="A160" s="42" t="s">
        <v>71</v>
      </c>
      <c r="B160" s="43">
        <v>557</v>
      </c>
      <c r="C160" s="44">
        <f>+'Rate Schedules'!H98</f>
        <v>1.77</v>
      </c>
      <c r="D160" s="45">
        <f aca="true" t="shared" si="27" ref="D160:D168">+B160*C160</f>
        <v>985.89</v>
      </c>
      <c r="E160" s="46">
        <v>557</v>
      </c>
      <c r="F160" s="44">
        <f>+'Rate Schedules'!J98</f>
        <v>2.39</v>
      </c>
      <c r="G160" s="45">
        <f aca="true" t="shared" si="28" ref="G160:G168">+E160*F160</f>
        <v>1331.23</v>
      </c>
      <c r="H160" s="29">
        <f aca="true" t="shared" si="29" ref="H160:H168">+G160-D160</f>
        <v>345.34000000000003</v>
      </c>
      <c r="I160" s="30">
        <f t="shared" si="25"/>
        <v>0.35028248587570626</v>
      </c>
      <c r="J160" s="31">
        <f t="shared" si="26"/>
        <v>0.2378112110724422</v>
      </c>
    </row>
    <row r="161" spans="1:10" ht="12.75">
      <c r="A161" s="47" t="s">
        <v>72</v>
      </c>
      <c r="B161" s="32">
        <f>+B152</f>
        <v>46000</v>
      </c>
      <c r="C161" s="48">
        <v>0</v>
      </c>
      <c r="D161" s="49">
        <f t="shared" si="27"/>
        <v>0</v>
      </c>
      <c r="E161" s="32">
        <f>+B152</f>
        <v>46000</v>
      </c>
      <c r="F161" s="48">
        <v>0</v>
      </c>
      <c r="G161" s="49">
        <f t="shared" si="28"/>
        <v>0</v>
      </c>
      <c r="H161" s="29">
        <f t="shared" si="29"/>
        <v>0</v>
      </c>
      <c r="I161" s="30">
        <f t="shared" si="25"/>
        <v>0</v>
      </c>
      <c r="J161" s="31">
        <f t="shared" si="26"/>
        <v>0</v>
      </c>
    </row>
    <row r="162" spans="1:10" ht="12.75">
      <c r="A162" s="47" t="s">
        <v>73</v>
      </c>
      <c r="B162" s="32">
        <f>+D152</f>
        <v>129</v>
      </c>
      <c r="C162" s="50">
        <f>+'Rate Schedules'!H100</f>
        <v>2.4164</v>
      </c>
      <c r="D162" s="49">
        <f t="shared" si="27"/>
        <v>311.7156</v>
      </c>
      <c r="E162" s="51">
        <f>+D152</f>
        <v>129</v>
      </c>
      <c r="F162" s="50">
        <f>+'Rate Schedules'!J100</f>
        <v>0.605</v>
      </c>
      <c r="G162" s="49">
        <f t="shared" si="28"/>
        <v>78.045</v>
      </c>
      <c r="H162" s="29">
        <f t="shared" si="29"/>
        <v>-233.67059999999998</v>
      </c>
      <c r="I162" s="30">
        <f t="shared" si="25"/>
        <v>-0.7496275451084257</v>
      </c>
      <c r="J162" s="31">
        <f t="shared" si="26"/>
        <v>0.013941975442371905</v>
      </c>
    </row>
    <row r="163" spans="1:10" ht="12.75">
      <c r="A163" s="25" t="s">
        <v>74</v>
      </c>
      <c r="B163" s="32">
        <f>+D152</f>
        <v>129</v>
      </c>
      <c r="C163" s="50">
        <f>+'Rate Schedules'!H104</f>
        <v>0</v>
      </c>
      <c r="D163" s="49">
        <f t="shared" si="27"/>
        <v>0</v>
      </c>
      <c r="E163" s="32">
        <f>+D152</f>
        <v>129</v>
      </c>
      <c r="F163" s="50">
        <f>+'Rate Schedules'!J104</f>
        <v>0.0687</v>
      </c>
      <c r="G163" s="49">
        <f t="shared" si="28"/>
        <v>8.8623</v>
      </c>
      <c r="H163" s="29">
        <f t="shared" si="29"/>
        <v>8.8623</v>
      </c>
      <c r="I163" s="30">
        <f t="shared" si="25"/>
        <v>0</v>
      </c>
      <c r="J163" s="31">
        <f t="shared" si="26"/>
        <v>0.0015831631618032228</v>
      </c>
    </row>
    <row r="164" spans="1:10" ht="12.75">
      <c r="A164" s="25" t="s">
        <v>75</v>
      </c>
      <c r="B164" s="52">
        <f>+D152</f>
        <v>129</v>
      </c>
      <c r="C164" s="53">
        <v>0</v>
      </c>
      <c r="D164" s="49">
        <f t="shared" si="27"/>
        <v>0</v>
      </c>
      <c r="E164" s="52">
        <f>+D152</f>
        <v>129</v>
      </c>
      <c r="F164" s="53">
        <v>0</v>
      </c>
      <c r="G164" s="54">
        <f t="shared" si="28"/>
        <v>0</v>
      </c>
      <c r="H164" s="29">
        <f t="shared" si="29"/>
        <v>0</v>
      </c>
      <c r="I164" s="30">
        <f t="shared" si="25"/>
        <v>0</v>
      </c>
      <c r="J164" s="31">
        <f t="shared" si="26"/>
        <v>0</v>
      </c>
    </row>
    <row r="165" spans="1:10" ht="25.5">
      <c r="A165" s="25" t="s">
        <v>88</v>
      </c>
      <c r="B165" s="55">
        <v>1</v>
      </c>
      <c r="C165" s="56">
        <f>+'Rate Schedules'!H99</f>
        <v>0</v>
      </c>
      <c r="D165" s="57">
        <f t="shared" si="27"/>
        <v>0</v>
      </c>
      <c r="E165" s="55">
        <v>1</v>
      </c>
      <c r="F165" s="58">
        <f>+'Rate Schedules'!J99</f>
        <v>0</v>
      </c>
      <c r="G165" s="49">
        <f t="shared" si="28"/>
        <v>0</v>
      </c>
      <c r="H165" s="29">
        <f t="shared" si="29"/>
        <v>0</v>
      </c>
      <c r="I165" s="30">
        <f t="shared" si="25"/>
        <v>0</v>
      </c>
      <c r="J165" s="31">
        <f t="shared" si="26"/>
        <v>0</v>
      </c>
    </row>
    <row r="166" spans="1:10" ht="25.5">
      <c r="A166" s="25" t="s">
        <v>89</v>
      </c>
      <c r="B166" s="32">
        <f>+D152</f>
        <v>129</v>
      </c>
      <c r="C166" s="59">
        <f>+'Rate Schedules'!H101</f>
        <v>0</v>
      </c>
      <c r="D166" s="57">
        <f t="shared" si="27"/>
        <v>0</v>
      </c>
      <c r="E166" s="52">
        <f>+D152</f>
        <v>129</v>
      </c>
      <c r="F166" s="50">
        <f>+'Rate Schedules'!J101</f>
        <v>0</v>
      </c>
      <c r="G166" s="49">
        <f t="shared" si="28"/>
        <v>0</v>
      </c>
      <c r="H166" s="29">
        <f t="shared" si="29"/>
        <v>0</v>
      </c>
      <c r="I166" s="30">
        <f t="shared" si="25"/>
        <v>0</v>
      </c>
      <c r="J166" s="31">
        <f t="shared" si="26"/>
        <v>0</v>
      </c>
    </row>
    <row r="167" spans="1:10" ht="25.5">
      <c r="A167" s="25" t="s">
        <v>8</v>
      </c>
      <c r="B167" s="32">
        <f>+D152*'Rate Schedules'!H119</f>
        <v>138.22349999999997</v>
      </c>
      <c r="C167" s="50">
        <f>+'Rate Schedules'!H105</f>
        <v>1.1911</v>
      </c>
      <c r="D167" s="49">
        <f t="shared" si="27"/>
        <v>164.63801084999997</v>
      </c>
      <c r="E167" s="32">
        <f>+D152*H152</f>
        <v>138.2751</v>
      </c>
      <c r="F167" s="50">
        <f>+'Rate Schedules'!J105</f>
        <v>1.1911</v>
      </c>
      <c r="G167" s="49">
        <f t="shared" si="28"/>
        <v>164.69947161000002</v>
      </c>
      <c r="H167" s="29">
        <f t="shared" si="29"/>
        <v>0.06146076000004541</v>
      </c>
      <c r="I167" s="30">
        <f t="shared" si="25"/>
        <v>0.000373308446103869</v>
      </c>
      <c r="J167" s="31">
        <f t="shared" si="26"/>
        <v>0.02942194872904413</v>
      </c>
    </row>
    <row r="168" spans="1:10" ht="39" thickBot="1">
      <c r="A168" s="25" t="s">
        <v>9</v>
      </c>
      <c r="B168" s="32">
        <f>+D152*'Rate Schedules'!H119</f>
        <v>138.22349999999997</v>
      </c>
      <c r="C168" s="50">
        <f>+'Rate Schedules'!H106</f>
        <v>1.1396</v>
      </c>
      <c r="D168" s="49">
        <f t="shared" si="27"/>
        <v>157.51950059999996</v>
      </c>
      <c r="E168" s="32">
        <f>+D152*H152</f>
        <v>138.2751</v>
      </c>
      <c r="F168" s="50">
        <f>+'Rate Schedules'!J106</f>
        <v>1.1396</v>
      </c>
      <c r="G168" s="49">
        <f t="shared" si="28"/>
        <v>157.57830396</v>
      </c>
      <c r="H168" s="29">
        <f t="shared" si="29"/>
        <v>0.058803360000041494</v>
      </c>
      <c r="I168" s="30">
        <f t="shared" si="25"/>
        <v>0.00037330844610385664</v>
      </c>
      <c r="J168" s="31">
        <f t="shared" si="26"/>
        <v>0.028149821821525218</v>
      </c>
    </row>
    <row r="169" spans="1:10" ht="13.5" thickBot="1">
      <c r="A169" s="37" t="s">
        <v>76</v>
      </c>
      <c r="B169" s="37"/>
      <c r="C169" s="37"/>
      <c r="D169" s="38">
        <f>SUM(D160:D168)</f>
        <v>1619.7631114499998</v>
      </c>
      <c r="E169" s="38"/>
      <c r="F169" s="38"/>
      <c r="G169" s="38">
        <f>SUM(G160:G168)</f>
        <v>1740.4150755700002</v>
      </c>
      <c r="H169" s="39">
        <f>SUM(H160:H168)</f>
        <v>120.65196412000014</v>
      </c>
      <c r="I169" s="40">
        <f t="shared" si="25"/>
        <v>0.0744874131699378</v>
      </c>
      <c r="J169" s="41">
        <f t="shared" si="26"/>
        <v>0.3109081202271867</v>
      </c>
    </row>
    <row r="170" spans="1:10" ht="13.5" thickBot="1">
      <c r="A170" s="60" t="s">
        <v>12</v>
      </c>
      <c r="B170" s="61">
        <f>+B152*'Rate Schedules'!H119</f>
        <v>49288.99999999999</v>
      </c>
      <c r="C170" s="62">
        <f>+'Rate Schedules'!H111</f>
        <v>0.0052</v>
      </c>
      <c r="D170" s="63">
        <f>+B170*C170</f>
        <v>256.30279999999993</v>
      </c>
      <c r="E170" s="61">
        <f>+B152*H152</f>
        <v>49307.4</v>
      </c>
      <c r="F170" s="50">
        <f>+'Rate Schedules'!J111</f>
        <v>0.0052</v>
      </c>
      <c r="G170" s="63">
        <f>+E170*F170</f>
        <v>256.39848</v>
      </c>
      <c r="H170" s="64">
        <f>+G170-D170</f>
        <v>0.0956800000000726</v>
      </c>
      <c r="I170" s="30">
        <f t="shared" si="25"/>
        <v>0.0003733084461038764</v>
      </c>
      <c r="J170" s="31">
        <f t="shared" si="26"/>
        <v>0.045803079141796196</v>
      </c>
    </row>
    <row r="171" spans="1:10" ht="13.5" thickBot="1">
      <c r="A171" s="65" t="s">
        <v>13</v>
      </c>
      <c r="B171" s="61">
        <f>+B152*'Rate Schedules'!H119</f>
        <v>49288.99999999999</v>
      </c>
      <c r="C171" s="27">
        <f>+'Rate Schedules'!H112</f>
        <v>0.001</v>
      </c>
      <c r="D171" s="34">
        <f>+B171*C171</f>
        <v>49.288999999999994</v>
      </c>
      <c r="E171" s="61">
        <f>+B152*H152</f>
        <v>49307.4</v>
      </c>
      <c r="F171" s="50">
        <f>+'Rate Schedules'!J112</f>
        <v>0.001</v>
      </c>
      <c r="G171" s="49">
        <f>+E171*F171</f>
        <v>49.3074</v>
      </c>
      <c r="H171" s="29">
        <f>+G171-D171</f>
        <v>0.018400000000006855</v>
      </c>
      <c r="I171" s="30">
        <f t="shared" si="25"/>
        <v>0.0003733084461037322</v>
      </c>
      <c r="J171" s="31">
        <f t="shared" si="26"/>
        <v>0.008808284450345422</v>
      </c>
    </row>
    <row r="172" spans="1:10" ht="26.25" thickBot="1">
      <c r="A172" s="25" t="s">
        <v>77</v>
      </c>
      <c r="B172" s="43">
        <v>1</v>
      </c>
      <c r="C172" s="66">
        <f>+'Rate Schedules'!H113</f>
        <v>0.25</v>
      </c>
      <c r="D172" s="49">
        <f>+B172*C172</f>
        <v>0.25</v>
      </c>
      <c r="E172" s="43">
        <v>1</v>
      </c>
      <c r="F172" s="66">
        <f>+'Rate Schedules'!J113</f>
        <v>0.25</v>
      </c>
      <c r="G172" s="45">
        <f>+E172*F172</f>
        <v>0.25</v>
      </c>
      <c r="H172" s="29">
        <f>+G172-D172</f>
        <v>0</v>
      </c>
      <c r="I172" s="30">
        <f t="shared" si="25"/>
        <v>0</v>
      </c>
      <c r="J172" s="31">
        <f t="shared" si="26"/>
        <v>4.466005331017972E-05</v>
      </c>
    </row>
    <row r="173" spans="1:10" ht="13.5" thickBot="1">
      <c r="A173" s="37" t="s">
        <v>78</v>
      </c>
      <c r="B173" s="37"/>
      <c r="C173" s="37"/>
      <c r="D173" s="38">
        <f>SUM(D170:D172)</f>
        <v>305.8417999999999</v>
      </c>
      <c r="E173" s="38"/>
      <c r="F173" s="38"/>
      <c r="G173" s="38">
        <f>SUM(G170:G172)</f>
        <v>305.95588</v>
      </c>
      <c r="H173" s="39">
        <f>SUM(H170:H172)</f>
        <v>0.11408000000007945</v>
      </c>
      <c r="I173" s="40">
        <f t="shared" si="25"/>
        <v>0.00037300329778362367</v>
      </c>
      <c r="J173" s="41">
        <f t="shared" si="26"/>
        <v>0.054656023645451794</v>
      </c>
    </row>
    <row r="174" spans="1:10" ht="13.5" thickBot="1">
      <c r="A174" s="37" t="s">
        <v>79</v>
      </c>
      <c r="B174" s="32">
        <f>+B152</f>
        <v>46000</v>
      </c>
      <c r="C174" s="67">
        <v>0.0051</v>
      </c>
      <c r="D174" s="38">
        <f>+B174*C174</f>
        <v>234.60000000000002</v>
      </c>
      <c r="E174" s="32">
        <f>+B152</f>
        <v>46000</v>
      </c>
      <c r="F174" s="67">
        <v>0.0051</v>
      </c>
      <c r="G174" s="38">
        <f>+E174*F174</f>
        <v>234.60000000000002</v>
      </c>
      <c r="H174" s="39">
        <f>+G174-D174</f>
        <v>0</v>
      </c>
      <c r="I174" s="40">
        <f t="shared" si="25"/>
        <v>0</v>
      </c>
      <c r="J174" s="41">
        <f t="shared" si="26"/>
        <v>0.041908994026272656</v>
      </c>
    </row>
    <row r="175" spans="1:10" ht="13.5" thickBot="1">
      <c r="A175" s="37" t="s">
        <v>80</v>
      </c>
      <c r="B175" s="37"/>
      <c r="C175" s="37"/>
      <c r="D175" s="68">
        <f>+D159+D169+D173+D174</f>
        <v>5209.37291145</v>
      </c>
      <c r="E175" s="38"/>
      <c r="F175" s="38"/>
      <c r="G175" s="68">
        <f>+G159+G169+G173+G174</f>
        <v>5331.27975557</v>
      </c>
      <c r="H175" s="39">
        <f>+H159+H169+H173+H174</f>
        <v>121.90684412000081</v>
      </c>
      <c r="I175" s="40">
        <f t="shared" si="25"/>
        <v>0.023401443166423022</v>
      </c>
      <c r="J175" s="41">
        <f t="shared" si="26"/>
        <v>0.9523809523809524</v>
      </c>
    </row>
    <row r="176" spans="1:10" ht="13.5" thickBot="1">
      <c r="A176" s="37" t="s">
        <v>81</v>
      </c>
      <c r="B176" s="69">
        <f>+D175</f>
        <v>5209.37291145</v>
      </c>
      <c r="C176" s="102">
        <v>0.05</v>
      </c>
      <c r="D176" s="38">
        <f>+B176*C176</f>
        <v>260.4686455725</v>
      </c>
      <c r="E176" s="69">
        <f>+G175</f>
        <v>5331.27975557</v>
      </c>
      <c r="F176" s="102">
        <v>0.05</v>
      </c>
      <c r="G176" s="38">
        <f>+E176*F176</f>
        <v>266.5639877785</v>
      </c>
      <c r="H176" s="39">
        <f>+G176-D176</f>
        <v>6.095342205999998</v>
      </c>
      <c r="I176" s="40">
        <f t="shared" si="25"/>
        <v>0.02340144316642286</v>
      </c>
      <c r="J176" s="41">
        <f t="shared" si="26"/>
        <v>0.04761904761904762</v>
      </c>
    </row>
    <row r="177" spans="1:10" ht="15.75" thickBot="1">
      <c r="A177" s="250" t="s">
        <v>82</v>
      </c>
      <c r="B177" s="251"/>
      <c r="C177" s="251"/>
      <c r="D177" s="70">
        <f>SUM(D175:D176)</f>
        <v>5469.841557022501</v>
      </c>
      <c r="E177" s="38"/>
      <c r="F177" s="38"/>
      <c r="G177" s="70">
        <f>SUM(G175:G176)</f>
        <v>5597.8437433485</v>
      </c>
      <c r="H177" s="39">
        <f>SUM(H175:H176)</f>
        <v>128.0021863260008</v>
      </c>
      <c r="I177" s="40">
        <f t="shared" si="25"/>
        <v>0.02340144316642301</v>
      </c>
      <c r="J177" s="41">
        <f t="shared" si="26"/>
        <v>1</v>
      </c>
    </row>
  </sheetData>
  <mergeCells count="70">
    <mergeCell ref="A177:C177"/>
    <mergeCell ref="E152:E153"/>
    <mergeCell ref="F152:G153"/>
    <mergeCell ref="H152:I153"/>
    <mergeCell ref="A148:C148"/>
    <mergeCell ref="B155:D155"/>
    <mergeCell ref="E155:G155"/>
    <mergeCell ref="H155:J155"/>
    <mergeCell ref="A152:A153"/>
    <mergeCell ref="B152:B153"/>
    <mergeCell ref="C152:C153"/>
    <mergeCell ref="D152:D153"/>
    <mergeCell ref="E123:E124"/>
    <mergeCell ref="F123:G124"/>
    <mergeCell ref="H123:I124"/>
    <mergeCell ref="B126:D126"/>
    <mergeCell ref="E126:G126"/>
    <mergeCell ref="H126:J126"/>
    <mergeCell ref="A123:A124"/>
    <mergeCell ref="B123:B124"/>
    <mergeCell ref="C123:C124"/>
    <mergeCell ref="D123:D124"/>
    <mergeCell ref="B97:D97"/>
    <mergeCell ref="E97:G97"/>
    <mergeCell ref="H97:J97"/>
    <mergeCell ref="A119:C119"/>
    <mergeCell ref="D94:D95"/>
    <mergeCell ref="E94:E95"/>
    <mergeCell ref="F94:G95"/>
    <mergeCell ref="H94:I95"/>
    <mergeCell ref="A90:C90"/>
    <mergeCell ref="A94:A95"/>
    <mergeCell ref="B94:B95"/>
    <mergeCell ref="C94:C95"/>
    <mergeCell ref="E65:E66"/>
    <mergeCell ref="F65:G66"/>
    <mergeCell ref="H65:I66"/>
    <mergeCell ref="B68:D68"/>
    <mergeCell ref="E68:G68"/>
    <mergeCell ref="H68:J68"/>
    <mergeCell ref="A65:A66"/>
    <mergeCell ref="B65:B66"/>
    <mergeCell ref="C65:C66"/>
    <mergeCell ref="D65:D66"/>
    <mergeCell ref="B39:D39"/>
    <mergeCell ref="E39:G39"/>
    <mergeCell ref="H39:J39"/>
    <mergeCell ref="A61:C61"/>
    <mergeCell ref="D36:D37"/>
    <mergeCell ref="E36:E37"/>
    <mergeCell ref="F36:G37"/>
    <mergeCell ref="H36:I37"/>
    <mergeCell ref="A32:C32"/>
    <mergeCell ref="A36:A37"/>
    <mergeCell ref="B36:B37"/>
    <mergeCell ref="C36:C37"/>
    <mergeCell ref="E7:E8"/>
    <mergeCell ref="F7:G8"/>
    <mergeCell ref="H7:I8"/>
    <mergeCell ref="B10:D10"/>
    <mergeCell ref="E10:G10"/>
    <mergeCell ref="H10:J10"/>
    <mergeCell ref="A7:A8"/>
    <mergeCell ref="B7:B8"/>
    <mergeCell ref="C7:C8"/>
    <mergeCell ref="D7:D8"/>
    <mergeCell ref="A3:J3"/>
    <mergeCell ref="A4:J4"/>
    <mergeCell ref="A2:J2"/>
    <mergeCell ref="A1:J1"/>
  </mergeCells>
  <printOptions/>
  <pageMargins left="0.75" right="0.75" top="1" bottom="1" header="0.5" footer="0.5"/>
  <pageSetup fitToHeight="3" fitToWidth="1" horizontalDpi="600" verticalDpi="600" orientation="portrait" scale="54" r:id="rId1"/>
  <headerFooter alignWithMargins="0">
    <oddFooter>&amp;C&amp;A</oddFooter>
  </headerFooter>
  <ignoredErrors>
    <ignoredError sqref="D14" formula="1"/>
  </ignoredErrors>
</worksheet>
</file>

<file path=xl/worksheets/sheet25.xml><?xml version="1.0" encoding="utf-8"?>
<worksheet xmlns="http://schemas.openxmlformats.org/spreadsheetml/2006/main" xmlns:r="http://schemas.openxmlformats.org/officeDocument/2006/relationships">
  <sheetPr>
    <tabColor indexed="33"/>
    <pageSetUpPr fitToPage="1"/>
  </sheetPr>
  <dimension ref="A1:J45"/>
  <sheetViews>
    <sheetView workbookViewId="0" topLeftCell="A1">
      <selection activeCell="A3" sqref="A3:I3"/>
    </sheetView>
  </sheetViews>
  <sheetFormatPr defaultColWidth="9.140625" defaultRowHeight="12.75"/>
  <cols>
    <col min="1" max="1" width="40.421875" style="0" customWidth="1"/>
    <col min="2" max="2" width="15.57421875" style="0" customWidth="1"/>
    <col min="3" max="3" width="16.00390625" style="0" customWidth="1"/>
    <col min="4" max="6" width="16.28125" style="0" customWidth="1"/>
    <col min="7" max="7" width="14.421875" style="0" customWidth="1"/>
    <col min="8" max="8" width="8.8515625" style="0" customWidth="1"/>
    <col min="9" max="9" width="9.57421875" style="0" customWidth="1"/>
  </cols>
  <sheetData>
    <row r="1" spans="1:9" ht="15.75">
      <c r="A1" s="262" t="s">
        <v>258</v>
      </c>
      <c r="B1" s="262"/>
      <c r="C1" s="262"/>
      <c r="D1" s="262"/>
      <c r="E1" s="262"/>
      <c r="F1" s="262"/>
      <c r="G1" s="262"/>
      <c r="H1" s="262"/>
      <c r="I1" s="262"/>
    </row>
    <row r="2" spans="1:10" ht="15.75">
      <c r="A2" s="262" t="s">
        <v>139</v>
      </c>
      <c r="B2" s="262"/>
      <c r="C2" s="262"/>
      <c r="D2" s="262"/>
      <c r="E2" s="262"/>
      <c r="F2" s="262"/>
      <c r="G2" s="262"/>
      <c r="H2" s="262"/>
      <c r="I2" s="262"/>
      <c r="J2" s="136"/>
    </row>
    <row r="3" spans="1:10" ht="15.75">
      <c r="A3" s="262" t="s">
        <v>135</v>
      </c>
      <c r="B3" s="262"/>
      <c r="C3" s="262"/>
      <c r="D3" s="262"/>
      <c r="E3" s="262"/>
      <c r="F3" s="262"/>
      <c r="G3" s="262"/>
      <c r="H3" s="262"/>
      <c r="I3" s="262"/>
      <c r="J3" s="136"/>
    </row>
    <row r="4" spans="1:10" ht="15.75">
      <c r="A4" s="262" t="s">
        <v>140</v>
      </c>
      <c r="B4" s="262"/>
      <c r="C4" s="262"/>
      <c r="D4" s="262"/>
      <c r="E4" s="262"/>
      <c r="F4" s="262"/>
      <c r="G4" s="262"/>
      <c r="H4" s="262"/>
      <c r="I4" s="262"/>
      <c r="J4" s="136"/>
    </row>
    <row r="5" ht="13.5" thickBot="1"/>
    <row r="6" spans="1:9" ht="15.75">
      <c r="A6" s="71" t="s">
        <v>48</v>
      </c>
      <c r="B6" s="72" t="s">
        <v>58</v>
      </c>
      <c r="C6" s="72" t="s">
        <v>58</v>
      </c>
      <c r="D6" s="73" t="s">
        <v>91</v>
      </c>
      <c r="E6" s="73" t="s">
        <v>91</v>
      </c>
      <c r="F6" s="72" t="s">
        <v>83</v>
      </c>
      <c r="G6" s="72" t="s">
        <v>84</v>
      </c>
      <c r="H6" s="72" t="s">
        <v>85</v>
      </c>
      <c r="I6" s="72" t="s">
        <v>86</v>
      </c>
    </row>
    <row r="7" spans="1:9" ht="16.5" thickBot="1">
      <c r="A7" s="74"/>
      <c r="B7" s="75" t="s">
        <v>59</v>
      </c>
      <c r="C7" s="75" t="s">
        <v>60</v>
      </c>
      <c r="D7" s="75" t="s">
        <v>92</v>
      </c>
      <c r="E7" s="75" t="s">
        <v>93</v>
      </c>
      <c r="F7" s="75" t="s">
        <v>2</v>
      </c>
      <c r="G7" s="75" t="s">
        <v>52</v>
      </c>
      <c r="H7" s="76"/>
      <c r="I7" s="76"/>
    </row>
    <row r="8" spans="1:9" ht="12.75">
      <c r="A8" s="77" t="s">
        <v>0</v>
      </c>
      <c r="B8" s="78">
        <v>250</v>
      </c>
      <c r="C8" s="78"/>
      <c r="D8" s="79">
        <f>+(($B8*'Rate Schedules'!$H$119*'Rate Schedules'!$H$116)+('Rate Schedules'!$H$8+'Rate Schedules'!$H$9)+'Bill Impact 2006 EDR Alloc'!$B8*('Rate Schedules'!$H$10+'Rate Schedules'!$H$11+'Rate Schedules'!$H$14)+'Bill Impact 2006 EDR Alloc'!$B8*'Rate Schedules'!$H$119*('Rate Schedules'!$H$15+'Rate Schedules'!$H$16+'Rate Schedules'!$H$21+'Rate Schedules'!$H$22)+('Bill Impact 2006 EDR Alloc'!$B8*0.0051)+'Rate Schedules'!$H$23)*1.05</f>
        <v>39.66726750000001</v>
      </c>
      <c r="E8" s="79">
        <f>+(($B8*'Rate Schedules'!$J$119*'Rate Schedules'!$J$116)+('Rate Schedules'!$J$8+'Rate Schedules'!$J$9)+'Bill Impact 2006 EDR Alloc'!$B8*('Rate Schedules'!$J$10+'Rate Schedules'!$J$11+'Rate Schedules'!$J$14)+'Bill Impact 2006 EDR Alloc'!$B8*'Rate Schedules'!$J$119*('Rate Schedules'!$J$15+'Rate Schedules'!$J$16+'Rate Schedules'!$J$21+'Rate Schedules'!$J$22)+('Bill Impact 2006 EDR Alloc'!$B8*0.0051)+'Rate Schedules'!$J$23)*1.05</f>
        <v>46.8773655</v>
      </c>
      <c r="F8" s="80">
        <f>+E8-D8</f>
        <v>7.210097999999995</v>
      </c>
      <c r="G8" s="81">
        <f>+F8/D8</f>
        <v>0.18176442327417672</v>
      </c>
      <c r="H8" s="82">
        <f>MAX(G8:G14)</f>
        <v>0.18176442327417672</v>
      </c>
      <c r="I8" s="83">
        <f>MIN(G8:G14)</f>
        <v>0.04682741383083898</v>
      </c>
    </row>
    <row r="9" spans="1:9" ht="12.75">
      <c r="A9" s="84"/>
      <c r="B9" s="85">
        <v>500</v>
      </c>
      <c r="C9" s="86"/>
      <c r="D9" s="87">
        <f>+(($B9*'Rate Schedules'!$H$119*'Rate Schedules'!$H$116)+('Rate Schedules'!$H$8+'Rate Schedules'!$H$9)+'Bill Impact 2006 EDR Alloc'!$B9*('Rate Schedules'!$H$10+'Rate Schedules'!$H$11+'Rate Schedules'!$H$14)+'Bill Impact 2006 EDR Alloc'!$B9*'Rate Schedules'!$H$119*('Rate Schedules'!$H$15+'Rate Schedules'!$H$16+'Rate Schedules'!$H$21+'Rate Schedules'!$H$22)+('Bill Impact 2006 EDR Alloc'!$B9*0.0051)+'Rate Schedules'!$H$23)*1.05</f>
        <v>61.936035</v>
      </c>
      <c r="E9" s="87">
        <f>+(($B9*'Rate Schedules'!$J$119*'Rate Schedules'!$J$116)+('Rate Schedules'!$J$8+'Rate Schedules'!$J$9)+'Bill Impact 2006 EDR Alloc'!$B9*('Rate Schedules'!$J$10+'Rate Schedules'!$J$11+'Rate Schedules'!$J$14)+'Bill Impact 2006 EDR Alloc'!$B9*'Rate Schedules'!$J$119*('Rate Schedules'!$J$15+'Rate Schedules'!$J$16+'Rate Schedules'!$J$21+'Rate Schedules'!$J$22)+('Bill Impact 2006 EDR Alloc'!$B9*0.0051)+'Rate Schedules'!$J$23)*1.05</f>
        <v>69.52073100000001</v>
      </c>
      <c r="F9" s="88">
        <f aca="true" t="shared" si="0" ref="F9:F14">+E9-D9</f>
        <v>7.584696000000015</v>
      </c>
      <c r="G9" s="89">
        <f aca="true" t="shared" si="1" ref="G9:G14">+F9/D9</f>
        <v>0.12246014779602885</v>
      </c>
      <c r="H9" s="294"/>
      <c r="I9" s="295"/>
    </row>
    <row r="10" spans="1:9" ht="12.75">
      <c r="A10" s="180" t="s">
        <v>261</v>
      </c>
      <c r="B10" s="181">
        <v>791</v>
      </c>
      <c r="C10" s="182"/>
      <c r="D10" s="183">
        <f>+((600*'Rate Schedules'!$H$116)+((($B10*'Rate Schedules'!$H$119)-600)*'Rate Schedules'!$H$117)+('Rate Schedules'!$H$8+'Rate Schedules'!$H$9)+'Bill Impact 2006 EDR Alloc'!$B10*('Rate Schedules'!$H$10+'Rate Schedules'!$H$11+'Rate Schedules'!$H$14)+'Bill Impact 2006 EDR Alloc'!$B10*'Rate Schedules'!$H$119*('Rate Schedules'!$H$15+'Rate Schedules'!$H$16+'Rate Schedules'!$H$21+'Rate Schedules'!$H$22)+('Bill Impact 2006 EDR Alloc'!$B10*0.0051)+'Rate Schedules'!$H$23)*1.05</f>
        <v>90.196289295</v>
      </c>
      <c r="E10" s="183">
        <f>+((600*'Rate Schedules'!$J$116)+((($B10*'Rate Schedules'!$J$119)-600)*'Rate Schedules'!$J$117)+('Rate Schedules'!$J$8+'Rate Schedules'!$J$9)+'Bill Impact 2006 EDR Alloc'!$B10*('Rate Schedules'!$J$10+'Rate Schedules'!$J$11+'Rate Schedules'!$J$14)+'Bill Impact 2006 EDR Alloc'!$B10*'Rate Schedules'!$J$119*('Rate Schedules'!$J$15+'Rate Schedules'!$J$16+'Rate Schedules'!$J$21+'Rate Schedules'!$J$22)+('Bill Impact 2006 EDR Alloc'!$B10*0.0051)+'Rate Schedules'!$J$23)*1.05</f>
        <v>98.220007347</v>
      </c>
      <c r="F10" s="183">
        <f t="shared" si="0"/>
        <v>8.023718052000007</v>
      </c>
      <c r="G10" s="184">
        <f t="shared" si="1"/>
        <v>0.08895840521506686</v>
      </c>
      <c r="H10" s="296"/>
      <c r="I10" s="297"/>
    </row>
    <row r="11" spans="1:9" ht="12.75">
      <c r="A11" s="90"/>
      <c r="B11" s="85">
        <v>1000</v>
      </c>
      <c r="C11" s="86"/>
      <c r="D11" s="87">
        <f>+((600*'Rate Schedules'!$H$116)+((($B11*'Rate Schedules'!$H$119)-600)*'Rate Schedules'!$H$117)+('Rate Schedules'!$H$8+'Rate Schedules'!$H$9)+'Bill Impact 2006 EDR Alloc'!$B11*('Rate Schedules'!$H$10+'Rate Schedules'!$H$11+'Rate Schedules'!$H$14)+'Bill Impact 2006 EDR Alloc'!$B11*'Rate Schedules'!$H$119*('Rate Schedules'!$H$15+'Rate Schedules'!$H$16+'Rate Schedules'!$H$21+'Rate Schedules'!$H$22)+('Bill Impact 2006 EDR Alloc'!$B11*0.0051)+'Rate Schedules'!$H$23)*1.05</f>
        <v>110.92924500000001</v>
      </c>
      <c r="E11" s="87">
        <f>+((600*'Rate Schedules'!$J$116)+((($B11*'Rate Schedules'!$J$119)-600)*'Rate Schedules'!$J$117)+('Rate Schedules'!$J$8+'Rate Schedules'!$J$9)+'Bill Impact 2006 EDR Alloc'!$B11*('Rate Schedules'!$J$10+'Rate Schedules'!$J$11+'Rate Schedules'!$J$14)+'Bill Impact 2006 EDR Alloc'!$B11*'Rate Schedules'!$J$119*('Rate Schedules'!$J$15+'Rate Schedules'!$J$16+'Rate Schedules'!$J$21+'Rate Schedules'!$J$22)+('Bill Impact 2006 EDR Alloc'!$B11*0.0051)+'Rate Schedules'!$J$23)*1.05</f>
        <v>119.26691700000002</v>
      </c>
      <c r="F11" s="88">
        <f t="shared" si="0"/>
        <v>8.337672000000012</v>
      </c>
      <c r="G11" s="89">
        <f t="shared" si="1"/>
        <v>0.07516207290512084</v>
      </c>
      <c r="H11" s="296"/>
      <c r="I11" s="297"/>
    </row>
    <row r="12" spans="1:9" ht="12.75">
      <c r="A12" s="90"/>
      <c r="B12" s="85">
        <v>1250</v>
      </c>
      <c r="C12" s="86"/>
      <c r="D12" s="87">
        <f>+((600*'Rate Schedules'!$H$116)+((($B12*'Rate Schedules'!$H$119)-600)*'Rate Schedules'!$H$117)+('Rate Schedules'!$H$8+'Rate Schedules'!$H$9)+'Bill Impact 2006 EDR Alloc'!$B12*('Rate Schedules'!$H$10+'Rate Schedules'!$H$11+'Rate Schedules'!$H$14)+'Bill Impact 2006 EDR Alloc'!$B12*'Rate Schedules'!$H$119*('Rate Schedules'!$H$15+'Rate Schedules'!$H$16+'Rate Schedules'!$H$21+'Rate Schedules'!$H$22)+('Bill Impact 2006 EDR Alloc'!$B12*0.0051)+'Rate Schedules'!$H$23)*1.05</f>
        <v>135.72943125</v>
      </c>
      <c r="E12" s="87">
        <f>+((600*'Rate Schedules'!$J$116)+((($B12*'Rate Schedules'!$J$119)-600)*'Rate Schedules'!$J$117)+('Rate Schedules'!$J$8+'Rate Schedules'!$J$9)+'Bill Impact 2006 EDR Alloc'!$B12*('Rate Schedules'!$J$10+'Rate Schedules'!$J$11+'Rate Schedules'!$J$14)+'Bill Impact 2006 EDR Alloc'!$B12*'Rate Schedules'!$J$119*('Rate Schedules'!$J$15+'Rate Schedules'!$J$16+'Rate Schedules'!$J$21+'Rate Schedules'!$J$22)+('Bill Impact 2006 EDR Alloc'!$B12*0.0051)+'Rate Schedules'!$J$23)*1.05</f>
        <v>144.44264625</v>
      </c>
      <c r="F12" s="88">
        <f t="shared" si="0"/>
        <v>8.713214999999991</v>
      </c>
      <c r="G12" s="89">
        <f t="shared" si="1"/>
        <v>0.06419547271181829</v>
      </c>
      <c r="H12" s="296"/>
      <c r="I12" s="297"/>
    </row>
    <row r="13" spans="1:9" ht="12.75">
      <c r="A13" s="90"/>
      <c r="B13" s="85">
        <v>1500</v>
      </c>
      <c r="C13" s="86"/>
      <c r="D13" s="87">
        <f>+((600*'Rate Schedules'!$H$116)+((($B13*'Rate Schedules'!$H$119)-600)*'Rate Schedules'!$H$117)+('Rate Schedules'!$H$8+'Rate Schedules'!$H$9)+'Bill Impact 2006 EDR Alloc'!$B13*('Rate Schedules'!$H$10+'Rate Schedules'!$H$11+'Rate Schedules'!$H$14)+'Bill Impact 2006 EDR Alloc'!$B13*'Rate Schedules'!$H$119*('Rate Schedules'!$H$15+'Rate Schedules'!$H$16+'Rate Schedules'!$H$21+'Rate Schedules'!$H$22)+('Bill Impact 2006 EDR Alloc'!$B13*0.0051)+'Rate Schedules'!$H$23)*1.05</f>
        <v>160.5296175</v>
      </c>
      <c r="E13" s="87">
        <f>+((600*'Rate Schedules'!$J$116)+((($B13*'Rate Schedules'!$J$119)-600)*'Rate Schedules'!$J$117)+('Rate Schedules'!$J$8+'Rate Schedules'!$J$9)+'Bill Impact 2006 EDR Alloc'!$B13*('Rate Schedules'!$J$10+'Rate Schedules'!$J$11+'Rate Schedules'!$J$14)+'Bill Impact 2006 EDR Alloc'!$B13*'Rate Schedules'!$J$119*('Rate Schedules'!$J$15+'Rate Schedules'!$J$16+'Rate Schedules'!$J$21+'Rate Schedules'!$J$22)+('Bill Impact 2006 EDR Alloc'!$B13*0.0051)+'Rate Schedules'!$J$23)*1.05</f>
        <v>169.61837550000004</v>
      </c>
      <c r="F13" s="88">
        <f t="shared" si="0"/>
        <v>9.088758000000041</v>
      </c>
      <c r="G13" s="89">
        <f t="shared" si="1"/>
        <v>0.05661732795195903</v>
      </c>
      <c r="H13" s="296"/>
      <c r="I13" s="297"/>
    </row>
    <row r="14" spans="1:9" ht="13.5" thickBot="1">
      <c r="A14" s="91"/>
      <c r="B14" s="92">
        <v>2000</v>
      </c>
      <c r="C14" s="93"/>
      <c r="D14" s="94">
        <f>+((600*'Rate Schedules'!$H$116)+((($B14*'Rate Schedules'!$H$119)-600)*'Rate Schedules'!$H$117)+('Rate Schedules'!$H$8+'Rate Schedules'!$H$9)+'Bill Impact 2006 EDR Alloc'!$B14*('Rate Schedules'!$H$10+'Rate Schedules'!$H$11+'Rate Schedules'!$H$14)+'Bill Impact 2006 EDR Alloc'!$B14*'Rate Schedules'!$H$119*('Rate Schedules'!$H$15+'Rate Schedules'!$H$16+'Rate Schedules'!$H$21+'Rate Schedules'!$H$22)+('Bill Impact 2006 EDR Alloc'!$B14*0.0051)+'Rate Schedules'!$H$23)*1.05</f>
        <v>210.12999</v>
      </c>
      <c r="E14" s="95">
        <f>+((600*'Rate Schedules'!$J$116)+((($B14*'Rate Schedules'!$J$119)-600)*'Rate Schedules'!$J$117)+('Rate Schedules'!$J$8+'Rate Schedules'!$J$9)+'Bill Impact 2006 EDR Alloc'!$B14*('Rate Schedules'!$J$10+'Rate Schedules'!$J$11+'Rate Schedules'!$J$14)+'Bill Impact 2006 EDR Alloc'!$B14*'Rate Schedules'!$J$119*('Rate Schedules'!$J$15+'Rate Schedules'!$J$16+'Rate Schedules'!$J$21+'Rate Schedules'!$J$22)+('Bill Impact 2006 EDR Alloc'!$B14*0.0051)+'Rate Schedules'!$J$23)*1.05</f>
        <v>219.96983400000005</v>
      </c>
      <c r="F14" s="96">
        <f t="shared" si="0"/>
        <v>9.839844000000056</v>
      </c>
      <c r="G14" s="97">
        <f t="shared" si="1"/>
        <v>0.04682741383083898</v>
      </c>
      <c r="H14" s="298"/>
      <c r="I14" s="299"/>
    </row>
    <row r="15" spans="1:9" ht="12.75">
      <c r="A15" s="77" t="s">
        <v>15</v>
      </c>
      <c r="B15" s="78">
        <v>1000</v>
      </c>
      <c r="C15" s="78"/>
      <c r="D15" s="79">
        <f>+((750*'Rate Schedules'!$H$116)+((($B15*'Rate Schedules'!$H$119)-750)*'Rate Schedules'!$H$117)+('Rate Schedules'!$H$26+'Rate Schedules'!$H$27)+'Bill Impact 2006 EDR Alloc'!$B15*('Rate Schedules'!$H$28+'Rate Schedules'!$H$29+'Rate Schedules'!$H$32)+'Bill Impact 2006 EDR Alloc'!$B15*'Rate Schedules'!$H$119*('Rate Schedules'!$H$33+'Rate Schedules'!$H$34+'Rate Schedules'!$H$39+'Rate Schedules'!$H$40)+('Bill Impact 2006 EDR Alloc'!$B15*0.0051)+'Rate Schedules'!$H$41)*1.05</f>
        <v>134.494185</v>
      </c>
      <c r="E15" s="79">
        <f>+((750*'Rate Schedules'!$J$116)+((($B15*'Rate Schedules'!$J$119)-750)*'Rate Schedules'!$J$117)+('Rate Schedules'!$J$26+'Rate Schedules'!$J$27)+'Bill Impact 2006 EDR Alloc'!$B15*('Rate Schedules'!$J$28+'Rate Schedules'!$J$29+'Rate Schedules'!$J$32)+'Bill Impact 2006 EDR Alloc'!$B15*'Rate Schedules'!$J$119*('Rate Schedules'!$J$33+'Rate Schedules'!$J$34+'Rate Schedules'!$J$39+'Rate Schedules'!$J$40)+('Bill Impact 2006 EDR Alloc'!$B15*0.0051)+'Rate Schedules'!$J$41)*1.05</f>
        <v>153.52052100000003</v>
      </c>
      <c r="F15" s="80">
        <f>+E15-D15</f>
        <v>19.026336000000043</v>
      </c>
      <c r="G15" s="81">
        <f>+F15/D15</f>
        <v>0.14146586337543177</v>
      </c>
      <c r="H15" s="82">
        <f>MAX(G15:G21)</f>
        <v>0.14146586337543177</v>
      </c>
      <c r="I15" s="83">
        <f>MIN(G15:G21)</f>
        <v>0.07508529212896446</v>
      </c>
    </row>
    <row r="16" spans="1:9" ht="12.75">
      <c r="A16" s="84"/>
      <c r="B16" s="85">
        <v>2000</v>
      </c>
      <c r="C16" s="85"/>
      <c r="D16" s="87">
        <f>+((750*'Rate Schedules'!$H$116)+((($B16*'Rate Schedules'!$H$119)-750)*'Rate Schedules'!$H$117)+('Rate Schedules'!$H$26+'Rate Schedules'!$H$27)+'Bill Impact 2006 EDR Alloc'!$B16*('Rate Schedules'!$H$28+'Rate Schedules'!$H$29+'Rate Schedules'!$H$32)+'Bill Impact 2006 EDR Alloc'!$B16*'Rate Schedules'!$H$119*('Rate Schedules'!$H$33+'Rate Schedules'!$H$34+'Rate Schedules'!$H$39+'Rate Schedules'!$H$40)+('Bill Impact 2006 EDR Alloc'!$B16*0.0051)+'Rate Schedules'!$H$41)*1.05</f>
        <v>241.29987</v>
      </c>
      <c r="E16" s="87">
        <f>+((750*'Rate Schedules'!$J$116)+((($B16*'Rate Schedules'!$J$119)-750)*'Rate Schedules'!$J$117)+('Rate Schedules'!$J$26+'Rate Schedules'!$J$27)+'Bill Impact 2006 EDR Alloc'!$B16*('Rate Schedules'!$J$28+'Rate Schedules'!$J$29+'Rate Schedules'!$J$32)+'Bill Impact 2006 EDR Alloc'!$B16*'Rate Schedules'!$J$119*('Rate Schedules'!$J$33+'Rate Schedules'!$J$34+'Rate Schedules'!$J$39+'Rate Schedules'!$J$40)+('Bill Impact 2006 EDR Alloc'!$B16*0.0051)+'Rate Schedules'!$J$41)*1.05</f>
        <v>267.70804200000003</v>
      </c>
      <c r="F16" s="88">
        <f aca="true" t="shared" si="2" ref="F16:F21">+E16-D16</f>
        <v>26.408172000000036</v>
      </c>
      <c r="G16" s="89">
        <f aca="true" t="shared" si="3" ref="G16:G21">+F16/D16</f>
        <v>0.10944130222697607</v>
      </c>
      <c r="H16" s="294"/>
      <c r="I16" s="295"/>
    </row>
    <row r="17" spans="1:9" ht="12.75">
      <c r="A17" s="180" t="s">
        <v>261</v>
      </c>
      <c r="B17" s="181">
        <v>2807</v>
      </c>
      <c r="C17" s="181"/>
      <c r="D17" s="183">
        <f>+((750*'Rate Schedules'!$H$116)+((($B17*'Rate Schedules'!$H$119)-750)*'Rate Schedules'!$H$117)+('Rate Schedules'!$H$26+'Rate Schedules'!$H$27)+'Bill Impact 2006 EDR Alloc'!$B17*('Rate Schedules'!$H$28+'Rate Schedules'!$H$29+'Rate Schedules'!$H$32)+'Bill Impact 2006 EDR Alloc'!$B17*'Rate Schedules'!$H$119*('Rate Schedules'!$H$33+'Rate Schedules'!$H$34+'Rate Schedules'!$H$39+'Rate Schedules'!$H$40)+('Bill Impact 2006 EDR Alloc'!$B17*0.0051)+'Rate Schedules'!$H$41)*1.05</f>
        <v>327.492057795</v>
      </c>
      <c r="E17" s="183">
        <f>+((750*'Rate Schedules'!$J$116)+((($B17*'Rate Schedules'!$J$119)-750)*'Rate Schedules'!$J$117)+('Rate Schedules'!$J$26+'Rate Schedules'!$J$27)+'Bill Impact 2006 EDR Alloc'!$B17*('Rate Schedules'!$J$28+'Rate Schedules'!$J$29+'Rate Schedules'!$J$32)+'Bill Impact 2006 EDR Alloc'!$B17*'Rate Schedules'!$J$119*('Rate Schedules'!$J$33+'Rate Schedules'!$J$34+'Rate Schedules'!$J$39+'Rate Schedules'!$J$40)+('Bill Impact 2006 EDR Alloc'!$B17*0.0051)+'Rate Schedules'!$J$41)*1.05</f>
        <v>359.857371447</v>
      </c>
      <c r="F17" s="183">
        <f t="shared" si="2"/>
        <v>32.365313652</v>
      </c>
      <c r="G17" s="184">
        <f t="shared" si="3"/>
        <v>0.0988277818702391</v>
      </c>
      <c r="H17" s="296"/>
      <c r="I17" s="297"/>
    </row>
    <row r="18" spans="1:9" ht="12.75">
      <c r="A18" s="90"/>
      <c r="B18" s="85">
        <v>4000</v>
      </c>
      <c r="C18" s="85"/>
      <c r="D18" s="87">
        <f>+((750*'Rate Schedules'!$H$116)+((($B18*'Rate Schedules'!$H$119)-750)*'Rate Schedules'!$H$117)+('Rate Schedules'!$H$26+'Rate Schedules'!$H$27)+'Bill Impact 2006 EDR Alloc'!$B18*('Rate Schedules'!$H$28+'Rate Schedules'!$H$29+'Rate Schedules'!$H$32)+'Bill Impact 2006 EDR Alloc'!$B18*'Rate Schedules'!$H$119*('Rate Schedules'!$H$33+'Rate Schedules'!$H$34+'Rate Schedules'!$H$39+'Rate Schedules'!$H$40)+('Bill Impact 2006 EDR Alloc'!$B18*0.0051)+'Rate Schedules'!$H$41)*1.05</f>
        <v>454.91123999999996</v>
      </c>
      <c r="E18" s="87">
        <f>+((750*'Rate Schedules'!$J$116)+((($B18*'Rate Schedules'!$J$119)-750)*'Rate Schedules'!$J$117)+('Rate Schedules'!$J$26+'Rate Schedules'!$J$27)+'Bill Impact 2006 EDR Alloc'!$B18*('Rate Schedules'!$J$28+'Rate Schedules'!$J$29+'Rate Schedules'!$J$32)+'Bill Impact 2006 EDR Alloc'!$B18*'Rate Schedules'!$J$119*('Rate Schedules'!$J$33+'Rate Schedules'!$J$34+'Rate Schedules'!$J$39+'Rate Schedules'!$J$40)+('Bill Impact 2006 EDR Alloc'!$B18*0.0051)+'Rate Schedules'!$J$41)*1.05</f>
        <v>496.08308400000004</v>
      </c>
      <c r="F18" s="88">
        <f t="shared" si="2"/>
        <v>41.17184400000008</v>
      </c>
      <c r="G18" s="89">
        <f t="shared" si="3"/>
        <v>0.09050522471152853</v>
      </c>
      <c r="H18" s="296"/>
      <c r="I18" s="297"/>
    </row>
    <row r="19" spans="1:9" ht="12.75">
      <c r="A19" s="90"/>
      <c r="B19" s="85">
        <v>6000</v>
      </c>
      <c r="C19" s="85"/>
      <c r="D19" s="87">
        <f>+((750*'Rate Schedules'!$H$116)+((($B19*'Rate Schedules'!$H$119)-750)*'Rate Schedules'!$H$117)+('Rate Schedules'!$H$26+'Rate Schedules'!$H$27)+'Bill Impact 2006 EDR Alloc'!$B19*('Rate Schedules'!$H$28+'Rate Schedules'!$H$29+'Rate Schedules'!$H$32)+'Bill Impact 2006 EDR Alloc'!$B19*'Rate Schedules'!$H$119*('Rate Schedules'!$H$33+'Rate Schedules'!$H$34+'Rate Schedules'!$H$39+'Rate Schedules'!$H$40)+('Bill Impact 2006 EDR Alloc'!$B19*0.0051)+'Rate Schedules'!$H$41)*1.05</f>
        <v>668.52261</v>
      </c>
      <c r="E19" s="87">
        <f>+((750*'Rate Schedules'!$J$116)+((($B19*'Rate Schedules'!$J$119)-750)*'Rate Schedules'!$J$117)+('Rate Schedules'!$J$26+'Rate Schedules'!$J$27)+'Bill Impact 2006 EDR Alloc'!$B19*('Rate Schedules'!$J$28+'Rate Schedules'!$J$29+'Rate Schedules'!$J$32)+'Bill Impact 2006 EDR Alloc'!$B19*'Rate Schedules'!$J$119*('Rate Schedules'!$J$33+'Rate Schedules'!$J$34+'Rate Schedules'!$J$39+'Rate Schedules'!$J$40)+('Bill Impact 2006 EDR Alloc'!$B19*0.0051)+'Rate Schedules'!$J$41)*1.05</f>
        <v>724.4581260000001</v>
      </c>
      <c r="F19" s="88">
        <f t="shared" si="2"/>
        <v>55.93551600000012</v>
      </c>
      <c r="G19" s="89">
        <f t="shared" si="3"/>
        <v>0.08367034287740863</v>
      </c>
      <c r="H19" s="296"/>
      <c r="I19" s="297"/>
    </row>
    <row r="20" spans="1:9" ht="12.75">
      <c r="A20" s="90"/>
      <c r="B20" s="85">
        <v>10000</v>
      </c>
      <c r="C20" s="85"/>
      <c r="D20" s="87">
        <f>+((750*'Rate Schedules'!$H$116)+((($B20*'Rate Schedules'!$H$119)-750)*'Rate Schedules'!$H$117)+('Rate Schedules'!$H$26+'Rate Schedules'!$H$27)+'Bill Impact 2006 EDR Alloc'!$B20*('Rate Schedules'!$H$28+'Rate Schedules'!$H$29+'Rate Schedules'!$H$32)+'Bill Impact 2006 EDR Alloc'!$B20*'Rate Schedules'!$H$119*('Rate Schedules'!$H$33+'Rate Schedules'!$H$34+'Rate Schedules'!$H$39+'Rate Schedules'!$H$40)+('Bill Impact 2006 EDR Alloc'!$B20*0.0051)+'Rate Schedules'!$H$41)*1.05</f>
        <v>1095.7453500000001</v>
      </c>
      <c r="E20" s="87">
        <f>+((750*'Rate Schedules'!$J$116)+((($B20*'Rate Schedules'!$J$119)-750)*'Rate Schedules'!$J$117)+('Rate Schedules'!$J$26+'Rate Schedules'!$J$27)+'Bill Impact 2006 EDR Alloc'!$B20*('Rate Schedules'!$J$28+'Rate Schedules'!$J$29+'Rate Schedules'!$J$32)+'Bill Impact 2006 EDR Alloc'!$B20*'Rate Schedules'!$J$119*('Rate Schedules'!$J$33+'Rate Schedules'!$J$34+'Rate Schedules'!$J$39+'Rate Schedules'!$J$40)+('Bill Impact 2006 EDR Alloc'!$B20*0.0051)+'Rate Schedules'!$J$41)*1.05</f>
        <v>1181.20821</v>
      </c>
      <c r="F20" s="88">
        <f t="shared" si="2"/>
        <v>85.46285999999986</v>
      </c>
      <c r="G20" s="89">
        <f t="shared" si="3"/>
        <v>0.07799518382624197</v>
      </c>
      <c r="H20" s="296"/>
      <c r="I20" s="297"/>
    </row>
    <row r="21" spans="1:9" ht="13.5" thickBot="1">
      <c r="A21" s="91"/>
      <c r="B21" s="92">
        <v>15000</v>
      </c>
      <c r="C21" s="98"/>
      <c r="D21" s="94">
        <f>+((750*'Rate Schedules'!$H$116)+((($B21*'Rate Schedules'!$H$119)-750)*'Rate Schedules'!$H$117)+('Rate Schedules'!$H$26+'Rate Schedules'!$H$27)+'Bill Impact 2006 EDR Alloc'!$B21*('Rate Schedules'!$H$28+'Rate Schedules'!$H$29+'Rate Schedules'!$H$32)+'Bill Impact 2006 EDR Alloc'!$B21*'Rate Schedules'!$H$119*('Rate Schedules'!$H$33+'Rate Schedules'!$H$34+'Rate Schedules'!$H$39+'Rate Schedules'!$H$40)+('Bill Impact 2006 EDR Alloc'!$B21*0.0051)+'Rate Schedules'!$H$41)*1.05</f>
        <v>1629.773775</v>
      </c>
      <c r="E21" s="94">
        <f>+((750*'Rate Schedules'!$J$116)+((($B21*'Rate Schedules'!$J$119)-750)*'Rate Schedules'!$J$117)+('Rate Schedules'!$J$26+'Rate Schedules'!$J$27)+'Bill Impact 2006 EDR Alloc'!$B21*('Rate Schedules'!$J$28+'Rate Schedules'!$J$29+'Rate Schedules'!$J$32)+'Bill Impact 2006 EDR Alloc'!$B21*'Rate Schedules'!$J$119*('Rate Schedules'!$J$33+'Rate Schedules'!$J$34+'Rate Schedules'!$J$39+'Rate Schedules'!$J$40)+('Bill Impact 2006 EDR Alloc'!$B21*0.0051)+'Rate Schedules'!$J$41)*1.05</f>
        <v>1752.145815</v>
      </c>
      <c r="F21" s="96">
        <f t="shared" si="2"/>
        <v>122.3720400000002</v>
      </c>
      <c r="G21" s="97">
        <f t="shared" si="3"/>
        <v>0.07508529212896446</v>
      </c>
      <c r="H21" s="298"/>
      <c r="I21" s="299"/>
    </row>
    <row r="22" spans="1:9" ht="12.75">
      <c r="A22" s="77" t="s">
        <v>16</v>
      </c>
      <c r="B22" s="78">
        <v>25000</v>
      </c>
      <c r="C22" s="78">
        <v>50</v>
      </c>
      <c r="D22" s="79">
        <f>+((750*'Rate Schedules'!$H$116)+((('Bill Impact 2006 EDR Alloc'!$B22*'Rate Schedules'!$H$119)-750)*'Rate Schedules'!$H$117)+('Rate Schedules'!$H$44+'Rate Schedules'!$H$45)+'Bill Impact 2006 EDR Alloc'!$C22*('Rate Schedules'!$H$46+'Rate Schedules'!$H$47+'Rate Schedules'!$H$50)+'Bill Impact 2006 EDR Alloc'!$C22*'Rate Schedules'!$H$119*('Rate Schedules'!$H$51+'Rate Schedules'!$H$52)+'Bill Impact 2006 EDR Alloc'!$B22*'Rate Schedules'!$H$119*('Rate Schedules'!$H$57+'Rate Schedules'!$H$58)+('Bill Impact 2006 EDR Alloc'!$B22*0.0051)+'Rate Schedules'!$H$59)*1.05</f>
        <v>3205.265450625</v>
      </c>
      <c r="E22" s="79">
        <f>+((750*'Rate Schedules'!$J$116)+((('Bill Impact 2006 EDR Alloc'!$B22*'Rate Schedules'!$J$119)-750)*'Rate Schedules'!$J$117)+('Rate Schedules'!$J$44+'Rate Schedules'!$J$45)+'Bill Impact 2006 EDR Alloc'!$C22*('Rate Schedules'!$J$46+'Rate Schedules'!$J$47+'Rate Schedules'!$J$50)+'Bill Impact 2006 EDR Alloc'!$C22*'Rate Schedules'!$J$119*('Rate Schedules'!$J$51+'Rate Schedules'!$J$52)+'Bill Impact 2006 EDR Alloc'!$B22*'Rate Schedules'!$J$119*('Rate Schedules'!$J$57+'Rate Schedules'!$J$58)+('Bill Impact 2006 EDR Alloc'!$B22*0.0051)+'Rate Schedules'!$J$59)*1.05</f>
        <v>3523.570037654095</v>
      </c>
      <c r="F22" s="80">
        <f>+E22-D22</f>
        <v>318.3045870290948</v>
      </c>
      <c r="G22" s="81">
        <f>+F22/D22</f>
        <v>0.09930677877772279</v>
      </c>
      <c r="H22" s="82">
        <f>MAX(G22:G28)</f>
        <v>0.09930677877772279</v>
      </c>
      <c r="I22" s="83">
        <f>MIN(G22:G28)</f>
        <v>0.003766540229290799</v>
      </c>
    </row>
    <row r="23" spans="1:9" ht="12.75">
      <c r="A23" s="84"/>
      <c r="B23" s="85">
        <v>40000</v>
      </c>
      <c r="C23" s="85">
        <v>75</v>
      </c>
      <c r="D23" s="87">
        <f>+((750*'Rate Schedules'!$H$116)+((('Bill Impact 2006 EDR Alloc'!$B23*'Rate Schedules'!$H$119)-750)*'Rate Schedules'!$H$117)+('Rate Schedules'!$H$44+'Rate Schedules'!$H$45)+'Bill Impact 2006 EDR Alloc'!$C23*('Rate Schedules'!$H$46+'Rate Schedules'!$H$47+'Rate Schedules'!$H$50)+'Bill Impact 2006 EDR Alloc'!$C23*'Rate Schedules'!$H$119*('Rate Schedules'!$H$51+'Rate Schedules'!$H$52)+'Bill Impact 2006 EDR Alloc'!$B23*'Rate Schedules'!$H$119*('Rate Schedules'!$H$57+'Rate Schedules'!$H$58)+('Bill Impact 2006 EDR Alloc'!$B23*0.0051)+'Rate Schedules'!$H$59)*1.05</f>
        <v>4614.9194634375</v>
      </c>
      <c r="E23" s="87">
        <f>+((750*'Rate Schedules'!$J$116)+((('Bill Impact 2006 EDR Alloc'!$B23*'Rate Schedules'!$J$119)-750)*'Rate Schedules'!$J$117)+('Rate Schedules'!$J$44+'Rate Schedules'!$J$45)+'Bill Impact 2006 EDR Alloc'!$C23*('Rate Schedules'!$J$46+'Rate Schedules'!$J$47+'Rate Schedules'!$J$50)+'Bill Impact 2006 EDR Alloc'!$C23*'Rate Schedules'!$J$119*('Rate Schedules'!$J$51+'Rate Schedules'!$J$52)+'Bill Impact 2006 EDR Alloc'!$B23*'Rate Schedules'!$J$119*('Rate Schedules'!$J$57+'Rate Schedules'!$J$58)+('Bill Impact 2006 EDR Alloc'!$B23*0.0051)+'Rate Schedules'!$J$59)*1.05</f>
        <v>4921.969953981143</v>
      </c>
      <c r="F23" s="88">
        <f aca="true" t="shared" si="4" ref="F23:F28">+E23-D23</f>
        <v>307.0504905436428</v>
      </c>
      <c r="G23" s="89">
        <f aca="true" t="shared" si="5" ref="G23:G28">+F23/D23</f>
        <v>0.06653431180680477</v>
      </c>
      <c r="H23" s="294"/>
      <c r="I23" s="295"/>
    </row>
    <row r="24" spans="1:9" ht="12.75">
      <c r="A24" s="180" t="s">
        <v>261</v>
      </c>
      <c r="B24" s="181">
        <v>44320</v>
      </c>
      <c r="C24" s="181">
        <v>139</v>
      </c>
      <c r="D24" s="183">
        <f>+((750*'Rate Schedules'!$H$116)+((('Bill Impact 2006 EDR Alloc'!$B24*'Rate Schedules'!$H$119)-750)*'Rate Schedules'!$H$117)+('Rate Schedules'!$H$44+'Rate Schedules'!$H$45)+'Bill Impact 2006 EDR Alloc'!$C24*('Rate Schedules'!$H$46+'Rate Schedules'!$H$47+'Rate Schedules'!$H$50)+'Bill Impact 2006 EDR Alloc'!$C24*'Rate Schedules'!$H$119*('Rate Schedules'!$H$51+'Rate Schedules'!$H$52)+'Bill Impact 2006 EDR Alloc'!$B24*'Rate Schedules'!$H$119*('Rate Schedules'!$H$57+'Rate Schedules'!$H$58)+('Bill Impact 2006 EDR Alloc'!$B24*0.0051)+'Rate Schedules'!$H$59)*1.05</f>
        <v>5426.1730170375</v>
      </c>
      <c r="E24" s="183">
        <f>+((750*'Rate Schedules'!$J$116)+((('Bill Impact 2006 EDR Alloc'!$B24*'Rate Schedules'!$J$119)-750)*'Rate Schedules'!$J$117)+('Rate Schedules'!$J$44+'Rate Schedules'!$J$45)+'Bill Impact 2006 EDR Alloc'!$C24*('Rate Schedules'!$J$46+'Rate Schedules'!$J$47+'Rate Schedules'!$J$50)+'Bill Impact 2006 EDR Alloc'!$C24*'Rate Schedules'!$J$119*('Rate Schedules'!$J$51+'Rate Schedules'!$J$52)+'Bill Impact 2006 EDR Alloc'!$B24*'Rate Schedules'!$J$119*('Rate Schedules'!$J$57+'Rate Schedules'!$J$58)+('Bill Impact 2006 EDR Alloc'!$B24*0.0051)+'Rate Schedules'!$J$59)*1.05</f>
        <v>5703.436833058384</v>
      </c>
      <c r="F24" s="183">
        <f t="shared" si="4"/>
        <v>277.2638160208835</v>
      </c>
      <c r="G24" s="184">
        <f t="shared" si="5"/>
        <v>0.05109748899460265</v>
      </c>
      <c r="H24" s="296"/>
      <c r="I24" s="297"/>
    </row>
    <row r="25" spans="1:9" ht="12.75">
      <c r="A25" s="90"/>
      <c r="B25" s="85">
        <v>75000</v>
      </c>
      <c r="C25" s="85">
        <v>175</v>
      </c>
      <c r="D25" s="87">
        <f>+((750*'Rate Schedules'!$H$116)+((('Bill Impact 2006 EDR Alloc'!$B25*'Rate Schedules'!$H$119)-750)*'Rate Schedules'!$H$117)+('Rate Schedules'!$H$44+'Rate Schedules'!$H$45)+'Bill Impact 2006 EDR Alloc'!$C25*('Rate Schedules'!$H$46+'Rate Schedules'!$H$47+'Rate Schedules'!$H$50)+'Bill Impact 2006 EDR Alloc'!$C25*'Rate Schedules'!$H$119*('Rate Schedules'!$H$51+'Rate Schedules'!$H$52)+'Bill Impact 2006 EDR Alloc'!$B25*'Rate Schedules'!$H$119*('Rate Schedules'!$H$57+'Rate Schedules'!$H$58)+('Bill Impact 2006 EDR Alloc'!$B25*0.0051)+'Rate Schedules'!$H$59)*1.05</f>
        <v>8201.407639687499</v>
      </c>
      <c r="E25" s="87">
        <f>+((750*'Rate Schedules'!$J$116)+((('Bill Impact 2006 EDR Alloc'!$B25*'Rate Schedules'!$J$119)-750)*'Rate Schedules'!$J$117)+('Rate Schedules'!$J$44+'Rate Schedules'!$J$45)+'Bill Impact 2006 EDR Alloc'!$C25*('Rate Schedules'!$J$46+'Rate Schedules'!$J$47+'Rate Schedules'!$J$50)+'Bill Impact 2006 EDR Alloc'!$C25*'Rate Schedules'!$J$119*('Rate Schedules'!$J$51+'Rate Schedules'!$J$52)+'Bill Impact 2006 EDR Alloc'!$B25*'Rate Schedules'!$J$119*('Rate Schedules'!$J$57+'Rate Schedules'!$J$58)+('Bill Impact 2006 EDR Alloc'!$B25*0.0051)+'Rate Schedules'!$J$59)*1.05</f>
        <v>8462.725644289334</v>
      </c>
      <c r="F25" s="88">
        <f t="shared" si="4"/>
        <v>261.3180046018351</v>
      </c>
      <c r="G25" s="89">
        <f t="shared" si="5"/>
        <v>0.031862579703670506</v>
      </c>
      <c r="H25" s="296"/>
      <c r="I25" s="297"/>
    </row>
    <row r="26" spans="1:9" ht="12.75">
      <c r="A26" s="90"/>
      <c r="B26" s="85">
        <v>125000</v>
      </c>
      <c r="C26" s="85">
        <v>250</v>
      </c>
      <c r="D26" s="87">
        <f>+((750*'Rate Schedules'!$H$116)+((('Bill Impact 2006 EDR Alloc'!$B26*'Rate Schedules'!$H$119)-750)*'Rate Schedules'!$H$117)+('Rate Schedules'!$H$44+'Rate Schedules'!$H$45)+'Bill Impact 2006 EDR Alloc'!$C26*('Rate Schedules'!$H$46+'Rate Schedules'!$H$47+'Rate Schedules'!$H$50)+'Bill Impact 2006 EDR Alloc'!$C26*'Rate Schedules'!$H$119*('Rate Schedules'!$H$51+'Rate Schedules'!$H$52)+'Bill Impact 2006 EDR Alloc'!$B26*'Rate Schedules'!$H$119*('Rate Schedules'!$H$57+'Rate Schedules'!$H$58)+('Bill Impact 2006 EDR Alloc'!$B26*0.0051)+'Rate Schedules'!$H$59)*1.05</f>
        <v>12840.795253125001</v>
      </c>
      <c r="E26" s="87">
        <f>+((750*'Rate Schedules'!$J$116)+((('Bill Impact 2006 EDR Alloc'!$B26*'Rate Schedules'!$J$119)-750)*'Rate Schedules'!$J$117)+('Rate Schedules'!$J$44+'Rate Schedules'!$J$45)+'Bill Impact 2006 EDR Alloc'!$C26*('Rate Schedules'!$J$46+'Rate Schedules'!$J$47+'Rate Schedules'!$J$50)+'Bill Impact 2006 EDR Alloc'!$C26*'Rate Schedules'!$J$119*('Rate Schedules'!$J$51+'Rate Schedules'!$J$52)+'Bill Impact 2006 EDR Alloc'!$B26*'Rate Schedules'!$J$119*('Rate Schedules'!$J$57+'Rate Schedules'!$J$58)+('Bill Impact 2006 EDR Alloc'!$B26*0.0051)+'Rate Schedules'!$J$59)*1.05</f>
        <v>13068.494188270477</v>
      </c>
      <c r="F26" s="88">
        <f t="shared" si="4"/>
        <v>227.69893514547584</v>
      </c>
      <c r="G26" s="89">
        <f t="shared" si="5"/>
        <v>0.017732463656412702</v>
      </c>
      <c r="H26" s="296"/>
      <c r="I26" s="297"/>
    </row>
    <row r="27" spans="1:9" ht="12.75">
      <c r="A27" s="90"/>
      <c r="B27" s="85">
        <v>175000</v>
      </c>
      <c r="C27" s="85">
        <v>300</v>
      </c>
      <c r="D27" s="87">
        <f>+((750*'Rate Schedules'!$H$116)+((('Bill Impact 2006 EDR Alloc'!$B27*'Rate Schedules'!$H$119)-750)*'Rate Schedules'!$H$117)+('Rate Schedules'!$H$44+'Rate Schedules'!$H$45)+'Bill Impact 2006 EDR Alloc'!$C27*('Rate Schedules'!$H$46+'Rate Schedules'!$H$47+'Rate Schedules'!$H$50)+'Bill Impact 2006 EDR Alloc'!$C27*'Rate Schedules'!$H$119*('Rate Schedules'!$H$51+'Rate Schedules'!$H$52)+'Bill Impact 2006 EDR Alloc'!$B27*'Rate Schedules'!$H$119*('Rate Schedules'!$H$57+'Rate Schedules'!$H$58)+('Bill Impact 2006 EDR Alloc'!$B27*0.0051)+'Rate Schedules'!$H$59)*1.05</f>
        <v>17301.805578749998</v>
      </c>
      <c r="E27" s="87">
        <f>+((750*'Rate Schedules'!$J$116)+((('Bill Impact 2006 EDR Alloc'!$B27*'Rate Schedules'!$J$119)-750)*'Rate Schedules'!$J$117)+('Rate Schedules'!$J$44+'Rate Schedules'!$J$45)+'Bill Impact 2006 EDR Alloc'!$C27*('Rate Schedules'!$J$46+'Rate Schedules'!$J$47+'Rate Schedules'!$J$50)+'Bill Impact 2006 EDR Alloc'!$C27*'Rate Schedules'!$J$119*('Rate Schedules'!$J$51+'Rate Schedules'!$J$52)+'Bill Impact 2006 EDR Alloc'!$B27*'Rate Schedules'!$J$119*('Rate Schedules'!$J$57+'Rate Schedules'!$J$58)+('Bill Impact 2006 EDR Alloc'!$B27*0.0051)+'Rate Schedules'!$J$59)*1.05</f>
        <v>17507.569200924572</v>
      </c>
      <c r="F27" s="88">
        <f t="shared" si="4"/>
        <v>205.76362217457427</v>
      </c>
      <c r="G27" s="89">
        <f t="shared" si="5"/>
        <v>0.011892609776363009</v>
      </c>
      <c r="H27" s="296"/>
      <c r="I27" s="297"/>
    </row>
    <row r="28" spans="1:9" ht="13.5" thickBot="1">
      <c r="A28" s="91"/>
      <c r="B28" s="92">
        <v>500000</v>
      </c>
      <c r="C28" s="92">
        <v>400</v>
      </c>
      <c r="D28" s="94">
        <f>+((750*'Rate Schedules'!$H$116)+((('Bill Impact 2006 EDR Alloc'!$B28*'Rate Schedules'!$H$119)-750)*'Rate Schedules'!$H$117)+('Rate Schedules'!$H$44+'Rate Schedules'!$H$45)+'Bill Impact 2006 EDR Alloc'!$C28*('Rate Schedules'!$H$46+'Rate Schedules'!$H$47+'Rate Schedules'!$H$50)+'Bill Impact 2006 EDR Alloc'!$C28*'Rate Schedules'!$H$119*('Rate Schedules'!$H$51+'Rate Schedules'!$H$52)+'Bill Impact 2006 EDR Alloc'!$B28*'Rate Schedules'!$H$119*('Rate Schedules'!$H$57+'Rate Schedules'!$H$58)+('Bill Impact 2006 EDR Alloc'!$B28*0.0051)+'Rate Schedules'!$H$59)*1.05</f>
        <v>44692.977105000005</v>
      </c>
      <c r="E28" s="94">
        <f>+((750*'Rate Schedules'!$J$116)+((('Bill Impact 2006 EDR Alloc'!$B28*'Rate Schedules'!$J$119)-750)*'Rate Schedules'!$J$117)+('Rate Schedules'!$J$44+'Rate Schedules'!$J$45)+'Bill Impact 2006 EDR Alloc'!$C28*('Rate Schedules'!$J$46+'Rate Schedules'!$J$47+'Rate Schedules'!$J$50)+'Bill Impact 2006 EDR Alloc'!$C28*'Rate Schedules'!$J$119*('Rate Schedules'!$J$51+'Rate Schedules'!$J$52)+'Bill Impact 2006 EDR Alloc'!$B28*'Rate Schedules'!$J$119*('Rate Schedules'!$J$57+'Rate Schedules'!$J$58)+('Bill Impact 2006 EDR Alloc'!$B28*0.0051)+'Rate Schedules'!$J$59)*1.05</f>
        <v>44861.31500123276</v>
      </c>
      <c r="F28" s="96">
        <f t="shared" si="4"/>
        <v>168.33789623275516</v>
      </c>
      <c r="G28" s="97">
        <f t="shared" si="5"/>
        <v>0.003766540229290799</v>
      </c>
      <c r="H28" s="298"/>
      <c r="I28" s="299"/>
    </row>
    <row r="29" spans="1:9" ht="12.75">
      <c r="A29" s="99" t="s">
        <v>18</v>
      </c>
      <c r="B29" s="78">
        <v>250</v>
      </c>
      <c r="C29" s="100"/>
      <c r="D29" s="79">
        <f>+(($B29*'Rate Schedules'!$H$119*'Rate Schedules'!$H$116)+('Rate Schedules'!$H$62+'Rate Schedules'!$H$63)+'Bill Impact 2006 EDR Alloc'!$B29*('Rate Schedules'!$H$64+'Rate Schedules'!$H$65+'Rate Schedules'!$H$68)+'Bill Impact 2006 EDR Alloc'!$B29*'Rate Schedules'!$H$119*('Rate Schedules'!$H$69+'Rate Schedules'!$H$70+'Rate Schedules'!$H$75+'Rate Schedules'!$H$76)+('Bill Impact 2006 EDR Alloc'!$B29*0.0051)+'Rate Schedules'!$H$77)*1.05</f>
        <v>58.9460025</v>
      </c>
      <c r="E29" s="79">
        <f>+(($B29*'Rate Schedules'!$J$119*'Rate Schedules'!$J$116)+('Rate Schedules'!$J$62+'Rate Schedules'!$J$63)+'Bill Impact 2006 EDR Alloc'!$B29*('Rate Schedules'!$J$64+'Rate Schedules'!$J$65+'Rate Schedules'!$J$68)+'Bill Impact 2006 EDR Alloc'!$B29*'Rate Schedules'!$J$119*('Rate Schedules'!$J$69+'Rate Schedules'!$J$70+'Rate Schedules'!$J$75+'Rate Schedules'!$J$76)+('Bill Impact 2006 EDR Alloc'!$B29*0.0051)+'Rate Schedules'!$J$77)*1.05</f>
        <v>72.18826650000001</v>
      </c>
      <c r="F29" s="80">
        <f>+E29-D29</f>
        <v>13.242264000000013</v>
      </c>
      <c r="G29" s="81">
        <f>+F29/D29</f>
        <v>0.22465075557922717</v>
      </c>
      <c r="H29" s="82">
        <f>MAX(G29:G35)</f>
        <v>0.22465075557922717</v>
      </c>
      <c r="I29" s="83">
        <f>MIN(G29:G35)</f>
        <v>0.14021673873855595</v>
      </c>
    </row>
    <row r="30" spans="1:9" ht="12.75">
      <c r="A30" s="84"/>
      <c r="B30" s="85">
        <v>350</v>
      </c>
      <c r="C30" s="85"/>
      <c r="D30" s="87">
        <f>+(($B30*'Rate Schedules'!$H$119*'Rate Schedules'!$H$116)+('Rate Schedules'!$H$62+'Rate Schedules'!$H$63)+'Bill Impact 2006 EDR Alloc'!$B30*('Rate Schedules'!$H$64+'Rate Schedules'!$H$65+'Rate Schedules'!$H$68)+'Bill Impact 2006 EDR Alloc'!$B30*'Rate Schedules'!$H$119*('Rate Schedules'!$H$69+'Rate Schedules'!$H$70+'Rate Schedules'!$H$75+'Rate Schedules'!$H$76)+('Bill Impact 2006 EDR Alloc'!$B30*0.0051)+'Rate Schedules'!$H$77)*1.05</f>
        <v>68.61400350000001</v>
      </c>
      <c r="E30" s="87">
        <f>+(($B30*'Rate Schedules'!$J$119*'Rate Schedules'!$J$116)+('Rate Schedules'!$J$62+'Rate Schedules'!$J$63)+'Bill Impact 2006 EDR Alloc'!$B30*('Rate Schedules'!$J$64+'Rate Schedules'!$J$65+'Rate Schedules'!$J$68)+'Bill Impact 2006 EDR Alloc'!$B30*'Rate Schedules'!$J$119*('Rate Schedules'!$J$69+'Rate Schedules'!$J$70+'Rate Schedules'!$J$75+'Rate Schedules'!$J$76)+('Bill Impact 2006 EDR Alloc'!$B30*0.0051)+'Rate Schedules'!$J$77)*1.05</f>
        <v>82.60457310000001</v>
      </c>
      <c r="F30" s="88">
        <f aca="true" t="shared" si="6" ref="F30:F35">+E30-D30</f>
        <v>13.9905696</v>
      </c>
      <c r="G30" s="89">
        <f aca="true" t="shared" si="7" ref="G30:G35">+F30/D30</f>
        <v>0.2039025400988298</v>
      </c>
      <c r="H30" s="294"/>
      <c r="I30" s="295"/>
    </row>
    <row r="31" spans="1:9" ht="12.75">
      <c r="A31" s="90"/>
      <c r="B31" s="85">
        <v>500</v>
      </c>
      <c r="C31" s="85"/>
      <c r="D31" s="87">
        <f>+(($B31*'Rate Schedules'!$H$119*'Rate Schedules'!$H$116)+('Rate Schedules'!$H$62+'Rate Schedules'!$H$63)+'Bill Impact 2006 EDR Alloc'!$B31*('Rate Schedules'!$H$64+'Rate Schedules'!$H$65+'Rate Schedules'!$H$68)+'Bill Impact 2006 EDR Alloc'!$B31*'Rate Schedules'!$H$119*('Rate Schedules'!$H$69+'Rate Schedules'!$H$70+'Rate Schedules'!$H$75+'Rate Schedules'!$H$76)+('Bill Impact 2006 EDR Alloc'!$B31*0.0051)+'Rate Schedules'!$H$77)*1.05</f>
        <v>83.11600499999999</v>
      </c>
      <c r="E31" s="87">
        <f>+(($B31*'Rate Schedules'!$J$119*'Rate Schedules'!$J$116)+('Rate Schedules'!$J$62+'Rate Schedules'!$J$63)+'Bill Impact 2006 EDR Alloc'!$B31*('Rate Schedules'!$J$64+'Rate Schedules'!$J$65+'Rate Schedules'!$J$68)+'Bill Impact 2006 EDR Alloc'!$B31*'Rate Schedules'!$J$119*('Rate Schedules'!$J$69+'Rate Schedules'!$J$70+'Rate Schedules'!$J$75+'Rate Schedules'!$J$76)+('Bill Impact 2006 EDR Alloc'!$B31*0.0051)+'Rate Schedules'!$J$77)*1.05</f>
        <v>98.22903300000002</v>
      </c>
      <c r="F31" s="88">
        <f t="shared" si="6"/>
        <v>15.113028000000028</v>
      </c>
      <c r="G31" s="89">
        <f t="shared" si="7"/>
        <v>0.18183053913623531</v>
      </c>
      <c r="H31" s="296"/>
      <c r="I31" s="297"/>
    </row>
    <row r="32" spans="1:9" ht="12.75">
      <c r="A32" s="90"/>
      <c r="B32" s="85">
        <v>600</v>
      </c>
      <c r="C32" s="85"/>
      <c r="D32" s="87">
        <f>+(($B32*'Rate Schedules'!$H$119*'Rate Schedules'!$H$116)+('Rate Schedules'!$H$62+'Rate Schedules'!$H$63)+'Bill Impact 2006 EDR Alloc'!$B32*('Rate Schedules'!$H$64+'Rate Schedules'!$H$65+'Rate Schedules'!$H$68)+'Bill Impact 2006 EDR Alloc'!$B32*'Rate Schedules'!$H$119*('Rate Schedules'!$H$69+'Rate Schedules'!$H$70+'Rate Schedules'!$H$75+'Rate Schedules'!$H$76)+('Bill Impact 2006 EDR Alloc'!$B32*0.0051)+'Rate Schedules'!$H$77)*1.05</f>
        <v>92.78400599999999</v>
      </c>
      <c r="E32" s="87">
        <f>+(($B32*'Rate Schedules'!$J$119*'Rate Schedules'!$J$116)+('Rate Schedules'!$J$62+'Rate Schedules'!$J$63)+'Bill Impact 2006 EDR Alloc'!$B32*('Rate Schedules'!$J$64+'Rate Schedules'!$J$65+'Rate Schedules'!$J$68)+'Bill Impact 2006 EDR Alloc'!$B32*'Rate Schedules'!$J$119*('Rate Schedules'!$J$69+'Rate Schedules'!$J$70+'Rate Schedules'!$J$75+'Rate Schedules'!$J$76)+('Bill Impact 2006 EDR Alloc'!$B32*0.0051)+'Rate Schedules'!$J$77)*1.05</f>
        <v>108.64533960000001</v>
      </c>
      <c r="F32" s="88">
        <f t="shared" si="6"/>
        <v>15.861333600000023</v>
      </c>
      <c r="G32" s="89">
        <f t="shared" si="7"/>
        <v>0.1709490060172658</v>
      </c>
      <c r="H32" s="296"/>
      <c r="I32" s="297"/>
    </row>
    <row r="33" spans="1:9" ht="12.75">
      <c r="A33" s="90"/>
      <c r="B33" s="85">
        <v>750</v>
      </c>
      <c r="C33" s="85"/>
      <c r="D33" s="87">
        <f>+((750*'Rate Schedules'!$H$116)+((($B33*'Rate Schedules'!$H$119)-750)*'Rate Schedules'!$H$117)+('Rate Schedules'!$H$62+'Rate Schedules'!$H$63)+'Bill Impact 2006 EDR Alloc'!$B33*('Rate Schedules'!$H$64+'Rate Schedules'!$H$65+'Rate Schedules'!$H$68)+'Bill Impact 2006 EDR Alloc'!$B33*'Rate Schedules'!$H$119*('Rate Schedules'!$H$69+'Rate Schedules'!$H$70+'Rate Schedules'!$H$75+'Rate Schedules'!$H$76)+('Bill Impact 2006 EDR Alloc'!$B33*0.0051)+'Rate Schedules'!$H$77)*1.05</f>
        <v>107.79276375</v>
      </c>
      <c r="E33" s="87">
        <f>+((750*'Rate Schedules'!$J$116)+((($B33*'Rate Schedules'!$J$119)-750)*'Rate Schedules'!$J$117)+('Rate Schedules'!$J$62+'Rate Schedules'!$J$63)+'Bill Impact 2006 EDR Alloc'!$B33*('Rate Schedules'!$J$64+'Rate Schedules'!$J$65+'Rate Schedules'!$J$68)+'Bill Impact 2006 EDR Alloc'!$B33*'Rate Schedules'!$J$119*('Rate Schedules'!$J$69+'Rate Schedules'!$J$70+'Rate Schedules'!$J$75+'Rate Schedules'!$J$76)+('Bill Impact 2006 EDR Alloc'!$B33*0.0051)+'Rate Schedules'!$J$77)*1.05</f>
        <v>124.77939075000002</v>
      </c>
      <c r="F33" s="88">
        <f t="shared" si="6"/>
        <v>16.986627000000013</v>
      </c>
      <c r="G33" s="89">
        <f t="shared" si="7"/>
        <v>0.15758596782430132</v>
      </c>
      <c r="H33" s="296"/>
      <c r="I33" s="297"/>
    </row>
    <row r="34" spans="1:9" ht="12.75">
      <c r="A34" s="180" t="s">
        <v>261</v>
      </c>
      <c r="B34" s="181">
        <v>985</v>
      </c>
      <c r="C34" s="181"/>
      <c r="D34" s="183">
        <f>+((750*'Rate Schedules'!$H$116)+((($B34*'Rate Schedules'!$H$119)-750)*'Rate Schedules'!$H$117)+('Rate Schedules'!$H$62+'Rate Schedules'!$H$63)+'Bill Impact 2006 EDR Alloc'!$B34*('Rate Schedules'!$H$64+'Rate Schedules'!$H$65+'Rate Schedules'!$H$68)+'Bill Impact 2006 EDR Alloc'!$B34*'Rate Schedules'!$H$119*('Rate Schedules'!$H$69+'Rate Schedules'!$H$70+'Rate Schedules'!$H$75+'Rate Schedules'!$H$76)+('Bill Impact 2006 EDR Alloc'!$B34*0.0051)+'Rate Schedules'!$H$77)*1.05</f>
        <v>132.89209972499998</v>
      </c>
      <c r="E34" s="183">
        <f>+((750*'Rate Schedules'!$J$116)+((($B34*'Rate Schedules'!$J$119)-750)*'Rate Schedules'!$J$117)+('Rate Schedules'!$J$62+'Rate Schedules'!$J$63)+'Bill Impact 2006 EDR Alloc'!$B34*('Rate Schedules'!$J$64+'Rate Schedules'!$J$65+'Rate Schedules'!$J$68)+'Bill Impact 2006 EDR Alloc'!$B34*'Rate Schedules'!$J$119*('Rate Schedules'!$J$69+'Rate Schedules'!$J$70+'Rate Schedules'!$J$75+'Rate Schedules'!$J$76)+('Bill Impact 2006 EDR Alloc'!$B34*0.0051)+'Rate Schedules'!$J$77)*1.05</f>
        <v>151.63813318500002</v>
      </c>
      <c r="F34" s="183">
        <f t="shared" si="6"/>
        <v>18.746033460000035</v>
      </c>
      <c r="G34" s="184">
        <f t="shared" si="7"/>
        <v>0.14106206086586115</v>
      </c>
      <c r="H34" s="296"/>
      <c r="I34" s="297"/>
    </row>
    <row r="35" spans="1:9" ht="13.5" thickBot="1">
      <c r="A35" s="91"/>
      <c r="B35" s="92">
        <v>1000</v>
      </c>
      <c r="C35" s="92"/>
      <c r="D35" s="94">
        <f>+((750*'Rate Schedules'!$H$116)+((($B35*'Rate Schedules'!$H$119)-750)*'Rate Schedules'!$H$117)+('Rate Schedules'!$H$62+'Rate Schedules'!$H$63)+'Bill Impact 2006 EDR Alloc'!$B35*('Rate Schedules'!$H$64+'Rate Schedules'!$H$65+'Rate Schedules'!$H$68)+'Bill Impact 2006 EDR Alloc'!$B35*'Rate Schedules'!$H$119*('Rate Schedules'!$H$69+'Rate Schedules'!$H$70+'Rate Schedules'!$H$75+'Rate Schedules'!$H$76)+('Bill Impact 2006 EDR Alloc'!$B35*0.0051)+'Rate Schedules'!$H$77)*1.05</f>
        <v>134.494185</v>
      </c>
      <c r="E35" s="94">
        <f>+((750*'Rate Schedules'!$J$116)+((($B35*'Rate Schedules'!$J$119)-750)*'Rate Schedules'!$J$117)+('Rate Schedules'!$J$62+'Rate Schedules'!$J$63)+'Bill Impact 2006 EDR Alloc'!$B35*('Rate Schedules'!$J$64+'Rate Schedules'!$J$65+'Rate Schedules'!$J$68)+'Bill Impact 2006 EDR Alloc'!$B35*'Rate Schedules'!$J$119*('Rate Schedules'!$J$69+'Rate Schedules'!$J$70+'Rate Schedules'!$J$75+'Rate Schedules'!$J$76)+('Bill Impact 2006 EDR Alloc'!$B35*0.0051)+'Rate Schedules'!$J$77)*1.05</f>
        <v>153.352521</v>
      </c>
      <c r="F35" s="96">
        <f t="shared" si="6"/>
        <v>18.85833600000001</v>
      </c>
      <c r="G35" s="97">
        <f t="shared" si="7"/>
        <v>0.14021673873855595</v>
      </c>
      <c r="H35" s="298"/>
      <c r="I35" s="299"/>
    </row>
    <row r="36" spans="1:9" ht="12.75">
      <c r="A36" s="101" t="s">
        <v>19</v>
      </c>
      <c r="B36" s="78">
        <v>300</v>
      </c>
      <c r="C36" s="100">
        <v>1</v>
      </c>
      <c r="D36" s="79">
        <f>+(($B36*'Rate Schedules'!$H$119*'Rate Schedules'!$H$116)+('Rate Schedules'!$H$80+'Rate Schedules'!$H$81)+'Bill Impact 2006 EDR Alloc'!$C36*('Rate Schedules'!$H$82+'Rate Schedules'!$H$83+'Rate Schedules'!$H$86)+'Bill Impact 2006 EDR Alloc'!$C36*'Rate Schedules'!$H$119*('Rate Schedules'!$H$87+'Rate Schedules'!$H$88)+'Bill Impact 2006 EDR Alloc'!$B36*'Rate Schedules'!$H$119*('Rate Schedules'!$H$93+'Rate Schedules'!$H$94)+('Bill Impact 2006 EDR Alloc'!$B36*0.0051)+'Rate Schedules'!$H$95)*1.05</f>
        <v>29.1264015525</v>
      </c>
      <c r="E36" s="79">
        <f>+(($B36*'Rate Schedules'!$J$119*'Rate Schedules'!$J$116)+('Rate Schedules'!$J$80+'Rate Schedules'!$J$81)+'Bill Impact 2006 EDR Alloc'!$C36*('Rate Schedules'!$J$82+'Rate Schedules'!$J$83+'Rate Schedules'!$J$86)+'Bill Impact 2006 EDR Alloc'!$C36*'Rate Schedules'!$J$119*('Rate Schedules'!$J$87+'Rate Schedules'!$J$88)+'Bill Impact 2006 EDR Alloc'!$B36*'Rate Schedules'!$J$119*('Rate Schedules'!$J$93+'Rate Schedules'!$J$94)+('Bill Impact 2006 EDR Alloc'!$B36*0.0051)+'Rate Schedules'!$J$95)*1.05</f>
        <v>27.863092246500006</v>
      </c>
      <c r="F36" s="80">
        <f aca="true" t="shared" si="8" ref="F36:F45">+E36-D36</f>
        <v>-1.263309305999993</v>
      </c>
      <c r="G36" s="81">
        <f aca="true" t="shared" si="9" ref="G36:G45">+F36/D36</f>
        <v>-0.043373339604718855</v>
      </c>
      <c r="H36" s="82">
        <f>MAX(G36:G40)</f>
        <v>-0.04181910085242812</v>
      </c>
      <c r="I36" s="83">
        <f>MIN(G36:G40)</f>
        <v>-0.04428441810982517</v>
      </c>
    </row>
    <row r="37" spans="1:9" ht="12.75">
      <c r="A37" s="84"/>
      <c r="B37" s="85">
        <v>900</v>
      </c>
      <c r="C37" s="85">
        <v>3</v>
      </c>
      <c r="D37" s="87">
        <f>+((750*'Rate Schedules'!$H$116)+((('Bill Impact 2006 EDR Alloc'!$B37*'Rate Schedules'!$H$119)-750)*'Rate Schedules'!$H$117)+('Rate Schedules'!$H$80+'Rate Schedules'!$H$81)*5+'Bill Impact 2006 EDR Alloc'!$C37*('Rate Schedules'!$H$82+'Rate Schedules'!$H$83+'Rate Schedules'!$H$86)+'Bill Impact 2006 EDR Alloc'!$C37*'Rate Schedules'!$H$119*('Rate Schedules'!$H$87+'Rate Schedules'!$H$88)+'Bill Impact 2006 EDR Alloc'!$B37*'Rate Schedules'!$H$119*('Rate Schedules'!$H$93+'Rate Schedules'!$H$94)+('Bill Impact 2006 EDR Alloc'!$B37*0.0051)+'Rate Schedules'!$H$95)*1.05</f>
        <v>92.6178121575</v>
      </c>
      <c r="E37" s="87">
        <f>+((750*'Rate Schedules'!$J$116)+((('Bill Impact 2006 EDR Alloc'!$B37*'Rate Schedules'!$J$119)-750)*'Rate Schedules'!$J$117)+('Rate Schedules'!$J$80+'Rate Schedules'!$J$81)*5+'Bill Impact 2006 EDR Alloc'!$C37*('Rate Schedules'!$J$82+'Rate Schedules'!$J$83+'Rate Schedules'!$J$86)+'Bill Impact 2006 EDR Alloc'!$C37*'Rate Schedules'!$J$119*('Rate Schedules'!$J$87+'Rate Schedules'!$J$88)+'Bill Impact 2006 EDR Alloc'!$B37*'Rate Schedules'!$J$119*('Rate Schedules'!$J$93+'Rate Schedules'!$J$94)+('Bill Impact 2006 EDR Alloc'!$B37*0.0051)+'Rate Schedules'!$J$95)*1.05</f>
        <v>88.51628623950002</v>
      </c>
      <c r="F37" s="88">
        <f t="shared" si="8"/>
        <v>-4.101525917999979</v>
      </c>
      <c r="G37" s="89">
        <f t="shared" si="9"/>
        <v>-0.04428441810982517</v>
      </c>
      <c r="H37" s="162"/>
      <c r="I37" s="163"/>
    </row>
    <row r="38" spans="1:9" ht="12.75">
      <c r="A38" s="90"/>
      <c r="B38" s="85">
        <v>1500</v>
      </c>
      <c r="C38" s="85">
        <v>5</v>
      </c>
      <c r="D38" s="87">
        <f>+((750*'Rate Schedules'!$H$116)+((('Bill Impact 2006 EDR Alloc'!$B38*'Rate Schedules'!$H$119)-750)*'Rate Schedules'!$H$117)+('Rate Schedules'!$H$80+'Rate Schedules'!$H$81)*8+'Bill Impact 2006 EDR Alloc'!$C38*('Rate Schedules'!$H$82+'Rate Schedules'!$H$83+'Rate Schedules'!$H$86)+'Bill Impact 2006 EDR Alloc'!$C38*'Rate Schedules'!$H$119*('Rate Schedules'!$H$87+'Rate Schedules'!$H$88)+'Bill Impact 2006 EDR Alloc'!$B38*'Rate Schedules'!$H$119*('Rate Schedules'!$H$93+'Rate Schedules'!$H$94)+('Bill Impact 2006 EDR Alloc'!$B38*0.0051)+'Rate Schedules'!$H$95)*1.05</f>
        <v>158.29002026249998</v>
      </c>
      <c r="E38" s="87">
        <f>+((750*'Rate Schedules'!$J$116)+((('Bill Impact 2006 EDR Alloc'!$B38*'Rate Schedules'!$J$119)-750)*'Rate Schedules'!$J$117)+('Rate Schedules'!$J$80+'Rate Schedules'!$J$81)*8+'Bill Impact 2006 EDR Alloc'!$C38*('Rate Schedules'!$J$82+'Rate Schedules'!$J$83+'Rate Schedules'!$J$86)+'Bill Impact 2006 EDR Alloc'!$C38*'Rate Schedules'!$J$119*('Rate Schedules'!$J$87+'Rate Schedules'!$J$88)+'Bill Impact 2006 EDR Alloc'!$B38*'Rate Schedules'!$J$119*('Rate Schedules'!$J$93+'Rate Schedules'!$J$94)+('Bill Impact 2006 EDR Alloc'!$B38*0.0051)+'Rate Schedules'!$J$95)*1.05</f>
        <v>151.50664373249998</v>
      </c>
      <c r="F38" s="88">
        <f t="shared" si="8"/>
        <v>-6.783376529999998</v>
      </c>
      <c r="G38" s="89">
        <f t="shared" si="9"/>
        <v>-0.04285410109083818</v>
      </c>
      <c r="H38" s="164"/>
      <c r="I38" s="165"/>
    </row>
    <row r="39" spans="1:9" ht="12.75">
      <c r="A39" s="90"/>
      <c r="B39" s="85">
        <v>3000</v>
      </c>
      <c r="C39" s="85">
        <v>10</v>
      </c>
      <c r="D39" s="87">
        <f>+((750*'Rate Schedules'!$H$116)+((('Bill Impact 2006 EDR Alloc'!$B39*'Rate Schedules'!$H$119)-750)*'Rate Schedules'!$H$117)+('Rate Schedules'!$H$80+'Rate Schedules'!$H$81)*17+'Bill Impact 2006 EDR Alloc'!$C39*('Rate Schedules'!$H$82+'Rate Schedules'!$H$83+'Rate Schedules'!$H$86)+'Bill Impact 2006 EDR Alloc'!$C39*'Rate Schedules'!$H$119*('Rate Schedules'!$H$87+'Rate Schedules'!$H$88)+'Bill Impact 2006 EDR Alloc'!$B39*'Rate Schedules'!$H$119*('Rate Schedules'!$H$93+'Rate Schedules'!$H$94)+('Bill Impact 2006 EDR Alloc'!$B39*0.0051)+'Rate Schedules'!$H$95)*1.05</f>
        <v>325.274040525</v>
      </c>
      <c r="E39" s="87">
        <f>+((750*'Rate Schedules'!$J$116)+((('Bill Impact 2006 EDR Alloc'!$B39*'Rate Schedules'!$J$119)-750)*'Rate Schedules'!$J$117)+('Rate Schedules'!$J$80+'Rate Schedules'!$J$81)*17+'Bill Impact 2006 EDR Alloc'!$C39*('Rate Schedules'!$J$82+'Rate Schedules'!$J$83+'Rate Schedules'!$J$86)+'Bill Impact 2006 EDR Alloc'!$C39*'Rate Schedules'!$J$119*('Rate Schedules'!$J$87+'Rate Schedules'!$J$88)+'Bill Impact 2006 EDR Alloc'!$B39*'Rate Schedules'!$J$119*('Rate Schedules'!$J$93+'Rate Schedules'!$J$94)+('Bill Impact 2006 EDR Alloc'!$B39*0.0051)+'Rate Schedules'!$J$95)*1.05</f>
        <v>311.54978746500007</v>
      </c>
      <c r="F39" s="88">
        <f t="shared" si="8"/>
        <v>-13.72425305999991</v>
      </c>
      <c r="G39" s="89">
        <f t="shared" si="9"/>
        <v>-0.04219289383760426</v>
      </c>
      <c r="H39" s="164"/>
      <c r="I39" s="165"/>
    </row>
    <row r="40" spans="1:9" ht="13.5" thickBot="1">
      <c r="A40" s="91"/>
      <c r="B40" s="92">
        <v>4500</v>
      </c>
      <c r="C40" s="92">
        <v>15</v>
      </c>
      <c r="D40" s="94">
        <f>+((750*'Rate Schedules'!$H$116)+((('Bill Impact 2006 EDR Alloc'!$B40*'Rate Schedules'!$H$119)-750)*'Rate Schedules'!$H$117)+('Rate Schedules'!$H$80+'Rate Schedules'!$H$81)*25+'Bill Impact 2006 EDR Alloc'!$C40*('Rate Schedules'!$H$82+'Rate Schedules'!$H$83+'Rate Schedules'!$H$86)+'Bill Impact 2006 EDR Alloc'!$C40*'Rate Schedules'!$H$119*('Rate Schedules'!$H$87+'Rate Schedules'!$H$88)+'Bill Impact 2006 EDR Alloc'!$B40*'Rate Schedules'!$H$119*('Rate Schedules'!$H$93+'Rate Schedules'!$H$94)+('Bill Impact 2006 EDR Alloc'!$B40*0.0051)+'Rate Schedules'!$H$95)*1.05</f>
        <v>490.3890607875</v>
      </c>
      <c r="E40" s="94">
        <f>+((750*'Rate Schedules'!$J$116)+((('Bill Impact 2006 EDR Alloc'!$B40*'Rate Schedules'!$J$119)-750)*'Rate Schedules'!$J$117)+('Rate Schedules'!$J$80+'Rate Schedules'!$J$81)*25+'Bill Impact 2006 EDR Alloc'!$C40*('Rate Schedules'!$J$82+'Rate Schedules'!$J$83+'Rate Schedules'!$J$86)+'Bill Impact 2006 EDR Alloc'!$C40*'Rate Schedules'!$J$119*('Rate Schedules'!$J$87+'Rate Schedules'!$J$88)+'Bill Impact 2006 EDR Alloc'!$B40*'Rate Schedules'!$J$119*('Rate Schedules'!$J$93+'Rate Schedules'!$J$94)+('Bill Impact 2006 EDR Alloc'!$B40*0.0051)+'Rate Schedules'!$J$95)*1.05</f>
        <v>469.88143119750004</v>
      </c>
      <c r="F40" s="96">
        <f t="shared" si="8"/>
        <v>-20.507629589999965</v>
      </c>
      <c r="G40" s="97">
        <f t="shared" si="9"/>
        <v>-0.04181910085242812</v>
      </c>
      <c r="H40" s="166"/>
      <c r="I40" s="167"/>
    </row>
    <row r="41" spans="1:9" ht="12.75">
      <c r="A41" s="99" t="s">
        <v>20</v>
      </c>
      <c r="B41" s="100">
        <v>3000</v>
      </c>
      <c r="C41" s="100">
        <v>10</v>
      </c>
      <c r="D41" s="79">
        <f>+((750*'Rate Schedules'!$H$116)+((('Bill Impact 2006 EDR Alloc'!$B41*'Rate Schedules'!$H$119)-750)*'Rate Schedules'!$H$117)+('Rate Schedules'!$H$98+'Rate Schedules'!$H$99)*17+'Bill Impact 2006 EDR Alloc'!$C41*('Rate Schedules'!$H$100+'Rate Schedules'!$H$101+'Rate Schedules'!$H$104)+'Bill Impact 2006 EDR Alloc'!$C41*'Rate Schedules'!$H$119*('Rate Schedules'!$H$105+'Rate Schedules'!$H$106)+'Bill Impact 2006 EDR Alloc'!$B41*'Rate Schedules'!$H$119*('Rate Schedules'!$H$111+'Rate Schedules'!$H$112)+('Bill Impact 2006 EDR Alloc'!$B41*0.0051)+'Rate Schedules'!$H$113)*1.05</f>
        <v>322.61916802499996</v>
      </c>
      <c r="E41" s="79">
        <f>+((750*'Rate Schedules'!$J$116)+((('Bill Impact 2006 EDR Alloc'!$B41*'Rate Schedules'!$J$119)-750)*'Rate Schedules'!$J$117)+('Rate Schedules'!$J$98+'Rate Schedules'!$J$99)*17+'Bill Impact 2006 EDR Alloc'!$C41*('Rate Schedules'!$J$100+'Rate Schedules'!$J$101+'Rate Schedules'!$J$104)+'Bill Impact 2006 EDR Alloc'!$C41*'Rate Schedules'!$J$119*('Rate Schedules'!$J$105+'Rate Schedules'!$J$106)+'Bill Impact 2006 EDR Alloc'!$B41*'Rate Schedules'!$J$119*('Rate Schedules'!$J$111+'Rate Schedules'!$J$112)+('Bill Impact 2006 EDR Alloc'!$B41*0.0051)+'Rate Schedules'!$J$113)*1.05</f>
        <v>315.48353896500004</v>
      </c>
      <c r="F41" s="80">
        <f t="shared" si="8"/>
        <v>-7.135629059999928</v>
      </c>
      <c r="G41" s="81">
        <f t="shared" si="9"/>
        <v>-0.022117808757869537</v>
      </c>
      <c r="H41" s="168">
        <f>MAX(G41:G45)</f>
        <v>-0.021704565203317316</v>
      </c>
      <c r="I41" s="169">
        <f>MIN(G41:G45)</f>
        <v>-0.022950087868698076</v>
      </c>
    </row>
    <row r="42" spans="1:9" ht="12.75">
      <c r="A42" s="84"/>
      <c r="B42" s="85">
        <v>4500</v>
      </c>
      <c r="C42" s="85">
        <v>15</v>
      </c>
      <c r="D42" s="87">
        <f>+((750*'Rate Schedules'!$H$116)+((('Bill Impact 2006 EDR Alloc'!$B42*'Rate Schedules'!$H$119)-750)*'Rate Schedules'!$H$117)+('Rate Schedules'!$H$98+'Rate Schedules'!$H$99)*25+'Bill Impact 2006 EDR Alloc'!$C42*('Rate Schedules'!$H$100+'Rate Schedules'!$H$101+'Rate Schedules'!$H$104)+'Bill Impact 2006 EDR Alloc'!$C42*'Rate Schedules'!$H$119*('Rate Schedules'!$H$105+'Rate Schedules'!$H$106)+'Bill Impact 2006 EDR Alloc'!$B42*'Rate Schedules'!$H$119*('Rate Schedules'!$H$111+'Rate Schedules'!$H$112)+('Bill Impact 2006 EDR Alloc'!$B42*0.0051)+'Rate Schedules'!$H$113)*1.05</f>
        <v>486.4120020375</v>
      </c>
      <c r="E42" s="87">
        <f>+((750*'Rate Schedules'!$J$116)+((('Bill Impact 2006 EDR Alloc'!$B42*'Rate Schedules'!$J$119)-750)*'Rate Schedules'!$J$117)+('Rate Schedules'!$J$98+'Rate Schedules'!$J$99)*25+'Bill Impact 2006 EDR Alloc'!$C42*('Rate Schedules'!$J$100+'Rate Schedules'!$J$101+'Rate Schedules'!$J$104)+'Bill Impact 2006 EDR Alloc'!$C42*'Rate Schedules'!$J$119*('Rate Schedules'!$J$105+'Rate Schedules'!$J$106)+'Bill Impact 2006 EDR Alloc'!$B42*'Rate Schedules'!$J$119*('Rate Schedules'!$J$111+'Rate Schedules'!$J$112)+('Bill Impact 2006 EDR Alloc'!$B42*0.0051)+'Rate Schedules'!$J$113)*1.05</f>
        <v>475.38305844750005</v>
      </c>
      <c r="F42" s="88">
        <f t="shared" si="8"/>
        <v>-11.028943589999926</v>
      </c>
      <c r="G42" s="89">
        <f t="shared" si="9"/>
        <v>-0.02267407782661919</v>
      </c>
      <c r="H42" s="162"/>
      <c r="I42" s="163"/>
    </row>
    <row r="43" spans="1:9" ht="12.75">
      <c r="A43" s="90"/>
      <c r="B43" s="85">
        <v>6000</v>
      </c>
      <c r="C43" s="85">
        <v>20</v>
      </c>
      <c r="D43" s="87">
        <f>+((750*'Rate Schedules'!$H$116)+((('Bill Impact 2006 EDR Alloc'!$B43*'Rate Schedules'!$H$119)-750)*'Rate Schedules'!$H$117)+('Rate Schedules'!$H$98+'Rate Schedules'!$H$99)*33+'Bill Impact 2006 EDR Alloc'!$C43*('Rate Schedules'!$H$100+'Rate Schedules'!$H$101+'Rate Schedules'!$H$104)+'Bill Impact 2006 EDR Alloc'!$C43*'Rate Schedules'!$H$119*('Rate Schedules'!$H$105+'Rate Schedules'!$H$106)+'Bill Impact 2006 EDR Alloc'!$B43*'Rate Schedules'!$H$119*('Rate Schedules'!$H$111+'Rate Schedules'!$H$112)+('Bill Impact 2006 EDR Alloc'!$B43*0.0051)+'Rate Schedules'!$H$113)*1.05</f>
        <v>650.2048360499999</v>
      </c>
      <c r="E43" s="87">
        <f>+((750*'Rate Schedules'!$J$116)+((('Bill Impact 2006 EDR Alloc'!$B43*'Rate Schedules'!$J$119)-750)*'Rate Schedules'!$J$117)+('Rate Schedules'!$J$98+'Rate Schedules'!$J$99)*33+'Bill Impact 2006 EDR Alloc'!$C43*('Rate Schedules'!$J$100+'Rate Schedules'!$J$101+'Rate Schedules'!$J$104)+'Bill Impact 2006 EDR Alloc'!$C43*'Rate Schedules'!$J$119*('Rate Schedules'!$J$105+'Rate Schedules'!$J$106)+'Bill Impact 2006 EDR Alloc'!$B43*'Rate Schedules'!$J$119*('Rate Schedules'!$J$111+'Rate Schedules'!$J$112)+('Bill Impact 2006 EDR Alloc'!$B43*0.0051)+'Rate Schedules'!$J$113)*1.05</f>
        <v>635.28257793</v>
      </c>
      <c r="F43" s="88">
        <f t="shared" si="8"/>
        <v>-14.922258119999924</v>
      </c>
      <c r="G43" s="89">
        <f t="shared" si="9"/>
        <v>-0.022950087868698076</v>
      </c>
      <c r="H43" s="164"/>
      <c r="I43" s="165"/>
    </row>
    <row r="44" spans="1:9" ht="12.75">
      <c r="A44" s="90"/>
      <c r="B44" s="85">
        <v>30000</v>
      </c>
      <c r="C44" s="85">
        <v>100</v>
      </c>
      <c r="D44" s="87">
        <f>+((750*'Rate Schedules'!$H$116)+((('Bill Impact 2006 EDR Alloc'!$B44*'Rate Schedules'!$H$119)-750)*'Rate Schedules'!$H$117)+('Rate Schedules'!$H$98+'Rate Schedules'!$H$99)*170+'Bill Impact 2006 EDR Alloc'!$C44*('Rate Schedules'!$H$100+'Rate Schedules'!$H$101+'Rate Schedules'!$H$104)+'Bill Impact 2006 EDR Alloc'!$C44*'Rate Schedules'!$H$119*('Rate Schedules'!$H$105+'Rate Schedules'!$H$106)+'Bill Impact 2006 EDR Alloc'!$B44*'Rate Schedules'!$H$119*('Rate Schedules'!$H$111+'Rate Schedules'!$H$112)+('Bill Impact 2006 EDR Alloc'!$B44*0.0051)+'Rate Schedules'!$H$113)*1.05</f>
        <v>3287.6166802499997</v>
      </c>
      <c r="E44" s="87">
        <f>+((750*'Rate Schedules'!$J$116)+((('Bill Impact 2006 EDR Alloc'!$B44*'Rate Schedules'!$J$119)-750)*'Rate Schedules'!$J$117)+('Rate Schedules'!$J$98+'Rate Schedules'!$J$99)*170+'Bill Impact 2006 EDR Alloc'!$C44*('Rate Schedules'!$J$100+'Rate Schedules'!$J$101+'Rate Schedules'!$J$104)+'Bill Impact 2006 EDR Alloc'!$C44*'Rate Schedules'!$J$119*('Rate Schedules'!$J$105+'Rate Schedules'!$J$106)+'Bill Impact 2006 EDR Alloc'!$B44*'Rate Schedules'!$J$119*('Rate Schedules'!$J$111+'Rate Schedules'!$J$112)+('Bill Impact 2006 EDR Alloc'!$B44*0.0051)+'Rate Schedules'!$J$113)*1.05</f>
        <v>3216.26038965</v>
      </c>
      <c r="F44" s="88">
        <f t="shared" si="8"/>
        <v>-71.35629059999974</v>
      </c>
      <c r="G44" s="89">
        <f t="shared" si="9"/>
        <v>-0.021704565203317316</v>
      </c>
      <c r="H44" s="164"/>
      <c r="I44" s="165"/>
    </row>
    <row r="45" spans="1:9" ht="13.5" thickBot="1">
      <c r="A45" s="91"/>
      <c r="B45" s="92">
        <v>132000</v>
      </c>
      <c r="C45" s="92">
        <v>440</v>
      </c>
      <c r="D45" s="94">
        <f>+((750*'Rate Schedules'!$H$116)+((('Bill Impact 2006 EDR Alloc'!$B45*'Rate Schedules'!$H$119)-750)*'Rate Schedules'!$H$117)+('Rate Schedules'!$H$98+'Rate Schedules'!$H$99)*733+'Bill Impact 2006 EDR Alloc'!$C45*('Rate Schedules'!$H$100+'Rate Schedules'!$H$101+'Rate Schedules'!$H$104)+'Bill Impact 2006 EDR Alloc'!$C45*'Rate Schedules'!$H$119*('Rate Schedules'!$H$105+'Rate Schedules'!$H$106)+'Bill Impact 2006 EDR Alloc'!$B45*'Rate Schedules'!$H$119*('Rate Schedules'!$H$111+'Rate Schedules'!$H$112)+('Bill Impact 2006 EDR Alloc'!$B45*0.0051)+'Rate Schedules'!$H$113)*1.05</f>
        <v>14460.840893100001</v>
      </c>
      <c r="E45" s="94">
        <f>+((750*'Rate Schedules'!$J$116)+((('Bill Impact 2006 EDR Alloc'!$B45*'Rate Schedules'!$J$119)-750)*'Rate Schedules'!$J$117)+('Rate Schedules'!$J$98+'Rate Schedules'!$J$99)*733+'Bill Impact 2006 EDR Alloc'!$C45*('Rate Schedules'!$J$100+'Rate Schedules'!$J$101+'Rate Schedules'!$J$104)+'Bill Impact 2006 EDR Alloc'!$C45*'Rate Schedules'!$J$119*('Rate Schedules'!$J$105+'Rate Schedules'!$J$106)+'Bill Impact 2006 EDR Alloc'!$B45*'Rate Schedules'!$J$119*('Rate Schedules'!$J$111+'Rate Schedules'!$J$112)+('Bill Impact 2006 EDR Alloc'!$B45*0.0051)+'Rate Schedules'!$J$113)*1.05</f>
        <v>14137.108214460004</v>
      </c>
      <c r="F45" s="96">
        <f t="shared" si="8"/>
        <v>-323.7326786399972</v>
      </c>
      <c r="G45" s="97">
        <f t="shared" si="9"/>
        <v>-0.02238685018617876</v>
      </c>
      <c r="H45" s="166"/>
      <c r="I45" s="167"/>
    </row>
  </sheetData>
  <mergeCells count="8">
    <mergeCell ref="A1:I1"/>
    <mergeCell ref="H16:I21"/>
    <mergeCell ref="H23:I28"/>
    <mergeCell ref="H30:I35"/>
    <mergeCell ref="A2:I2"/>
    <mergeCell ref="A3:I3"/>
    <mergeCell ref="A4:I4"/>
    <mergeCell ref="H9:I14"/>
  </mergeCells>
  <printOptions/>
  <pageMargins left="0.75" right="0.75" top="1" bottom="1" header="0.5" footer="0.5"/>
  <pageSetup fitToHeight="1" fitToWidth="1" horizontalDpi="600" verticalDpi="600" orientation="landscape" scale="7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tabColor indexed="13"/>
    <pageSetUpPr fitToPage="1"/>
  </sheetPr>
  <dimension ref="A2:D25"/>
  <sheetViews>
    <sheetView workbookViewId="0" topLeftCell="A1">
      <selection activeCell="D5" sqref="D5"/>
    </sheetView>
  </sheetViews>
  <sheetFormatPr defaultColWidth="9.140625" defaultRowHeight="12.75"/>
  <cols>
    <col min="1" max="1" width="56.140625" style="0" bestFit="1" customWidth="1"/>
    <col min="2" max="2" width="11.57421875" style="0" bestFit="1" customWidth="1"/>
    <col min="3" max="3" width="4.140625" style="0" customWidth="1"/>
    <col min="4" max="4" width="12.00390625" style="0" bestFit="1" customWidth="1"/>
  </cols>
  <sheetData>
    <row r="2" spans="1:4" ht="18">
      <c r="A2" s="259" t="s">
        <v>258</v>
      </c>
      <c r="B2" s="259"/>
      <c r="C2" s="259"/>
      <c r="D2" s="259"/>
    </row>
    <row r="3" spans="1:4" ht="18">
      <c r="A3" s="259" t="s">
        <v>229</v>
      </c>
      <c r="B3" s="259"/>
      <c r="C3" s="259"/>
      <c r="D3" s="259"/>
    </row>
    <row r="5" spans="2:4" ht="25.5">
      <c r="B5" s="5" t="s">
        <v>38</v>
      </c>
      <c r="C5" s="5"/>
      <c r="D5" s="5" t="s">
        <v>94</v>
      </c>
    </row>
    <row r="6" spans="1:4" ht="12.75">
      <c r="A6" t="s">
        <v>245</v>
      </c>
      <c r="B6" s="7">
        <v>1909142.7544447822</v>
      </c>
      <c r="C6" s="7"/>
      <c r="D6" s="7">
        <f>2359739+95837</f>
        <v>2455576</v>
      </c>
    </row>
    <row r="7" ht="12.75">
      <c r="D7" s="7"/>
    </row>
    <row r="8" spans="1:4" ht="12.75">
      <c r="A8" t="s">
        <v>27</v>
      </c>
      <c r="D8" s="7"/>
    </row>
    <row r="9" spans="1:4" ht="12.75">
      <c r="A9" t="s">
        <v>28</v>
      </c>
      <c r="D9" s="7"/>
    </row>
    <row r="10" spans="1:4" ht="12.75">
      <c r="A10" t="s">
        <v>312</v>
      </c>
      <c r="B10" s="7">
        <v>138749.61</v>
      </c>
      <c r="C10" s="7"/>
      <c r="D10" s="7">
        <v>10000</v>
      </c>
    </row>
    <row r="11" spans="1:4" ht="12.75">
      <c r="A11" t="s">
        <v>29</v>
      </c>
      <c r="B11" s="7">
        <v>16025</v>
      </c>
      <c r="C11" s="7"/>
      <c r="D11" s="7">
        <v>46000</v>
      </c>
    </row>
    <row r="12" spans="1:4" ht="12.75">
      <c r="A12" t="s">
        <v>30</v>
      </c>
      <c r="B12" s="7">
        <v>41530</v>
      </c>
      <c r="C12" s="7"/>
      <c r="D12" s="7">
        <v>79927</v>
      </c>
    </row>
    <row r="13" spans="1:4" ht="12.75">
      <c r="A13" t="s">
        <v>31</v>
      </c>
      <c r="B13" s="7">
        <v>-105810</v>
      </c>
      <c r="C13" s="7"/>
      <c r="D13" s="7"/>
    </row>
    <row r="14" spans="2:4" ht="12.75">
      <c r="B14" s="7"/>
      <c r="C14" s="7"/>
      <c r="D14" s="7"/>
    </row>
    <row r="15" spans="1:4" ht="12.75">
      <c r="A15" t="s">
        <v>32</v>
      </c>
      <c r="B15" s="7">
        <f>SUM(B10:B14)</f>
        <v>90494.60999999999</v>
      </c>
      <c r="C15" s="7"/>
      <c r="D15" s="7">
        <f>SUM(D10:D14)</f>
        <v>135927</v>
      </c>
    </row>
    <row r="16" spans="2:4" ht="12.75">
      <c r="B16" s="7"/>
      <c r="C16" s="7"/>
      <c r="D16" s="7"/>
    </row>
    <row r="17" spans="1:4" ht="12.75">
      <c r="A17" t="s">
        <v>33</v>
      </c>
      <c r="B17" s="7">
        <f>+B6-B15</f>
        <v>1818648.1444447823</v>
      </c>
      <c r="C17" s="7"/>
      <c r="D17" s="7">
        <f>+D6-D15</f>
        <v>2319649</v>
      </c>
    </row>
    <row r="18" spans="2:4" ht="12.75">
      <c r="B18" s="7"/>
      <c r="C18" s="7"/>
      <c r="D18" s="7"/>
    </row>
    <row r="19" spans="1:4" ht="12.75">
      <c r="A19" t="s">
        <v>34</v>
      </c>
      <c r="B19" s="7">
        <v>120766.5</v>
      </c>
      <c r="C19" s="7"/>
      <c r="D19" s="7">
        <v>95837</v>
      </c>
    </row>
    <row r="20" spans="2:4" ht="12.75">
      <c r="B20" s="7"/>
      <c r="C20" s="7"/>
      <c r="D20" s="7"/>
    </row>
    <row r="21" spans="1:4" ht="12.75">
      <c r="A21" t="s">
        <v>35</v>
      </c>
      <c r="B21" s="7">
        <f>+B17-B19</f>
        <v>1697881.6444447823</v>
      </c>
      <c r="C21" s="7"/>
      <c r="D21" s="7">
        <f>+D17-D19</f>
        <v>2223812</v>
      </c>
    </row>
    <row r="22" spans="2:4" ht="12.75">
      <c r="B22" s="7"/>
      <c r="C22" s="7"/>
      <c r="D22" s="7"/>
    </row>
    <row r="23" spans="1:4" ht="12.75">
      <c r="A23" t="s">
        <v>141</v>
      </c>
      <c r="B23" s="7">
        <v>47378.1884477308</v>
      </c>
      <c r="C23" s="7"/>
      <c r="D23" s="7">
        <f>'Transformation Allowance'!M11</f>
        <v>8890.006116696104</v>
      </c>
    </row>
    <row r="24" spans="2:4" ht="12.75">
      <c r="B24" s="7"/>
      <c r="C24" s="7"/>
      <c r="D24" s="7"/>
    </row>
    <row r="25" spans="1:4" ht="12.75">
      <c r="A25" t="s">
        <v>36</v>
      </c>
      <c r="B25" s="10">
        <f>+B21+B23</f>
        <v>1745259.8328925131</v>
      </c>
      <c r="C25" s="10"/>
      <c r="D25" s="10">
        <f>+D21+D23</f>
        <v>2232702.006116696</v>
      </c>
    </row>
  </sheetData>
  <mergeCells count="2">
    <mergeCell ref="A3:D3"/>
    <mergeCell ref="A2:D2"/>
  </mergeCells>
  <printOptions/>
  <pageMargins left="0.75" right="0.75" top="1" bottom="1" header="0.5" footer="0.5"/>
  <pageSetup fitToHeight="1" fitToWidth="1" horizontalDpi="600" verticalDpi="600" orientation="portrait"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tabColor indexed="13"/>
    <pageSetUpPr fitToPage="1"/>
  </sheetPr>
  <dimension ref="A1:K35"/>
  <sheetViews>
    <sheetView workbookViewId="0" topLeftCell="A1">
      <selection activeCell="E4" sqref="E4"/>
    </sheetView>
  </sheetViews>
  <sheetFormatPr defaultColWidth="9.140625" defaultRowHeight="12.75"/>
  <cols>
    <col min="1" max="1" width="35.28125" style="0" bestFit="1" customWidth="1"/>
    <col min="2" max="4" width="15.00390625" style="0" bestFit="1" customWidth="1"/>
    <col min="5" max="10" width="12.28125" style="0" bestFit="1" customWidth="1"/>
    <col min="11" max="11" width="11.28125" style="0" bestFit="1" customWidth="1"/>
  </cols>
  <sheetData>
    <row r="1" spans="1:10" ht="15.75">
      <c r="A1" s="262" t="s">
        <v>142</v>
      </c>
      <c r="B1" s="262"/>
      <c r="C1" s="262"/>
      <c r="D1" s="262"/>
      <c r="E1" s="262"/>
      <c r="F1" s="262"/>
      <c r="G1" s="262"/>
      <c r="H1" s="262"/>
      <c r="I1" s="262"/>
      <c r="J1" s="262"/>
    </row>
    <row r="2" spans="2:10" ht="25.5" customHeight="1">
      <c r="B2" s="263" t="s">
        <v>115</v>
      </c>
      <c r="C2" s="263"/>
      <c r="D2" s="263"/>
      <c r="E2" s="263"/>
      <c r="F2" s="263" t="s">
        <v>37</v>
      </c>
      <c r="G2" s="263"/>
      <c r="H2" s="263"/>
      <c r="I2" s="263" t="s">
        <v>112</v>
      </c>
      <c r="J2" s="263"/>
    </row>
    <row r="4" spans="2:10" ht="25.5">
      <c r="B4" s="6">
        <v>2002</v>
      </c>
      <c r="C4" s="6">
        <v>2003</v>
      </c>
      <c r="D4" s="6">
        <v>2004</v>
      </c>
      <c r="E4" s="5" t="s">
        <v>38</v>
      </c>
      <c r="F4" s="6">
        <v>2005</v>
      </c>
      <c r="G4" s="5" t="s">
        <v>39</v>
      </c>
      <c r="H4" s="5" t="s">
        <v>40</v>
      </c>
      <c r="I4" s="104" t="s">
        <v>41</v>
      </c>
      <c r="J4" s="107" t="s">
        <v>94</v>
      </c>
    </row>
    <row r="5" spans="1:10" ht="12.75">
      <c r="A5" s="3" t="s">
        <v>0</v>
      </c>
      <c r="I5" s="105"/>
      <c r="J5" s="108"/>
    </row>
    <row r="6" spans="1:11" ht="12.75">
      <c r="A6" t="s">
        <v>42</v>
      </c>
      <c r="B6" s="7">
        <v>3042</v>
      </c>
      <c r="C6" s="7">
        <v>3042</v>
      </c>
      <c r="D6" s="7">
        <v>3072</v>
      </c>
      <c r="E6" s="7">
        <v>3072</v>
      </c>
      <c r="F6" s="7">
        <v>3097</v>
      </c>
      <c r="G6" s="7">
        <v>3099</v>
      </c>
      <c r="H6" s="7">
        <v>3100</v>
      </c>
      <c r="I6" s="106">
        <v>3109</v>
      </c>
      <c r="J6" s="109">
        <v>3119</v>
      </c>
      <c r="K6" s="7"/>
    </row>
    <row r="7" spans="1:11" ht="12.75">
      <c r="A7" t="s">
        <v>113</v>
      </c>
      <c r="B7" s="7">
        <v>28624805</v>
      </c>
      <c r="C7" s="7">
        <v>28624805</v>
      </c>
      <c r="D7" s="7">
        <v>28565432</v>
      </c>
      <c r="E7" s="7">
        <v>28793211.271531887</v>
      </c>
      <c r="F7" s="7">
        <v>29588456</v>
      </c>
      <c r="G7" s="8">
        <v>29533620</v>
      </c>
      <c r="H7" s="7">
        <v>29640947</v>
      </c>
      <c r="I7" s="106">
        <v>29491395.483133256</v>
      </c>
      <c r="J7" s="109">
        <v>29586253.622352086</v>
      </c>
      <c r="K7" s="7"/>
    </row>
    <row r="8" spans="2:11" ht="12.75">
      <c r="B8" s="7"/>
      <c r="C8" s="7"/>
      <c r="D8" s="7"/>
      <c r="E8" s="7"/>
      <c r="F8" s="7"/>
      <c r="G8" s="7"/>
      <c r="H8" s="7"/>
      <c r="I8" s="106"/>
      <c r="J8" s="109"/>
      <c r="K8" s="7"/>
    </row>
    <row r="9" spans="1:11" ht="12.75">
      <c r="A9" s="3" t="s">
        <v>43</v>
      </c>
      <c r="B9" s="7"/>
      <c r="C9" s="7"/>
      <c r="D9" s="7"/>
      <c r="E9" s="7"/>
      <c r="F9" s="7"/>
      <c r="G9" s="7"/>
      <c r="H9" s="7"/>
      <c r="I9" s="106"/>
      <c r="J9" s="109"/>
      <c r="K9" s="7"/>
    </row>
    <row r="10" spans="1:11" ht="12.75">
      <c r="A10" t="s">
        <v>42</v>
      </c>
      <c r="B10" s="137">
        <v>378</v>
      </c>
      <c r="C10" s="137">
        <v>378</v>
      </c>
      <c r="D10" s="137">
        <v>398</v>
      </c>
      <c r="E10" s="137">
        <v>398</v>
      </c>
      <c r="F10" s="137">
        <v>405</v>
      </c>
      <c r="G10" s="137">
        <v>412</v>
      </c>
      <c r="H10" s="137">
        <v>409</v>
      </c>
      <c r="I10" s="106">
        <v>413</v>
      </c>
      <c r="J10" s="109">
        <v>417</v>
      </c>
      <c r="K10" s="7"/>
    </row>
    <row r="11" spans="1:11" ht="12.75">
      <c r="A11" t="s">
        <v>113</v>
      </c>
      <c r="B11" s="137">
        <v>13817663</v>
      </c>
      <c r="C11" s="137">
        <v>13817663</v>
      </c>
      <c r="D11" s="137">
        <v>13994672</v>
      </c>
      <c r="E11" s="137">
        <v>14364061.520282187</v>
      </c>
      <c r="F11" s="137">
        <v>14091862</v>
      </c>
      <c r="G11" s="137">
        <v>14139203</v>
      </c>
      <c r="H11" s="137">
        <v>13888581</v>
      </c>
      <c r="I11" s="106">
        <v>13913258.039427647</v>
      </c>
      <c r="J11" s="109">
        <v>14048011.143925736</v>
      </c>
      <c r="K11" s="7"/>
    </row>
    <row r="12" spans="2:11" ht="12.75">
      <c r="B12" s="7"/>
      <c r="C12" s="7"/>
      <c r="D12" s="7"/>
      <c r="E12" s="7"/>
      <c r="F12" s="7"/>
      <c r="G12" s="7"/>
      <c r="H12" s="7"/>
      <c r="I12" s="106"/>
      <c r="J12" s="109"/>
      <c r="K12" s="7"/>
    </row>
    <row r="13" spans="1:11" ht="12.75">
      <c r="A13" s="3" t="s">
        <v>44</v>
      </c>
      <c r="B13" s="7"/>
      <c r="C13" s="7"/>
      <c r="D13" s="7"/>
      <c r="E13" s="7"/>
      <c r="F13" s="7"/>
      <c r="G13" s="7"/>
      <c r="H13" s="7"/>
      <c r="I13" s="106"/>
      <c r="J13" s="109"/>
      <c r="K13" s="7"/>
    </row>
    <row r="14" spans="1:11" ht="12.75">
      <c r="A14" t="s">
        <v>42</v>
      </c>
      <c r="B14" s="7">
        <f>28+6</f>
        <v>34</v>
      </c>
      <c r="C14" s="7">
        <f>28+6</f>
        <v>34</v>
      </c>
      <c r="D14" s="7">
        <f>28+6</f>
        <v>34</v>
      </c>
      <c r="E14" s="7">
        <f>28+6</f>
        <v>34</v>
      </c>
      <c r="F14" s="7">
        <f>29+6</f>
        <v>35</v>
      </c>
      <c r="G14" s="7">
        <f>29+5</f>
        <v>34</v>
      </c>
      <c r="H14" s="7">
        <f>31+4</f>
        <v>35</v>
      </c>
      <c r="I14" s="106">
        <f>32+2</f>
        <v>34</v>
      </c>
      <c r="J14" s="109">
        <f>33+2</f>
        <v>35</v>
      </c>
      <c r="K14" s="7"/>
    </row>
    <row r="15" spans="1:11" ht="12.75">
      <c r="A15" t="s">
        <v>113</v>
      </c>
      <c r="B15" s="7">
        <f>14258279+28177074</f>
        <v>42435353</v>
      </c>
      <c r="C15" s="7">
        <f>14258279+28177074</f>
        <v>42435353</v>
      </c>
      <c r="D15" s="7">
        <f>14348061+28303184</f>
        <v>42651245</v>
      </c>
      <c r="E15" s="7">
        <f>14288206.3333333+28219111</f>
        <v>42507317.3333333</v>
      </c>
      <c r="F15" s="7">
        <f>14022912+28147913</f>
        <v>42170825</v>
      </c>
      <c r="G15" s="7">
        <f>13878467+17033453</f>
        <v>30911920</v>
      </c>
      <c r="H15" s="7">
        <f>13693566+8145825</f>
        <v>21839391</v>
      </c>
      <c r="I15" s="106">
        <f>14106277.7961408+7017128</f>
        <v>21123405.796140797</v>
      </c>
      <c r="J15" s="109">
        <f>14547098.9772702+4067428</f>
        <v>18614526.9772702</v>
      </c>
      <c r="K15" s="7"/>
    </row>
    <row r="16" spans="1:11" ht="12.75">
      <c r="A16" t="s">
        <v>114</v>
      </c>
      <c r="B16" s="7">
        <f>31133+70712</f>
        <v>101845</v>
      </c>
      <c r="C16" s="7">
        <f>31133+70712</f>
        <v>101845</v>
      </c>
      <c r="D16" s="7">
        <f>33005+74963</f>
        <v>107968</v>
      </c>
      <c r="E16" s="7">
        <f>31757+72129</f>
        <v>103886</v>
      </c>
      <c r="F16" s="7">
        <f>41384.3828654008+74476</f>
        <v>115860.38286540081</v>
      </c>
      <c r="G16" s="7">
        <f>37575+38555</f>
        <v>76130</v>
      </c>
      <c r="H16" s="7">
        <f>44411+22128</f>
        <v>66539</v>
      </c>
      <c r="I16" s="106">
        <f>45749.5077034287+16840</f>
        <v>62589.5077034287</v>
      </c>
      <c r="J16" s="109">
        <f>47179.1798191609+11001</f>
        <v>58180.1798191609</v>
      </c>
      <c r="K16" s="7"/>
    </row>
    <row r="17" spans="2:11" ht="12.75">
      <c r="B17" s="7"/>
      <c r="C17" s="7"/>
      <c r="D17" s="7"/>
      <c r="E17" s="7"/>
      <c r="F17" s="7"/>
      <c r="G17" s="7"/>
      <c r="H17" s="7"/>
      <c r="I17" s="106"/>
      <c r="J17" s="109"/>
      <c r="K17" s="7"/>
    </row>
    <row r="18" spans="1:11" ht="12.75">
      <c r="A18" s="3" t="s">
        <v>18</v>
      </c>
      <c r="B18" s="260" t="s">
        <v>230</v>
      </c>
      <c r="C18" s="261"/>
      <c r="D18" s="261"/>
      <c r="E18" s="261"/>
      <c r="F18" s="261"/>
      <c r="G18" s="7"/>
      <c r="H18" s="7"/>
      <c r="I18" s="106"/>
      <c r="J18" s="109"/>
      <c r="K18" s="7"/>
    </row>
    <row r="19" spans="1:11" ht="12.75">
      <c r="A19" t="s">
        <v>42</v>
      </c>
      <c r="B19" s="7"/>
      <c r="C19" s="7"/>
      <c r="D19" s="7"/>
      <c r="E19" s="7"/>
      <c r="F19" s="7"/>
      <c r="G19" s="7">
        <v>8</v>
      </c>
      <c r="H19" s="7">
        <v>8</v>
      </c>
      <c r="I19" s="106">
        <v>8</v>
      </c>
      <c r="J19" s="109">
        <v>8</v>
      </c>
      <c r="K19" s="7"/>
    </row>
    <row r="20" spans="1:11" ht="12.75">
      <c r="A20" t="s">
        <v>113</v>
      </c>
      <c r="B20" s="7"/>
      <c r="C20" s="7"/>
      <c r="D20" s="7"/>
      <c r="E20" s="7"/>
      <c r="F20" s="7"/>
      <c r="G20" s="7">
        <v>92013</v>
      </c>
      <c r="H20" s="7">
        <v>94602</v>
      </c>
      <c r="I20" s="106">
        <v>94602</v>
      </c>
      <c r="J20" s="109">
        <v>94602</v>
      </c>
      <c r="K20" s="7"/>
    </row>
    <row r="21" spans="2:11" ht="12.75">
      <c r="B21" s="7"/>
      <c r="C21" s="7"/>
      <c r="D21" s="7"/>
      <c r="E21" s="7"/>
      <c r="F21" s="7"/>
      <c r="G21" s="7"/>
      <c r="H21" s="7"/>
      <c r="I21" s="106"/>
      <c r="J21" s="109"/>
      <c r="K21" s="7"/>
    </row>
    <row r="22" spans="1:11" ht="12.75">
      <c r="A22" s="3" t="s">
        <v>45</v>
      </c>
      <c r="B22" s="7"/>
      <c r="C22" s="7"/>
      <c r="D22" s="7"/>
      <c r="E22" s="7"/>
      <c r="F22" s="7"/>
      <c r="G22" s="7"/>
      <c r="H22" s="7"/>
      <c r="I22" s="106"/>
      <c r="J22" s="109"/>
      <c r="K22" s="7"/>
    </row>
    <row r="23" spans="1:11" ht="12.75">
      <c r="A23" t="s">
        <v>46</v>
      </c>
      <c r="B23" s="7">
        <v>58</v>
      </c>
      <c r="C23" s="7">
        <v>58</v>
      </c>
      <c r="D23" s="7">
        <v>58</v>
      </c>
      <c r="E23" s="7">
        <v>58</v>
      </c>
      <c r="F23" s="7">
        <v>81</v>
      </c>
      <c r="G23" s="110">
        <v>83</v>
      </c>
      <c r="H23" s="110">
        <v>86</v>
      </c>
      <c r="I23" s="106">
        <v>89</v>
      </c>
      <c r="J23" s="109">
        <v>91</v>
      </c>
      <c r="K23" s="7"/>
    </row>
    <row r="24" spans="1:11" ht="12.75">
      <c r="A24" t="s">
        <v>113</v>
      </c>
      <c r="B24" s="7">
        <v>7234</v>
      </c>
      <c r="C24" s="7">
        <v>7234</v>
      </c>
      <c r="D24" s="7">
        <v>38942</v>
      </c>
      <c r="E24" s="7">
        <v>17803.333333333332</v>
      </c>
      <c r="F24" s="7">
        <v>70719</v>
      </c>
      <c r="G24" s="7">
        <v>76668</v>
      </c>
      <c r="H24" s="7">
        <v>76188</v>
      </c>
      <c r="I24" s="106">
        <v>78845.72093023256</v>
      </c>
      <c r="J24" s="109">
        <v>80617.53488372093</v>
      </c>
      <c r="K24" s="7"/>
    </row>
    <row r="25" spans="1:11" ht="12.75">
      <c r="A25" t="s">
        <v>114</v>
      </c>
      <c r="B25" s="7">
        <v>109</v>
      </c>
      <c r="C25" s="7">
        <v>109</v>
      </c>
      <c r="D25" s="7">
        <v>109</v>
      </c>
      <c r="E25" s="7">
        <v>109</v>
      </c>
      <c r="F25" s="7">
        <v>207.1454993283694</v>
      </c>
      <c r="G25" s="7">
        <v>220</v>
      </c>
      <c r="H25" s="7">
        <v>227.9</v>
      </c>
      <c r="I25" s="106">
        <v>235.85</v>
      </c>
      <c r="J25" s="109">
        <v>241.15</v>
      </c>
      <c r="K25" s="7"/>
    </row>
    <row r="26" spans="2:11" ht="12.75">
      <c r="B26" s="7"/>
      <c r="C26" s="7"/>
      <c r="D26" s="7"/>
      <c r="E26" s="7"/>
      <c r="F26" s="7"/>
      <c r="G26" s="7"/>
      <c r="H26" s="7"/>
      <c r="I26" s="106"/>
      <c r="J26" s="109"/>
      <c r="K26" s="7"/>
    </row>
    <row r="27" spans="1:11" ht="12.75">
      <c r="A27" s="3" t="s">
        <v>47</v>
      </c>
      <c r="B27" s="7"/>
      <c r="C27" s="7"/>
      <c r="D27" s="7"/>
      <c r="E27" s="7"/>
      <c r="F27" s="7"/>
      <c r="G27" s="7"/>
      <c r="H27" s="7"/>
      <c r="I27" s="106"/>
      <c r="J27" s="109"/>
      <c r="K27" s="7"/>
    </row>
    <row r="28" spans="1:11" ht="12.75">
      <c r="A28" t="s">
        <v>46</v>
      </c>
      <c r="B28" s="7">
        <v>566</v>
      </c>
      <c r="C28" s="7">
        <v>566</v>
      </c>
      <c r="D28" s="7">
        <v>566</v>
      </c>
      <c r="E28" s="7">
        <v>566</v>
      </c>
      <c r="F28" s="7">
        <v>579</v>
      </c>
      <c r="G28" s="110">
        <v>589</v>
      </c>
      <c r="H28" s="110">
        <v>589</v>
      </c>
      <c r="I28" s="106">
        <v>594</v>
      </c>
      <c r="J28" s="109">
        <v>599</v>
      </c>
      <c r="K28" s="7"/>
    </row>
    <row r="29" spans="1:11" ht="12.75">
      <c r="A29" t="s">
        <v>113</v>
      </c>
      <c r="B29" s="7">
        <v>138794</v>
      </c>
      <c r="C29" s="7">
        <v>138794</v>
      </c>
      <c r="D29" s="7">
        <v>120466</v>
      </c>
      <c r="E29" s="7">
        <v>132684.66666666666</v>
      </c>
      <c r="F29" s="7">
        <v>593774</v>
      </c>
      <c r="G29" s="7">
        <v>644646</v>
      </c>
      <c r="H29" s="7">
        <v>546343</v>
      </c>
      <c r="I29" s="106">
        <v>550980.8862478777</v>
      </c>
      <c r="J29" s="109">
        <v>555618.7724957556</v>
      </c>
      <c r="K29" s="7"/>
    </row>
    <row r="30" spans="1:11" ht="12.75">
      <c r="A30" t="s">
        <v>114</v>
      </c>
      <c r="B30" s="7">
        <v>337</v>
      </c>
      <c r="C30" s="7">
        <v>337</v>
      </c>
      <c r="D30" s="7">
        <v>337</v>
      </c>
      <c r="E30" s="7">
        <v>337</v>
      </c>
      <c r="F30" s="7">
        <v>1629.7776100367007</v>
      </c>
      <c r="G30" s="7">
        <v>1634.5</v>
      </c>
      <c r="H30" s="7">
        <v>1634.5</v>
      </c>
      <c r="I30" s="106">
        <v>1648.3752122241087</v>
      </c>
      <c r="J30" s="109">
        <v>1662.2504244482175</v>
      </c>
      <c r="K30" s="7"/>
    </row>
    <row r="31" spans="9:10" ht="12.75">
      <c r="I31" s="105"/>
      <c r="J31" s="108"/>
    </row>
    <row r="32" spans="1:10" ht="12.75">
      <c r="A32" t="s">
        <v>53</v>
      </c>
      <c r="I32" s="105"/>
      <c r="J32" s="108"/>
    </row>
    <row r="33" spans="1:10" ht="12.75">
      <c r="A33" t="s">
        <v>46</v>
      </c>
      <c r="B33" s="10">
        <f>B6+B10+B14+B19+B23+B28</f>
        <v>4078</v>
      </c>
      <c r="C33" s="10">
        <f aca="true" t="shared" si="0" ref="C33:J33">C6+C10+C14+C19+C23+C28</f>
        <v>4078</v>
      </c>
      <c r="D33" s="10">
        <f t="shared" si="0"/>
        <v>4128</v>
      </c>
      <c r="E33" s="10">
        <f t="shared" si="0"/>
        <v>4128</v>
      </c>
      <c r="F33" s="10">
        <f t="shared" si="0"/>
        <v>4197</v>
      </c>
      <c r="G33" s="10">
        <f t="shared" si="0"/>
        <v>4225</v>
      </c>
      <c r="H33" s="10">
        <f t="shared" si="0"/>
        <v>4227</v>
      </c>
      <c r="I33" s="106">
        <f t="shared" si="0"/>
        <v>4247</v>
      </c>
      <c r="J33" s="109">
        <f t="shared" si="0"/>
        <v>4269</v>
      </c>
    </row>
    <row r="34" spans="1:11" ht="12.75">
      <c r="A34" t="s">
        <v>113</v>
      </c>
      <c r="B34" s="10">
        <f>B7+B11+B15+B20+B24+B29</f>
        <v>85023849</v>
      </c>
      <c r="C34" s="10">
        <f aca="true" t="shared" si="1" ref="C34:J34">C7+C11+C15+C20+C24+C29</f>
        <v>85023849</v>
      </c>
      <c r="D34" s="10">
        <f t="shared" si="1"/>
        <v>85370757</v>
      </c>
      <c r="E34" s="10">
        <f t="shared" si="1"/>
        <v>85815078.12514737</v>
      </c>
      <c r="F34" s="10">
        <f t="shared" si="1"/>
        <v>86515636</v>
      </c>
      <c r="G34" s="10">
        <f t="shared" si="1"/>
        <v>75398070</v>
      </c>
      <c r="H34" s="10">
        <f t="shared" si="1"/>
        <v>66086052</v>
      </c>
      <c r="I34" s="106">
        <f t="shared" si="1"/>
        <v>65252487.925879814</v>
      </c>
      <c r="J34" s="109">
        <f t="shared" si="1"/>
        <v>62979630.0509275</v>
      </c>
      <c r="K34" s="10"/>
    </row>
    <row r="35" spans="1:11" ht="12.75">
      <c r="A35" t="s">
        <v>114</v>
      </c>
      <c r="B35" s="10">
        <f>B16+B25+B30</f>
        <v>102291</v>
      </c>
      <c r="C35" s="10">
        <f aca="true" t="shared" si="2" ref="C35:J35">C16+C25+C30</f>
        <v>102291</v>
      </c>
      <c r="D35" s="10">
        <f t="shared" si="2"/>
        <v>108414</v>
      </c>
      <c r="E35" s="10">
        <f t="shared" si="2"/>
        <v>104332</v>
      </c>
      <c r="F35" s="10">
        <f t="shared" si="2"/>
        <v>117697.30597476588</v>
      </c>
      <c r="G35" s="10">
        <f t="shared" si="2"/>
        <v>77984.5</v>
      </c>
      <c r="H35" s="10">
        <f t="shared" si="2"/>
        <v>68401.4</v>
      </c>
      <c r="I35" s="106">
        <f t="shared" si="2"/>
        <v>64473.73291565281</v>
      </c>
      <c r="J35" s="109">
        <f t="shared" si="2"/>
        <v>60083.58024360912</v>
      </c>
      <c r="K35" s="10"/>
    </row>
  </sheetData>
  <mergeCells count="5">
    <mergeCell ref="B18:F18"/>
    <mergeCell ref="A1:J1"/>
    <mergeCell ref="F2:H2"/>
    <mergeCell ref="I2:J2"/>
    <mergeCell ref="B2:E2"/>
  </mergeCells>
  <printOptions/>
  <pageMargins left="0.75" right="0.75" top="1" bottom="1" header="0.5" footer="0.5"/>
  <pageSetup fitToHeight="1" fitToWidth="1" horizontalDpi="600" verticalDpi="600" orientation="landscape" scale="78"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tabColor indexed="13"/>
    <pageSetUpPr fitToPage="1"/>
  </sheetPr>
  <dimension ref="A6:M13"/>
  <sheetViews>
    <sheetView workbookViewId="0" topLeftCell="A1">
      <selection activeCell="I23" sqref="I23"/>
    </sheetView>
  </sheetViews>
  <sheetFormatPr defaultColWidth="9.140625" defaultRowHeight="12.75"/>
  <cols>
    <col min="1" max="1" width="29.8515625" style="0" bestFit="1" customWidth="1"/>
    <col min="2" max="9" width="8.7109375" style="0" bestFit="1" customWidth="1"/>
    <col min="10" max="10" width="12.28125" style="0" bestFit="1" customWidth="1"/>
    <col min="11" max="11" width="12.28125" style="0" customWidth="1"/>
    <col min="12" max="12" width="12.28125" style="0" bestFit="1" customWidth="1"/>
    <col min="13" max="13" width="12.28125" style="0" customWidth="1"/>
  </cols>
  <sheetData>
    <row r="6" spans="1:13" ht="16.5" thickBot="1">
      <c r="A6" s="262" t="s">
        <v>143</v>
      </c>
      <c r="B6" s="262"/>
      <c r="C6" s="262"/>
      <c r="D6" s="262"/>
      <c r="E6" s="262"/>
      <c r="F6" s="262"/>
      <c r="G6" s="262"/>
      <c r="H6" s="262"/>
      <c r="I6" s="262"/>
      <c r="J6" s="262"/>
      <c r="K6" s="262"/>
      <c r="L6" s="262"/>
      <c r="M6" s="262"/>
    </row>
    <row r="7" spans="1:13" ht="13.5" thickBot="1">
      <c r="A7" s="213"/>
      <c r="B7" s="265" t="s">
        <v>38</v>
      </c>
      <c r="C7" s="267"/>
      <c r="D7" s="264" t="s">
        <v>116</v>
      </c>
      <c r="E7" s="264"/>
      <c r="F7" s="264"/>
      <c r="G7" s="264"/>
      <c r="H7" s="264"/>
      <c r="I7" s="264"/>
      <c r="J7" s="265" t="s">
        <v>117</v>
      </c>
      <c r="K7" s="266"/>
      <c r="L7" s="266"/>
      <c r="M7" s="267"/>
    </row>
    <row r="8" spans="1:13" ht="12.75">
      <c r="A8" s="197"/>
      <c r="B8" s="197"/>
      <c r="C8" s="199"/>
      <c r="D8" s="196"/>
      <c r="E8" s="211"/>
      <c r="F8" s="196"/>
      <c r="G8" s="211"/>
      <c r="H8" s="196"/>
      <c r="I8" s="211"/>
      <c r="J8" s="196"/>
      <c r="K8" s="211"/>
      <c r="L8" s="196"/>
      <c r="M8" s="211"/>
    </row>
    <row r="9" spans="1:13" ht="15.75">
      <c r="A9" s="200" t="s">
        <v>118</v>
      </c>
      <c r="B9" s="268" t="s">
        <v>38</v>
      </c>
      <c r="C9" s="269"/>
      <c r="D9" s="268" t="s">
        <v>119</v>
      </c>
      <c r="E9" s="269"/>
      <c r="F9" s="268" t="s">
        <v>120</v>
      </c>
      <c r="G9" s="269"/>
      <c r="H9" s="268" t="s">
        <v>121</v>
      </c>
      <c r="I9" s="269"/>
      <c r="J9" s="268" t="s">
        <v>41</v>
      </c>
      <c r="K9" s="269"/>
      <c r="L9" s="270" t="s">
        <v>94</v>
      </c>
      <c r="M9" s="271"/>
    </row>
    <row r="10" spans="1:13" ht="12.75">
      <c r="A10" s="197"/>
      <c r="B10" s="207" t="s">
        <v>60</v>
      </c>
      <c r="C10" s="201" t="s">
        <v>2</v>
      </c>
      <c r="D10" s="207" t="s">
        <v>60</v>
      </c>
      <c r="E10" s="201" t="s">
        <v>2</v>
      </c>
      <c r="F10" s="207" t="s">
        <v>60</v>
      </c>
      <c r="G10" s="201" t="s">
        <v>2</v>
      </c>
      <c r="H10" s="207" t="s">
        <v>60</v>
      </c>
      <c r="I10" s="201" t="s">
        <v>2</v>
      </c>
      <c r="J10" s="207" t="s">
        <v>60</v>
      </c>
      <c r="K10" s="201" t="s">
        <v>2</v>
      </c>
      <c r="L10" s="207" t="s">
        <v>60</v>
      </c>
      <c r="M10" s="201" t="s">
        <v>2</v>
      </c>
    </row>
    <row r="11" spans="1:13" ht="12.75">
      <c r="A11" s="202" t="s">
        <v>16</v>
      </c>
      <c r="B11" s="208">
        <v>78694</v>
      </c>
      <c r="C11" s="203">
        <v>47378.19</v>
      </c>
      <c r="D11" s="208">
        <v>78657.33333333334</v>
      </c>
      <c r="E11" s="203">
        <v>47194.4</v>
      </c>
      <c r="F11" s="208">
        <v>44759.21666666667</v>
      </c>
      <c r="G11" s="203">
        <v>26855.53</v>
      </c>
      <c r="H11" s="208">
        <v>29762.783333333333</v>
      </c>
      <c r="I11" s="203">
        <v>17857.67</v>
      </c>
      <c r="J11" s="208">
        <v>22680.923401685057</v>
      </c>
      <c r="K11" s="203">
        <v>13608.554041011033</v>
      </c>
      <c r="L11" s="208">
        <v>14816.676861160173</v>
      </c>
      <c r="M11" s="203">
        <v>8890.006116696104</v>
      </c>
    </row>
    <row r="12" spans="1:13" ht="12.75">
      <c r="A12" s="197"/>
      <c r="B12" s="197"/>
      <c r="C12" s="199"/>
      <c r="D12" s="212"/>
      <c r="E12" s="199"/>
      <c r="F12" s="212"/>
      <c r="G12" s="199"/>
      <c r="H12" s="212"/>
      <c r="I12" s="199"/>
      <c r="J12" s="212"/>
      <c r="K12" s="199"/>
      <c r="L12" s="212"/>
      <c r="M12" s="199"/>
    </row>
    <row r="13" spans="1:13" ht="13.5" thickBot="1">
      <c r="A13" s="204" t="s">
        <v>122</v>
      </c>
      <c r="B13" s="209" t="s">
        <v>17</v>
      </c>
      <c r="C13" s="210">
        <v>0.6</v>
      </c>
      <c r="D13" s="204"/>
      <c r="E13" s="206"/>
      <c r="F13" s="204"/>
      <c r="G13" s="206"/>
      <c r="H13" s="204"/>
      <c r="I13" s="206"/>
      <c r="J13" s="204"/>
      <c r="K13" s="206"/>
      <c r="L13" s="204"/>
      <c r="M13" s="206"/>
    </row>
  </sheetData>
  <mergeCells count="10">
    <mergeCell ref="A6:M6"/>
    <mergeCell ref="D7:I7"/>
    <mergeCell ref="J7:M7"/>
    <mergeCell ref="B9:C9"/>
    <mergeCell ref="D9:E9"/>
    <mergeCell ref="F9:G9"/>
    <mergeCell ref="H9:I9"/>
    <mergeCell ref="J9:K9"/>
    <mergeCell ref="L9:M9"/>
    <mergeCell ref="B7:C7"/>
  </mergeCells>
  <printOptions/>
  <pageMargins left="0.75" right="0.75" top="1" bottom="1" header="0.5" footer="0.5"/>
  <pageSetup fitToHeight="1" fitToWidth="1" horizontalDpi="600" verticalDpi="600" orientation="landscape" scale="83"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tabColor indexed="13"/>
  </sheetPr>
  <dimension ref="A1:B8"/>
  <sheetViews>
    <sheetView workbookViewId="0" topLeftCell="A1">
      <selection activeCell="B15" sqref="B15"/>
    </sheetView>
  </sheetViews>
  <sheetFormatPr defaultColWidth="9.140625" defaultRowHeight="12.75"/>
  <cols>
    <col min="1" max="1" width="38.7109375" style="0" bestFit="1" customWidth="1"/>
  </cols>
  <sheetData>
    <row r="1" spans="1:2" ht="15.75">
      <c r="A1" s="262" t="s">
        <v>258</v>
      </c>
      <c r="B1" s="262"/>
    </row>
    <row r="2" spans="1:2" ht="15.75">
      <c r="A2" s="262" t="s">
        <v>100</v>
      </c>
      <c r="B2" s="262"/>
    </row>
    <row r="5" spans="1:2" ht="38.25">
      <c r="A5" t="s">
        <v>48</v>
      </c>
      <c r="B5" s="9" t="s">
        <v>100</v>
      </c>
    </row>
    <row r="6" spans="1:2" ht="12.75">
      <c r="A6" t="s">
        <v>0</v>
      </c>
      <c r="B6" s="2">
        <v>0.26</v>
      </c>
    </row>
    <row r="7" spans="1:2" ht="12.75">
      <c r="A7" t="s">
        <v>15</v>
      </c>
      <c r="B7" s="2">
        <v>0.26</v>
      </c>
    </row>
    <row r="8" spans="1:2" ht="12.75">
      <c r="A8" t="s">
        <v>16</v>
      </c>
      <c r="B8" s="2">
        <v>0.26</v>
      </c>
    </row>
  </sheetData>
  <mergeCells count="2">
    <mergeCell ref="A2:B2"/>
    <mergeCell ref="A1:B1"/>
  </mergeCells>
  <printOptions horizontalCentered="1"/>
  <pageMargins left="0.75" right="0.75" top="1" bottom="1" header="0.5" footer="0.5"/>
  <pageSetup horizontalDpi="600" verticalDpi="600" orientation="portrait"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tabColor indexed="13"/>
  </sheetPr>
  <dimension ref="A1:C12"/>
  <sheetViews>
    <sheetView workbookViewId="0" topLeftCell="A1">
      <selection activeCell="C3" sqref="C3"/>
    </sheetView>
  </sheetViews>
  <sheetFormatPr defaultColWidth="9.140625" defaultRowHeight="12.75"/>
  <cols>
    <col min="1" max="1" width="55.421875" style="0" customWidth="1"/>
    <col min="2" max="2" width="12.00390625" style="0" customWidth="1"/>
    <col min="3" max="3" width="10.57421875" style="0" customWidth="1"/>
  </cols>
  <sheetData>
    <row r="1" spans="1:3" ht="15.75">
      <c r="A1" s="272" t="s">
        <v>258</v>
      </c>
      <c r="B1" s="272"/>
      <c r="C1" s="272"/>
    </row>
    <row r="2" spans="1:3" ht="15.75">
      <c r="A2" s="272" t="s">
        <v>123</v>
      </c>
      <c r="B2" s="272"/>
      <c r="C2" s="272"/>
    </row>
    <row r="3" spans="1:3" ht="38.25">
      <c r="A3" s="156" t="s">
        <v>149</v>
      </c>
      <c r="B3" s="156" t="s">
        <v>148</v>
      </c>
      <c r="C3" s="156" t="s">
        <v>231</v>
      </c>
    </row>
    <row r="4" spans="1:3" ht="14.25">
      <c r="A4" s="138" t="s">
        <v>124</v>
      </c>
      <c r="B4" s="143">
        <v>1.034</v>
      </c>
      <c r="C4" s="144">
        <v>1.0272</v>
      </c>
    </row>
    <row r="5" spans="1:3" ht="12.75">
      <c r="A5" s="274"/>
      <c r="B5" s="274"/>
      <c r="C5" s="274"/>
    </row>
    <row r="6" spans="1:3" ht="14.25">
      <c r="A6" s="273" t="s">
        <v>125</v>
      </c>
      <c r="B6" s="273"/>
      <c r="C6" s="273"/>
    </row>
    <row r="7" spans="1:3" ht="14.25">
      <c r="A7" s="139" t="s">
        <v>126</v>
      </c>
      <c r="B7" s="144">
        <v>1.0363</v>
      </c>
      <c r="C7" s="144">
        <v>1.0438</v>
      </c>
    </row>
    <row r="8" spans="1:3" ht="14.25">
      <c r="A8" s="139" t="s">
        <v>127</v>
      </c>
      <c r="B8" s="144">
        <v>1.0259</v>
      </c>
      <c r="C8" s="144">
        <v>1.0336</v>
      </c>
    </row>
    <row r="9" spans="1:3" ht="12.75">
      <c r="A9" s="274"/>
      <c r="B9" s="274"/>
      <c r="C9" s="274"/>
    </row>
    <row r="10" spans="1:3" ht="14.25">
      <c r="A10" s="273" t="s">
        <v>128</v>
      </c>
      <c r="B10" s="273"/>
      <c r="C10" s="273"/>
    </row>
    <row r="11" spans="1:3" ht="14.25">
      <c r="A11" s="139" t="s">
        <v>126</v>
      </c>
      <c r="B11" s="144">
        <v>1.0715</v>
      </c>
      <c r="C11" s="144">
        <v>1.0719</v>
      </c>
    </row>
    <row r="12" spans="1:3" ht="14.25">
      <c r="A12" s="139" t="s">
        <v>127</v>
      </c>
      <c r="B12" s="144">
        <v>1.0608</v>
      </c>
      <c r="C12" s="144">
        <v>1.0612</v>
      </c>
    </row>
  </sheetData>
  <mergeCells count="6">
    <mergeCell ref="A1:C1"/>
    <mergeCell ref="A10:C10"/>
    <mergeCell ref="A2:C2"/>
    <mergeCell ref="A5:C5"/>
    <mergeCell ref="A6:C6"/>
    <mergeCell ref="A9:C9"/>
  </mergeCells>
  <printOptions/>
  <pageMargins left="0.75" right="0.75" top="1" bottom="1" header="0.5" footer="0.5"/>
  <pageSetup horizontalDpi="600" verticalDpi="600" orientation="portrait"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tabColor indexed="13"/>
    <pageSetUpPr fitToPage="1"/>
  </sheetPr>
  <dimension ref="A1:K10"/>
  <sheetViews>
    <sheetView workbookViewId="0" topLeftCell="A1">
      <selection activeCell="A1" sqref="A1:K1"/>
    </sheetView>
  </sheetViews>
  <sheetFormatPr defaultColWidth="9.140625" defaultRowHeight="12.75"/>
  <cols>
    <col min="1" max="1" width="29.8515625" style="0" bestFit="1" customWidth="1"/>
    <col min="2" max="2" width="13.140625" style="0" customWidth="1"/>
    <col min="3" max="3" width="10.421875" style="0" bestFit="1" customWidth="1"/>
    <col min="4" max="4" width="9.28125" style="0" bestFit="1" customWidth="1"/>
    <col min="5" max="5" width="12.421875" style="0" customWidth="1"/>
    <col min="6" max="6" width="13.140625" style="0" customWidth="1"/>
    <col min="8" max="11" width="13.7109375" style="0" customWidth="1"/>
  </cols>
  <sheetData>
    <row r="1" spans="1:11" ht="15.75">
      <c r="A1" s="262" t="s">
        <v>258</v>
      </c>
      <c r="B1" s="262"/>
      <c r="C1" s="262"/>
      <c r="D1" s="262"/>
      <c r="E1" s="262"/>
      <c r="F1" s="262"/>
      <c r="G1" s="262"/>
      <c r="H1" s="262"/>
      <c r="I1" s="262"/>
      <c r="J1" s="262"/>
      <c r="K1" s="262"/>
    </row>
    <row r="2" spans="1:11" ht="15.75">
      <c r="A2" s="262" t="s">
        <v>246</v>
      </c>
      <c r="B2" s="262"/>
      <c r="C2" s="262"/>
      <c r="D2" s="262"/>
      <c r="E2" s="262"/>
      <c r="F2" s="262"/>
      <c r="G2" s="262"/>
      <c r="H2" s="262"/>
      <c r="I2" s="262"/>
      <c r="J2" s="262"/>
      <c r="K2" s="262"/>
    </row>
    <row r="3" spans="1:9" ht="15.75">
      <c r="A3" s="159"/>
      <c r="B3" s="159"/>
      <c r="C3" s="159"/>
      <c r="D3" s="159"/>
      <c r="E3" s="159"/>
      <c r="F3" s="159"/>
      <c r="G3" s="159"/>
      <c r="H3" s="159"/>
      <c r="I3" s="159"/>
    </row>
    <row r="4" spans="1:11" ht="76.5">
      <c r="A4" s="161" t="s">
        <v>247</v>
      </c>
      <c r="B4" s="156" t="s">
        <v>248</v>
      </c>
      <c r="C4" s="156" t="s">
        <v>259</v>
      </c>
      <c r="D4" s="156" t="s">
        <v>249</v>
      </c>
      <c r="E4" s="156" t="s">
        <v>250</v>
      </c>
      <c r="F4" s="156" t="s">
        <v>251</v>
      </c>
      <c r="G4" s="156" t="s">
        <v>252</v>
      </c>
      <c r="H4" s="156" t="s">
        <v>253</v>
      </c>
      <c r="I4" s="156" t="s">
        <v>254</v>
      </c>
      <c r="J4" s="156" t="s">
        <v>253</v>
      </c>
      <c r="K4" s="156" t="s">
        <v>254</v>
      </c>
    </row>
    <row r="5" spans="1:11" ht="12.75">
      <c r="A5" t="s">
        <v>0</v>
      </c>
      <c r="B5" s="158">
        <f>'Rate Schedules'!D8-'Smart Meters'!B6</f>
        <v>15.87</v>
      </c>
      <c r="C5" s="158">
        <f>'Rate Schedules'!H8-'Smart Meters'!B6</f>
        <v>16.06</v>
      </c>
      <c r="D5" s="158">
        <f>'Rate Schedules'!M8-'Smart Meters'!B6</f>
        <v>16.27</v>
      </c>
      <c r="E5" s="158">
        <v>3.7</v>
      </c>
      <c r="F5" s="158">
        <v>16.36</v>
      </c>
      <c r="G5" s="158">
        <f aca="true" t="shared" si="0" ref="G5:G10">F5*1.2</f>
        <v>19.631999999999998</v>
      </c>
      <c r="H5" s="2" t="str">
        <f aca="true" t="shared" si="1" ref="H5:H10">IF(B5&gt;E5,"YES","NO")</f>
        <v>YES</v>
      </c>
      <c r="I5" s="2" t="str">
        <f aca="true" t="shared" si="2" ref="I5:I10">IF(B5&lt;G5,"YES","NO")</f>
        <v>YES</v>
      </c>
      <c r="J5" s="2" t="str">
        <f aca="true" t="shared" si="3" ref="J5:J10">IF(D5&gt;E5,"YES","NO")</f>
        <v>YES</v>
      </c>
      <c r="K5" s="2" t="str">
        <f aca="true" t="shared" si="4" ref="K5:K10">IF(D5&lt;G5,"YES","NO")</f>
        <v>YES</v>
      </c>
    </row>
    <row r="6" spans="1:11" ht="12.75">
      <c r="A6" t="s">
        <v>15</v>
      </c>
      <c r="B6" s="158">
        <f>'Rate Schedules'!D26-'Smart Meters'!B7</f>
        <v>32.230000000000004</v>
      </c>
      <c r="C6" s="158">
        <f>'Rate Schedules'!H26-'Smart Meters'!B7</f>
        <v>32.61</v>
      </c>
      <c r="D6" s="158">
        <f>'Rate Schedules'!M26-'Smart Meters'!B7</f>
        <v>33.38</v>
      </c>
      <c r="E6" s="158">
        <v>7.48</v>
      </c>
      <c r="F6" s="158">
        <v>28.16</v>
      </c>
      <c r="G6" s="158">
        <f t="shared" si="0"/>
        <v>33.792</v>
      </c>
      <c r="H6" s="2" t="str">
        <f t="shared" si="1"/>
        <v>YES</v>
      </c>
      <c r="I6" s="2" t="str">
        <f t="shared" si="2"/>
        <v>YES</v>
      </c>
      <c r="J6" s="2" t="str">
        <f t="shared" si="3"/>
        <v>YES</v>
      </c>
      <c r="K6" s="2" t="str">
        <f t="shared" si="4"/>
        <v>YES</v>
      </c>
    </row>
    <row r="7" spans="1:11" ht="12.75">
      <c r="A7" t="s">
        <v>16</v>
      </c>
      <c r="B7" s="158">
        <f>'Rate Schedules'!D44-'Smart Meters'!B8</f>
        <v>755.7</v>
      </c>
      <c r="C7" s="158">
        <f>'Rate Schedules'!H44-'Smart Meters'!B8</f>
        <v>764.7</v>
      </c>
      <c r="D7" s="158">
        <f>'Rate Schedules'!M44-'Smart Meters'!B8</f>
        <v>762.54</v>
      </c>
      <c r="E7" s="158">
        <v>28.79</v>
      </c>
      <c r="F7" s="158">
        <v>139.37</v>
      </c>
      <c r="G7" s="158">
        <f t="shared" si="0"/>
        <v>167.244</v>
      </c>
      <c r="H7" s="2" t="str">
        <f t="shared" si="1"/>
        <v>YES</v>
      </c>
      <c r="I7" s="2" t="str">
        <f t="shared" si="2"/>
        <v>NO</v>
      </c>
      <c r="J7" s="2" t="str">
        <f t="shared" si="3"/>
        <v>YES</v>
      </c>
      <c r="K7" s="2" t="str">
        <f t="shared" si="4"/>
        <v>NO</v>
      </c>
    </row>
    <row r="8" spans="1:11" ht="12.75">
      <c r="A8" t="s">
        <v>18</v>
      </c>
      <c r="B8" s="158">
        <f>'Rate Schedules'!D62</f>
        <v>32.49</v>
      </c>
      <c r="C8" s="158">
        <f>'Rate Schedules'!H62</f>
        <v>32.87</v>
      </c>
      <c r="D8" s="158">
        <f>'Rate Schedules'!M62</f>
        <v>33.43</v>
      </c>
      <c r="E8" s="158">
        <v>6.58</v>
      </c>
      <c r="F8" s="158">
        <v>29.19</v>
      </c>
      <c r="G8" s="158">
        <f t="shared" si="0"/>
        <v>35.028</v>
      </c>
      <c r="H8" s="2" t="str">
        <f t="shared" si="1"/>
        <v>YES</v>
      </c>
      <c r="I8" s="2" t="str">
        <f t="shared" si="2"/>
        <v>YES</v>
      </c>
      <c r="J8" s="2" t="str">
        <f t="shared" si="3"/>
        <v>YES</v>
      </c>
      <c r="K8" s="2" t="str">
        <f t="shared" si="4"/>
        <v>YES</v>
      </c>
    </row>
    <row r="9" spans="1:11" ht="12.75">
      <c r="A9" t="s">
        <v>19</v>
      </c>
      <c r="B9" s="158">
        <f>'Rate Schedules'!D80</f>
        <v>1.75</v>
      </c>
      <c r="C9" s="158">
        <f>'Rate Schedules'!H80</f>
        <v>1.78</v>
      </c>
      <c r="D9" s="158">
        <f>'Rate Schedules'!M80</f>
        <v>3.03</v>
      </c>
      <c r="E9" s="158">
        <v>-0.25</v>
      </c>
      <c r="F9" s="158">
        <v>7.6</v>
      </c>
      <c r="G9" s="158">
        <f t="shared" si="0"/>
        <v>9.12</v>
      </c>
      <c r="H9" s="2" t="str">
        <f t="shared" si="1"/>
        <v>YES</v>
      </c>
      <c r="I9" s="2" t="str">
        <f t="shared" si="2"/>
        <v>YES</v>
      </c>
      <c r="J9" s="2" t="str">
        <f t="shared" si="3"/>
        <v>YES</v>
      </c>
      <c r="K9" s="2" t="str">
        <f t="shared" si="4"/>
        <v>YES</v>
      </c>
    </row>
    <row r="10" spans="1:11" ht="12.75">
      <c r="A10" t="s">
        <v>20</v>
      </c>
      <c r="B10" s="158">
        <f>'Rate Schedules'!D98</f>
        <v>1.74</v>
      </c>
      <c r="C10" s="158">
        <f>'Rate Schedules'!H98</f>
        <v>1.77</v>
      </c>
      <c r="D10" s="158">
        <f>'Rate Schedules'!M98</f>
        <v>2.25</v>
      </c>
      <c r="E10" s="158">
        <v>-0.36</v>
      </c>
      <c r="F10" s="158">
        <v>7.26</v>
      </c>
      <c r="G10" s="158">
        <f t="shared" si="0"/>
        <v>8.712</v>
      </c>
      <c r="H10" s="2" t="str">
        <f t="shared" si="1"/>
        <v>YES</v>
      </c>
      <c r="I10" s="2" t="str">
        <f t="shared" si="2"/>
        <v>YES</v>
      </c>
      <c r="J10" s="2" t="str">
        <f t="shared" si="3"/>
        <v>YES</v>
      </c>
      <c r="K10" s="2" t="str">
        <f t="shared" si="4"/>
        <v>YES</v>
      </c>
    </row>
  </sheetData>
  <mergeCells count="2">
    <mergeCell ref="A2:K2"/>
    <mergeCell ref="A1:K1"/>
  </mergeCells>
  <printOptions/>
  <pageMargins left="0.75" right="0.75" top="1" bottom="1" header="0.5" footer="0.5"/>
  <pageSetup fitToHeight="1" fitToWidth="1" horizontalDpi="600" verticalDpi="600" orientation="landscape" scale="7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tabColor indexed="13"/>
  </sheetPr>
  <dimension ref="A1:C11"/>
  <sheetViews>
    <sheetView workbookViewId="0" topLeftCell="A1">
      <selection activeCell="G13" sqref="G13"/>
    </sheetView>
  </sheetViews>
  <sheetFormatPr defaultColWidth="9.140625" defaultRowHeight="12.75"/>
  <cols>
    <col min="1" max="1" width="35.8515625" style="0" customWidth="1"/>
    <col min="2" max="3" width="10.140625" style="0" customWidth="1"/>
  </cols>
  <sheetData>
    <row r="1" spans="1:3" ht="15.75">
      <c r="A1" s="262" t="s">
        <v>258</v>
      </c>
      <c r="B1" s="262"/>
      <c r="C1" s="262"/>
    </row>
    <row r="2" spans="1:3" ht="15.75">
      <c r="A2" s="262" t="s">
        <v>7</v>
      </c>
      <c r="B2" s="262"/>
      <c r="C2" s="262"/>
    </row>
    <row r="3" spans="1:3" ht="15.75">
      <c r="A3" s="136"/>
      <c r="B3" s="136"/>
      <c r="C3" s="136"/>
    </row>
    <row r="4" spans="1:3" ht="12.75">
      <c r="A4" s="275" t="s">
        <v>247</v>
      </c>
      <c r="B4" s="275" t="s">
        <v>257</v>
      </c>
      <c r="C4" s="275"/>
    </row>
    <row r="5" spans="1:3" ht="12.75">
      <c r="A5" s="275"/>
      <c r="B5" s="2" t="s">
        <v>153</v>
      </c>
      <c r="C5" s="2" t="s">
        <v>154</v>
      </c>
    </row>
    <row r="6" spans="1:3" ht="12.75">
      <c r="A6" t="s">
        <v>0</v>
      </c>
      <c r="B6" s="2">
        <v>0.0002</v>
      </c>
      <c r="C6" s="2"/>
    </row>
    <row r="7" spans="1:3" ht="12.75">
      <c r="A7" t="s">
        <v>15</v>
      </c>
      <c r="B7" s="2">
        <v>0.0002</v>
      </c>
      <c r="C7" s="2"/>
    </row>
    <row r="8" spans="1:3" ht="12.75">
      <c r="A8" t="s">
        <v>16</v>
      </c>
      <c r="B8" s="2"/>
      <c r="C8" s="2">
        <v>0.0656</v>
      </c>
    </row>
    <row r="9" spans="1:3" ht="12.75">
      <c r="A9" t="s">
        <v>18</v>
      </c>
      <c r="B9" s="2">
        <v>0.0003</v>
      </c>
      <c r="C9" s="2"/>
    </row>
    <row r="10" spans="1:3" ht="12.75">
      <c r="A10" t="s">
        <v>19</v>
      </c>
      <c r="B10" s="2"/>
      <c r="C10" s="2">
        <v>0.0727</v>
      </c>
    </row>
    <row r="11" spans="1:3" ht="12.75">
      <c r="A11" t="s">
        <v>20</v>
      </c>
      <c r="B11" s="2"/>
      <c r="C11" s="2">
        <v>0.0687</v>
      </c>
    </row>
  </sheetData>
  <mergeCells count="4">
    <mergeCell ref="A1:C1"/>
    <mergeCell ref="A4:A5"/>
    <mergeCell ref="B4:C4"/>
    <mergeCell ref="A2:C2"/>
  </mergeCells>
  <printOptions horizontalCentered="1"/>
  <pageMargins left="0.75" right="0.75" top="1" bottom="1" header="0.5" footer="0.5"/>
  <pageSetup horizontalDpi="600" verticalDpi="600" orientation="portrait"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FortisOntario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Fort Erie 2009 EDR Rate Design Model</dc:title>
  <dc:subject>2009 EDR</dc:subject>
  <dc:creator>Doug Bradbury</dc:creator>
  <cp:keywords/>
  <dc:description/>
  <cp:lastModifiedBy>coholanp</cp:lastModifiedBy>
  <cp:lastPrinted>2008-08-12T18:14:40Z</cp:lastPrinted>
  <dcterms:created xsi:type="dcterms:W3CDTF">2008-03-07T19:13:31Z</dcterms:created>
  <dcterms:modified xsi:type="dcterms:W3CDTF">2008-08-14T16:11:03Z</dcterms:modified>
  <cp:category/>
  <cp:version/>
  <cp:contentType/>
  <cp:contentStatus/>
</cp:coreProperties>
</file>